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codeName="ThisWorkbook" defaultThemeVersion="124226"/>
  <xr:revisionPtr revIDLastSave="0" documentId="13_ncr:1_{DB9FE0AF-7F51-4B3E-8FB5-5B165779F286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MCT8316Z_Trap" sheetId="9" r:id="rId1"/>
    <sheet name="DRV8316_Trap" sheetId="13" r:id="rId2"/>
    <sheet name="DRV8316_FOC" sheetId="14" r:id="rId3"/>
    <sheet name="MCT8316A_Trap" sheetId="17" r:id="rId4"/>
    <sheet name="MCF8316A_FOC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D339" i="14" l="1"/>
  <c r="JF379" i="13"/>
  <c r="JV406" i="18" l="1"/>
  <c r="JV405" i="18"/>
  <c r="JV404" i="18"/>
  <c r="JV403" i="18"/>
  <c r="JV402" i="18"/>
  <c r="JV401" i="18"/>
  <c r="KC400" i="18"/>
  <c r="JV400" i="18"/>
  <c r="JV399" i="18"/>
  <c r="JV398" i="18"/>
  <c r="KC397" i="18"/>
  <c r="JV397" i="18"/>
  <c r="JV396" i="18"/>
  <c r="JV395" i="18"/>
  <c r="JV394" i="18"/>
  <c r="JV393" i="18"/>
  <c r="KC392" i="18"/>
  <c r="JV392" i="18"/>
  <c r="JV391" i="18"/>
  <c r="KC390" i="18"/>
  <c r="KC399" i="18" s="1"/>
  <c r="JV390" i="18"/>
  <c r="KC389" i="18"/>
  <c r="KC396" i="18" s="1"/>
  <c r="JV389" i="18"/>
  <c r="KC388" i="18"/>
  <c r="JV388" i="18"/>
  <c r="JV387" i="18"/>
  <c r="JV386" i="18"/>
  <c r="KC385" i="18"/>
  <c r="KC386" i="18" s="1"/>
  <c r="JV385" i="18"/>
  <c r="JV384" i="18"/>
  <c r="JV383" i="18"/>
  <c r="KD382" i="18"/>
  <c r="KB382" i="18"/>
  <c r="JV382" i="18"/>
  <c r="JX379" i="18"/>
  <c r="JW379" i="18"/>
  <c r="KF378" i="18"/>
  <c r="JZ376" i="18"/>
  <c r="JY376" i="18"/>
  <c r="JX376" i="18"/>
  <c r="JW376" i="18"/>
  <c r="JP411" i="17"/>
  <c r="JI411" i="17"/>
  <c r="JP410" i="17"/>
  <c r="JI410" i="17"/>
  <c r="JI409" i="17"/>
  <c r="JI408" i="17"/>
  <c r="JI407" i="17"/>
  <c r="JI406" i="17"/>
  <c r="JP405" i="17"/>
  <c r="JI405" i="17"/>
  <c r="JI404" i="17"/>
  <c r="JI403" i="17"/>
  <c r="JP402" i="17"/>
  <c r="JI402" i="17"/>
  <c r="JI401" i="17"/>
  <c r="JI400" i="17"/>
  <c r="JI399" i="17"/>
  <c r="JI398" i="17"/>
  <c r="JP397" i="17"/>
  <c r="JI397" i="17"/>
  <c r="JI396" i="17"/>
  <c r="JP395" i="17"/>
  <c r="JI395" i="17"/>
  <c r="JP394" i="17"/>
  <c r="JI394" i="17"/>
  <c r="JP393" i="17"/>
  <c r="JI393" i="17"/>
  <c r="JI392" i="17"/>
  <c r="JI391" i="17"/>
  <c r="JP390" i="17"/>
  <c r="JP391" i="17" s="1"/>
  <c r="JI390" i="17"/>
  <c r="JI389" i="17"/>
  <c r="JI388" i="17"/>
  <c r="JQ387" i="17"/>
  <c r="JO387" i="17"/>
  <c r="JI387" i="17"/>
  <c r="JS385" i="17"/>
  <c r="JV380" i="17" s="1"/>
  <c r="JV381" i="17" s="1"/>
  <c r="JK384" i="17"/>
  <c r="JJ384" i="17"/>
  <c r="JM381" i="17"/>
  <c r="JL381" i="17"/>
  <c r="JK381" i="17"/>
  <c r="JJ381" i="17"/>
  <c r="C9" i="17"/>
  <c r="A9" i="17"/>
  <c r="C8" i="17"/>
  <c r="A8" i="17"/>
  <c r="JZ379" i="18" l="1"/>
  <c r="KC383" i="18" s="1"/>
  <c r="JM384" i="17"/>
  <c r="JP388" i="17" s="1"/>
  <c r="KF379" i="18"/>
  <c r="JP413" i="17"/>
  <c r="KI375" i="18"/>
  <c r="KI376" i="18" s="1"/>
  <c r="JP404" i="17"/>
  <c r="JP401" i="17"/>
  <c r="JP412" i="17"/>
  <c r="JP414" i="17" s="1"/>
  <c r="KI377" i="18" l="1"/>
  <c r="KI378" i="18" s="1"/>
  <c r="KK375" i="18" s="1"/>
  <c r="KK376" i="18" s="1"/>
  <c r="KK377" i="18" s="1"/>
  <c r="KK378" i="18" s="1"/>
  <c r="KM375" i="18" s="1"/>
  <c r="KC395" i="18" s="1"/>
  <c r="KC398" i="18" s="1"/>
  <c r="JS386" i="17"/>
  <c r="JV382" i="17" s="1"/>
  <c r="JV383" i="17" s="1"/>
  <c r="JX380" i="17" s="1"/>
  <c r="JX381" i="17" s="1"/>
  <c r="JX382" i="17" s="1"/>
  <c r="JX383" i="17" s="1"/>
  <c r="JZ380" i="17" s="1"/>
  <c r="KD347" i="14"/>
  <c r="KG325" i="14"/>
  <c r="KJ322" i="14" s="1"/>
  <c r="KJ323" i="14" s="1"/>
  <c r="KC329" i="14"/>
  <c r="KE329" i="14"/>
  <c r="KD332" i="14"/>
  <c r="KD333" i="14" s="1"/>
  <c r="KD335" i="14"/>
  <c r="KD336" i="14"/>
  <c r="KD343" i="14" s="1"/>
  <c r="KD344" i="14"/>
  <c r="JW353" i="14"/>
  <c r="JW352" i="14"/>
  <c r="JW351" i="14"/>
  <c r="JW350" i="14"/>
  <c r="JW349" i="14"/>
  <c r="JW348" i="14"/>
  <c r="JW347" i="14"/>
  <c r="JW346" i="14"/>
  <c r="JW345" i="14"/>
  <c r="JW344" i="14"/>
  <c r="JW343" i="14"/>
  <c r="JW342" i="14"/>
  <c r="JW341" i="14"/>
  <c r="JW340" i="14"/>
  <c r="JW339" i="14"/>
  <c r="JW338" i="14"/>
  <c r="JW337" i="14"/>
  <c r="JW336" i="14"/>
  <c r="JW335" i="14"/>
  <c r="JW334" i="14"/>
  <c r="JW333" i="14"/>
  <c r="JW332" i="14"/>
  <c r="JW331" i="14"/>
  <c r="JW330" i="14"/>
  <c r="JW329" i="14"/>
  <c r="JY326" i="14"/>
  <c r="KA323" i="14"/>
  <c r="JZ323" i="14"/>
  <c r="JY323" i="14"/>
  <c r="JX323" i="14"/>
  <c r="KD337" i="14"/>
  <c r="KD346" i="14" s="1"/>
  <c r="KM376" i="18" l="1"/>
  <c r="KM377" i="18" s="1"/>
  <c r="KM378" i="18" s="1"/>
  <c r="E4" i="18" s="1"/>
  <c r="JZ381" i="17"/>
  <c r="JZ382" i="17" s="1"/>
  <c r="JP400" i="17"/>
  <c r="JP403" i="17" s="1"/>
  <c r="JX326" i="14"/>
  <c r="KA326" i="14" s="1"/>
  <c r="KD330" i="14" s="1"/>
  <c r="KG326" i="14"/>
  <c r="KJ324" i="14" s="1"/>
  <c r="JF393" i="13"/>
  <c r="IY393" i="13"/>
  <c r="JF392" i="13"/>
  <c r="IY392" i="13"/>
  <c r="IY391" i="13"/>
  <c r="IY390" i="13"/>
  <c r="IY389" i="13"/>
  <c r="IY388" i="13"/>
  <c r="JF387" i="13"/>
  <c r="IY387" i="13"/>
  <c r="IY386" i="13"/>
  <c r="IY385" i="13"/>
  <c r="JF384" i="13"/>
  <c r="IY384" i="13"/>
  <c r="IY383" i="13"/>
  <c r="IY382" i="13"/>
  <c r="IY381" i="13"/>
  <c r="IY380" i="13"/>
  <c r="IY379" i="13"/>
  <c r="IY378" i="13"/>
  <c r="JF377" i="13"/>
  <c r="IY377" i="13"/>
  <c r="JF376" i="13"/>
  <c r="IY376" i="13"/>
  <c r="JF375" i="13"/>
  <c r="IY375" i="13"/>
  <c r="IY374" i="13"/>
  <c r="IY373" i="13"/>
  <c r="JF372" i="13"/>
  <c r="JF373" i="13" s="1"/>
  <c r="IY372" i="13"/>
  <c r="IY371" i="13"/>
  <c r="IY370" i="13"/>
  <c r="JG369" i="13"/>
  <c r="JE369" i="13"/>
  <c r="IY369" i="13"/>
  <c r="JI367" i="13"/>
  <c r="JL362" i="13" s="1"/>
  <c r="JA366" i="13"/>
  <c r="JC363" i="13"/>
  <c r="JB363" i="13"/>
  <c r="JA363" i="13"/>
  <c r="IZ366" i="13" s="1"/>
  <c r="IZ363" i="13"/>
  <c r="C9" i="13"/>
  <c r="A9" i="13"/>
  <c r="C8" i="13"/>
  <c r="A8" i="13"/>
  <c r="JF386" i="13" l="1"/>
  <c r="JC366" i="13"/>
  <c r="JF370" i="13" s="1"/>
  <c r="JF394" i="13"/>
  <c r="E3" i="18"/>
  <c r="KC402" i="18" s="1"/>
  <c r="JZ383" i="17"/>
  <c r="E4" i="17" s="1"/>
  <c r="E3" i="17"/>
  <c r="JF395" i="13"/>
  <c r="JL363" i="13"/>
  <c r="KJ325" i="14"/>
  <c r="KL322" i="14" s="1"/>
  <c r="KL323" i="14" s="1"/>
  <c r="KL324" i="14" s="1"/>
  <c r="KL325" i="14" s="1"/>
  <c r="KN322" i="14" s="1"/>
  <c r="KD342" i="14" s="1"/>
  <c r="KD345" i="14" s="1"/>
  <c r="JF383" i="13"/>
  <c r="A9" i="9"/>
  <c r="JF396" i="13" l="1"/>
  <c r="JI368" i="13" s="1"/>
  <c r="JL364" i="13" s="1"/>
  <c r="JL365" i="13" s="1"/>
  <c r="JN362" i="13" s="1"/>
  <c r="JN363" i="13" s="1"/>
  <c r="JN364" i="13" s="1"/>
  <c r="JN365" i="13" s="1"/>
  <c r="JP362" i="13" s="1"/>
  <c r="JP363" i="13" s="1"/>
  <c r="JP364" i="13" s="1"/>
  <c r="KN323" i="14"/>
  <c r="KN324" i="14" s="1"/>
  <c r="IX389" i="9"/>
  <c r="JE388" i="9"/>
  <c r="IX388" i="9"/>
  <c r="IX387" i="9"/>
  <c r="IX386" i="9"/>
  <c r="IX385" i="9"/>
  <c r="IX384" i="9"/>
  <c r="JE383" i="9"/>
  <c r="IX383" i="9"/>
  <c r="IX382" i="9"/>
  <c r="IX381" i="9"/>
  <c r="JE380" i="9"/>
  <c r="IX380" i="9"/>
  <c r="IX379" i="9"/>
  <c r="IX378" i="9"/>
  <c r="IX377" i="9"/>
  <c r="IX376" i="9"/>
  <c r="JE375" i="9"/>
  <c r="IX375" i="9"/>
  <c r="IX374" i="9"/>
  <c r="IX373" i="9"/>
  <c r="JE372" i="9"/>
  <c r="IX372" i="9"/>
  <c r="JE371" i="9"/>
  <c r="JE389" i="9" s="1"/>
  <c r="IX371" i="9"/>
  <c r="IX370" i="9"/>
  <c r="IX369" i="9"/>
  <c r="JE368" i="9"/>
  <c r="JE369" i="9" s="1"/>
  <c r="IX368" i="9"/>
  <c r="IX367" i="9"/>
  <c r="IX366" i="9"/>
  <c r="JF365" i="9"/>
  <c r="JD365" i="9"/>
  <c r="IX365" i="9"/>
  <c r="JH363" i="9"/>
  <c r="JK358" i="9" s="1"/>
  <c r="JK359" i="9" s="1"/>
  <c r="IZ362" i="9"/>
  <c r="JB359" i="9"/>
  <c r="JA359" i="9"/>
  <c r="IZ359" i="9"/>
  <c r="IY359" i="9"/>
  <c r="JE373" i="9"/>
  <c r="C9" i="9"/>
  <c r="C8" i="9"/>
  <c r="A8" i="9"/>
  <c r="JF382" i="13" l="1"/>
  <c r="JF385" i="13" s="1"/>
  <c r="E3" i="14"/>
  <c r="KD349" i="14" s="1"/>
  <c r="KN325" i="14"/>
  <c r="E4" i="14" s="1"/>
  <c r="JP365" i="13"/>
  <c r="E4" i="13" s="1"/>
  <c r="E3" i="13"/>
  <c r="IY362" i="9"/>
  <c r="JB362" i="9" s="1"/>
  <c r="JE382" i="9"/>
  <c r="JE391" i="9"/>
  <c r="JE379" i="9"/>
  <c r="JE390" i="9"/>
  <c r="JE366" i="9" l="1"/>
  <c r="JE392" i="9"/>
  <c r="JH364" i="9" s="1"/>
  <c r="JK360" i="9" s="1"/>
  <c r="JK361" i="9" l="1"/>
  <c r="JM358" i="9" s="1"/>
  <c r="JM359" i="9" s="1"/>
  <c r="JM360" i="9" s="1"/>
  <c r="JM361" i="9" s="1"/>
  <c r="JO358" i="9" s="1"/>
  <c r="JE378" i="9" s="1"/>
  <c r="JE381" i="9" s="1"/>
  <c r="JO359" i="9" l="1"/>
  <c r="JO360" i="9" s="1"/>
  <c r="E3" i="9" s="1"/>
  <c r="JO361" i="9" l="1"/>
  <c r="E4" i="9" s="1"/>
</calcChain>
</file>

<file path=xl/sharedStrings.xml><?xml version="1.0" encoding="utf-8"?>
<sst xmlns="http://schemas.openxmlformats.org/spreadsheetml/2006/main" count="902" uniqueCount="161">
  <si>
    <t>V</t>
  </si>
  <si>
    <t>Value</t>
  </si>
  <si>
    <t>Unit</t>
  </si>
  <si>
    <t>Parameter Name</t>
  </si>
  <si>
    <t>mA</t>
  </si>
  <si>
    <t>mohms</t>
  </si>
  <si>
    <t>Ambient Temperature</t>
  </si>
  <si>
    <t>C</t>
  </si>
  <si>
    <t>Slew Rate</t>
  </si>
  <si>
    <t>V/us</t>
  </si>
  <si>
    <t>C/W</t>
  </si>
  <si>
    <t>kHz</t>
  </si>
  <si>
    <t>W</t>
  </si>
  <si>
    <t>A</t>
  </si>
  <si>
    <t>Rise/Fall Time</t>
  </si>
  <si>
    <t>us</t>
  </si>
  <si>
    <t>FET Conduction Losses</t>
  </si>
  <si>
    <t>FET Switching Losses</t>
  </si>
  <si>
    <t>Standby Power</t>
  </si>
  <si>
    <t>Total Standby Power</t>
  </si>
  <si>
    <t xml:space="preserve">Theta JA </t>
  </si>
  <si>
    <t>RMS Voltage (FOC) per phase</t>
  </si>
  <si>
    <t xml:space="preserve"> Peak Voltage (FOC)</t>
  </si>
  <si>
    <t xml:space="preserve">Peak Current per phase </t>
  </si>
  <si>
    <t>Junction Temperature</t>
  </si>
  <si>
    <t xml:space="preserve">Supply Current </t>
  </si>
  <si>
    <t>Active Current @ 25C</t>
  </si>
  <si>
    <t>Rdson @ 25C per FET</t>
  </si>
  <si>
    <t>Rdson @ 125C per FET</t>
  </si>
  <si>
    <t>Gate Charge</t>
  </si>
  <si>
    <t>nC</t>
  </si>
  <si>
    <t>FET gate charge</t>
  </si>
  <si>
    <t>Modulation Index</t>
  </si>
  <si>
    <t>Diode loss in dead time</t>
  </si>
  <si>
    <t>LDO Power Loss</t>
  </si>
  <si>
    <t>Total Buck power loss</t>
  </si>
  <si>
    <t>Dead time</t>
  </si>
  <si>
    <t>#</t>
  </si>
  <si>
    <t>oz</t>
  </si>
  <si>
    <t>PCB Layers</t>
  </si>
  <si>
    <t>PCB Thickness - Top/Bottom</t>
  </si>
  <si>
    <t>PCB Thickness - Internal</t>
  </si>
  <si>
    <t>PCB Area</t>
  </si>
  <si>
    <r>
      <t>cm</t>
    </r>
    <r>
      <rPr>
        <sz val="11"/>
        <color theme="1"/>
        <rFont val="Calibri"/>
        <family val="2"/>
      </rPr>
      <t>²</t>
    </r>
  </si>
  <si>
    <t>PCB Theta JA lookup</t>
  </si>
  <si>
    <t>PCB area</t>
  </si>
  <si>
    <t>Notation</t>
  </si>
  <si>
    <t>1,1</t>
  </si>
  <si>
    <t>2,2</t>
  </si>
  <si>
    <t>User inputs</t>
  </si>
  <si>
    <t>Top</t>
  </si>
  <si>
    <t>Internal</t>
  </si>
  <si>
    <t xml:space="preserve">Internal  </t>
  </si>
  <si>
    <t>Bottom</t>
  </si>
  <si>
    <t>User Thicknesses</t>
  </si>
  <si>
    <t>1,1,1,1</t>
  </si>
  <si>
    <t>2,1,1,2</t>
  </si>
  <si>
    <t>Theta JA (°C/W)(</t>
  </si>
  <si>
    <t>PCB area (cm2)</t>
  </si>
  <si>
    <t>User Outputs</t>
  </si>
  <si>
    <t>Theta JA (°C/W)</t>
  </si>
  <si>
    <t>Algorithm</t>
  </si>
  <si>
    <t>helper</t>
  </si>
  <si>
    <t>DRV8316</t>
  </si>
  <si>
    <t>Top/Bottom Layers Cu Thickness (if PCB more than 2 layers, internal layers assume 1 oz Cu thickness)</t>
  </si>
  <si>
    <t>Electrical Parameters</t>
  </si>
  <si>
    <t>Estimated Results</t>
  </si>
  <si>
    <t>Total Losses</t>
  </si>
  <si>
    <t>PCB Specification</t>
  </si>
  <si>
    <r>
      <rPr>
        <sz val="11"/>
        <color theme="1"/>
        <rFont val="Calibri"/>
        <family val="2"/>
      </rPr>
      <t>°</t>
    </r>
    <r>
      <rPr>
        <sz val="9.35"/>
        <color theme="1"/>
        <rFont val="Calibri"/>
        <family val="2"/>
      </rPr>
      <t>C</t>
    </r>
  </si>
  <si>
    <t>PWM Freq</t>
  </si>
  <si>
    <t>Rdson/temp</t>
  </si>
  <si>
    <t>Iteration 1</t>
  </si>
  <si>
    <t>Iteration 2</t>
  </si>
  <si>
    <t>Iteration 3</t>
  </si>
  <si>
    <t>RDS_ON @ TA</t>
  </si>
  <si>
    <t>RDS_ON @ TJ1</t>
  </si>
  <si>
    <t>RDS_ON @ TJ2</t>
  </si>
  <si>
    <t>Pcond @ ITR1</t>
  </si>
  <si>
    <t>Pcond @ ITR2</t>
  </si>
  <si>
    <t>Pcond @ ITR3</t>
  </si>
  <si>
    <t>Ploss @ITR1</t>
  </si>
  <si>
    <t>Ploss @ITR2</t>
  </si>
  <si>
    <t>Ploss @ITR3</t>
  </si>
  <si>
    <t>TJ1 @ ITR1</t>
  </si>
  <si>
    <t>TJ2 @ ITR2</t>
  </si>
  <si>
    <t>TJ3 @ ITR3</t>
  </si>
  <si>
    <t>Driver (Trap)</t>
  </si>
  <si>
    <t>Total FET Losses (Trap)</t>
  </si>
  <si>
    <t>Active Demagnetization Enabled?</t>
  </si>
  <si>
    <t>Active Demag (Trap)</t>
  </si>
  <si>
    <t>Back-EMF</t>
  </si>
  <si>
    <t>Commutation time</t>
  </si>
  <si>
    <t>Diode Losses (AD = 0)</t>
  </si>
  <si>
    <t>FET Losses (AD = 1)</t>
  </si>
  <si>
    <t>Total AD Losses</t>
  </si>
  <si>
    <t>Yes</t>
  </si>
  <si>
    <t>No</t>
  </si>
  <si>
    <t>AD enabled?</t>
  </si>
  <si>
    <t>Winding type</t>
  </si>
  <si>
    <t>-</t>
  </si>
  <si>
    <t>Delta</t>
  </si>
  <si>
    <t>Wye</t>
  </si>
  <si>
    <t>Hz</t>
  </si>
  <si>
    <t>Ploss others (P_STBY+P_FET_SW+P_FET_GC+P_DIODE+P_LDO+P_BUCK+P_AD)</t>
  </si>
  <si>
    <t>3,1,1,3</t>
  </si>
  <si>
    <t>Motor Winding Configuration</t>
  </si>
  <si>
    <t>P_FET = 6*(1/3)*Ipk*Ipk*RDS_ON*tcomm*Fele</t>
  </si>
  <si>
    <t>P_diode = 6 * 0.5 * VFB * Ipk * tcomm * felec</t>
  </si>
  <si>
    <t xml:space="preserve"> tcomm[Delta] = ipk * Ls /(VM+EB) </t>
  </si>
  <si>
    <t>tcomm[Wye] = Ipk*3*Lmotor/(VM+(2*EB))</t>
  </si>
  <si>
    <t>(Average between 25C and 150C)</t>
  </si>
  <si>
    <t>Active Current @ 150C</t>
  </si>
  <si>
    <t>P_FET_C = 2*Ipk *Ipk * RDS_ON</t>
  </si>
  <si>
    <t xml:space="preserve">PFET_SW = VM * Ipk * (Trise or Tfall)* Fpwm </t>
  </si>
  <si>
    <t>PDIODE = 2 * VF * Ipk *Fpwm * DEAD_TIME</t>
  </si>
  <si>
    <t>assumed</t>
  </si>
  <si>
    <t>P_LDO = (VM-3.3V)*IAVDD*0.001</t>
  </si>
  <si>
    <t>P_GC = GateCharge*5*fPWM</t>
  </si>
  <si>
    <r>
      <t>AVDD output current (I</t>
    </r>
    <r>
      <rPr>
        <vertAlign val="subscript"/>
        <sz val="11"/>
        <color theme="1"/>
        <rFont val="Calibri"/>
        <family val="2"/>
        <scheme val="minor"/>
      </rPr>
      <t>AVDD</t>
    </r>
    <r>
      <rPr>
        <sz val="11"/>
        <color theme="1"/>
        <rFont val="Calibri"/>
        <family val="2"/>
        <scheme val="minor"/>
      </rPr>
      <t>)</t>
    </r>
  </si>
  <si>
    <r>
      <t>Motor Winding RMS Current [I</t>
    </r>
    <r>
      <rPr>
        <vertAlign val="subscript"/>
        <sz val="11"/>
        <color theme="1"/>
        <rFont val="Calibri"/>
        <family val="2"/>
        <scheme val="minor"/>
      </rPr>
      <t>rms(trap)</t>
    </r>
    <r>
      <rPr>
        <sz val="11"/>
        <color theme="1"/>
        <rFont val="Calibri"/>
        <family val="2"/>
        <scheme val="minor"/>
      </rPr>
      <t>]</t>
    </r>
  </si>
  <si>
    <r>
      <t>DC Input Voltage [V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]</t>
    </r>
  </si>
  <si>
    <r>
      <t>Motor Electrical Frequency [f</t>
    </r>
    <r>
      <rPr>
        <vertAlign val="subscript"/>
        <sz val="11"/>
        <color theme="1"/>
        <rFont val="Calibri"/>
        <family val="2"/>
        <scheme val="minor"/>
      </rPr>
      <t>ele</t>
    </r>
    <r>
      <rPr>
        <sz val="11"/>
        <color theme="1"/>
        <rFont val="Calibri"/>
        <family val="2"/>
        <scheme val="minor"/>
      </rPr>
      <t>]</t>
    </r>
  </si>
  <si>
    <r>
      <t>PWM Frequency [f</t>
    </r>
    <r>
      <rPr>
        <vertAlign val="subscript"/>
        <sz val="11"/>
        <color theme="1"/>
        <rFont val="Calibri"/>
        <family val="2"/>
        <scheme val="minor"/>
      </rPr>
      <t>pwm</t>
    </r>
    <r>
      <rPr>
        <sz val="11"/>
        <color theme="1"/>
        <rFont val="Calibri"/>
        <family val="2"/>
        <scheme val="minor"/>
      </rPr>
      <t>]</t>
    </r>
  </si>
  <si>
    <r>
      <t>Commutation time [t</t>
    </r>
    <r>
      <rPr>
        <vertAlign val="subscript"/>
        <sz val="11"/>
        <rFont val="Calibri"/>
        <family val="2"/>
        <scheme val="minor"/>
      </rPr>
      <t>comm</t>
    </r>
    <r>
      <rPr>
        <sz val="11"/>
        <rFont val="Calibri"/>
        <family val="2"/>
        <scheme val="minor"/>
      </rPr>
      <t>]</t>
    </r>
  </si>
  <si>
    <t>MCT8316Z</t>
  </si>
  <si>
    <t>Switching Slew Rate (SR)</t>
  </si>
  <si>
    <t>Dead time (automatically configured from device's Slew Rate setting)</t>
  </si>
  <si>
    <t xml:space="preserve">Directions - Fill in all yellow boxes with known motor system parameters for the MCT8316Z. </t>
  </si>
  <si>
    <t>MCT8316Z Trapezoidal Thermal Calculator</t>
  </si>
  <si>
    <t>DRV8316 Trapezoidal Thermal Calculator</t>
  </si>
  <si>
    <t>NOTE: DRV8316 trapezoidal thermal calculator assumes synchronous modulation switching and typical datasheet values</t>
  </si>
  <si>
    <t>NOTE: MCT8316Z trapezoidal thermal calculator assumes synchronous modulation switching and typical datasheet values</t>
  </si>
  <si>
    <t>PWM Modulation</t>
  </si>
  <si>
    <t>Discontinuous</t>
  </si>
  <si>
    <t>Dead time (determined by device's OUTx slew rate)</t>
  </si>
  <si>
    <t>PWM Mod?</t>
  </si>
  <si>
    <t>Continuous</t>
  </si>
  <si>
    <t>Ploss others (P_STBY+P_FET_SW+P_FET_GC+P_DIODE+P_LDO+P_BUCK)</t>
  </si>
  <si>
    <t>Driver (FOC)</t>
  </si>
  <si>
    <t>Total FET Losses (FOC)</t>
  </si>
  <si>
    <t>Output Power (FOC)</t>
  </si>
  <si>
    <t>Directions - Fill in all yellow boxes with known motor system parameters for the DRV8316.</t>
  </si>
  <si>
    <r>
      <t>Motor Winding RMS Current [I</t>
    </r>
    <r>
      <rPr>
        <vertAlign val="subscript"/>
        <sz val="11"/>
        <color theme="1"/>
        <rFont val="Calibri"/>
        <family val="2"/>
        <scheme val="minor"/>
      </rPr>
      <t>rms(FOC)</t>
    </r>
    <r>
      <rPr>
        <sz val="11"/>
        <color theme="1"/>
        <rFont val="Calibri"/>
        <family val="2"/>
        <scheme val="minor"/>
      </rPr>
      <t>]</t>
    </r>
  </si>
  <si>
    <t>NOTE: DRV8316 FOC thermal calculator uses the typical datasheet values of the device and assumes synchronous modulation switching and buck output LC filter (LBK = 47 uH, CBK = 22 µF)</t>
  </si>
  <si>
    <t>DRV8316 Field-Oriented Control (FOC) Thermal Calculator</t>
  </si>
  <si>
    <t>MCT8316A</t>
  </si>
  <si>
    <t>MCF8316A</t>
  </si>
  <si>
    <t>MCF8316A Field-Oriented Control (FOC) Thermal Calculator</t>
  </si>
  <si>
    <t>Directions - Fill in all yellow boxes with known motor system parameters for the MCF8316A.</t>
  </si>
  <si>
    <t>MCT8316A Trapezoidal Thermal Calculator</t>
  </si>
  <si>
    <t>Directions - Fill in all yellow boxes with known motor system parameters for the MCT8316A.</t>
  </si>
  <si>
    <t>Active Current @ 75kHz, &lt;6V</t>
  </si>
  <si>
    <t>Active Current @ 75kHz, &gt;6V</t>
  </si>
  <si>
    <t>Worst case on 75kHz frequemcy interpolation</t>
  </si>
  <si>
    <t>Worst case on 75kHz frequency interpolation</t>
  </si>
  <si>
    <r>
      <t>NOTE: MCF8316A trapezoidal thermal calculator assumes synchronous modulation switching and typical datasheet values. Assume buck filter is Lbk = 22</t>
    </r>
    <r>
      <rPr>
        <b/>
        <sz val="10"/>
        <color theme="1"/>
        <rFont val="Calibri"/>
        <family val="2"/>
      </rPr>
      <t>μ</t>
    </r>
    <r>
      <rPr>
        <b/>
        <sz val="10"/>
        <color theme="1"/>
        <rFont val="Calibri"/>
        <family val="2"/>
        <scheme val="minor"/>
      </rPr>
      <t xml:space="preserve">H. </t>
    </r>
  </si>
  <si>
    <r>
      <t>NOTE: MCT8316A trapezoidal thermal calculator assumes synchronous modulation switching and typical datasheet values. Assume buck filter is Lbk = 22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 xml:space="preserve">H. </t>
    </r>
  </si>
  <si>
    <t>Active Current @ 25kHz, LBK = 22ohm</t>
  </si>
  <si>
    <t>Rdson @ 150C per FET</t>
  </si>
  <si>
    <t>Assume worst case with LBK at VM=12V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</si>
</sst>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Fill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quotePrefix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left"/>
    </xf>
    <xf numFmtId="0" fontId="0" fillId="0" borderId="0" xfId="0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readingOrder="1"/>
    </xf>
    <xf numFmtId="0" fontId="0" fillId="2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/>
    <xf numFmtId="0" fontId="0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/>
    <xf numFmtId="0" fontId="1" fillId="8" borderId="7" xfId="0" applyFont="1" applyFill="1" applyBorder="1" applyAlignment="1"/>
    <xf numFmtId="0" fontId="1" fillId="8" borderId="7" xfId="0" applyFont="1" applyFill="1" applyBorder="1" applyAlignment="1">
      <alignment horizontal="left"/>
    </xf>
    <xf numFmtId="0" fontId="0" fillId="10" borderId="0" xfId="0" applyFill="1" applyBorder="1"/>
    <xf numFmtId="0" fontId="0" fillId="0" borderId="25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" fillId="0" borderId="33" xfId="0" applyFont="1" applyBorder="1"/>
    <xf numFmtId="0" fontId="0" fillId="0" borderId="7" xfId="0" applyBorder="1"/>
    <xf numFmtId="0" fontId="0" fillId="0" borderId="9" xfId="0" applyBorder="1"/>
    <xf numFmtId="0" fontId="6" fillId="0" borderId="0" xfId="0" applyFont="1" applyBorder="1"/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1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" fillId="11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 applyBorder="1" applyAlignment="1"/>
    <xf numFmtId="0" fontId="3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 wrapText="1"/>
    </xf>
    <xf numFmtId="0" fontId="0" fillId="0" borderId="3" xfId="0" applyFill="1" applyBorder="1" applyAlignment="1"/>
    <xf numFmtId="0" fontId="0" fillId="0" borderId="2" xfId="0" applyBorder="1" applyAlignment="1">
      <alignment horizontal="left"/>
    </xf>
    <xf numFmtId="0" fontId="6" fillId="0" borderId="0" xfId="0" applyFont="1"/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6" xfId="0" applyBorder="1" applyAlignment="1"/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0" fillId="2" borderId="2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28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2" fontId="0" fillId="4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 readingOrder="1"/>
    </xf>
    <xf numFmtId="0" fontId="10" fillId="0" borderId="16" xfId="0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 wrapText="1" readingOrder="1"/>
    </xf>
    <xf numFmtId="0" fontId="1" fillId="7" borderId="29" xfId="0" applyFont="1" applyFill="1" applyBorder="1" applyAlignment="1">
      <alignment horizontal="left"/>
    </xf>
    <xf numFmtId="0" fontId="1" fillId="7" borderId="39" xfId="0" applyFont="1" applyFill="1" applyBorder="1" applyAlignment="1">
      <alignment horizontal="left"/>
    </xf>
    <xf numFmtId="0" fontId="1" fillId="7" borderId="27" xfId="0" applyFont="1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26" xfId="0" applyBorder="1" applyAlignment="1"/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" fillId="0" borderId="3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/>
    <xf numFmtId="0" fontId="0" fillId="4" borderId="0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13" xfId="0" applyFill="1" applyBorder="1" applyAlignment="1">
      <alignment horizontal="left" wrapText="1"/>
    </xf>
    <xf numFmtId="0" fontId="0" fillId="0" borderId="19" xfId="0" applyBorder="1"/>
    <xf numFmtId="0" fontId="0" fillId="0" borderId="8" xfId="0" applyFill="1" applyBorder="1" applyAlignment="1">
      <alignment horizontal="left" wrapText="1"/>
    </xf>
    <xf numFmtId="0" fontId="0" fillId="2" borderId="20" xfId="0" applyFill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5" xfId="0" applyFont="1" applyFill="1" applyBorder="1" applyAlignment="1">
      <alignment horizontal="left" wrapText="1"/>
    </xf>
    <xf numFmtId="0" fontId="0" fillId="2" borderId="21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6" xfId="0" applyFont="1" applyFill="1" applyBorder="1" applyAlignment="1">
      <alignment horizontal="left" wrapText="1"/>
    </xf>
    <xf numFmtId="0" fontId="0" fillId="2" borderId="16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8" xfId="0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" fillId="7" borderId="6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34" xfId="0" applyFont="1" applyFill="1" applyBorder="1" applyAlignment="1">
      <alignment horizontal="center" vertical="center" wrapText="1" readingOrder="1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" fillId="13" borderId="0" xfId="0" applyFont="1" applyFill="1" applyBorder="1" applyAlignment="1">
      <alignment horizontal="left"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" fillId="8" borderId="3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 readingOrder="1"/>
    </xf>
    <xf numFmtId="0" fontId="10" fillId="0" borderId="43" xfId="0" applyFont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 readingOrder="1"/>
    </xf>
    <xf numFmtId="0" fontId="2" fillId="0" borderId="45" xfId="0" applyFont="1" applyFill="1" applyBorder="1" applyAlignment="1">
      <alignment horizontal="center" vertical="center" wrapText="1" readingOrder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35" xfId="0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1" fillId="12" borderId="3" xfId="0" applyFont="1" applyFill="1" applyBorder="1" applyAlignment="1">
      <alignment horizontal="center" vertical="center" wrapText="1"/>
    </xf>
    <xf numFmtId="0" fontId="11" fillId="12" borderId="35" xfId="0" applyFont="1" applyFill="1" applyBorder="1" applyAlignment="1">
      <alignment horizontal="center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</cellXfs>
  <cellStyles count="1">
    <cellStyle name="Normal" xfId="0" builtinId="0"/>
  </cellStyles>
  <dxfs count="2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border outline="0">
        <bottom style="thin">
          <color rgb="FF000000"/>
        </bottom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border outline="0">
        <bottom style="thin">
          <color rgb="FF000000"/>
        </bottom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49897</xdr:colOff>
      <xdr:row>4</xdr:row>
      <xdr:rowOff>38471</xdr:rowOff>
    </xdr:from>
    <xdr:to>
      <xdr:col>6</xdr:col>
      <xdr:colOff>0</xdr:colOff>
      <xdr:row>16</xdr:row>
      <xdr:rowOff>48531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83773A-4E18-402B-BB14-1106A2861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7111" y="800471"/>
          <a:ext cx="5492746" cy="229288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3</xdr:col>
      <xdr:colOff>56509</xdr:colOff>
      <xdr:row>16</xdr:row>
      <xdr:rowOff>86774</xdr:rowOff>
    </xdr:from>
    <xdr:to>
      <xdr:col>6</xdr:col>
      <xdr:colOff>0</xdr:colOff>
      <xdr:row>26</xdr:row>
      <xdr:rowOff>8628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14ACE01-F671-4A9D-AA82-74EAC1818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03723" y="3134774"/>
          <a:ext cx="5495206" cy="2663240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49897</xdr:colOff>
      <xdr:row>4</xdr:row>
      <xdr:rowOff>38471</xdr:rowOff>
    </xdr:from>
    <xdr:to>
      <xdr:col>6</xdr:col>
      <xdr:colOff>0</xdr:colOff>
      <xdr:row>16</xdr:row>
      <xdr:rowOff>45356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5BB3B9-B53B-4E3F-B6F9-4D4E4D7B4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5297" y="800471"/>
          <a:ext cx="5506353" cy="229288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3</xdr:col>
      <xdr:colOff>56509</xdr:colOff>
      <xdr:row>16</xdr:row>
      <xdr:rowOff>86774</xdr:rowOff>
    </xdr:from>
    <xdr:to>
      <xdr:col>6</xdr:col>
      <xdr:colOff>0</xdr:colOff>
      <xdr:row>27</xdr:row>
      <xdr:rowOff>21328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06DFA1-626C-4295-9631-5283B750B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05084" y="3131599"/>
          <a:ext cx="5496566" cy="2604729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165528</xdr:colOff>
      <xdr:row>4</xdr:row>
      <xdr:rowOff>150920</xdr:rowOff>
    </xdr:from>
    <xdr:to>
      <xdr:col>6</xdr:col>
      <xdr:colOff>10645</xdr:colOff>
      <xdr:row>14</xdr:row>
      <xdr:rowOff>8993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A0CB01-4E99-42D6-A03F-E9337894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9293" y="883038"/>
          <a:ext cx="4526001" cy="243598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49897</xdr:colOff>
      <xdr:row>4</xdr:row>
      <xdr:rowOff>38471</xdr:rowOff>
    </xdr:from>
    <xdr:to>
      <xdr:col>6</xdr:col>
      <xdr:colOff>0</xdr:colOff>
      <xdr:row>16</xdr:row>
      <xdr:rowOff>48531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E98A88-FC4B-4262-9CCF-968890A0C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5297" y="800471"/>
          <a:ext cx="5506353" cy="229288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3</xdr:col>
      <xdr:colOff>56509</xdr:colOff>
      <xdr:row>16</xdr:row>
      <xdr:rowOff>86774</xdr:rowOff>
    </xdr:from>
    <xdr:to>
      <xdr:col>6</xdr:col>
      <xdr:colOff>0</xdr:colOff>
      <xdr:row>27</xdr:row>
      <xdr:rowOff>8628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94DBF5-B86E-4D7E-AD6A-A4D44EBAF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05084" y="3131599"/>
          <a:ext cx="5496566" cy="265235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165528</xdr:colOff>
      <xdr:row>4</xdr:row>
      <xdr:rowOff>150920</xdr:rowOff>
    </xdr:from>
    <xdr:to>
      <xdr:col>6</xdr:col>
      <xdr:colOff>7470</xdr:colOff>
      <xdr:row>14</xdr:row>
      <xdr:rowOff>12168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29E1FE-EC6B-42E9-B079-96D5FE0DF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503" y="884345"/>
          <a:ext cx="4525067" cy="2448873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FA6D1E-DE10-4C1C-ACFE-8AB706180C43}" name="Table1" displayName="Table1" ref="IY364:JA389" totalsRowShown="0" headerRowBorderDxfId="25" tableBorderDxfId="24" totalsRowBorderDxfId="23">
  <autoFilter ref="IY364:JA389" xr:uid="{08644DE1-EBD4-475E-9E5A-01CE20F5F28F}"/>
  <tableColumns count="3">
    <tableColumn id="1" xr3:uid="{E57CC254-9080-4104-8E85-AA349D90A627}" name="PCB area (cm2)" dataDxfId="22"/>
    <tableColumn id="2" xr3:uid="{62A28AF7-2B2C-42D5-A21E-98F17AD14A41}" name="Notation" dataDxfId="21"/>
    <tableColumn id="3" xr3:uid="{E9A1C5F9-EC2F-4876-AE3F-997F7A8DCDA0}" name="Theta JA (°C/W)(" dataDxfId="2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97E343-C0EE-49B1-ABEF-F3556CDE291F}" name="Table13" displayName="Table13" ref="IZ368:JB393" totalsRowShown="0" headerRowBorderDxfId="17" tableBorderDxfId="16" totalsRowBorderDxfId="15">
  <autoFilter ref="IZ368:JB393" xr:uid="{08644DE1-EBD4-475E-9E5A-01CE20F5F28F}"/>
  <tableColumns count="3">
    <tableColumn id="1" xr3:uid="{D2D84249-F656-4333-A2A9-5BBD600CC506}" name="PCB area (cm2)" dataDxfId="14"/>
    <tableColumn id="2" xr3:uid="{5FD05A8A-7B45-4342-BB43-BB5797451D6D}" name="Notation" dataDxfId="13"/>
    <tableColumn id="3" xr3:uid="{927DA7FA-8F78-406A-A87D-D3AA1182D24F}" name="Theta JA (°C/W)(" dataDxfId="1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169CA32-4CB0-4F8C-86F6-67038CB7F29C}" name="Table134" displayName="Table134" ref="JJ386:JL411" totalsRowShown="0" headerRowBorderDxfId="7" tableBorderDxfId="6" totalsRowBorderDxfId="5">
  <autoFilter ref="JJ386:JL411" xr:uid="{08644DE1-EBD4-475E-9E5A-01CE20F5F28F}"/>
  <tableColumns count="3">
    <tableColumn id="1" xr3:uid="{430D9224-EDD6-44FD-9737-F6C34A1848A4}" name="PCB area (cm2)" dataDxfId="4"/>
    <tableColumn id="2" xr3:uid="{29E34A74-ED2C-4E59-8D84-B6DF3AB462D8}" name="Notation" dataDxfId="3"/>
    <tableColumn id="3" xr3:uid="{4BF06216-4561-4441-9363-D65CE0EC599D}" name="Theta JA (°C/W)(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E632A-85FD-4CEB-94A8-3ABEEA4FEE49}">
  <sheetPr codeName="Sheet1"/>
  <dimension ref="A1:JP399"/>
  <sheetViews>
    <sheetView tabSelected="1" zoomScaleNormal="100" workbookViewId="0">
      <selection activeCell="A19" sqref="A19:C19"/>
    </sheetView>
  </sheetViews>
  <sheetFormatPr defaultRowHeight="14.4" x14ac:dyDescent="0.55000000000000004"/>
  <cols>
    <col min="1" max="1" width="86" style="2" bestFit="1" customWidth="1"/>
    <col min="2" max="2" width="15.734375" style="34" bestFit="1" customWidth="1"/>
    <col min="3" max="3" width="7.734375" style="34" bestFit="1" customWidth="1"/>
    <col min="4" max="4" width="57.62890625" style="31" customWidth="1"/>
    <col min="5" max="5" width="13.5234375" style="5" customWidth="1"/>
    <col min="6" max="6" width="8.26171875" customWidth="1"/>
    <col min="7" max="7" width="12.15625" style="42" customWidth="1"/>
    <col min="8" max="8" width="28.7890625" style="42" bestFit="1" customWidth="1"/>
    <col min="9" max="9" width="12.7890625" style="42" bestFit="1" customWidth="1"/>
    <col min="10" max="10" width="31" style="42" bestFit="1" customWidth="1"/>
    <col min="11" max="11" width="25.5234375" style="42" bestFit="1" customWidth="1"/>
    <col min="12" max="12" width="11.26171875" style="42" bestFit="1" customWidth="1"/>
    <col min="13" max="13" width="12.7890625" style="42" bestFit="1" customWidth="1"/>
    <col min="14" max="14" width="30.26171875" style="42" bestFit="1" customWidth="1"/>
    <col min="15" max="15" width="26.26171875" bestFit="1" customWidth="1"/>
    <col min="16" max="16" width="11" bestFit="1" customWidth="1"/>
    <col min="17" max="18" width="10.62890625" bestFit="1" customWidth="1"/>
    <col min="19" max="19" width="11.3671875" bestFit="1" customWidth="1"/>
    <col min="20" max="20" width="13.15625" bestFit="1" customWidth="1"/>
    <col min="21" max="21" width="13.5234375" bestFit="1" customWidth="1"/>
    <col min="22" max="22" width="21.47265625" bestFit="1" customWidth="1"/>
    <col min="23" max="23" width="14.26171875" bestFit="1" customWidth="1"/>
    <col min="24" max="24" width="30.26171875" bestFit="1" customWidth="1"/>
    <col min="25" max="25" width="14.26171875" bestFit="1" customWidth="1"/>
    <col min="26" max="26" width="24.7890625" bestFit="1" customWidth="1"/>
    <col min="27" max="27" width="23.3671875" bestFit="1" customWidth="1"/>
    <col min="28" max="28" width="44.89453125" bestFit="1" customWidth="1"/>
    <col min="29" max="29" width="30.26171875" style="42" bestFit="1" customWidth="1"/>
    <col min="30" max="30" width="13.5234375" style="42" bestFit="1" customWidth="1"/>
    <col min="31" max="31" width="7.734375" style="42" bestFit="1" customWidth="1"/>
    <col min="32" max="32" width="45.89453125" style="42" bestFit="1" customWidth="1"/>
    <col min="33" max="33" width="34.62890625" style="42" bestFit="1" customWidth="1"/>
    <col min="34" max="34" width="14" style="15" bestFit="1" customWidth="1"/>
    <col min="35" max="35" width="16.47265625" style="15" bestFit="1" customWidth="1"/>
    <col min="36" max="36" width="13.5234375" style="15" bestFit="1" customWidth="1"/>
    <col min="37" max="37" width="16.47265625" style="15" bestFit="1" customWidth="1"/>
    <col min="38" max="38" width="13.5234375" bestFit="1" customWidth="1"/>
    <col min="39" max="39" width="16.47265625" bestFit="1" customWidth="1"/>
    <col min="40" max="40" width="13.5234375" bestFit="1" customWidth="1"/>
    <col min="122" max="149" width="8.734375" customWidth="1"/>
    <col min="246" max="277" width="0" hidden="1" customWidth="1"/>
  </cols>
  <sheetData>
    <row r="1" spans="1:37" ht="15" customHeight="1" thickBot="1" x14ac:dyDescent="0.6">
      <c r="A1" s="201" t="s">
        <v>129</v>
      </c>
      <c r="B1" s="219" t="s">
        <v>128</v>
      </c>
      <c r="C1" s="219"/>
      <c r="D1" s="219"/>
      <c r="E1" s="219"/>
      <c r="F1" s="219"/>
    </row>
    <row r="2" spans="1:37" ht="15" customHeight="1" thickBot="1" x14ac:dyDescent="0.6">
      <c r="A2" s="116" t="s">
        <v>65</v>
      </c>
      <c r="B2" s="105" t="s">
        <v>125</v>
      </c>
      <c r="C2" s="112" t="s">
        <v>2</v>
      </c>
      <c r="D2" s="117" t="s">
        <v>66</v>
      </c>
      <c r="E2" s="118" t="s">
        <v>1</v>
      </c>
      <c r="F2" s="118" t="s">
        <v>2</v>
      </c>
    </row>
    <row r="3" spans="1:37" ht="15" customHeight="1" thickBot="1" x14ac:dyDescent="0.6">
      <c r="A3" s="119" t="s">
        <v>121</v>
      </c>
      <c r="B3" s="101">
        <v>24</v>
      </c>
      <c r="C3" s="109" t="s">
        <v>0</v>
      </c>
      <c r="D3" s="120" t="s">
        <v>67</v>
      </c>
      <c r="E3" s="132">
        <f>ROUND(IF(JB362=-1,"n/a",$JO$360),2)</f>
        <v>2.4300000000000002</v>
      </c>
      <c r="F3" s="109" t="s">
        <v>12</v>
      </c>
    </row>
    <row r="4" spans="1:37" ht="15" customHeight="1" thickBot="1" x14ac:dyDescent="0.6">
      <c r="A4" s="121" t="s">
        <v>120</v>
      </c>
      <c r="B4" s="102">
        <v>2.5</v>
      </c>
      <c r="C4" s="110" t="s">
        <v>13</v>
      </c>
      <c r="D4" s="120" t="s">
        <v>24</v>
      </c>
      <c r="E4" s="133">
        <f>ROUND(IF(JB362=-1,"n/a",$JO$361),2)</f>
        <v>136.66999999999999</v>
      </c>
      <c r="F4" s="111" t="s">
        <v>69</v>
      </c>
    </row>
    <row r="5" spans="1:37" ht="15" customHeight="1" x14ac:dyDescent="0.55000000000000004">
      <c r="A5" s="122" t="s">
        <v>89</v>
      </c>
      <c r="B5" s="102" t="s">
        <v>97</v>
      </c>
      <c r="C5" s="110" t="s">
        <v>100</v>
      </c>
      <c r="D5" s="123"/>
      <c r="E5" s="123"/>
      <c r="F5" s="123"/>
      <c r="G5" s="43"/>
      <c r="H5"/>
      <c r="AK5"/>
    </row>
    <row r="6" spans="1:37" ht="15" customHeight="1" x14ac:dyDescent="0.55000000000000004">
      <c r="A6" s="124" t="s">
        <v>106</v>
      </c>
      <c r="B6" s="101" t="s">
        <v>102</v>
      </c>
      <c r="C6" s="110" t="s">
        <v>100</v>
      </c>
      <c r="D6" s="36"/>
      <c r="E6" s="36"/>
      <c r="F6" s="36"/>
      <c r="G6" s="43"/>
      <c r="H6"/>
    </row>
    <row r="7" spans="1:37" ht="15" customHeight="1" x14ac:dyDescent="0.55000000000000004">
      <c r="A7" s="124" t="s">
        <v>124</v>
      </c>
      <c r="B7" s="101">
        <v>500</v>
      </c>
      <c r="C7" s="110" t="s">
        <v>15</v>
      </c>
      <c r="D7" s="36"/>
      <c r="E7" s="36"/>
      <c r="F7" s="36"/>
      <c r="G7" s="43"/>
      <c r="H7"/>
    </row>
    <row r="8" spans="1:37" ht="15" customHeight="1" x14ac:dyDescent="0.55000000000000004">
      <c r="A8" s="121" t="str">
        <f>IF(B7=0,"Motor Phase Inductance [Ls]","-")</f>
        <v>-</v>
      </c>
      <c r="B8" s="101"/>
      <c r="C8" s="110" t="str">
        <f>IF(B7=0,"mH","-")</f>
        <v>-</v>
      </c>
      <c r="D8" s="36"/>
      <c r="E8" s="36"/>
      <c r="F8" s="36"/>
      <c r="G8" s="43"/>
      <c r="H8"/>
      <c r="AK8" s="88"/>
    </row>
    <row r="9" spans="1:37" ht="15" customHeight="1" x14ac:dyDescent="0.55000000000000004">
      <c r="A9" s="121" t="str">
        <f>IF(B7=0,"Motor Phase BEMF constant [Ke_ph(pk)]","-")</f>
        <v>-</v>
      </c>
      <c r="B9" s="101"/>
      <c r="C9" s="110" t="str">
        <f>IF(B7=0,"V/Hz","-")</f>
        <v>-</v>
      </c>
      <c r="D9" s="36"/>
      <c r="E9" s="36"/>
      <c r="F9" s="36"/>
      <c r="G9" s="43"/>
      <c r="H9"/>
    </row>
    <row r="10" spans="1:37" ht="15" customHeight="1" x14ac:dyDescent="0.55000000000000004">
      <c r="A10" s="121" t="s">
        <v>122</v>
      </c>
      <c r="B10" s="101">
        <v>133</v>
      </c>
      <c r="C10" s="109" t="s">
        <v>103</v>
      </c>
      <c r="D10" s="36"/>
      <c r="E10" s="36"/>
      <c r="F10" s="36"/>
      <c r="G10" s="43"/>
      <c r="H10"/>
    </row>
    <row r="11" spans="1:37" ht="15" customHeight="1" x14ac:dyDescent="0.55000000000000004">
      <c r="A11" s="119" t="s">
        <v>123</v>
      </c>
      <c r="B11" s="101">
        <v>20</v>
      </c>
      <c r="C11" s="110" t="s">
        <v>11</v>
      </c>
      <c r="D11" s="39"/>
      <c r="E11" s="39"/>
      <c r="F11" s="36"/>
      <c r="H11"/>
    </row>
    <row r="12" spans="1:37" ht="15" customHeight="1" x14ac:dyDescent="0.55000000000000004">
      <c r="A12" s="125" t="s">
        <v>126</v>
      </c>
      <c r="B12" s="102">
        <v>200</v>
      </c>
      <c r="C12" s="110" t="s">
        <v>9</v>
      </c>
      <c r="D12" s="39"/>
      <c r="E12" s="6"/>
      <c r="F12" s="1"/>
      <c r="H12"/>
    </row>
    <row r="13" spans="1:37" ht="15" customHeight="1" x14ac:dyDescent="0.55000000000000004">
      <c r="A13" s="126" t="s">
        <v>119</v>
      </c>
      <c r="B13" s="103">
        <v>5</v>
      </c>
      <c r="C13" s="110" t="s">
        <v>4</v>
      </c>
      <c r="D13" s="39"/>
      <c r="E13" s="6"/>
      <c r="F13" s="1"/>
      <c r="H13"/>
    </row>
    <row r="14" spans="1:37" ht="15" customHeight="1" thickBot="1" x14ac:dyDescent="0.6">
      <c r="A14" s="127" t="s">
        <v>6</v>
      </c>
      <c r="B14" s="104">
        <v>25</v>
      </c>
      <c r="C14" s="111" t="s">
        <v>69</v>
      </c>
      <c r="D14" s="39"/>
      <c r="E14" s="6"/>
      <c r="F14" s="1"/>
      <c r="H14"/>
    </row>
    <row r="15" spans="1:37" ht="15" customHeight="1" thickBot="1" x14ac:dyDescent="0.6">
      <c r="A15" s="128" t="s">
        <v>68</v>
      </c>
      <c r="B15" s="105"/>
      <c r="C15" s="112"/>
      <c r="D15" s="39"/>
      <c r="E15" s="6"/>
      <c r="F15" s="1"/>
      <c r="H15"/>
    </row>
    <row r="16" spans="1:37" ht="15" customHeight="1" x14ac:dyDescent="0.55000000000000004">
      <c r="A16" s="129" t="s">
        <v>39</v>
      </c>
      <c r="B16" s="106">
        <v>2</v>
      </c>
      <c r="C16" s="113" t="s">
        <v>37</v>
      </c>
      <c r="D16" s="39"/>
      <c r="E16" s="6"/>
      <c r="F16" s="1"/>
      <c r="H16"/>
    </row>
    <row r="17" spans="1:151" ht="29.5" customHeight="1" x14ac:dyDescent="0.55000000000000004">
      <c r="A17" s="130" t="s">
        <v>64</v>
      </c>
      <c r="B17" s="107">
        <v>1</v>
      </c>
      <c r="C17" s="114" t="s">
        <v>38</v>
      </c>
      <c r="D17" s="39"/>
      <c r="E17" s="6"/>
      <c r="F17" s="1"/>
      <c r="H17"/>
    </row>
    <row r="18" spans="1:151" ht="28" customHeight="1" thickBot="1" x14ac:dyDescent="0.6">
      <c r="A18" s="131" t="s">
        <v>42</v>
      </c>
      <c r="B18" s="108">
        <v>16</v>
      </c>
      <c r="C18" s="115" t="s">
        <v>43</v>
      </c>
      <c r="D18" s="39"/>
      <c r="E18" s="6"/>
      <c r="F18" s="1"/>
      <c r="G18"/>
      <c r="H18"/>
    </row>
    <row r="19" spans="1:151" ht="28" customHeight="1" thickBot="1" x14ac:dyDescent="0.6">
      <c r="A19" s="216" t="s">
        <v>132</v>
      </c>
      <c r="B19" s="217"/>
      <c r="C19" s="218"/>
      <c r="D19" s="39"/>
      <c r="E19" s="6"/>
      <c r="F19" s="1"/>
      <c r="G19" s="1"/>
      <c r="H19"/>
      <c r="AK19" s="16"/>
      <c r="AO19" s="15"/>
    </row>
    <row r="20" spans="1:151" s="1" customFormat="1" ht="32.049999999999997" customHeight="1" x14ac:dyDescent="0.55000000000000004">
      <c r="D20" s="36"/>
      <c r="G20"/>
      <c r="H20"/>
      <c r="I20" s="42"/>
      <c r="J20" s="42"/>
      <c r="K20" s="42"/>
      <c r="L20" s="42"/>
      <c r="M20" s="42"/>
      <c r="N20" s="42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 s="42"/>
      <c r="AD20" s="42"/>
      <c r="AE20" s="42"/>
      <c r="AF20" s="42"/>
      <c r="AG20" s="42"/>
      <c r="AH20" s="15"/>
      <c r="AI20" s="15"/>
      <c r="AJ20" s="15"/>
      <c r="AK20" s="15"/>
      <c r="AL20"/>
      <c r="AM20"/>
      <c r="AN20"/>
      <c r="AO20" s="16"/>
      <c r="EU20"/>
    </row>
    <row r="21" spans="1:151" ht="22.5" customHeight="1" x14ac:dyDescent="0.55000000000000004">
      <c r="G21"/>
      <c r="H21"/>
    </row>
    <row r="22" spans="1:151" x14ac:dyDescent="0.55000000000000004">
      <c r="G22"/>
      <c r="H22"/>
      <c r="I22"/>
      <c r="J22"/>
      <c r="K22"/>
      <c r="L22"/>
      <c r="M22"/>
      <c r="N22"/>
      <c r="AC22"/>
      <c r="AD22"/>
      <c r="AE22"/>
      <c r="AF22"/>
      <c r="AG22"/>
      <c r="AH22"/>
      <c r="AI22"/>
      <c r="AJ22"/>
    </row>
    <row r="23" spans="1:151" x14ac:dyDescent="0.55000000000000004">
      <c r="G23"/>
      <c r="H23"/>
    </row>
    <row r="24" spans="1:151" x14ac:dyDescent="0.55000000000000004">
      <c r="G24"/>
      <c r="H24"/>
    </row>
    <row r="25" spans="1:151" x14ac:dyDescent="0.55000000000000004">
      <c r="G25"/>
      <c r="H25"/>
    </row>
    <row r="26" spans="1:151" x14ac:dyDescent="0.55000000000000004">
      <c r="A26" s="34"/>
      <c r="G26"/>
      <c r="H26"/>
    </row>
    <row r="27" spans="1:151" x14ac:dyDescent="0.55000000000000004">
      <c r="A27" s="34"/>
      <c r="G27"/>
      <c r="H27"/>
    </row>
    <row r="28" spans="1:151" x14ac:dyDescent="0.55000000000000004">
      <c r="A28" s="34"/>
      <c r="G28"/>
      <c r="H28"/>
    </row>
    <row r="29" spans="1:151" x14ac:dyDescent="0.55000000000000004">
      <c r="A29" s="33"/>
      <c r="B29" s="33"/>
      <c r="C29" s="33"/>
      <c r="G29"/>
      <c r="H29"/>
    </row>
    <row r="30" spans="1:151" x14ac:dyDescent="0.55000000000000004">
      <c r="A30" s="34"/>
      <c r="G30"/>
      <c r="H30"/>
    </row>
    <row r="31" spans="1:151" x14ac:dyDescent="0.55000000000000004">
      <c r="A31" s="28"/>
      <c r="B31" s="3"/>
      <c r="G31"/>
      <c r="H31" s="4"/>
    </row>
    <row r="32" spans="1:151" x14ac:dyDescent="0.55000000000000004">
      <c r="A32" s="34"/>
      <c r="G32"/>
      <c r="H32" s="4"/>
      <c r="EU32" s="1"/>
    </row>
    <row r="33" spans="1:151" x14ac:dyDescent="0.55000000000000004">
      <c r="A33" s="34"/>
      <c r="G33" s="1"/>
      <c r="H33"/>
    </row>
    <row r="34" spans="1:151" s="1" customFormat="1" x14ac:dyDescent="0.55000000000000004">
      <c r="A34" s="36"/>
      <c r="B34" s="36"/>
      <c r="C34" s="36"/>
      <c r="D34" s="39"/>
      <c r="E34" s="6"/>
      <c r="G34"/>
      <c r="H34"/>
      <c r="AL34"/>
      <c r="AM34"/>
      <c r="AN34"/>
      <c r="EU34"/>
    </row>
    <row r="35" spans="1:151" x14ac:dyDescent="0.55000000000000004">
      <c r="A35" s="34"/>
      <c r="G35"/>
      <c r="H35"/>
    </row>
    <row r="36" spans="1:151" x14ac:dyDescent="0.55000000000000004">
      <c r="A36" s="34"/>
      <c r="G36"/>
      <c r="H36"/>
    </row>
    <row r="37" spans="1:151" x14ac:dyDescent="0.55000000000000004">
      <c r="A37" s="34"/>
      <c r="G37"/>
    </row>
    <row r="38" spans="1:151" x14ac:dyDescent="0.55000000000000004">
      <c r="A38" s="34"/>
      <c r="G38"/>
    </row>
    <row r="39" spans="1:151" x14ac:dyDescent="0.55000000000000004">
      <c r="A39" s="34"/>
      <c r="G39"/>
    </row>
    <row r="40" spans="1:151" x14ac:dyDescent="0.55000000000000004">
      <c r="A40" s="34"/>
      <c r="G40"/>
    </row>
    <row r="41" spans="1:151" x14ac:dyDescent="0.55000000000000004">
      <c r="A41" s="34"/>
      <c r="G41"/>
    </row>
    <row r="42" spans="1:151" x14ac:dyDescent="0.55000000000000004">
      <c r="A42" s="34"/>
      <c r="G42"/>
    </row>
    <row r="43" spans="1:151" x14ac:dyDescent="0.55000000000000004">
      <c r="A43" s="34"/>
      <c r="G43"/>
    </row>
    <row r="44" spans="1:151" x14ac:dyDescent="0.55000000000000004">
      <c r="A44" s="34"/>
      <c r="G44"/>
    </row>
    <row r="45" spans="1:151" x14ac:dyDescent="0.55000000000000004">
      <c r="A45" s="34"/>
      <c r="G45"/>
    </row>
    <row r="46" spans="1:151" x14ac:dyDescent="0.55000000000000004">
      <c r="A46" s="34"/>
      <c r="G46"/>
    </row>
    <row r="47" spans="1:151" x14ac:dyDescent="0.55000000000000004">
      <c r="A47" s="34"/>
      <c r="G47"/>
    </row>
    <row r="48" spans="1:151" x14ac:dyDescent="0.55000000000000004">
      <c r="A48" s="34"/>
      <c r="G48"/>
    </row>
    <row r="49" spans="1:151" x14ac:dyDescent="0.55000000000000004">
      <c r="A49" s="34"/>
      <c r="G49"/>
    </row>
    <row r="50" spans="1:151" x14ac:dyDescent="0.55000000000000004">
      <c r="A50" s="33"/>
      <c r="B50" s="33"/>
      <c r="C50" s="33"/>
      <c r="F50" s="5"/>
      <c r="G50"/>
    </row>
    <row r="51" spans="1:151" x14ac:dyDescent="0.55000000000000004">
      <c r="A51" s="37"/>
      <c r="D51" s="14"/>
      <c r="E51" s="9"/>
      <c r="F51" s="9"/>
      <c r="G51"/>
    </row>
    <row r="52" spans="1:151" x14ac:dyDescent="0.55000000000000004">
      <c r="A52" s="34"/>
      <c r="F52" s="8"/>
      <c r="G52"/>
    </row>
    <row r="53" spans="1:151" x14ac:dyDescent="0.55000000000000004">
      <c r="A53" s="28"/>
      <c r="B53" s="3"/>
      <c r="G53"/>
      <c r="EU53" s="4"/>
    </row>
    <row r="54" spans="1:151" x14ac:dyDescent="0.55000000000000004">
      <c r="A54" s="33"/>
      <c r="B54" s="33"/>
      <c r="C54" s="33"/>
      <c r="G54" s="4"/>
      <c r="EU54" s="4"/>
    </row>
    <row r="55" spans="1:151" s="4" customFormat="1" x14ac:dyDescent="0.55000000000000004">
      <c r="A55" s="38"/>
      <c r="B55" s="32"/>
      <c r="C55" s="32"/>
      <c r="D55" s="40"/>
      <c r="E55" s="7"/>
      <c r="H55" s="42"/>
      <c r="EU55"/>
    </row>
    <row r="56" spans="1:151" s="4" customFormat="1" x14ac:dyDescent="0.55000000000000004">
      <c r="A56" s="33"/>
      <c r="B56" s="33"/>
      <c r="C56" s="33"/>
      <c r="D56" s="40"/>
      <c r="E56" s="7"/>
      <c r="G56"/>
      <c r="H56" s="42"/>
      <c r="EU56"/>
    </row>
    <row r="57" spans="1:151" x14ac:dyDescent="0.55000000000000004">
      <c r="A57" s="33"/>
      <c r="G57"/>
    </row>
    <row r="58" spans="1:151" x14ac:dyDescent="0.55000000000000004">
      <c r="A58" s="34"/>
      <c r="G58"/>
      <c r="DR58" s="42"/>
      <c r="DS58" s="42"/>
      <c r="DT58" s="42"/>
      <c r="DU58" s="42"/>
      <c r="EJ58" s="42"/>
      <c r="EK58" s="42"/>
      <c r="EL58" s="42"/>
      <c r="EM58" s="42"/>
      <c r="EN58" s="42"/>
      <c r="EO58" s="15"/>
      <c r="EP58" s="15"/>
      <c r="EQ58" s="15"/>
      <c r="ER58" s="15"/>
    </row>
    <row r="59" spans="1:151" x14ac:dyDescent="0.55000000000000004">
      <c r="A59" s="34"/>
      <c r="G59"/>
      <c r="DR59" s="42"/>
      <c r="DS59" s="42"/>
      <c r="DT59" s="42"/>
      <c r="DU59" s="42"/>
      <c r="EJ59" s="42"/>
      <c r="EK59" s="42"/>
      <c r="EL59" s="42"/>
      <c r="EM59" s="42"/>
      <c r="EN59" s="42"/>
      <c r="EO59" s="15"/>
      <c r="EP59" s="15"/>
      <c r="EQ59" s="15"/>
      <c r="ER59" s="15"/>
    </row>
    <row r="60" spans="1:151" x14ac:dyDescent="0.55000000000000004">
      <c r="A60" s="34"/>
      <c r="DR60" s="42"/>
      <c r="DS60" s="42"/>
      <c r="DT60" s="42"/>
      <c r="DU60" s="42"/>
      <c r="EJ60" s="42"/>
      <c r="EK60" s="42"/>
      <c r="EL60" s="42"/>
      <c r="EM60" s="42"/>
      <c r="EN60" s="42"/>
      <c r="EO60" s="15"/>
      <c r="EP60" s="15"/>
      <c r="EQ60" s="15"/>
      <c r="ER60" s="15"/>
    </row>
    <row r="61" spans="1:151" x14ac:dyDescent="0.55000000000000004">
      <c r="A61" s="34"/>
      <c r="DR61" s="42"/>
      <c r="DS61" s="42"/>
      <c r="DT61" s="42"/>
      <c r="DU61" s="42"/>
      <c r="EJ61" s="42"/>
      <c r="EK61" s="42"/>
      <c r="EL61" s="42"/>
      <c r="EM61" s="42"/>
      <c r="EN61" s="42"/>
      <c r="EO61" s="15"/>
      <c r="EP61" s="15"/>
      <c r="EQ61" s="15"/>
      <c r="ER61" s="15"/>
    </row>
    <row r="62" spans="1:151" x14ac:dyDescent="0.55000000000000004">
      <c r="A62" s="34"/>
      <c r="DR62" s="42"/>
      <c r="DS62" s="42"/>
      <c r="EH62" s="42"/>
      <c r="EI62" s="42"/>
      <c r="EJ62" s="42"/>
      <c r="EK62" s="42"/>
      <c r="EL62" s="42"/>
      <c r="EM62" s="15"/>
      <c r="EN62" s="15"/>
      <c r="EO62" s="15"/>
      <c r="EP62" s="15"/>
    </row>
    <row r="63" spans="1:151" x14ac:dyDescent="0.55000000000000004">
      <c r="A63" s="34"/>
      <c r="DR63" s="42"/>
      <c r="DS63" s="42"/>
      <c r="EH63" s="42"/>
      <c r="EI63" s="42"/>
      <c r="EJ63" s="42"/>
      <c r="EK63" s="42"/>
      <c r="EL63" s="42"/>
      <c r="EM63" s="15"/>
      <c r="EN63" s="15"/>
      <c r="EO63" s="15"/>
      <c r="EP63" s="15"/>
    </row>
    <row r="64" spans="1:151" x14ac:dyDescent="0.55000000000000004">
      <c r="A64" s="34"/>
      <c r="DR64" s="42"/>
      <c r="DS64" s="42"/>
      <c r="EH64" s="42"/>
      <c r="EI64" s="42"/>
      <c r="EJ64" s="42"/>
      <c r="EK64" s="42"/>
      <c r="EL64" s="42"/>
      <c r="EM64" s="15"/>
      <c r="EN64" s="15"/>
      <c r="EO64" s="15"/>
      <c r="EP64" s="15"/>
    </row>
    <row r="65" spans="1:33" x14ac:dyDescent="0.55000000000000004">
      <c r="A65" s="34"/>
    </row>
    <row r="66" spans="1:33" ht="43.5" customHeight="1" x14ac:dyDescent="0.55000000000000004">
      <c r="A66" s="34"/>
    </row>
    <row r="67" spans="1:33" x14ac:dyDescent="0.55000000000000004">
      <c r="A67" s="34"/>
    </row>
    <row r="68" spans="1:33" x14ac:dyDescent="0.55000000000000004">
      <c r="A68" s="34"/>
    </row>
    <row r="69" spans="1:33" x14ac:dyDescent="0.55000000000000004">
      <c r="A69" s="34"/>
    </row>
    <row r="70" spans="1:33" x14ac:dyDescent="0.55000000000000004">
      <c r="A70" s="34"/>
      <c r="AG70" s="14"/>
    </row>
    <row r="71" spans="1:33" x14ac:dyDescent="0.55000000000000004">
      <c r="A71" s="34"/>
      <c r="AG71" s="14"/>
    </row>
    <row r="72" spans="1:33" x14ac:dyDescent="0.55000000000000004">
      <c r="A72" s="34"/>
    </row>
    <row r="73" spans="1:33" x14ac:dyDescent="0.55000000000000004">
      <c r="A73" s="34"/>
    </row>
    <row r="74" spans="1:33" x14ac:dyDescent="0.55000000000000004">
      <c r="A74" s="34"/>
    </row>
    <row r="75" spans="1:33" x14ac:dyDescent="0.55000000000000004">
      <c r="A75" s="34"/>
    </row>
    <row r="76" spans="1:33" x14ac:dyDescent="0.55000000000000004">
      <c r="A76" s="34"/>
    </row>
    <row r="77" spans="1:33" x14ac:dyDescent="0.55000000000000004">
      <c r="A77" s="34"/>
    </row>
    <row r="78" spans="1:33" x14ac:dyDescent="0.55000000000000004">
      <c r="A78" s="34"/>
    </row>
    <row r="79" spans="1:33" x14ac:dyDescent="0.55000000000000004">
      <c r="A79" s="34"/>
    </row>
    <row r="80" spans="1:33" x14ac:dyDescent="0.55000000000000004">
      <c r="A80" s="34"/>
    </row>
    <row r="81" spans="1:1" x14ac:dyDescent="0.55000000000000004">
      <c r="A81" s="34"/>
    </row>
    <row r="82" spans="1:1" x14ac:dyDescent="0.55000000000000004">
      <c r="A82" s="34"/>
    </row>
    <row r="83" spans="1:1" x14ac:dyDescent="0.55000000000000004">
      <c r="A83" s="34"/>
    </row>
    <row r="84" spans="1:1" x14ac:dyDescent="0.55000000000000004">
      <c r="A84" s="34"/>
    </row>
    <row r="85" spans="1:1" x14ac:dyDescent="0.55000000000000004">
      <c r="A85" s="34"/>
    </row>
    <row r="86" spans="1:1" x14ac:dyDescent="0.55000000000000004">
      <c r="A86" s="34"/>
    </row>
    <row r="87" spans="1:1" x14ac:dyDescent="0.55000000000000004">
      <c r="A87" s="34"/>
    </row>
    <row r="88" spans="1:1" x14ac:dyDescent="0.55000000000000004">
      <c r="A88" s="34"/>
    </row>
    <row r="89" spans="1:1" x14ac:dyDescent="0.55000000000000004">
      <c r="A89" s="34"/>
    </row>
    <row r="90" spans="1:1" x14ac:dyDescent="0.55000000000000004">
      <c r="A90" s="34"/>
    </row>
    <row r="91" spans="1:1" x14ac:dyDescent="0.55000000000000004">
      <c r="A91" s="34"/>
    </row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spans="248:276" hidden="1" x14ac:dyDescent="0.55000000000000004">
      <c r="JP353" s="15"/>
    </row>
    <row r="354" spans="248:276" hidden="1" x14ac:dyDescent="0.55000000000000004">
      <c r="IN354" s="42"/>
      <c r="IO354" s="42"/>
      <c r="IP354" s="42"/>
      <c r="IQ354" s="42"/>
      <c r="IR354" s="42"/>
      <c r="IS354" s="42"/>
      <c r="JC354" s="12"/>
      <c r="JD354" s="12"/>
      <c r="JE354" s="12"/>
      <c r="JF354" s="12"/>
      <c r="JG354" s="12"/>
      <c r="JH354" s="53"/>
      <c r="JI354" s="53"/>
      <c r="JJ354" s="42"/>
      <c r="JK354" s="42"/>
      <c r="JL354" s="42"/>
      <c r="JM354" s="15"/>
      <c r="JN354" s="15"/>
      <c r="JO354" s="15"/>
      <c r="JP354" s="15"/>
    </row>
    <row r="355" spans="248:276" hidden="1" x14ac:dyDescent="0.55000000000000004">
      <c r="JP355" s="15"/>
    </row>
    <row r="356" spans="248:276" ht="29.1" hidden="1" thickBot="1" x14ac:dyDescent="0.6">
      <c r="IN356" s="42"/>
      <c r="IO356" s="42"/>
      <c r="IP356" s="42"/>
      <c r="IQ356" s="42"/>
      <c r="IR356" s="42"/>
      <c r="IS356" s="42"/>
      <c r="IT356" s="42"/>
      <c r="IU356" s="42"/>
      <c r="JD356" s="79" t="s">
        <v>3</v>
      </c>
      <c r="JE356" s="79" t="s">
        <v>1</v>
      </c>
      <c r="JF356" s="79" t="s">
        <v>2</v>
      </c>
      <c r="JJ356" s="42"/>
      <c r="JK356" s="42"/>
      <c r="JL356" s="42"/>
      <c r="JM356" s="42"/>
      <c r="JN356" s="42"/>
      <c r="JO356" s="15"/>
      <c r="JP356" s="15"/>
    </row>
    <row r="357" spans="248:276" ht="29.1" hidden="1" thickBot="1" x14ac:dyDescent="0.6">
      <c r="IN357" s="13" t="s">
        <v>39</v>
      </c>
      <c r="IO357" s="46" t="s">
        <v>40</v>
      </c>
      <c r="IP357" s="46" t="s">
        <v>41</v>
      </c>
      <c r="IQ357" s="47" t="s">
        <v>42</v>
      </c>
      <c r="IR357" s="47" t="s">
        <v>8</v>
      </c>
      <c r="IS357" s="47" t="s">
        <v>36</v>
      </c>
      <c r="IT357" s="6" t="s">
        <v>70</v>
      </c>
      <c r="IU357" s="6" t="s">
        <v>98</v>
      </c>
      <c r="IV357" s="41" t="s">
        <v>99</v>
      </c>
      <c r="IW357" s="41"/>
      <c r="IY357" s="93" t="s">
        <v>54</v>
      </c>
      <c r="IZ357" s="94"/>
      <c r="JA357" s="94"/>
      <c r="JB357" s="95"/>
      <c r="JD357" s="37" t="s">
        <v>25</v>
      </c>
      <c r="JE357" s="3">
        <v>1.4829000000000001</v>
      </c>
      <c r="JF357" s="34" t="s">
        <v>13</v>
      </c>
      <c r="JG357" s="30"/>
      <c r="JH357" s="30"/>
      <c r="JJ357" s="96" t="s">
        <v>72</v>
      </c>
      <c r="JK357" s="97"/>
      <c r="JL357" s="96" t="s">
        <v>73</v>
      </c>
      <c r="JM357" s="97"/>
      <c r="JN357" s="96" t="s">
        <v>74</v>
      </c>
      <c r="JO357" s="97"/>
      <c r="JP357" s="15"/>
    </row>
    <row r="358" spans="248:276" ht="29.1" hidden="1" thickBot="1" x14ac:dyDescent="0.6">
      <c r="IN358" s="13">
        <v>2</v>
      </c>
      <c r="IO358" s="13">
        <v>1</v>
      </c>
      <c r="IP358" s="13">
        <v>1</v>
      </c>
      <c r="IQ358" s="48">
        <v>4</v>
      </c>
      <c r="IR358" s="47">
        <v>25</v>
      </c>
      <c r="IS358" s="13">
        <v>1.8</v>
      </c>
      <c r="IT358" s="6">
        <v>10</v>
      </c>
      <c r="IU358" s="6" t="s">
        <v>96</v>
      </c>
      <c r="IV358" s="41" t="s">
        <v>101</v>
      </c>
      <c r="IW358" s="41"/>
      <c r="IY358" s="22" t="s">
        <v>50</v>
      </c>
      <c r="IZ358" s="23" t="s">
        <v>51</v>
      </c>
      <c r="JA358" s="23" t="s">
        <v>52</v>
      </c>
      <c r="JB358" s="24" t="s">
        <v>53</v>
      </c>
      <c r="JD358" s="37" t="s">
        <v>32</v>
      </c>
      <c r="JE358" s="3">
        <v>0.99</v>
      </c>
      <c r="JF358" s="34"/>
      <c r="JG358" s="30"/>
      <c r="JH358" s="30"/>
      <c r="JJ358" s="55" t="s">
        <v>75</v>
      </c>
      <c r="JK358" s="53">
        <f>$JE$361+($JH$363*(B14-25))</f>
        <v>47.5</v>
      </c>
      <c r="JL358" s="55" t="s">
        <v>76</v>
      </c>
      <c r="JM358" s="53">
        <f>$JE$361+($JH$363*(JK361-25))</f>
        <v>64.551664375000001</v>
      </c>
      <c r="JN358" s="55" t="s">
        <v>77</v>
      </c>
      <c r="JO358" s="87">
        <f>$JE$361+($JH$363*(JM361-25))</f>
        <v>67.187242374999997</v>
      </c>
      <c r="JP358" s="15"/>
    </row>
    <row r="359" spans="248:276" ht="43.5" hidden="1" thickBot="1" x14ac:dyDescent="0.6">
      <c r="IN359" s="13">
        <v>4</v>
      </c>
      <c r="IO359" s="13">
        <v>2</v>
      </c>
      <c r="IP359" s="13">
        <v>2</v>
      </c>
      <c r="IQ359" s="48">
        <v>8</v>
      </c>
      <c r="IR359" s="47">
        <v>50</v>
      </c>
      <c r="IS359" s="13">
        <v>1.1000000000000001</v>
      </c>
      <c r="IT359" s="6">
        <v>15</v>
      </c>
      <c r="IU359" s="6" t="s">
        <v>97</v>
      </c>
      <c r="IV359" s="41" t="s">
        <v>102</v>
      </c>
      <c r="IW359" s="41"/>
      <c r="IY359" s="19">
        <f>B17</f>
        <v>1</v>
      </c>
      <c r="IZ359" s="17" t="str">
        <f>IF(B16&gt;2,JE365,"")</f>
        <v/>
      </c>
      <c r="JA359" s="17" t="str">
        <f>IF(B16&gt;2,JE365,"")</f>
        <v/>
      </c>
      <c r="JB359" s="20">
        <f>B17</f>
        <v>1</v>
      </c>
      <c r="JD359" s="37" t="s">
        <v>26</v>
      </c>
      <c r="JE359" s="3">
        <v>10</v>
      </c>
      <c r="JF359" s="34" t="s">
        <v>4</v>
      </c>
      <c r="JG359" s="30"/>
      <c r="JH359" s="30"/>
      <c r="JJ359" s="56" t="s">
        <v>78</v>
      </c>
      <c r="JK359" s="11">
        <f>ROUND(3*$B$4*$B$4*JK358/(1000),3)</f>
        <v>0.89100000000000001</v>
      </c>
      <c r="JL359" s="56" t="s">
        <v>79</v>
      </c>
      <c r="JM359" s="11">
        <f>ROUND(3*$B$4*$B$4*JM358/(1000),3)</f>
        <v>1.21</v>
      </c>
      <c r="JN359" s="56" t="s">
        <v>80</v>
      </c>
      <c r="JO359" s="11">
        <f>ROUND(3*$B$4*$B$4*JO358/(1000),3)</f>
        <v>1.26</v>
      </c>
      <c r="JP359" s="15"/>
    </row>
    <row r="360" spans="248:276" ht="43.5" hidden="1" thickBot="1" x14ac:dyDescent="0.6">
      <c r="IN360" s="13"/>
      <c r="IO360" s="13">
        <v>3</v>
      </c>
      <c r="IP360" s="13"/>
      <c r="IQ360" s="48">
        <v>16</v>
      </c>
      <c r="IR360" s="13">
        <v>125</v>
      </c>
      <c r="IS360" s="13">
        <v>0.65</v>
      </c>
      <c r="IT360" s="6">
        <v>20</v>
      </c>
      <c r="IU360" s="6"/>
      <c r="IV360" s="41"/>
      <c r="IW360" s="41"/>
      <c r="IX360" s="41"/>
      <c r="IY360" s="98" t="s">
        <v>49</v>
      </c>
      <c r="IZ360" s="99"/>
      <c r="JA360" s="100"/>
      <c r="JB360" s="59" t="s">
        <v>59</v>
      </c>
      <c r="JD360" s="37" t="s">
        <v>112</v>
      </c>
      <c r="JE360" s="72">
        <v>15</v>
      </c>
      <c r="JF360" s="34" t="s">
        <v>4</v>
      </c>
      <c r="JG360" t="s">
        <v>111</v>
      </c>
      <c r="JJ360" s="56" t="s">
        <v>81</v>
      </c>
      <c r="JK360" s="11">
        <f>JK359+$JH$364</f>
        <v>2.0638664215686275</v>
      </c>
      <c r="JL360" s="56" t="s">
        <v>82</v>
      </c>
      <c r="JM360" s="11">
        <f>JM359+$JH$364</f>
        <v>2.3828664215686275</v>
      </c>
      <c r="JN360" s="57" t="s">
        <v>83</v>
      </c>
      <c r="JO360" s="58">
        <f>JO359+$JH$364</f>
        <v>2.4328664215686278</v>
      </c>
      <c r="JP360" s="15"/>
    </row>
    <row r="361" spans="248:276" ht="43.5" hidden="1" thickBot="1" x14ac:dyDescent="0.6">
      <c r="IN361" s="13"/>
      <c r="IO361" s="13"/>
      <c r="IP361" s="13"/>
      <c r="IQ361" s="48">
        <v>32</v>
      </c>
      <c r="IR361" s="47">
        <v>200</v>
      </c>
      <c r="IS361" s="13">
        <v>0.5</v>
      </c>
      <c r="IT361" s="6">
        <v>25</v>
      </c>
      <c r="IU361" s="6"/>
      <c r="IV361" s="41"/>
      <c r="IW361" s="41"/>
      <c r="IX361" s="41"/>
      <c r="IY361" s="25" t="s">
        <v>46</v>
      </c>
      <c r="IZ361" s="26" t="s">
        <v>45</v>
      </c>
      <c r="JA361" s="26" t="s">
        <v>61</v>
      </c>
      <c r="JB361" s="60" t="s">
        <v>60</v>
      </c>
      <c r="JD361" s="37" t="s">
        <v>27</v>
      </c>
      <c r="JE361" s="3">
        <v>47.5</v>
      </c>
      <c r="JF361" s="34" t="s">
        <v>5</v>
      </c>
      <c r="JJ361" s="56" t="s">
        <v>84</v>
      </c>
      <c r="JK361" s="11">
        <f>$B$14+(JK360*$JE$366)</f>
        <v>119.73146875</v>
      </c>
      <c r="JL361" s="56" t="s">
        <v>85</v>
      </c>
      <c r="JM361" s="11">
        <f>$B$14+(JM360*$JE$366)</f>
        <v>134.37356875</v>
      </c>
      <c r="JN361" s="57" t="s">
        <v>86</v>
      </c>
      <c r="JO361" s="58">
        <f>$B$14+(JO360*$JE$366)</f>
        <v>136.66856875000002</v>
      </c>
      <c r="JP361" s="15"/>
    </row>
    <row r="362" spans="248:276" ht="43.2" hidden="1" x14ac:dyDescent="0.55000000000000004">
      <c r="IN362" s="13"/>
      <c r="IO362" s="13"/>
      <c r="IP362" s="13"/>
      <c r="IQ362" s="48">
        <v>64</v>
      </c>
      <c r="IR362" s="13"/>
      <c r="IS362" s="13"/>
      <c r="IT362" s="6">
        <v>30</v>
      </c>
      <c r="IU362" s="6"/>
      <c r="IV362" s="41"/>
      <c r="IW362" s="41"/>
      <c r="IX362" s="41"/>
      <c r="IY362" s="19" t="str">
        <f>_xlfn.TEXTJOIN(",",TRUE,IY359:JB359)</f>
        <v>1,1</v>
      </c>
      <c r="IZ362" s="17">
        <f>B18</f>
        <v>16</v>
      </c>
      <c r="JA362" s="17"/>
      <c r="JB362" s="20">
        <f>VLOOKUP(IZ362&amp;IY362,IX365:JA389,4,FALSE)</f>
        <v>45.9</v>
      </c>
      <c r="JD362" s="50" t="s">
        <v>28</v>
      </c>
      <c r="JE362" s="10">
        <v>70</v>
      </c>
      <c r="JF362" s="51" t="s">
        <v>5</v>
      </c>
      <c r="JG362" s="30"/>
      <c r="JH362" s="30"/>
      <c r="JJ362" s="42"/>
      <c r="JK362" s="42"/>
      <c r="JL362" s="42"/>
      <c r="JM362" s="42"/>
      <c r="JN362" s="42"/>
      <c r="JO362" s="15"/>
      <c r="JP362" s="15"/>
    </row>
    <row r="363" spans="248:276" ht="43.2" hidden="1" x14ac:dyDescent="0.55000000000000004">
      <c r="IN363" s="31"/>
      <c r="IO363" s="5"/>
      <c r="IP363" s="42"/>
      <c r="IQ363" s="42"/>
      <c r="IR363" s="42"/>
      <c r="IS363" s="42"/>
      <c r="IT363" s="6">
        <v>35</v>
      </c>
      <c r="IU363" s="42"/>
      <c r="IY363" s="90" t="s">
        <v>44</v>
      </c>
      <c r="IZ363" s="91"/>
      <c r="JA363" s="91"/>
      <c r="JB363" s="92"/>
      <c r="JD363" s="37" t="s">
        <v>6</v>
      </c>
      <c r="JE363" s="3">
        <v>25</v>
      </c>
      <c r="JF363" s="34" t="s">
        <v>7</v>
      </c>
      <c r="JG363" s="30" t="s">
        <v>71</v>
      </c>
      <c r="JH363" s="70">
        <f>(JE362-JE361)/(150-25)</f>
        <v>0.18</v>
      </c>
      <c r="JJ363" s="42"/>
      <c r="JK363" s="42"/>
      <c r="JL363" s="42"/>
      <c r="JM363" s="42"/>
      <c r="JN363" s="42"/>
      <c r="JO363" s="15"/>
      <c r="JP363" s="15"/>
    </row>
    <row r="364" spans="248:276" ht="129.6" hidden="1" x14ac:dyDescent="0.55000000000000004">
      <c r="IN364" s="31"/>
      <c r="IO364" s="5"/>
      <c r="IP364" s="42"/>
      <c r="IQ364" s="42"/>
      <c r="IR364" s="42"/>
      <c r="IS364" s="42"/>
      <c r="IT364" s="6">
        <v>40</v>
      </c>
      <c r="IU364" s="42"/>
      <c r="IX364" s="4" t="s">
        <v>62</v>
      </c>
      <c r="IY364" s="137" t="s">
        <v>58</v>
      </c>
      <c r="IZ364" s="138" t="s">
        <v>46</v>
      </c>
      <c r="JA364" s="139" t="s">
        <v>57</v>
      </c>
      <c r="JB364" s="27"/>
      <c r="JD364" s="37" t="s">
        <v>29</v>
      </c>
      <c r="JE364" s="3">
        <v>1.25</v>
      </c>
      <c r="JF364" s="34" t="s">
        <v>30</v>
      </c>
      <c r="JG364" s="49" t="s">
        <v>104</v>
      </c>
      <c r="JH364" s="61">
        <f>JE375+JE379+JE380+JE382+JE383+JE384+JE392</f>
        <v>1.1728664215686275</v>
      </c>
      <c r="JJ364" s="42"/>
      <c r="JK364" s="42"/>
      <c r="JL364" s="42"/>
      <c r="JM364" s="42"/>
      <c r="JN364" s="42"/>
      <c r="JO364" s="15"/>
      <c r="JP364" s="15"/>
    </row>
    <row r="365" spans="248:276" hidden="1" x14ac:dyDescent="0.55000000000000004">
      <c r="IN365" s="31"/>
      <c r="IO365" s="5"/>
      <c r="IP365" s="42"/>
      <c r="IQ365" s="42"/>
      <c r="IR365" s="42"/>
      <c r="IS365" s="42"/>
      <c r="IT365" s="6">
        <v>45</v>
      </c>
      <c r="IU365" s="42"/>
      <c r="IX365" s="4" t="str">
        <f t="shared" ref="IX365:IX389" si="0">IY365&amp;IZ365</f>
        <v>41,1</v>
      </c>
      <c r="IY365" s="19">
        <v>4</v>
      </c>
      <c r="IZ365" s="17" t="s">
        <v>47</v>
      </c>
      <c r="JA365" s="134">
        <v>63.8</v>
      </c>
      <c r="JB365" s="18"/>
      <c r="JD365" s="35" t="str">
        <f>IF(B16&gt;2,"Internal Layers Cu Thickness","")</f>
        <v/>
      </c>
      <c r="JE365" s="9">
        <v>1</v>
      </c>
      <c r="JF365" s="52" t="str">
        <f>IF(B16&gt;2,"oz","")</f>
        <v/>
      </c>
      <c r="JG365" s="30"/>
      <c r="JH365" s="30"/>
      <c r="JJ365" s="42"/>
      <c r="JK365" s="42"/>
      <c r="JL365" s="42"/>
      <c r="JM365" s="42"/>
      <c r="JN365" s="42"/>
      <c r="JO365" s="15"/>
      <c r="JP365" s="15"/>
    </row>
    <row r="366" spans="248:276" hidden="1" x14ac:dyDescent="0.55000000000000004">
      <c r="IN366" s="31"/>
      <c r="IO366" s="5"/>
      <c r="IP366" s="42"/>
      <c r="IQ366" s="42"/>
      <c r="IR366" s="42"/>
      <c r="IS366" s="42"/>
      <c r="IT366" s="6">
        <v>50</v>
      </c>
      <c r="IU366" s="42"/>
      <c r="IX366" s="4" t="str">
        <f t="shared" si="0"/>
        <v>42,2</v>
      </c>
      <c r="IY366" s="19">
        <v>4</v>
      </c>
      <c r="IZ366" s="17" t="s">
        <v>48</v>
      </c>
      <c r="JA366" s="135">
        <v>58.4</v>
      </c>
      <c r="JB366" s="20"/>
      <c r="JD366" s="38" t="s">
        <v>20</v>
      </c>
      <c r="JE366" s="3">
        <f>JB362</f>
        <v>45.9</v>
      </c>
      <c r="JF366" s="34" t="s">
        <v>10</v>
      </c>
      <c r="JG366" s="30"/>
      <c r="JH366" s="30"/>
      <c r="JJ366" s="42"/>
      <c r="JK366" s="42"/>
      <c r="JL366" s="42"/>
      <c r="JM366" s="42"/>
      <c r="JN366" s="42"/>
      <c r="JO366" s="15"/>
      <c r="JP366" s="15"/>
    </row>
    <row r="367" spans="248:276" ht="28.8" hidden="1" x14ac:dyDescent="0.55000000000000004">
      <c r="IN367" s="31"/>
      <c r="IO367" s="5"/>
      <c r="IP367" s="42"/>
      <c r="IQ367" s="42"/>
      <c r="IR367" s="42"/>
      <c r="IS367" s="42"/>
      <c r="IT367" s="6">
        <v>55</v>
      </c>
      <c r="IU367" s="42"/>
      <c r="IX367" s="4" t="str">
        <f t="shared" si="0"/>
        <v>41,1,1,1</v>
      </c>
      <c r="IY367" s="19">
        <v>4</v>
      </c>
      <c r="IZ367" s="17" t="s">
        <v>55</v>
      </c>
      <c r="JA367" s="134">
        <v>54.2</v>
      </c>
      <c r="JB367" s="20"/>
      <c r="JD367" s="79" t="s">
        <v>3</v>
      </c>
      <c r="JE367" s="79" t="s">
        <v>1</v>
      </c>
      <c r="JF367" s="79" t="s">
        <v>2</v>
      </c>
      <c r="JG367" s="30"/>
      <c r="JH367" s="30"/>
      <c r="JJ367" s="42"/>
      <c r="JK367" s="42"/>
      <c r="JL367" s="42"/>
      <c r="JM367" s="42"/>
      <c r="JN367" s="42"/>
      <c r="JO367" s="15"/>
      <c r="JP367" s="15"/>
    </row>
    <row r="368" spans="248:276" ht="43.2" hidden="1" x14ac:dyDescent="0.55000000000000004">
      <c r="IN368" s="31"/>
      <c r="IO368" s="5"/>
      <c r="IP368" s="42"/>
      <c r="IQ368" s="42"/>
      <c r="IR368" s="42"/>
      <c r="IS368" s="42"/>
      <c r="IT368" s="6">
        <v>60</v>
      </c>
      <c r="IU368" s="42"/>
      <c r="IX368" s="4" t="str">
        <f t="shared" si="0"/>
        <v>42,1,1,2</v>
      </c>
      <c r="IY368" s="19">
        <v>4</v>
      </c>
      <c r="IZ368" s="17" t="s">
        <v>56</v>
      </c>
      <c r="JA368" s="134">
        <v>52.4</v>
      </c>
      <c r="JB368" s="20"/>
      <c r="JD368" s="38" t="s">
        <v>22</v>
      </c>
      <c r="JE368" s="9">
        <f>ROUND((B3/SQRT(3))*JE358,2)</f>
        <v>13.72</v>
      </c>
      <c r="JF368" s="52" t="s">
        <v>0</v>
      </c>
      <c r="JG368" s="30"/>
      <c r="JH368" s="30"/>
      <c r="JJ368" s="42"/>
      <c r="JK368" s="42"/>
      <c r="JL368" s="42"/>
      <c r="JM368" s="42"/>
      <c r="JN368" s="42"/>
      <c r="JO368" s="15"/>
      <c r="JP368" s="15"/>
    </row>
    <row r="369" spans="248:276" ht="57.6" hidden="1" x14ac:dyDescent="0.55000000000000004">
      <c r="IN369" s="31"/>
      <c r="IO369" s="5"/>
      <c r="IP369" s="42"/>
      <c r="IQ369" s="42"/>
      <c r="IR369" s="42"/>
      <c r="IS369" s="42"/>
      <c r="IT369" s="6">
        <v>65</v>
      </c>
      <c r="IU369" s="42"/>
      <c r="IX369" s="4" t="str">
        <f t="shared" si="0"/>
        <v>81,1</v>
      </c>
      <c r="IY369" s="19">
        <v>8</v>
      </c>
      <c r="IZ369" s="17" t="s">
        <v>47</v>
      </c>
      <c r="JA369" s="134">
        <v>52.7</v>
      </c>
      <c r="JB369" s="20"/>
      <c r="JD369" s="38" t="s">
        <v>21</v>
      </c>
      <c r="JE369" s="9">
        <f>ROUND(JE368/1.41,2)</f>
        <v>9.73</v>
      </c>
      <c r="JF369" s="52" t="s">
        <v>0</v>
      </c>
      <c r="JG369" s="30"/>
      <c r="JH369" s="30"/>
      <c r="JI369" s="1"/>
      <c r="JJ369" s="1"/>
      <c r="JK369" s="1"/>
      <c r="JL369" s="1"/>
      <c r="JM369" s="1"/>
      <c r="JN369" s="1"/>
      <c r="JO369" s="16"/>
      <c r="JP369" s="15"/>
    </row>
    <row r="370" spans="248:276" hidden="1" x14ac:dyDescent="0.55000000000000004">
      <c r="IN370" s="31"/>
      <c r="IO370" s="5"/>
      <c r="IP370" s="42"/>
      <c r="IQ370" s="42"/>
      <c r="IR370" s="42"/>
      <c r="IS370" s="42"/>
      <c r="IT370" s="6">
        <v>70</v>
      </c>
      <c r="IU370" s="42"/>
      <c r="IX370" s="4" t="str">
        <f t="shared" si="0"/>
        <v>82,2</v>
      </c>
      <c r="IY370" s="19">
        <v>8</v>
      </c>
      <c r="IZ370" s="17" t="s">
        <v>48</v>
      </c>
      <c r="JA370" s="135">
        <v>46.2</v>
      </c>
      <c r="JB370" s="20"/>
      <c r="JD370" s="38"/>
      <c r="JE370" s="34"/>
      <c r="JF370" s="34"/>
      <c r="JG370" s="30"/>
      <c r="JH370" s="30"/>
      <c r="JJ370" s="42"/>
      <c r="JK370" s="42"/>
      <c r="JL370" s="42"/>
      <c r="JM370" s="42"/>
      <c r="JN370" s="42"/>
      <c r="JO370" s="15"/>
      <c r="JP370" s="4"/>
    </row>
    <row r="371" spans="248:276" ht="43.2" hidden="1" x14ac:dyDescent="0.55000000000000004">
      <c r="IN371" s="31"/>
      <c r="IO371" s="5"/>
      <c r="IP371" s="42"/>
      <c r="IQ371" s="42"/>
      <c r="IR371" s="42"/>
      <c r="IS371" s="42"/>
      <c r="IT371" s="6">
        <v>75</v>
      </c>
      <c r="IU371" s="42"/>
      <c r="IX371" s="4" t="str">
        <f t="shared" si="0"/>
        <v>81,1,1,1</v>
      </c>
      <c r="IY371" s="19">
        <v>8</v>
      </c>
      <c r="IZ371" s="17" t="s">
        <v>55</v>
      </c>
      <c r="JA371" s="134">
        <v>42.5</v>
      </c>
      <c r="JB371" s="20"/>
      <c r="JD371" s="38" t="s">
        <v>23</v>
      </c>
      <c r="JE371" s="3">
        <f>B4/0.816</f>
        <v>3.0637254901960786</v>
      </c>
      <c r="JF371" s="34" t="s">
        <v>13</v>
      </c>
      <c r="JG371" s="30"/>
      <c r="JH371" s="30"/>
      <c r="JJ371" s="42"/>
      <c r="JK371" s="42"/>
      <c r="JL371" s="42"/>
      <c r="JM371" s="42"/>
      <c r="JN371" s="42"/>
      <c r="JO371" s="15"/>
      <c r="JP371" s="4"/>
    </row>
    <row r="372" spans="248:276" ht="28.8" hidden="1" x14ac:dyDescent="0.55000000000000004">
      <c r="IN372" s="31"/>
      <c r="IO372" s="5"/>
      <c r="IP372" s="42"/>
      <c r="IQ372" s="42"/>
      <c r="IR372" s="42"/>
      <c r="IS372" s="42"/>
      <c r="IT372" s="42"/>
      <c r="IU372" s="42"/>
      <c r="IX372" s="4" t="str">
        <f t="shared" si="0"/>
        <v>82,1,1,2</v>
      </c>
      <c r="IY372" s="19">
        <v>8</v>
      </c>
      <c r="IZ372" s="17" t="s">
        <v>56</v>
      </c>
      <c r="JA372" s="134">
        <v>40.6</v>
      </c>
      <c r="JB372" s="20"/>
      <c r="JD372" s="74" t="s">
        <v>14</v>
      </c>
      <c r="JE372" s="10">
        <f>B3/B12</f>
        <v>0.12</v>
      </c>
      <c r="JF372" s="51" t="s">
        <v>15</v>
      </c>
      <c r="JG372" s="30"/>
      <c r="JH372" s="30"/>
      <c r="JJ372" s="42"/>
      <c r="JK372" s="42"/>
      <c r="JL372" s="42"/>
      <c r="JM372" s="42"/>
      <c r="JN372" s="42"/>
      <c r="JO372" s="15"/>
      <c r="JP372" s="15"/>
    </row>
    <row r="373" spans="248:276" ht="115.2" hidden="1" x14ac:dyDescent="0.55000000000000004">
      <c r="IN373" s="31"/>
      <c r="IO373" s="5"/>
      <c r="IP373" s="42"/>
      <c r="IQ373" s="42"/>
      <c r="IR373" s="42"/>
      <c r="IS373" s="42"/>
      <c r="IT373" s="42"/>
      <c r="IU373" s="42"/>
      <c r="IX373" s="4" t="str">
        <f t="shared" si="0"/>
        <v>161,1</v>
      </c>
      <c r="IY373" s="19">
        <v>16</v>
      </c>
      <c r="IZ373" s="17" t="s">
        <v>47</v>
      </c>
      <c r="JA373" s="134">
        <v>45.9</v>
      </c>
      <c r="JB373" s="20"/>
      <c r="JD373" s="50" t="s">
        <v>127</v>
      </c>
      <c r="JE373" s="10">
        <f>VLOOKUP(B12,IR358:IS361,2,FALSE)</f>
        <v>0.5</v>
      </c>
      <c r="JF373" s="51" t="s">
        <v>15</v>
      </c>
      <c r="JG373" s="30"/>
      <c r="JH373" s="30"/>
      <c r="JJ373" s="42"/>
      <c r="JK373" s="42"/>
      <c r="JL373" s="42"/>
      <c r="JM373" s="42"/>
      <c r="JN373" s="42"/>
      <c r="JO373" s="15"/>
    </row>
    <row r="374" spans="248:276" ht="28.8" hidden="1" x14ac:dyDescent="0.55000000000000004">
      <c r="IN374" s="31"/>
      <c r="IO374" s="5"/>
      <c r="IP374" s="42"/>
      <c r="IQ374" s="42"/>
      <c r="IR374" s="42"/>
      <c r="IS374" s="42"/>
      <c r="IT374" s="42"/>
      <c r="IU374" s="42"/>
      <c r="IX374" s="4" t="str">
        <f t="shared" si="0"/>
        <v>162,2</v>
      </c>
      <c r="IY374" s="19">
        <v>16</v>
      </c>
      <c r="IZ374" s="17" t="s">
        <v>48</v>
      </c>
      <c r="JA374" s="135">
        <v>38.1</v>
      </c>
      <c r="JB374" s="21"/>
      <c r="JD374" s="75" t="s">
        <v>18</v>
      </c>
      <c r="JE374" s="29" t="s">
        <v>1</v>
      </c>
      <c r="JF374" s="33" t="s">
        <v>2</v>
      </c>
      <c r="JG374" s="30"/>
      <c r="JH374" s="30"/>
      <c r="JJ374" s="42"/>
      <c r="JK374" s="42"/>
      <c r="JL374" s="42"/>
      <c r="JM374" s="42"/>
      <c r="JN374" s="42"/>
      <c r="JO374" s="15"/>
    </row>
    <row r="375" spans="248:276" ht="43.2" hidden="1" x14ac:dyDescent="0.55000000000000004">
      <c r="IN375" s="31"/>
      <c r="IO375" s="5"/>
      <c r="IP375" s="42"/>
      <c r="IQ375" s="42"/>
      <c r="IR375" s="42"/>
      <c r="IS375" s="42"/>
      <c r="IT375" s="42"/>
      <c r="IU375" s="42"/>
      <c r="IX375" s="4" t="str">
        <f t="shared" si="0"/>
        <v>161,1,1,1</v>
      </c>
      <c r="IY375" s="19">
        <v>16</v>
      </c>
      <c r="IZ375" s="17" t="s">
        <v>55</v>
      </c>
      <c r="JA375" s="134">
        <v>34.5</v>
      </c>
      <c r="JB375" s="20"/>
      <c r="JD375" s="38" t="s">
        <v>19</v>
      </c>
      <c r="JE375" s="73">
        <f>B3*JE360/1000</f>
        <v>0.36</v>
      </c>
      <c r="JF375" s="34"/>
      <c r="JG375" s="30"/>
      <c r="JH375" s="30"/>
      <c r="JJ375" s="42"/>
      <c r="JK375" s="42"/>
      <c r="JL375" s="42"/>
      <c r="JM375" s="42"/>
      <c r="JN375" s="42"/>
      <c r="JO375" s="15"/>
    </row>
    <row r="376" spans="248:276" hidden="1" x14ac:dyDescent="0.55000000000000004">
      <c r="IN376" s="31"/>
      <c r="IO376" s="5"/>
      <c r="IP376" s="42"/>
      <c r="IQ376" s="42"/>
      <c r="IR376" s="42"/>
      <c r="IS376" s="42"/>
      <c r="IT376" s="42"/>
      <c r="IU376" s="42"/>
      <c r="IX376" s="4" t="str">
        <f t="shared" si="0"/>
        <v>162,1,1,2</v>
      </c>
      <c r="IY376" s="19">
        <v>16</v>
      </c>
      <c r="IZ376" s="17" t="s">
        <v>56</v>
      </c>
      <c r="JA376" s="134">
        <v>32.299999999999997</v>
      </c>
      <c r="JB376" s="20"/>
      <c r="JD376" s="38"/>
      <c r="JE376" s="3"/>
      <c r="JF376" s="34"/>
      <c r="JG376" s="30"/>
      <c r="JH376" s="30"/>
      <c r="JJ376" s="42"/>
      <c r="JK376" s="42"/>
      <c r="JL376" s="42"/>
      <c r="JM376" s="42"/>
      <c r="JN376" s="42"/>
      <c r="JO376" s="15"/>
    </row>
    <row r="377" spans="248:276" ht="28.8" hidden="1" x14ac:dyDescent="0.55000000000000004">
      <c r="IN377" s="31"/>
      <c r="IO377" s="5"/>
      <c r="IP377" s="42"/>
      <c r="IQ377" s="42"/>
      <c r="IR377" s="42"/>
      <c r="IS377" s="42"/>
      <c r="IT377" s="42"/>
      <c r="IU377" s="42"/>
      <c r="IX377" s="4" t="str">
        <f t="shared" si="0"/>
        <v>321,1</v>
      </c>
      <c r="IY377" s="19">
        <v>32</v>
      </c>
      <c r="IZ377" s="17" t="s">
        <v>47</v>
      </c>
      <c r="JA377" s="134">
        <v>42.1</v>
      </c>
      <c r="JB377" s="20"/>
      <c r="JD377" s="75" t="s">
        <v>87</v>
      </c>
      <c r="JE377" s="29" t="s">
        <v>1</v>
      </c>
      <c r="JF377" s="33" t="s">
        <v>2</v>
      </c>
      <c r="JG377" s="30"/>
      <c r="JH377" s="30"/>
      <c r="JJ377" s="42"/>
      <c r="JK377" s="42"/>
      <c r="JL377" s="42"/>
      <c r="JM377" s="42"/>
      <c r="JN377" s="42"/>
      <c r="JO377" s="15"/>
      <c r="JP377" s="15"/>
    </row>
    <row r="378" spans="248:276" ht="43.2" hidden="1" x14ac:dyDescent="0.55000000000000004">
      <c r="IN378" s="31"/>
      <c r="IO378" s="5"/>
      <c r="IP378" s="42"/>
      <c r="IQ378" s="42"/>
      <c r="IR378" s="42"/>
      <c r="IS378" s="42"/>
      <c r="IT378" s="42"/>
      <c r="IU378" s="42"/>
      <c r="IX378" s="4" t="str">
        <f t="shared" si="0"/>
        <v>322,2</v>
      </c>
      <c r="IY378" s="19">
        <v>32</v>
      </c>
      <c r="IZ378" s="17" t="s">
        <v>48</v>
      </c>
      <c r="JA378" s="135">
        <v>33.200000000000003</v>
      </c>
      <c r="JB378" s="20"/>
      <c r="JD378" s="76" t="s">
        <v>16</v>
      </c>
      <c r="JE378" s="72">
        <f>ROUND(2*JE371*JE371*JO358/(1000),3)</f>
        <v>1.2609999999999999</v>
      </c>
      <c r="JF378" s="34" t="s">
        <v>12</v>
      </c>
      <c r="JG378" s="71" t="s">
        <v>113</v>
      </c>
      <c r="JH378" s="30"/>
      <c r="JJ378" s="42"/>
      <c r="JK378" s="42"/>
      <c r="JL378" s="42"/>
      <c r="JM378" s="42"/>
      <c r="JN378" s="42"/>
      <c r="JO378" s="15"/>
      <c r="JP378" s="15"/>
    </row>
    <row r="379" spans="248:276" ht="43.2" hidden="1" x14ac:dyDescent="0.55000000000000004">
      <c r="IN379" s="31"/>
      <c r="IO379" s="5"/>
      <c r="IP379" s="42"/>
      <c r="IQ379" s="42"/>
      <c r="IR379" s="42"/>
      <c r="IS379" s="42"/>
      <c r="IT379" s="42"/>
      <c r="IU379" s="42"/>
      <c r="IX379" s="4" t="str">
        <f t="shared" si="0"/>
        <v>321,1,1,1</v>
      </c>
      <c r="IY379" s="19">
        <v>32</v>
      </c>
      <c r="IZ379" s="17" t="s">
        <v>55</v>
      </c>
      <c r="JA379" s="134">
        <v>29.5</v>
      </c>
      <c r="JB379" s="20"/>
      <c r="JD379" s="76" t="s">
        <v>17</v>
      </c>
      <c r="JE379" s="73">
        <f>ROUND(B3*JE371*JE372/1000000*B11*1000,3)</f>
        <v>0.17599999999999999</v>
      </c>
      <c r="JF379" s="34" t="s">
        <v>12</v>
      </c>
      <c r="JG379" s="71" t="s">
        <v>114</v>
      </c>
      <c r="JH379" s="30"/>
      <c r="JJ379" s="42"/>
      <c r="JK379" s="42"/>
      <c r="JL379" s="42"/>
      <c r="JM379" s="42"/>
      <c r="JN379" s="42"/>
      <c r="JO379" s="15"/>
      <c r="JP379" s="15"/>
    </row>
    <row r="380" spans="248:276" ht="28.8" hidden="1" x14ac:dyDescent="0.55000000000000004">
      <c r="IN380" s="31"/>
      <c r="IO380" s="5"/>
      <c r="IP380" s="42"/>
      <c r="IQ380" s="42"/>
      <c r="IR380" s="42"/>
      <c r="IS380" s="42"/>
      <c r="IT380" s="42"/>
      <c r="IU380" s="42"/>
      <c r="IX380" s="4" t="str">
        <f t="shared" si="0"/>
        <v>322,1,1,2</v>
      </c>
      <c r="IY380" s="19">
        <v>32</v>
      </c>
      <c r="IZ380" s="17" t="s">
        <v>56</v>
      </c>
      <c r="JA380" s="134">
        <v>27</v>
      </c>
      <c r="JB380" s="20"/>
      <c r="JD380" s="76" t="s">
        <v>31</v>
      </c>
      <c r="JE380" s="73">
        <f>JE364*5*B11*0.000000001*1000</f>
        <v>1.2500000000000003E-4</v>
      </c>
      <c r="JF380" s="34" t="s">
        <v>12</v>
      </c>
      <c r="JG380" s="89" t="s">
        <v>118</v>
      </c>
      <c r="JH380" s="30"/>
      <c r="JJ380" s="42"/>
      <c r="JK380" s="42"/>
      <c r="JL380" s="42"/>
      <c r="JM380" s="42"/>
      <c r="JN380" s="42"/>
      <c r="JO380" s="15"/>
      <c r="JP380" s="15"/>
    </row>
    <row r="381" spans="248:276" ht="43.2" hidden="1" x14ac:dyDescent="0.55000000000000004">
      <c r="IN381" s="31"/>
      <c r="IO381" s="5"/>
      <c r="IP381" s="42"/>
      <c r="IQ381" s="42"/>
      <c r="IR381" s="42"/>
      <c r="IS381" s="42"/>
      <c r="IT381" s="42"/>
      <c r="IU381" s="42"/>
      <c r="IX381" s="4" t="str">
        <f t="shared" si="0"/>
        <v>641,1</v>
      </c>
      <c r="IY381" s="19">
        <v>64</v>
      </c>
      <c r="IZ381" s="17" t="s">
        <v>47</v>
      </c>
      <c r="JA381" s="134">
        <v>40.200000000000003</v>
      </c>
      <c r="JB381" s="20"/>
      <c r="JD381" s="76" t="s">
        <v>88</v>
      </c>
      <c r="JE381" s="72">
        <f>JE378+JE379+JE380</f>
        <v>1.4371249999999998</v>
      </c>
      <c r="JF381" s="34" t="s">
        <v>12</v>
      </c>
      <c r="JG381" s="30"/>
      <c r="JH381" s="30"/>
      <c r="JJ381" s="42"/>
      <c r="JK381" s="42"/>
      <c r="JL381" s="42"/>
      <c r="JM381" s="42"/>
      <c r="JN381" s="42"/>
      <c r="JO381" s="15"/>
      <c r="JP381" s="15"/>
    </row>
    <row r="382" spans="248:276" hidden="1" x14ac:dyDescent="0.55000000000000004">
      <c r="IN382" s="31"/>
      <c r="IO382" s="5"/>
      <c r="IP382" s="42"/>
      <c r="IQ382" s="42"/>
      <c r="IR382" s="42"/>
      <c r="IS382" s="42"/>
      <c r="IT382" s="42"/>
      <c r="IU382" s="42"/>
      <c r="IX382" s="4" t="str">
        <f t="shared" si="0"/>
        <v>642,2</v>
      </c>
      <c r="IY382" s="19">
        <v>64</v>
      </c>
      <c r="IZ382" s="17" t="s">
        <v>48</v>
      </c>
      <c r="JA382" s="135">
        <v>30.4</v>
      </c>
      <c r="JB382" s="20"/>
      <c r="JD382" s="77" t="s">
        <v>33</v>
      </c>
      <c r="JE382" s="85">
        <f>2*0.7*JE371*B11*1000*JE373/1000000</f>
        <v>4.2892156862745098E-2</v>
      </c>
      <c r="JF382" s="34" t="s">
        <v>12</v>
      </c>
      <c r="JG382" s="71" t="s">
        <v>115</v>
      </c>
      <c r="JH382" s="30"/>
      <c r="JJ382" s="42"/>
      <c r="JK382" s="42"/>
      <c r="JL382" s="42"/>
      <c r="JM382" s="42"/>
      <c r="JN382" s="42"/>
      <c r="JO382" s="15"/>
      <c r="JP382" s="15"/>
    </row>
    <row r="383" spans="248:276" ht="43.2" hidden="1" x14ac:dyDescent="0.55000000000000004">
      <c r="IN383" s="31"/>
      <c r="IO383" s="5"/>
      <c r="IP383" s="42"/>
      <c r="IQ383" s="42"/>
      <c r="IR383" s="42"/>
      <c r="IS383" s="42"/>
      <c r="IT383" s="42"/>
      <c r="IU383" s="42"/>
      <c r="IX383" s="4" t="str">
        <f t="shared" si="0"/>
        <v>641,1,1,1</v>
      </c>
      <c r="IY383" s="19">
        <v>64</v>
      </c>
      <c r="IZ383" s="17" t="s">
        <v>55</v>
      </c>
      <c r="JA383" s="134">
        <v>26.6</v>
      </c>
      <c r="JB383" s="20"/>
      <c r="JD383" s="78" t="s">
        <v>34</v>
      </c>
      <c r="JE383" s="85">
        <f>(B3-3.3)*B13*0.001</f>
        <v>0.10350000000000001</v>
      </c>
      <c r="JF383" s="34" t="s">
        <v>12</v>
      </c>
      <c r="JG383" s="70" t="s">
        <v>117</v>
      </c>
      <c r="JH383" s="30"/>
      <c r="JJ383" s="42"/>
      <c r="JK383" s="42"/>
      <c r="JL383" s="42"/>
      <c r="JM383" s="42"/>
      <c r="JN383" s="42"/>
      <c r="JO383" s="15"/>
      <c r="JP383" s="15"/>
    </row>
    <row r="384" spans="248:276" hidden="1" x14ac:dyDescent="0.55000000000000004">
      <c r="IN384" s="31"/>
      <c r="IO384" s="5"/>
      <c r="IP384" s="42"/>
      <c r="IQ384" s="42"/>
      <c r="IR384" s="42"/>
      <c r="IS384" s="42"/>
      <c r="IT384" s="42"/>
      <c r="IU384" s="42"/>
      <c r="IX384" s="4" t="str">
        <f t="shared" si="0"/>
        <v>642,1,1,2</v>
      </c>
      <c r="IY384" s="62">
        <v>64</v>
      </c>
      <c r="IZ384" s="63" t="s">
        <v>56</v>
      </c>
      <c r="JA384" s="136">
        <v>23.9</v>
      </c>
      <c r="JB384" s="64"/>
      <c r="JD384" s="77" t="s">
        <v>35</v>
      </c>
      <c r="JE384" s="85">
        <v>6.25E-2</v>
      </c>
      <c r="JF384" s="34" t="s">
        <v>12</v>
      </c>
      <c r="JG384" s="30" t="s">
        <v>116</v>
      </c>
      <c r="JH384" s="30"/>
      <c r="JJ384" s="42"/>
      <c r="JK384" s="42"/>
      <c r="JL384" s="42"/>
      <c r="JM384" s="42"/>
      <c r="JN384" s="42"/>
      <c r="JO384" s="15"/>
      <c r="JP384" s="15"/>
    </row>
    <row r="385" spans="248:276" hidden="1" x14ac:dyDescent="0.55000000000000004">
      <c r="IN385" s="31"/>
      <c r="IO385" s="5"/>
      <c r="IP385" s="42"/>
      <c r="IQ385" s="42"/>
      <c r="IR385" s="42"/>
      <c r="IS385" s="42"/>
      <c r="IT385" s="42"/>
      <c r="IU385" s="42"/>
      <c r="IX385" s="67" t="str">
        <f t="shared" si="0"/>
        <v>43,1,1,3</v>
      </c>
      <c r="IY385" s="66">
        <v>4</v>
      </c>
      <c r="IZ385" s="65" t="s">
        <v>105</v>
      </c>
      <c r="JA385" s="134">
        <v>51.1</v>
      </c>
      <c r="JB385" s="68"/>
      <c r="JD385" s="38"/>
      <c r="JE385" s="3"/>
      <c r="JF385" s="34"/>
      <c r="JG385" s="30"/>
      <c r="JH385" s="30"/>
      <c r="JJ385" s="42"/>
      <c r="JK385" s="42"/>
      <c r="JL385" s="42"/>
      <c r="JM385" s="42"/>
      <c r="JN385" s="42"/>
      <c r="JO385" s="15"/>
      <c r="JP385" s="4"/>
    </row>
    <row r="386" spans="248:276" ht="28.8" hidden="1" x14ac:dyDescent="0.55000000000000004">
      <c r="IN386" s="44"/>
      <c r="IO386" s="42"/>
      <c r="IP386" s="42"/>
      <c r="IQ386" s="42"/>
      <c r="IR386" s="42"/>
      <c r="IS386" s="42"/>
      <c r="IT386" s="42"/>
      <c r="IU386" s="42"/>
      <c r="IX386" s="67" t="str">
        <f t="shared" si="0"/>
        <v>83,1,1,3</v>
      </c>
      <c r="IY386" s="66">
        <v>8</v>
      </c>
      <c r="IZ386" s="65" t="s">
        <v>105</v>
      </c>
      <c r="JA386" s="134">
        <v>39</v>
      </c>
      <c r="JB386" s="68"/>
      <c r="JD386" s="79" t="s">
        <v>3</v>
      </c>
      <c r="JE386" s="79" t="s">
        <v>1</v>
      </c>
      <c r="JF386" s="79" t="s">
        <v>2</v>
      </c>
      <c r="JG386" s="30"/>
      <c r="JH386" s="30"/>
      <c r="JJ386" s="42"/>
      <c r="JK386" s="42"/>
      <c r="JL386" s="42"/>
      <c r="JM386" s="42"/>
      <c r="JN386" s="42"/>
      <c r="JO386" s="15"/>
      <c r="JP386" s="4"/>
    </row>
    <row r="387" spans="248:276" hidden="1" x14ac:dyDescent="0.55000000000000004">
      <c r="IN387" s="8"/>
      <c r="IO387" s="42"/>
      <c r="IP387" s="42"/>
      <c r="IQ387" s="42"/>
      <c r="IR387" s="42"/>
      <c r="IS387" s="42"/>
      <c r="IT387" s="42"/>
      <c r="IU387" s="42"/>
      <c r="IX387" s="67" t="str">
        <f t="shared" si="0"/>
        <v>163,1,1,3</v>
      </c>
      <c r="IY387" s="66">
        <v>16</v>
      </c>
      <c r="IZ387" s="65" t="s">
        <v>105</v>
      </c>
      <c r="JA387" s="134">
        <v>30.6</v>
      </c>
      <c r="JB387" s="68"/>
      <c r="JD387" s="32" t="s">
        <v>90</v>
      </c>
      <c r="JE387" s="30"/>
      <c r="JF387" s="30"/>
      <c r="JG387" s="30"/>
      <c r="JH387" s="30"/>
      <c r="JJ387" s="42"/>
      <c r="JK387" s="42"/>
      <c r="JL387" s="42"/>
      <c r="JM387" s="42"/>
      <c r="JN387" s="42"/>
      <c r="JO387" s="15"/>
      <c r="JP387" s="15"/>
    </row>
    <row r="388" spans="248:276" hidden="1" x14ac:dyDescent="0.55000000000000004">
      <c r="IN388" s="42"/>
      <c r="IO388" s="42"/>
      <c r="IP388" s="42"/>
      <c r="IQ388" s="42"/>
      <c r="IR388" s="42"/>
      <c r="IS388" s="42"/>
      <c r="IT388" s="42"/>
      <c r="IU388" s="42"/>
      <c r="IX388" s="67" t="str">
        <f t="shared" si="0"/>
        <v>323,1,1,3</v>
      </c>
      <c r="IY388" s="66">
        <v>32</v>
      </c>
      <c r="IZ388" s="65" t="s">
        <v>105</v>
      </c>
      <c r="JA388" s="134">
        <v>25.1</v>
      </c>
      <c r="JB388" s="68"/>
      <c r="JD388" s="153" t="s">
        <v>91</v>
      </c>
      <c r="JE388" s="9">
        <f>B9*B10</f>
        <v>0</v>
      </c>
      <c r="JF388" s="52" t="s">
        <v>0</v>
      </c>
      <c r="JG388" s="15"/>
      <c r="JH388" s="15"/>
      <c r="JJ388" s="42"/>
      <c r="JK388" s="42"/>
      <c r="JL388" s="42"/>
      <c r="JM388" s="42"/>
      <c r="JN388" s="42"/>
      <c r="JO388" s="15"/>
      <c r="JP388" s="15"/>
    </row>
    <row r="389" spans="248:276" ht="72.3" hidden="1" thickBot="1" x14ac:dyDescent="0.6">
      <c r="IN389" s="42"/>
      <c r="IO389" s="42"/>
      <c r="IP389" s="42"/>
      <c r="IQ389" s="42"/>
      <c r="IR389" s="42"/>
      <c r="IS389" s="42"/>
      <c r="IT389" s="42"/>
      <c r="IU389" s="42"/>
      <c r="IX389" s="67" t="str">
        <f t="shared" si="0"/>
        <v>643,1,1,3</v>
      </c>
      <c r="IY389" s="140">
        <v>64</v>
      </c>
      <c r="IZ389" s="141" t="s">
        <v>105</v>
      </c>
      <c r="JA389" s="136">
        <v>21.7</v>
      </c>
      <c r="JB389" s="69"/>
      <c r="JD389" s="74" t="s">
        <v>92</v>
      </c>
      <c r="JE389" s="10">
        <f>IF(B7=0,IF(B6="Wye",(JE371*3*B8*1000)/(B3+(2*JE388)),(JE371*B8*1000)/(B3+JE388)),B7)</f>
        <v>500</v>
      </c>
      <c r="JF389" s="51" t="s">
        <v>15</v>
      </c>
      <c r="JG389" s="78" t="s">
        <v>110</v>
      </c>
      <c r="JH389" s="80" t="s">
        <v>109</v>
      </c>
      <c r="JJ389" s="81"/>
      <c r="JK389" s="42"/>
      <c r="JL389" s="42"/>
      <c r="JM389" s="42"/>
      <c r="JN389" s="42"/>
      <c r="JO389" s="15"/>
      <c r="JP389" s="15"/>
    </row>
    <row r="390" spans="248:276" ht="72" hidden="1" x14ac:dyDescent="0.55000000000000004">
      <c r="IN390" s="45"/>
      <c r="IO390" s="45"/>
      <c r="IP390" s="45"/>
      <c r="IQ390" s="45"/>
      <c r="IR390" s="45"/>
      <c r="IS390" s="45"/>
      <c r="IT390" s="45"/>
      <c r="IU390" s="45"/>
      <c r="IV390" s="4"/>
      <c r="IW390" s="4"/>
      <c r="IX390" s="4"/>
      <c r="IY390" s="4"/>
      <c r="IZ390" s="4"/>
      <c r="JA390" s="4"/>
      <c r="JB390" s="4"/>
      <c r="JC390" s="4"/>
      <c r="JD390" s="38" t="s">
        <v>93</v>
      </c>
      <c r="JE390" s="3">
        <f>6*(1/2)*0.7*JE371*JE389/1000000*B10</f>
        <v>0.42784926470588241</v>
      </c>
      <c r="JF390" s="34" t="s">
        <v>12</v>
      </c>
      <c r="JG390" s="82" t="s">
        <v>108</v>
      </c>
      <c r="JH390" s="83"/>
      <c r="JI390" s="4"/>
      <c r="JJ390" s="84"/>
      <c r="JK390" s="45"/>
      <c r="JL390" s="45"/>
      <c r="JM390" s="45"/>
      <c r="JN390" s="45"/>
      <c r="JO390" s="45"/>
      <c r="JP390" s="15"/>
    </row>
    <row r="391" spans="248:276" ht="86.4" hidden="1" x14ac:dyDescent="0.55000000000000004">
      <c r="IN391" s="45"/>
      <c r="IO391" s="45"/>
      <c r="IP391" s="45"/>
      <c r="IQ391" s="45"/>
      <c r="IR391" s="45"/>
      <c r="IS391" s="45"/>
      <c r="IT391" s="45"/>
      <c r="IU391" s="45"/>
      <c r="IV391" s="4"/>
      <c r="IW391" s="4"/>
      <c r="IX391" s="4"/>
      <c r="IY391" s="4"/>
      <c r="IZ391" s="4"/>
      <c r="JA391" s="4"/>
      <c r="JB391" s="4"/>
      <c r="JC391" s="4"/>
      <c r="JD391" s="38" t="s">
        <v>94</v>
      </c>
      <c r="JE391" s="3">
        <f>6*(1/3)*JE371*JE371*JK358/1000*JE389/1000000*B10</f>
        <v>5.9298669682333723E-2</v>
      </c>
      <c r="JF391" s="34" t="s">
        <v>12</v>
      </c>
      <c r="JG391" s="76" t="s">
        <v>107</v>
      </c>
      <c r="JH391" s="83"/>
      <c r="JI391" s="4"/>
      <c r="JJ391" s="84"/>
      <c r="JK391" s="45"/>
      <c r="JL391" s="45"/>
      <c r="JM391" s="45"/>
      <c r="JN391" s="45"/>
      <c r="JO391" s="45"/>
      <c r="JP391" s="15"/>
    </row>
    <row r="392" spans="248:276" ht="28.8" hidden="1" x14ac:dyDescent="0.55000000000000004">
      <c r="IN392" s="42"/>
      <c r="IO392" s="42"/>
      <c r="IP392" s="42"/>
      <c r="IQ392" s="42"/>
      <c r="IR392" s="42"/>
      <c r="IS392" s="42"/>
      <c r="IT392" s="42"/>
      <c r="IU392" s="42"/>
      <c r="JD392" s="38" t="s">
        <v>95</v>
      </c>
      <c r="JE392" s="86">
        <f>IF($B$5="No",JE390,JE391)</f>
        <v>0.42784926470588241</v>
      </c>
      <c r="JF392" s="34" t="s">
        <v>12</v>
      </c>
      <c r="JG392" s="30"/>
      <c r="JJ392" s="42"/>
      <c r="JK392" s="42"/>
      <c r="JL392" s="42"/>
      <c r="JM392" s="42"/>
      <c r="JN392" s="42"/>
      <c r="JO392" s="15"/>
      <c r="JP392" s="15"/>
    </row>
    <row r="393" spans="248:276" hidden="1" x14ac:dyDescent="0.55000000000000004">
      <c r="JP393" s="15"/>
    </row>
    <row r="394" spans="248:276" hidden="1" x14ac:dyDescent="0.55000000000000004">
      <c r="JP394" s="15"/>
    </row>
    <row r="395" spans="248:276" hidden="1" x14ac:dyDescent="0.55000000000000004">
      <c r="IN395" s="42"/>
      <c r="IO395" s="42"/>
      <c r="IP395" s="42"/>
      <c r="IQ395" s="42"/>
      <c r="IR395" s="42"/>
      <c r="IS395" s="42"/>
      <c r="JH395" s="42"/>
      <c r="JI395" s="42"/>
      <c r="JJ395" s="42"/>
      <c r="JK395" s="42"/>
      <c r="JL395" s="42"/>
      <c r="JM395" s="15"/>
      <c r="JN395" s="15"/>
      <c r="JO395" s="15"/>
      <c r="JP395" s="15"/>
    </row>
    <row r="396" spans="248:276" hidden="1" x14ac:dyDescent="0.55000000000000004">
      <c r="IN396" s="42"/>
      <c r="IO396" s="42"/>
      <c r="IP396" s="42"/>
      <c r="IQ396" s="42"/>
      <c r="IR396" s="42"/>
      <c r="IS396" s="42"/>
      <c r="JH396" s="42"/>
      <c r="JI396" s="42"/>
      <c r="JJ396" s="42"/>
      <c r="JK396" s="42"/>
      <c r="JL396" s="42"/>
      <c r="JM396" s="15"/>
      <c r="JN396" s="15"/>
      <c r="JO396" s="15"/>
      <c r="JP396" s="15"/>
    </row>
    <row r="397" spans="248:276" hidden="1" x14ac:dyDescent="0.55000000000000004">
      <c r="IN397" s="42"/>
      <c r="IO397" s="42"/>
      <c r="IP397" s="42"/>
      <c r="IQ397" s="42"/>
      <c r="IR397" s="42"/>
      <c r="IS397" s="42"/>
      <c r="JH397" s="42"/>
      <c r="JI397" s="42"/>
      <c r="JJ397" s="42"/>
      <c r="JK397" s="42"/>
      <c r="JL397" s="42"/>
      <c r="JM397" s="15"/>
      <c r="JN397" s="15"/>
      <c r="JO397" s="15"/>
      <c r="JP397" s="15"/>
    </row>
    <row r="398" spans="248:276" hidden="1" x14ac:dyDescent="0.55000000000000004">
      <c r="IN398" s="42"/>
      <c r="IO398" s="42"/>
      <c r="IP398" s="42"/>
      <c r="IQ398" s="42"/>
      <c r="IR398" s="42"/>
      <c r="IS398" s="42"/>
      <c r="JH398" s="42"/>
      <c r="JI398" s="42"/>
      <c r="JJ398" s="42"/>
      <c r="JK398" s="42"/>
      <c r="JL398" s="42"/>
      <c r="JM398" s="15"/>
      <c r="JN398" s="15"/>
      <c r="JO398" s="15"/>
      <c r="JP398" s="15"/>
    </row>
    <row r="399" spans="248:276" x14ac:dyDescent="0.55000000000000004">
      <c r="IN399" s="42"/>
      <c r="IO399" s="42"/>
      <c r="IP399" s="42"/>
      <c r="IQ399" s="42"/>
      <c r="IR399" s="42"/>
      <c r="IS399" s="42"/>
      <c r="JH399" s="42"/>
      <c r="JI399" s="42"/>
      <c r="JJ399" s="42"/>
      <c r="JK399" s="42"/>
      <c r="JL399" s="14"/>
      <c r="JM399" s="15"/>
      <c r="JN399" s="15"/>
      <c r="JO399" s="15"/>
      <c r="JP399" s="15"/>
    </row>
  </sheetData>
  <mergeCells count="2">
    <mergeCell ref="A19:C19"/>
    <mergeCell ref="B1:F1"/>
  </mergeCells>
  <conditionalFormatting sqref="E4">
    <cfRule type="cellIs" dxfId="27" priority="1" operator="lessThan">
      <formula>125</formula>
    </cfRule>
    <cfRule type="cellIs" dxfId="26" priority="2" operator="greaterThan">
      <formula>125</formula>
    </cfRule>
  </conditionalFormatting>
  <dataValidations disablePrompts="1" xWindow="2051" yWindow="634" count="19">
    <dataValidation allowBlank="1" showInputMessage="1" showErrorMessage="1" prompt="Enter the motor's commutation time (tcomm) as shown on the diagram to the right. If unknown, enter &quot;0&quot;" sqref="B7" xr:uid="{40540B56-85E1-400F-9A53-C9025133A8DF}"/>
    <dataValidation allowBlank="1" showInputMessage="1" showErrorMessage="1" prompt="Enter the motor's phase inductance in mH" sqref="B8" xr:uid="{4BCB971D-9406-46B4-82DB-56E94764E7F3}"/>
    <dataValidation allowBlank="1" showInputMessage="1" showErrorMessage="1" prompt="Enter the motor phase's Back-EMF constant (Ke_ph)" sqref="B9" xr:uid="{352CB767-D27E-4898-9DAD-C8FFFD6F12A7}"/>
    <dataValidation allowBlank="1" showInputMessage="1" showErrorMessage="1" prompt="Enter the motor's electrical frequency in Hz" sqref="B10" xr:uid="{6817F371-677C-4610-922B-7EC1E45DAB1D}"/>
    <dataValidation type="decimal" allowBlank="1" showInputMessage="1" showErrorMessage="1" error="AVDD output current out of range" prompt="Enter the AVDD output load current between 0 to 30mA" sqref="B13" xr:uid="{8DF2D472-091E-4ECB-8B7D-EC4D6C570AD0}">
      <formula1>0</formula1>
      <formula2>30</formula2>
    </dataValidation>
    <dataValidation allowBlank="1" showInputMessage="1" showErrorMessage="1" prompt="Enter the operating ambient temperature" sqref="JE363" xr:uid="{F2C4602A-6C68-4E0C-A74F-7D42BBF4D60F}"/>
    <dataValidation type="decimal" allowBlank="1" showInputMessage="1" showErrorMessage="1" error="This voltage is outside the operating range of the DRV8316" prompt="Enter a motor supply voltage between 4.5 to 35 volts" sqref="B3" xr:uid="{4929778C-D57F-47B1-9759-9DBABBA8F7FC}">
      <formula1>4.5</formula1>
      <formula2>35</formula2>
    </dataValidation>
    <dataValidation type="list" allowBlank="1" showInputMessage="1" showErrorMessage="1" prompt="Select copper thickness of internal layers if more than 2 layer PCB (oz)" sqref="JE365" xr:uid="{85D04804-5D50-4017-83F6-32ED613382D8}">
      <formula1>$IP$358:$IP$359</formula1>
    </dataValidation>
    <dataValidation type="list" allowBlank="1" showInputMessage="1" showErrorMessage="1" prompt="Select copper thickness of top/bottom layers (oz)" sqref="JE365 JM357" xr:uid="{CBBF6E75-516A-457F-9D4C-7A9353CE4C71}">
      <formula1>$IO$358:$IO$359</formula1>
    </dataValidation>
    <dataValidation type="decimal" allowBlank="1" showInputMessage="1" showErrorMessage="1" error="This current is outside the operating range of the DRV8316" prompt="Enter an RMS current between 0 and 5.657 amps" sqref="B4" xr:uid="{7C1359C0-63CD-41A9-8243-BD10717AB923}">
      <formula1>0</formula1>
      <formula2>5.657</formula2>
    </dataValidation>
    <dataValidation type="decimal" allowBlank="1" showInputMessage="1" showErrorMessage="1" error="This ambient temperature is outside the operating range of the DRV8316" prompt="Enter the ambient temperature  of the DRV8316 for normal operation from -40C to 125C" sqref="B14" xr:uid="{149D4016-20AE-439C-B233-CC1F1A006E64}">
      <formula1>-40</formula1>
      <formula2>125</formula2>
    </dataValidation>
    <dataValidation type="list" allowBlank="1" showInputMessage="1" showErrorMessage="1" prompt="Select copper thickness of top/bottom layers (oz)" sqref="B17" xr:uid="{3B77F55A-C008-4667-ABF1-A1BA5D56D8B3}">
      <formula1>$IO$358:$IO$360</formula1>
    </dataValidation>
    <dataValidation type="list" allowBlank="1" showInputMessage="1" showErrorMessage="1" prompt="Select wye or delta motor configuration" sqref="B6" xr:uid="{843F889A-B4ED-41FB-B4D3-B7F8780E8D71}">
      <formula1>$IV$358:$IV$359</formula1>
    </dataValidation>
    <dataValidation type="list" allowBlank="1" showInputMessage="1" showErrorMessage="1" prompt="Select yes or no if active demag is enabled" sqref="B5" xr:uid="{170B0A57-5D9C-47CC-9ED7-730EBF2A0939}">
      <formula1>$IU$358:$IU$359</formula1>
    </dataValidation>
    <dataValidation type="list" allowBlank="1" showInputMessage="1" showErrorMessage="1" prompt="Select an output slew rate setting (V/us)" sqref="B12" xr:uid="{B0B6A282-D698-4613-83FE-8F3B517A595B}">
      <formula1>$IR$358:$IR$361</formula1>
    </dataValidation>
    <dataValidation type="list" allowBlank="1" showInputMessage="1" showErrorMessage="1" prompt="Select PCB area (cm2)" sqref="B18" xr:uid="{260BE929-94E3-49CB-9DBD-31DE6062AA7A}">
      <formula1>$IQ$358:$IQ$362</formula1>
    </dataValidation>
    <dataValidation type="list" allowBlank="1" showInputMessage="1" showErrorMessage="1" prompt="Select # of PCB Layers" sqref="B16" xr:uid="{1636A260-6F36-44FA-922E-AAC4528D2614}">
      <formula1>$IN$358:$IN$359</formula1>
    </dataValidation>
    <dataValidation type="list" allowBlank="1" showInputMessage="1" showErrorMessage="1" error="This PWM frequency is outside of the operating range of the DRV8316" prompt="Select a PWM frequency between 10kHz and 75kHz" sqref="B11" xr:uid="{877C7FEA-1305-4882-AD4C-75ED852EC735}">
      <formula1>$IT$358:$IT$371</formula1>
    </dataValidation>
    <dataValidation type="list" allowBlank="1" showInputMessage="1" showErrorMessage="1" prompt="Select copper thickness of top/bottom layers (oz)" sqref="B18" xr:uid="{DA28010D-5B34-4FB3-916F-5657D8178107}">
      <formula1>$IQ$358:$IQ$362</formula1>
    </dataValidation>
  </dataValidations>
  <pageMargins left="0.7" right="0.7" top="0.75" bottom="0.75" header="0.3" footer="0.3"/>
  <pageSetup orientation="portrait" r:id="rId1"/>
  <headerFooter>
    <oddHeader>&amp;L&amp;"Calibri"&amp;10&amp;KF6A800Internal&amp;1#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63B03-A44F-4234-A9CA-80DA934E058E}">
  <dimension ref="A1:JQ398"/>
  <sheetViews>
    <sheetView zoomScale="115" zoomScaleNormal="115" workbookViewId="0"/>
  </sheetViews>
  <sheetFormatPr defaultRowHeight="14.4" x14ac:dyDescent="0.55000000000000004"/>
  <cols>
    <col min="1" max="1" width="86" style="2" bestFit="1" customWidth="1"/>
    <col min="2" max="2" width="15.734375" style="34" bestFit="1" customWidth="1"/>
    <col min="3" max="3" width="7.734375" style="34" bestFit="1" customWidth="1"/>
    <col min="4" max="4" width="57.62890625" style="31" customWidth="1"/>
    <col min="5" max="5" width="13.5234375" style="5" customWidth="1"/>
    <col min="6" max="6" width="8.26171875" customWidth="1"/>
    <col min="7" max="7" width="12.15625" style="42" customWidth="1"/>
    <col min="8" max="8" width="28.7890625" style="42" bestFit="1" customWidth="1"/>
    <col min="9" max="9" width="12.7890625" style="42" bestFit="1" customWidth="1"/>
    <col min="10" max="10" width="31" style="42" bestFit="1" customWidth="1"/>
    <col min="11" max="11" width="25.5234375" style="42" bestFit="1" customWidth="1"/>
    <col min="12" max="12" width="11.26171875" style="42" bestFit="1" customWidth="1"/>
    <col min="13" max="13" width="12.7890625" style="42" bestFit="1" customWidth="1"/>
    <col min="14" max="14" width="30.26171875" style="42" bestFit="1" customWidth="1"/>
    <col min="15" max="15" width="26.26171875" bestFit="1" customWidth="1"/>
    <col min="16" max="16" width="11" bestFit="1" customWidth="1"/>
    <col min="17" max="18" width="10.62890625" bestFit="1" customWidth="1"/>
    <col min="19" max="19" width="11.3671875" bestFit="1" customWidth="1"/>
    <col min="20" max="20" width="13.15625" bestFit="1" customWidth="1"/>
    <col min="21" max="21" width="13.5234375" bestFit="1" customWidth="1"/>
    <col min="22" max="22" width="21.47265625" bestFit="1" customWidth="1"/>
    <col min="23" max="23" width="14.26171875" bestFit="1" customWidth="1"/>
    <col min="24" max="24" width="30.26171875" bestFit="1" customWidth="1"/>
    <col min="25" max="25" width="14.26171875" bestFit="1" customWidth="1"/>
    <col min="26" max="26" width="24.7890625" bestFit="1" customWidth="1"/>
    <col min="27" max="27" width="23.3671875" bestFit="1" customWidth="1"/>
    <col min="28" max="28" width="44.89453125" bestFit="1" customWidth="1"/>
    <col min="29" max="29" width="30.26171875" style="42" bestFit="1" customWidth="1"/>
    <col min="30" max="30" width="13.5234375" style="42" bestFit="1" customWidth="1"/>
    <col min="31" max="31" width="7.734375" style="42" bestFit="1" customWidth="1"/>
    <col min="32" max="32" width="45.89453125" style="42" bestFit="1" customWidth="1"/>
    <col min="33" max="33" width="34.62890625" style="42" bestFit="1" customWidth="1"/>
    <col min="34" max="34" width="14" style="15" bestFit="1" customWidth="1"/>
    <col min="35" max="35" width="16.47265625" style="15" bestFit="1" customWidth="1"/>
    <col min="36" max="36" width="13.5234375" style="15" bestFit="1" customWidth="1"/>
    <col min="37" max="37" width="16.47265625" style="15" bestFit="1" customWidth="1"/>
    <col min="38" max="38" width="13.5234375" bestFit="1" customWidth="1"/>
    <col min="39" max="39" width="16.47265625" bestFit="1" customWidth="1"/>
    <col min="40" max="40" width="13.5234375" bestFit="1" customWidth="1"/>
    <col min="122" max="149" width="8.734375" customWidth="1"/>
    <col min="247" max="277" width="0" hidden="1" customWidth="1"/>
  </cols>
  <sheetData>
    <row r="1" spans="1:37" ht="15" customHeight="1" thickBot="1" x14ac:dyDescent="0.6">
      <c r="A1" s="201" t="s">
        <v>130</v>
      </c>
      <c r="B1" s="219" t="s">
        <v>142</v>
      </c>
      <c r="C1" s="219"/>
      <c r="D1" s="219"/>
      <c r="E1" s="219"/>
      <c r="F1" s="219"/>
    </row>
    <row r="2" spans="1:37" ht="15" customHeight="1" thickBot="1" x14ac:dyDescent="0.6">
      <c r="A2" s="116" t="s">
        <v>65</v>
      </c>
      <c r="B2" s="105" t="s">
        <v>63</v>
      </c>
      <c r="C2" s="112" t="s">
        <v>2</v>
      </c>
      <c r="D2" s="117" t="s">
        <v>66</v>
      </c>
      <c r="E2" s="118" t="s">
        <v>1</v>
      </c>
      <c r="F2" s="118" t="s">
        <v>2</v>
      </c>
    </row>
    <row r="3" spans="1:37" ht="15" customHeight="1" thickBot="1" x14ac:dyDescent="0.6">
      <c r="A3" s="119" t="s">
        <v>121</v>
      </c>
      <c r="B3" s="101">
        <v>12</v>
      </c>
      <c r="C3" s="109" t="s">
        <v>0</v>
      </c>
      <c r="D3" s="120" t="s">
        <v>67</v>
      </c>
      <c r="E3" s="132">
        <f>ROUND(IF(JC366=-1,"n/a",$JP$364),2)</f>
        <v>1.73</v>
      </c>
      <c r="F3" s="109" t="s">
        <v>12</v>
      </c>
    </row>
    <row r="4" spans="1:37" ht="15" customHeight="1" thickBot="1" x14ac:dyDescent="0.6">
      <c r="A4" s="121" t="s">
        <v>120</v>
      </c>
      <c r="B4" s="102">
        <v>2.5</v>
      </c>
      <c r="C4" s="110" t="s">
        <v>13</v>
      </c>
      <c r="D4" s="120" t="s">
        <v>24</v>
      </c>
      <c r="E4" s="133">
        <f>ROUND(IF(JC366=-1,"n/a",$JP$365),2)</f>
        <v>80.75</v>
      </c>
      <c r="F4" s="111" t="s">
        <v>69</v>
      </c>
      <c r="X4" s="12"/>
      <c r="Y4" s="12"/>
      <c r="Z4" s="12"/>
      <c r="AA4" s="12"/>
      <c r="AB4" s="12"/>
      <c r="AC4" s="53"/>
      <c r="AD4" s="53"/>
    </row>
    <row r="5" spans="1:37" ht="15" customHeight="1" x14ac:dyDescent="0.55000000000000004">
      <c r="A5" s="122" t="s">
        <v>89</v>
      </c>
      <c r="B5" s="102" t="s">
        <v>97</v>
      </c>
      <c r="C5" s="110" t="s">
        <v>100</v>
      </c>
      <c r="D5" s="123"/>
      <c r="E5" s="123"/>
      <c r="F5" s="123"/>
      <c r="G5" s="43"/>
      <c r="X5" s="12"/>
    </row>
    <row r="6" spans="1:37" ht="15" customHeight="1" x14ac:dyDescent="0.55000000000000004">
      <c r="A6" s="124" t="s">
        <v>106</v>
      </c>
      <c r="B6" s="101" t="s">
        <v>101</v>
      </c>
      <c r="C6" s="110" t="s">
        <v>100</v>
      </c>
      <c r="D6" s="36"/>
      <c r="E6" s="36"/>
      <c r="F6" s="36"/>
      <c r="G6" s="43"/>
      <c r="X6" s="12"/>
    </row>
    <row r="7" spans="1:37" ht="15" customHeight="1" x14ac:dyDescent="0.55000000000000004">
      <c r="A7" s="124" t="s">
        <v>124</v>
      </c>
      <c r="B7" s="101">
        <v>100</v>
      </c>
      <c r="C7" s="110" t="s">
        <v>15</v>
      </c>
      <c r="D7" s="36"/>
      <c r="E7" s="36"/>
      <c r="F7" s="36"/>
      <c r="G7" s="43"/>
      <c r="X7" s="12"/>
    </row>
    <row r="8" spans="1:37" ht="15" customHeight="1" x14ac:dyDescent="0.55000000000000004">
      <c r="A8" s="121" t="str">
        <f>IF(B7=0,"Motor Phase Inductance [Ls]","-")</f>
        <v>-</v>
      </c>
      <c r="B8" s="101"/>
      <c r="C8" s="110" t="str">
        <f>IF(B7=0,"mH","-")</f>
        <v>-</v>
      </c>
      <c r="D8" s="36"/>
      <c r="E8" s="36"/>
      <c r="F8" s="36"/>
      <c r="G8" s="43"/>
      <c r="X8" s="12"/>
    </row>
    <row r="9" spans="1:37" ht="15" customHeight="1" x14ac:dyDescent="0.55000000000000004">
      <c r="A9" s="121" t="str">
        <f>IF(B7=0,"Motor Phase BEMF constant [Ke_ph(pk)]","-")</f>
        <v>-</v>
      </c>
      <c r="B9" s="101"/>
      <c r="C9" s="110" t="str">
        <f>IF(B7=0,"V/Hz","-")</f>
        <v>-</v>
      </c>
      <c r="D9" s="36"/>
      <c r="E9" s="36"/>
      <c r="F9" s="36"/>
      <c r="G9" s="43"/>
      <c r="X9" s="12"/>
    </row>
    <row r="10" spans="1:37" ht="15" customHeight="1" x14ac:dyDescent="0.55000000000000004">
      <c r="A10" s="121" t="s">
        <v>122</v>
      </c>
      <c r="B10" s="101">
        <v>133</v>
      </c>
      <c r="C10" s="109" t="s">
        <v>103</v>
      </c>
      <c r="D10" s="36"/>
      <c r="E10" s="36"/>
      <c r="F10" s="36"/>
      <c r="G10" s="43"/>
      <c r="X10" s="12"/>
    </row>
    <row r="11" spans="1:37" ht="15" customHeight="1" x14ac:dyDescent="0.55000000000000004">
      <c r="A11" s="119" t="s">
        <v>123</v>
      </c>
      <c r="B11" s="101">
        <v>20</v>
      </c>
      <c r="C11" s="110" t="s">
        <v>11</v>
      </c>
      <c r="D11" s="39"/>
      <c r="E11" s="39"/>
      <c r="F11" s="36"/>
      <c r="X11" s="12"/>
    </row>
    <row r="12" spans="1:37" ht="15" customHeight="1" x14ac:dyDescent="0.55000000000000004">
      <c r="A12" s="125" t="s">
        <v>126</v>
      </c>
      <c r="B12" s="102">
        <v>50</v>
      </c>
      <c r="C12" s="110" t="s">
        <v>9</v>
      </c>
      <c r="D12" s="39"/>
      <c r="E12" s="6"/>
      <c r="F12" s="1"/>
      <c r="X12" s="12"/>
    </row>
    <row r="13" spans="1:37" ht="15" customHeight="1" x14ac:dyDescent="0.55000000000000004">
      <c r="A13" s="126" t="s">
        <v>119</v>
      </c>
      <c r="B13" s="103">
        <v>5</v>
      </c>
      <c r="C13" s="110" t="s">
        <v>4</v>
      </c>
      <c r="D13" s="39"/>
      <c r="E13" s="6"/>
      <c r="F13" s="1"/>
      <c r="H13"/>
      <c r="I13"/>
      <c r="J13"/>
      <c r="K13"/>
      <c r="L13"/>
      <c r="M13"/>
      <c r="N13"/>
      <c r="AC13"/>
      <c r="AD13"/>
      <c r="AE13"/>
      <c r="AF13"/>
      <c r="AG13"/>
      <c r="AH13"/>
      <c r="AI13"/>
      <c r="AJ13"/>
      <c r="AK13"/>
    </row>
    <row r="14" spans="1:37" ht="15" customHeight="1" thickBot="1" x14ac:dyDescent="0.6">
      <c r="A14" s="127" t="s">
        <v>6</v>
      </c>
      <c r="B14" s="104">
        <v>25</v>
      </c>
      <c r="C14" s="111" t="s">
        <v>69</v>
      </c>
      <c r="D14" s="39"/>
      <c r="E14" s="6"/>
      <c r="F14" s="1"/>
      <c r="H14"/>
      <c r="I14"/>
      <c r="J14"/>
      <c r="K14"/>
      <c r="L14"/>
      <c r="M14"/>
      <c r="N14"/>
      <c r="AC14"/>
      <c r="AD14"/>
      <c r="AE14"/>
      <c r="AF14"/>
      <c r="AG14"/>
      <c r="AH14"/>
      <c r="AI14"/>
      <c r="AJ14"/>
      <c r="AK14"/>
    </row>
    <row r="15" spans="1:37" ht="15" customHeight="1" thickBot="1" x14ac:dyDescent="0.6">
      <c r="A15" s="128" t="s">
        <v>68</v>
      </c>
      <c r="B15" s="105"/>
      <c r="C15" s="112"/>
      <c r="D15" s="39"/>
      <c r="E15" s="6"/>
      <c r="F15" s="1"/>
      <c r="H15"/>
      <c r="I15"/>
      <c r="J15"/>
      <c r="K15"/>
      <c r="L15"/>
      <c r="M15"/>
      <c r="N15"/>
      <c r="AC15"/>
      <c r="AD15"/>
      <c r="AE15"/>
      <c r="AF15"/>
      <c r="AG15"/>
      <c r="AH15"/>
      <c r="AI15"/>
      <c r="AJ15"/>
      <c r="AK15"/>
    </row>
    <row r="16" spans="1:37" ht="15" customHeight="1" x14ac:dyDescent="0.55000000000000004">
      <c r="A16" s="129" t="s">
        <v>39</v>
      </c>
      <c r="B16" s="106">
        <v>4</v>
      </c>
      <c r="C16" s="113" t="s">
        <v>37</v>
      </c>
      <c r="D16" s="39"/>
      <c r="E16" s="6"/>
      <c r="F16" s="1"/>
      <c r="H16"/>
      <c r="I16"/>
      <c r="J16"/>
      <c r="K16"/>
      <c r="L16"/>
      <c r="M16"/>
      <c r="N16"/>
      <c r="AC16"/>
      <c r="AD16"/>
      <c r="AE16"/>
      <c r="AF16"/>
      <c r="AG16"/>
      <c r="AH16"/>
      <c r="AI16"/>
      <c r="AJ16"/>
      <c r="AK16"/>
    </row>
    <row r="17" spans="1:151" ht="15" customHeight="1" x14ac:dyDescent="0.55000000000000004">
      <c r="A17" s="130" t="s">
        <v>64</v>
      </c>
      <c r="B17" s="107">
        <v>2</v>
      </c>
      <c r="C17" s="114" t="s">
        <v>38</v>
      </c>
      <c r="D17" s="39"/>
      <c r="E17" s="6"/>
      <c r="F17" s="1"/>
      <c r="H17"/>
      <c r="I17"/>
      <c r="J17"/>
      <c r="K17"/>
      <c r="L17"/>
      <c r="M17"/>
      <c r="N17"/>
      <c r="AC17"/>
      <c r="AD17"/>
      <c r="AE17"/>
      <c r="AF17"/>
      <c r="AG17"/>
      <c r="AH17"/>
      <c r="AI17"/>
      <c r="AJ17"/>
      <c r="AK17"/>
    </row>
    <row r="18" spans="1:151" ht="28" customHeight="1" thickBot="1" x14ac:dyDescent="0.6">
      <c r="A18" s="131" t="s">
        <v>42</v>
      </c>
      <c r="B18" s="108">
        <v>16</v>
      </c>
      <c r="C18" s="115" t="s">
        <v>43</v>
      </c>
      <c r="D18" s="39"/>
      <c r="E18" s="6"/>
      <c r="F18" s="1"/>
      <c r="G18"/>
      <c r="H18"/>
      <c r="I18"/>
      <c r="J18"/>
      <c r="K18"/>
      <c r="L18"/>
      <c r="M18"/>
      <c r="N18"/>
      <c r="AC18"/>
      <c r="AD18"/>
      <c r="AE18"/>
      <c r="AF18"/>
      <c r="AG18"/>
      <c r="AH18"/>
      <c r="AI18"/>
      <c r="AJ18"/>
      <c r="AK18"/>
    </row>
    <row r="19" spans="1:151" ht="28" customHeight="1" thickBot="1" x14ac:dyDescent="0.6">
      <c r="A19" s="216" t="s">
        <v>131</v>
      </c>
      <c r="B19" s="217"/>
      <c r="C19" s="218"/>
      <c r="D19" s="39"/>
      <c r="E19" s="6"/>
      <c r="F19" s="1"/>
      <c r="G19" s="1"/>
      <c r="H19"/>
      <c r="I19"/>
      <c r="J19"/>
      <c r="K19"/>
      <c r="L19"/>
      <c r="M19"/>
      <c r="N19"/>
      <c r="AC19"/>
      <c r="AD19"/>
      <c r="AE19"/>
      <c r="AF19"/>
      <c r="AG19"/>
      <c r="AH19"/>
      <c r="AI19"/>
      <c r="AJ19"/>
      <c r="AK19"/>
      <c r="AO19" s="15"/>
    </row>
    <row r="20" spans="1:151" s="1" customFormat="1" ht="32.049999999999997" customHeight="1" x14ac:dyDescent="0.55000000000000004">
      <c r="D20" s="36"/>
      <c r="G20"/>
      <c r="H20"/>
      <c r="I20"/>
      <c r="AN20"/>
      <c r="AO20" s="16"/>
      <c r="EU20"/>
    </row>
    <row r="21" spans="1:151" ht="22.5" customHeight="1" x14ac:dyDescent="0.55000000000000004">
      <c r="G21"/>
      <c r="H21"/>
      <c r="I21"/>
    </row>
    <row r="22" spans="1:151" x14ac:dyDescent="0.55000000000000004">
      <c r="G22"/>
      <c r="H22"/>
      <c r="I22"/>
    </row>
    <row r="23" spans="1:151" x14ac:dyDescent="0.55000000000000004">
      <c r="G23"/>
      <c r="H23"/>
      <c r="I23"/>
    </row>
    <row r="24" spans="1:151" x14ac:dyDescent="0.55000000000000004">
      <c r="G24"/>
      <c r="H24"/>
      <c r="I24"/>
    </row>
    <row r="25" spans="1:151" x14ac:dyDescent="0.55000000000000004">
      <c r="G25"/>
      <c r="H25"/>
      <c r="I25"/>
    </row>
    <row r="26" spans="1:151" x14ac:dyDescent="0.55000000000000004">
      <c r="A26" s="34"/>
      <c r="G26"/>
      <c r="H26"/>
      <c r="I26"/>
    </row>
    <row r="27" spans="1:151" x14ac:dyDescent="0.55000000000000004">
      <c r="A27" s="34"/>
      <c r="G27"/>
      <c r="H27"/>
      <c r="I27"/>
    </row>
    <row r="28" spans="1:151" x14ac:dyDescent="0.55000000000000004">
      <c r="A28" s="34"/>
      <c r="G28"/>
      <c r="H28"/>
      <c r="I28"/>
    </row>
    <row r="29" spans="1:151" x14ac:dyDescent="0.55000000000000004">
      <c r="A29" s="33"/>
      <c r="B29" s="33"/>
      <c r="C29" s="33"/>
      <c r="G29"/>
      <c r="H29"/>
      <c r="I29"/>
    </row>
    <row r="30" spans="1:151" x14ac:dyDescent="0.55000000000000004">
      <c r="A30" s="34"/>
      <c r="G30"/>
      <c r="H30"/>
      <c r="I30"/>
    </row>
    <row r="31" spans="1:151" x14ac:dyDescent="0.55000000000000004">
      <c r="A31" s="28"/>
      <c r="B31" s="3"/>
      <c r="G31"/>
      <c r="H31"/>
      <c r="I31"/>
    </row>
    <row r="32" spans="1:151" x14ac:dyDescent="0.55000000000000004">
      <c r="A32" s="34"/>
      <c r="G32"/>
      <c r="H32"/>
      <c r="I32"/>
      <c r="EU32" s="1"/>
    </row>
    <row r="33" spans="1:151" x14ac:dyDescent="0.55000000000000004">
      <c r="A33" s="34"/>
      <c r="G33" s="1"/>
      <c r="H33"/>
      <c r="I33"/>
    </row>
    <row r="34" spans="1:151" s="1" customFormat="1" x14ac:dyDescent="0.55000000000000004">
      <c r="A34" s="36"/>
      <c r="B34" s="36"/>
      <c r="C34" s="36"/>
      <c r="D34" s="39"/>
      <c r="E34" s="6"/>
      <c r="G34"/>
      <c r="H34"/>
      <c r="I34"/>
      <c r="AN34"/>
      <c r="EU34"/>
    </row>
    <row r="35" spans="1:151" x14ac:dyDescent="0.55000000000000004">
      <c r="A35" s="34"/>
      <c r="G35"/>
      <c r="H35"/>
      <c r="I35"/>
    </row>
    <row r="36" spans="1:151" x14ac:dyDescent="0.55000000000000004">
      <c r="A36" s="34"/>
      <c r="G36"/>
      <c r="H36"/>
      <c r="I36"/>
    </row>
    <row r="37" spans="1:151" x14ac:dyDescent="0.55000000000000004">
      <c r="A37" s="34"/>
      <c r="G37"/>
      <c r="H37"/>
      <c r="I37"/>
    </row>
    <row r="38" spans="1:151" x14ac:dyDescent="0.55000000000000004">
      <c r="A38" s="34"/>
      <c r="G38"/>
      <c r="H38"/>
      <c r="I38"/>
    </row>
    <row r="39" spans="1:151" x14ac:dyDescent="0.55000000000000004">
      <c r="A39" s="34"/>
      <c r="G39"/>
      <c r="H39"/>
      <c r="I39"/>
    </row>
    <row r="40" spans="1:151" x14ac:dyDescent="0.55000000000000004">
      <c r="A40" s="34"/>
      <c r="G40"/>
      <c r="H40"/>
      <c r="I40"/>
    </row>
    <row r="41" spans="1:151" x14ac:dyDescent="0.55000000000000004">
      <c r="A41" s="34"/>
      <c r="G41"/>
      <c r="H41"/>
      <c r="I41"/>
    </row>
    <row r="42" spans="1:151" x14ac:dyDescent="0.55000000000000004">
      <c r="A42" s="34"/>
      <c r="G42"/>
      <c r="H42"/>
      <c r="I42"/>
    </row>
    <row r="43" spans="1:151" x14ac:dyDescent="0.55000000000000004">
      <c r="A43" s="34"/>
      <c r="G43"/>
      <c r="H43"/>
      <c r="I43"/>
    </row>
    <row r="44" spans="1:151" x14ac:dyDescent="0.55000000000000004">
      <c r="A44" s="34"/>
      <c r="G44"/>
      <c r="H44"/>
      <c r="I44"/>
    </row>
    <row r="45" spans="1:151" x14ac:dyDescent="0.55000000000000004">
      <c r="A45" s="34"/>
      <c r="G45"/>
      <c r="H45"/>
      <c r="I45"/>
    </row>
    <row r="46" spans="1:151" x14ac:dyDescent="0.55000000000000004">
      <c r="A46" s="34"/>
      <c r="G46"/>
      <c r="H46"/>
      <c r="I46"/>
    </row>
    <row r="47" spans="1:151" x14ac:dyDescent="0.55000000000000004">
      <c r="A47" s="34"/>
      <c r="G47"/>
      <c r="H47"/>
      <c r="I47"/>
    </row>
    <row r="48" spans="1:151" x14ac:dyDescent="0.55000000000000004">
      <c r="A48" s="34"/>
      <c r="G48"/>
      <c r="H48"/>
      <c r="I48"/>
    </row>
    <row r="49" spans="1:151" x14ac:dyDescent="0.55000000000000004">
      <c r="A49" s="34"/>
      <c r="G49"/>
      <c r="H49"/>
      <c r="I49"/>
    </row>
    <row r="50" spans="1:151" x14ac:dyDescent="0.55000000000000004">
      <c r="A50" s="33"/>
      <c r="B50" s="33"/>
      <c r="C50" s="33"/>
      <c r="F50" s="5"/>
      <c r="G50"/>
      <c r="H50"/>
      <c r="I50"/>
    </row>
    <row r="51" spans="1:151" x14ac:dyDescent="0.55000000000000004">
      <c r="A51" s="37"/>
      <c r="D51" s="14"/>
      <c r="E51" s="9"/>
      <c r="F51" s="9"/>
      <c r="G51"/>
      <c r="H51"/>
      <c r="I51"/>
    </row>
    <row r="52" spans="1:151" x14ac:dyDescent="0.55000000000000004">
      <c r="A52" s="34"/>
      <c r="F52" s="8"/>
      <c r="G52"/>
      <c r="H52"/>
      <c r="I52"/>
    </row>
    <row r="53" spans="1:151" x14ac:dyDescent="0.55000000000000004">
      <c r="A53" s="28"/>
      <c r="B53" s="3"/>
      <c r="G53"/>
      <c r="H53"/>
      <c r="I53"/>
      <c r="EU53" s="4"/>
    </row>
    <row r="54" spans="1:151" x14ac:dyDescent="0.55000000000000004">
      <c r="A54" s="33"/>
      <c r="B54" s="33"/>
      <c r="C54" s="33"/>
      <c r="G54" s="4"/>
      <c r="H54"/>
      <c r="I54"/>
      <c r="EU54" s="4"/>
    </row>
    <row r="55" spans="1:151" s="4" customFormat="1" x14ac:dyDescent="0.55000000000000004">
      <c r="A55" s="38"/>
      <c r="B55" s="32"/>
      <c r="C55" s="32"/>
      <c r="D55" s="40"/>
      <c r="E55" s="7"/>
      <c r="H55"/>
      <c r="I55"/>
      <c r="AN55"/>
      <c r="EU55"/>
    </row>
    <row r="56" spans="1:151" s="4" customFormat="1" x14ac:dyDescent="0.55000000000000004">
      <c r="A56" s="33"/>
      <c r="B56" s="33"/>
      <c r="C56" s="33"/>
      <c r="D56" s="40"/>
      <c r="E56" s="7"/>
      <c r="G56"/>
      <c r="H56"/>
      <c r="I56"/>
      <c r="AN56"/>
      <c r="EU56"/>
    </row>
    <row r="57" spans="1:151" x14ac:dyDescent="0.55000000000000004">
      <c r="A57" s="33"/>
      <c r="G57"/>
      <c r="H57"/>
      <c r="I57"/>
    </row>
    <row r="58" spans="1:151" x14ac:dyDescent="0.55000000000000004">
      <c r="A58" s="34"/>
      <c r="G58"/>
      <c r="H58"/>
      <c r="I58"/>
      <c r="DR58" s="42"/>
      <c r="DS58" s="42"/>
      <c r="DT58" s="42"/>
      <c r="DU58" s="42"/>
      <c r="EJ58" s="42"/>
      <c r="EK58" s="42"/>
      <c r="EL58" s="42"/>
      <c r="EM58" s="42"/>
      <c r="EN58" s="42"/>
      <c r="EO58" s="15"/>
      <c r="EP58" s="15"/>
      <c r="EQ58" s="15"/>
      <c r="ER58" s="15"/>
    </row>
    <row r="59" spans="1:151" x14ac:dyDescent="0.55000000000000004">
      <c r="A59" s="34"/>
      <c r="G59"/>
      <c r="H59"/>
      <c r="I59"/>
      <c r="DR59" s="42"/>
      <c r="DS59" s="42"/>
      <c r="DT59" s="42"/>
      <c r="DU59" s="42"/>
      <c r="EJ59" s="42"/>
      <c r="EK59" s="42"/>
      <c r="EL59" s="42"/>
      <c r="EM59" s="42"/>
      <c r="EN59" s="42"/>
      <c r="EO59" s="15"/>
      <c r="EP59" s="15"/>
      <c r="EQ59" s="15"/>
      <c r="ER59" s="15"/>
    </row>
    <row r="60" spans="1:151" x14ac:dyDescent="0.55000000000000004">
      <c r="A60" s="34"/>
      <c r="H60"/>
      <c r="I60"/>
      <c r="DR60" s="42"/>
      <c r="DS60" s="42"/>
      <c r="DT60" s="42"/>
      <c r="DU60" s="42"/>
      <c r="EJ60" s="42"/>
      <c r="EK60" s="42"/>
      <c r="EL60" s="42"/>
      <c r="EM60" s="42"/>
      <c r="EN60" s="42"/>
      <c r="EO60" s="15"/>
      <c r="EP60" s="15"/>
      <c r="EQ60" s="15"/>
      <c r="ER60" s="15"/>
    </row>
    <row r="61" spans="1:151" x14ac:dyDescent="0.55000000000000004">
      <c r="A61" s="34"/>
      <c r="H61"/>
      <c r="I61"/>
      <c r="DR61" s="42"/>
      <c r="DS61" s="42"/>
      <c r="DT61" s="42"/>
      <c r="DU61" s="42"/>
      <c r="EJ61" s="42"/>
      <c r="EK61" s="42"/>
      <c r="EL61" s="42"/>
      <c r="EM61" s="42"/>
      <c r="EN61" s="42"/>
      <c r="EO61" s="15"/>
      <c r="EP61" s="15"/>
      <c r="EQ61" s="15"/>
      <c r="ER61" s="15"/>
    </row>
    <row r="62" spans="1:151" x14ac:dyDescent="0.55000000000000004">
      <c r="A62" s="34"/>
      <c r="DR62" s="42"/>
      <c r="DS62" s="42"/>
      <c r="EH62" s="42"/>
      <c r="EI62" s="42"/>
      <c r="EJ62" s="42"/>
      <c r="EK62" s="42"/>
      <c r="EL62" s="42"/>
      <c r="EM62" s="15"/>
      <c r="EN62" s="15"/>
      <c r="EO62" s="15"/>
      <c r="EP62" s="15"/>
    </row>
    <row r="63" spans="1:151" x14ac:dyDescent="0.55000000000000004">
      <c r="A63" s="34"/>
      <c r="DR63" s="42"/>
      <c r="DS63" s="42"/>
      <c r="EH63" s="42"/>
      <c r="EI63" s="42"/>
      <c r="EJ63" s="42"/>
      <c r="EK63" s="42"/>
      <c r="EL63" s="42"/>
      <c r="EM63" s="15"/>
      <c r="EN63" s="15"/>
      <c r="EO63" s="15"/>
      <c r="EP63" s="15"/>
    </row>
    <row r="64" spans="1:151" x14ac:dyDescent="0.55000000000000004">
      <c r="A64" s="34"/>
      <c r="DR64" s="42"/>
      <c r="DS64" s="42"/>
      <c r="EH64" s="42"/>
      <c r="EI64" s="42"/>
      <c r="EJ64" s="42"/>
      <c r="EK64" s="42"/>
      <c r="EL64" s="42"/>
      <c r="EM64" s="15"/>
      <c r="EN64" s="15"/>
      <c r="EO64" s="15"/>
      <c r="EP64" s="15"/>
    </row>
    <row r="65" spans="1:1" x14ac:dyDescent="0.55000000000000004">
      <c r="A65" s="34"/>
    </row>
    <row r="66" spans="1:1" ht="43.5" customHeight="1" x14ac:dyDescent="0.55000000000000004">
      <c r="A66" s="34"/>
    </row>
    <row r="67" spans="1:1" x14ac:dyDescent="0.55000000000000004">
      <c r="A67" s="34"/>
    </row>
    <row r="68" spans="1:1" x14ac:dyDescent="0.55000000000000004">
      <c r="A68" s="34"/>
    </row>
    <row r="69" spans="1:1" x14ac:dyDescent="0.55000000000000004">
      <c r="A69" s="34"/>
    </row>
    <row r="70" spans="1:1" x14ac:dyDescent="0.55000000000000004">
      <c r="A70" s="34"/>
    </row>
    <row r="71" spans="1:1" x14ac:dyDescent="0.55000000000000004">
      <c r="A71" s="34"/>
    </row>
    <row r="72" spans="1:1" x14ac:dyDescent="0.55000000000000004">
      <c r="A72" s="34"/>
    </row>
    <row r="73" spans="1:1" x14ac:dyDescent="0.55000000000000004">
      <c r="A73" s="34"/>
    </row>
    <row r="74" spans="1:1" x14ac:dyDescent="0.55000000000000004">
      <c r="A74" s="34"/>
    </row>
    <row r="75" spans="1:1" x14ac:dyDescent="0.55000000000000004">
      <c r="A75" s="34"/>
    </row>
    <row r="76" spans="1:1" x14ac:dyDescent="0.55000000000000004">
      <c r="A76" s="34"/>
    </row>
    <row r="77" spans="1:1" x14ac:dyDescent="0.55000000000000004">
      <c r="A77" s="34"/>
    </row>
    <row r="78" spans="1:1" x14ac:dyDescent="0.55000000000000004">
      <c r="A78" s="34"/>
    </row>
    <row r="79" spans="1:1" x14ac:dyDescent="0.55000000000000004">
      <c r="A79" s="34"/>
    </row>
    <row r="80" spans="1:1" x14ac:dyDescent="0.55000000000000004">
      <c r="A80" s="34"/>
    </row>
    <row r="81" spans="1:33" x14ac:dyDescent="0.55000000000000004">
      <c r="A81" s="34"/>
    </row>
    <row r="82" spans="1:33" x14ac:dyDescent="0.55000000000000004">
      <c r="A82" s="34"/>
    </row>
    <row r="83" spans="1:33" x14ac:dyDescent="0.55000000000000004">
      <c r="A83" s="34"/>
    </row>
    <row r="84" spans="1:33" x14ac:dyDescent="0.55000000000000004">
      <c r="A84" s="34"/>
    </row>
    <row r="85" spans="1:33" x14ac:dyDescent="0.55000000000000004">
      <c r="A85" s="34"/>
    </row>
    <row r="86" spans="1:33" x14ac:dyDescent="0.55000000000000004">
      <c r="A86" s="34"/>
    </row>
    <row r="87" spans="1:33" x14ac:dyDescent="0.55000000000000004">
      <c r="A87" s="34"/>
    </row>
    <row r="88" spans="1:33" x14ac:dyDescent="0.55000000000000004">
      <c r="A88" s="34"/>
    </row>
    <row r="89" spans="1:33" x14ac:dyDescent="0.55000000000000004">
      <c r="A89" s="34"/>
    </row>
    <row r="90" spans="1:33" x14ac:dyDescent="0.55000000000000004">
      <c r="A90" s="34"/>
    </row>
    <row r="91" spans="1:33" x14ac:dyDescent="0.55000000000000004">
      <c r="A91" s="34"/>
    </row>
    <row r="92" spans="1:33" x14ac:dyDescent="0.55000000000000004">
      <c r="AG92" s="14"/>
    </row>
    <row r="93" spans="1:33" x14ac:dyDescent="0.55000000000000004">
      <c r="AG93" s="14"/>
    </row>
    <row r="94" spans="1:33" x14ac:dyDescent="0.55000000000000004">
      <c r="AG94" s="14"/>
    </row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spans="249:277" hidden="1" x14ac:dyDescent="0.55000000000000004"/>
    <row r="354" spans="249:277" hidden="1" x14ac:dyDescent="0.55000000000000004"/>
    <row r="355" spans="249:277" hidden="1" x14ac:dyDescent="0.55000000000000004"/>
    <row r="356" spans="249:277" hidden="1" x14ac:dyDescent="0.55000000000000004"/>
    <row r="357" spans="249:277" hidden="1" x14ac:dyDescent="0.55000000000000004"/>
    <row r="358" spans="249:277" hidden="1" x14ac:dyDescent="0.55000000000000004"/>
    <row r="359" spans="249:277" hidden="1" x14ac:dyDescent="0.55000000000000004"/>
    <row r="360" spans="249:277" ht="29.1" hidden="1" thickBot="1" x14ac:dyDescent="0.6">
      <c r="IO360" s="42"/>
      <c r="IP360" s="42"/>
      <c r="IQ360" s="42"/>
      <c r="IR360" s="42"/>
      <c r="IS360" s="42"/>
      <c r="IT360" s="42"/>
      <c r="IU360" s="42"/>
      <c r="IV360" s="42"/>
      <c r="JE360" s="79" t="s">
        <v>3</v>
      </c>
      <c r="JF360" s="79" t="s">
        <v>1</v>
      </c>
      <c r="JG360" s="79" t="s">
        <v>2</v>
      </c>
      <c r="JK360" s="42"/>
      <c r="JL360" s="42"/>
      <c r="JM360" s="42"/>
      <c r="JN360" s="42"/>
      <c r="JO360" s="42"/>
      <c r="JP360" s="15"/>
      <c r="JQ360" s="15"/>
    </row>
    <row r="361" spans="249:277" ht="29.1" hidden="1" thickBot="1" x14ac:dyDescent="0.6">
      <c r="IO361" s="13" t="s">
        <v>39</v>
      </c>
      <c r="IP361" s="46" t="s">
        <v>40</v>
      </c>
      <c r="IQ361" s="46" t="s">
        <v>41</v>
      </c>
      <c r="IR361" s="47" t="s">
        <v>42</v>
      </c>
      <c r="IS361" s="47" t="s">
        <v>8</v>
      </c>
      <c r="IT361" s="47" t="s">
        <v>36</v>
      </c>
      <c r="IU361" s="6" t="s">
        <v>70</v>
      </c>
      <c r="IV361" s="6" t="s">
        <v>98</v>
      </c>
      <c r="IW361" s="41" t="s">
        <v>99</v>
      </c>
      <c r="IX361" s="41"/>
      <c r="IZ361" s="150" t="s">
        <v>54</v>
      </c>
      <c r="JA361" s="151"/>
      <c r="JB361" s="151"/>
      <c r="JC361" s="152"/>
      <c r="JE361" s="37" t="s">
        <v>25</v>
      </c>
      <c r="JF361" s="3">
        <v>1.4829000000000001</v>
      </c>
      <c r="JG361" s="34" t="s">
        <v>13</v>
      </c>
      <c r="JH361" s="30"/>
      <c r="JI361" s="30"/>
      <c r="JK361" s="142" t="s">
        <v>72</v>
      </c>
      <c r="JL361" s="143"/>
      <c r="JM361" s="142" t="s">
        <v>73</v>
      </c>
      <c r="JN361" s="143"/>
      <c r="JO361" s="142" t="s">
        <v>74</v>
      </c>
      <c r="JP361" s="143"/>
      <c r="JQ361" s="15"/>
    </row>
    <row r="362" spans="249:277" ht="29.1" hidden="1" thickBot="1" x14ac:dyDescent="0.6">
      <c r="IO362" s="13">
        <v>2</v>
      </c>
      <c r="IP362" s="13">
        <v>1</v>
      </c>
      <c r="IQ362" s="13">
        <v>1</v>
      </c>
      <c r="IR362" s="48">
        <v>4</v>
      </c>
      <c r="IS362" s="47">
        <v>25</v>
      </c>
      <c r="IT362" s="13">
        <v>1.8</v>
      </c>
      <c r="IU362" s="6">
        <v>10</v>
      </c>
      <c r="IV362" s="6" t="s">
        <v>96</v>
      </c>
      <c r="IW362" s="41" t="s">
        <v>101</v>
      </c>
      <c r="IX362" s="41"/>
      <c r="IZ362" s="22" t="s">
        <v>50</v>
      </c>
      <c r="JA362" s="23" t="s">
        <v>51</v>
      </c>
      <c r="JB362" s="23" t="s">
        <v>52</v>
      </c>
      <c r="JC362" s="24" t="s">
        <v>53</v>
      </c>
      <c r="JE362" s="37" t="s">
        <v>32</v>
      </c>
      <c r="JF362" s="3">
        <v>0.99</v>
      </c>
      <c r="JG362" s="34"/>
      <c r="JH362" s="30"/>
      <c r="JI362" s="30"/>
      <c r="JK362" s="55" t="s">
        <v>75</v>
      </c>
      <c r="JL362" s="53">
        <f>$JF$365+($JI$367*(B14-25))</f>
        <v>47.5</v>
      </c>
      <c r="JM362" s="55" t="s">
        <v>76</v>
      </c>
      <c r="JN362" s="53">
        <f>$JF$365+($JI$367*(JL365-25))</f>
        <v>56.452964635000001</v>
      </c>
      <c r="JO362" s="55" t="s">
        <v>77</v>
      </c>
      <c r="JP362" s="87">
        <f>$JF$365+($JI$367*(JN365-25))</f>
        <v>57.423902634999997</v>
      </c>
      <c r="JQ362" s="88"/>
    </row>
    <row r="363" spans="249:277" ht="57.9" hidden="1" thickBot="1" x14ac:dyDescent="0.6">
      <c r="IO363" s="13">
        <v>4</v>
      </c>
      <c r="IP363" s="13">
        <v>2</v>
      </c>
      <c r="IQ363" s="13">
        <v>2</v>
      </c>
      <c r="IR363" s="48">
        <v>8</v>
      </c>
      <c r="IS363" s="47">
        <v>50</v>
      </c>
      <c r="IT363" s="13">
        <v>1.1000000000000001</v>
      </c>
      <c r="IU363" s="6">
        <v>15</v>
      </c>
      <c r="IV363" s="6" t="s">
        <v>97</v>
      </c>
      <c r="IW363" s="41" t="s">
        <v>102</v>
      </c>
      <c r="IX363" s="41"/>
      <c r="IZ363" s="19">
        <f>B17</f>
        <v>2</v>
      </c>
      <c r="JA363" s="17">
        <f>IF(B16&gt;2,JF369,"")</f>
        <v>1</v>
      </c>
      <c r="JB363" s="17">
        <f>IF(B16&gt;2,JF369,"")</f>
        <v>1</v>
      </c>
      <c r="JC363" s="20">
        <f>B17</f>
        <v>2</v>
      </c>
      <c r="JE363" s="37" t="s">
        <v>152</v>
      </c>
      <c r="JF363" s="3">
        <v>19.86</v>
      </c>
      <c r="JG363" s="34" t="s">
        <v>4</v>
      </c>
      <c r="JH363" t="s">
        <v>154</v>
      </c>
      <c r="JI363" s="30"/>
      <c r="JK363" s="56" t="s">
        <v>78</v>
      </c>
      <c r="JL363" s="11">
        <f>ROUND(3*$B$4*$B$4*JL362/(1000),3)</f>
        <v>0.89100000000000001</v>
      </c>
      <c r="JM363" s="56" t="s">
        <v>79</v>
      </c>
      <c r="JN363" s="11">
        <f>ROUND(3*$B$4*$B$4*JN362/(1000),3)</f>
        <v>1.0580000000000001</v>
      </c>
      <c r="JO363" s="56" t="s">
        <v>80</v>
      </c>
      <c r="JP363" s="11">
        <f>ROUND(3*$B$4*$B$4*JP362/(1000),3)</f>
        <v>1.077</v>
      </c>
      <c r="JQ363" s="15"/>
    </row>
    <row r="364" spans="249:277" ht="57.9" hidden="1" thickBot="1" x14ac:dyDescent="0.6">
      <c r="IO364" s="13"/>
      <c r="IP364" s="13">
        <v>3</v>
      </c>
      <c r="IQ364" s="13"/>
      <c r="IR364" s="48">
        <v>16</v>
      </c>
      <c r="IS364" s="13">
        <v>125</v>
      </c>
      <c r="IT364" s="13">
        <v>0.65</v>
      </c>
      <c r="IU364" s="6">
        <v>20</v>
      </c>
      <c r="IV364" s="6"/>
      <c r="IW364" s="41"/>
      <c r="IX364" s="41"/>
      <c r="IY364" s="41"/>
      <c r="IZ364" s="144" t="s">
        <v>49</v>
      </c>
      <c r="JA364" s="145"/>
      <c r="JB364" s="146"/>
      <c r="JC364" s="59" t="s">
        <v>59</v>
      </c>
      <c r="JE364" s="37" t="s">
        <v>153</v>
      </c>
      <c r="JF364" s="72">
        <v>15.57</v>
      </c>
      <c r="JG364" s="34" t="s">
        <v>4</v>
      </c>
      <c r="JH364" t="s">
        <v>155</v>
      </c>
      <c r="JK364" s="56" t="s">
        <v>81</v>
      </c>
      <c r="JL364" s="11">
        <f>JL363+$JI$368</f>
        <v>1.5398975980392158</v>
      </c>
      <c r="JM364" s="56" t="s">
        <v>82</v>
      </c>
      <c r="JN364" s="11">
        <f>JN363+$JI$368</f>
        <v>1.7068975980392156</v>
      </c>
      <c r="JO364" s="57" t="s">
        <v>83</v>
      </c>
      <c r="JP364" s="58">
        <f>JP363+$JI$368</f>
        <v>1.7258975980392157</v>
      </c>
      <c r="JQ364" s="15"/>
    </row>
    <row r="365" spans="249:277" ht="43.5" hidden="1" thickBot="1" x14ac:dyDescent="0.6">
      <c r="IO365" s="13"/>
      <c r="IP365" s="13"/>
      <c r="IQ365" s="13"/>
      <c r="IR365" s="48">
        <v>32</v>
      </c>
      <c r="IS365" s="47">
        <v>200</v>
      </c>
      <c r="IT365" s="13">
        <v>0.5</v>
      </c>
      <c r="IU365" s="6">
        <v>25</v>
      </c>
      <c r="IV365" s="6"/>
      <c r="IW365" s="41"/>
      <c r="IX365" s="41"/>
      <c r="IY365" s="41"/>
      <c r="IZ365" s="25" t="s">
        <v>46</v>
      </c>
      <c r="JA365" s="26" t="s">
        <v>45</v>
      </c>
      <c r="JB365" s="26" t="s">
        <v>61</v>
      </c>
      <c r="JC365" s="60" t="s">
        <v>60</v>
      </c>
      <c r="JE365" s="37" t="s">
        <v>27</v>
      </c>
      <c r="JF365" s="3">
        <v>47.5</v>
      </c>
      <c r="JG365" s="34" t="s">
        <v>5</v>
      </c>
      <c r="JK365" s="56" t="s">
        <v>84</v>
      </c>
      <c r="JL365" s="11">
        <f>$B$14+(JL364*$JF$370)</f>
        <v>74.738692416666666</v>
      </c>
      <c r="JM365" s="56" t="s">
        <v>85</v>
      </c>
      <c r="JN365" s="11">
        <f>$B$14+(JN364*$JF$370)</f>
        <v>80.132792416666661</v>
      </c>
      <c r="JO365" s="57" t="s">
        <v>86</v>
      </c>
      <c r="JP365" s="58">
        <f>$B$14+(JP364*$JF$370)</f>
        <v>80.746492416666655</v>
      </c>
      <c r="JQ365" s="15"/>
    </row>
    <row r="366" spans="249:277" ht="43.2" hidden="1" x14ac:dyDescent="0.55000000000000004">
      <c r="IO366" s="13"/>
      <c r="IP366" s="13"/>
      <c r="IQ366" s="13"/>
      <c r="IR366" s="48">
        <v>64</v>
      </c>
      <c r="IS366" s="13"/>
      <c r="IT366" s="13"/>
      <c r="IU366" s="6">
        <v>30</v>
      </c>
      <c r="IV366" s="6"/>
      <c r="IW366" s="41"/>
      <c r="IX366" s="41"/>
      <c r="IY366" s="41"/>
      <c r="IZ366" s="19" t="str">
        <f>_xlfn.TEXTJOIN(",",TRUE,IZ363:JC363)</f>
        <v>2,1,1,2</v>
      </c>
      <c r="JA366" s="17">
        <f>B18</f>
        <v>16</v>
      </c>
      <c r="JB366" s="17"/>
      <c r="JC366" s="20">
        <f>VLOOKUP(JA366&amp;IZ366,IY369:JB393,4,FALSE)</f>
        <v>32.299999999999997</v>
      </c>
      <c r="JE366" s="50" t="s">
        <v>159</v>
      </c>
      <c r="JF366" s="10">
        <v>70</v>
      </c>
      <c r="JG366" s="51" t="s">
        <v>5</v>
      </c>
      <c r="JH366" s="30"/>
      <c r="JI366" s="30"/>
      <c r="JK366" s="42"/>
      <c r="JL366" s="42"/>
      <c r="JM366" s="42"/>
      <c r="JN366" s="42"/>
      <c r="JO366" s="42"/>
      <c r="JP366" s="15"/>
      <c r="JQ366" s="15"/>
    </row>
    <row r="367" spans="249:277" ht="43.2" hidden="1" x14ac:dyDescent="0.55000000000000004">
      <c r="IO367" s="31"/>
      <c r="IP367" s="5"/>
      <c r="IQ367" s="42"/>
      <c r="IR367" s="42"/>
      <c r="IS367" s="42"/>
      <c r="IT367" s="42"/>
      <c r="IU367" s="6">
        <v>35</v>
      </c>
      <c r="IV367" s="42"/>
      <c r="IZ367" s="147" t="s">
        <v>44</v>
      </c>
      <c r="JA367" s="148"/>
      <c r="JB367" s="148"/>
      <c r="JC367" s="149"/>
      <c r="JE367" s="37" t="s">
        <v>6</v>
      </c>
      <c r="JF367" s="3">
        <v>25</v>
      </c>
      <c r="JG367" s="34" t="s">
        <v>7</v>
      </c>
      <c r="JH367" s="30" t="s">
        <v>71</v>
      </c>
      <c r="JI367" s="70">
        <f>(JF366-JF365)/(150-25)</f>
        <v>0.18</v>
      </c>
      <c r="JK367" s="42"/>
      <c r="JL367" s="42"/>
      <c r="JM367" s="42"/>
      <c r="JN367" s="42"/>
      <c r="JO367" s="42"/>
      <c r="JP367" s="15"/>
      <c r="JQ367" s="15"/>
    </row>
    <row r="368" spans="249:277" ht="129.6" hidden="1" x14ac:dyDescent="0.55000000000000004">
      <c r="IO368" s="31"/>
      <c r="IP368" s="5"/>
      <c r="IQ368" s="42"/>
      <c r="IR368" s="42"/>
      <c r="IS368" s="42"/>
      <c r="IT368" s="42"/>
      <c r="IU368" s="6">
        <v>40</v>
      </c>
      <c r="IV368" s="42"/>
      <c r="IY368" s="4" t="s">
        <v>62</v>
      </c>
      <c r="IZ368" s="137" t="s">
        <v>58</v>
      </c>
      <c r="JA368" s="138" t="s">
        <v>46</v>
      </c>
      <c r="JB368" s="139" t="s">
        <v>57</v>
      </c>
      <c r="JC368" s="27"/>
      <c r="JE368" s="37" t="s">
        <v>29</v>
      </c>
      <c r="JF368" s="3">
        <v>1.25</v>
      </c>
      <c r="JG368" s="34" t="s">
        <v>30</v>
      </c>
      <c r="JH368" s="49" t="s">
        <v>104</v>
      </c>
      <c r="JI368" s="61">
        <f>JF379+JF383+JF384+JF386+JF387+JF388+JF396</f>
        <v>0.64889759803921565</v>
      </c>
      <c r="JK368" s="42"/>
      <c r="JL368" s="42"/>
      <c r="JM368" s="42"/>
      <c r="JN368" s="42"/>
      <c r="JO368" s="42"/>
      <c r="JP368" s="15"/>
      <c r="JQ368" s="15"/>
    </row>
    <row r="369" spans="249:277" ht="43.2" hidden="1" x14ac:dyDescent="0.55000000000000004">
      <c r="IO369" s="31"/>
      <c r="IP369" s="5"/>
      <c r="IQ369" s="42"/>
      <c r="IR369" s="42"/>
      <c r="IS369" s="42"/>
      <c r="IT369" s="42"/>
      <c r="IU369" s="6">
        <v>45</v>
      </c>
      <c r="IV369" s="42"/>
      <c r="IY369" s="4" t="str">
        <f t="shared" ref="IY369:IY393" si="0">IZ369&amp;JA369</f>
        <v>41,1</v>
      </c>
      <c r="IZ369" s="19">
        <v>4</v>
      </c>
      <c r="JA369" s="17" t="s">
        <v>47</v>
      </c>
      <c r="JB369" s="134">
        <v>63.8</v>
      </c>
      <c r="JC369" s="18"/>
      <c r="JE369" s="35" t="str">
        <f>IF(B16&gt;2,"Internal Layers Cu Thickness","")</f>
        <v>Internal Layers Cu Thickness</v>
      </c>
      <c r="JF369" s="9">
        <v>1</v>
      </c>
      <c r="JG369" s="52" t="str">
        <f>IF(B16&gt;2,"oz","")</f>
        <v>oz</v>
      </c>
      <c r="JH369" s="30"/>
      <c r="JI369" s="30"/>
      <c r="JK369" s="42"/>
      <c r="JL369" s="42"/>
      <c r="JM369" s="42"/>
      <c r="JN369" s="42"/>
      <c r="JO369" s="42"/>
      <c r="JP369" s="15"/>
      <c r="JQ369" s="15"/>
    </row>
    <row r="370" spans="249:277" hidden="1" x14ac:dyDescent="0.55000000000000004">
      <c r="IO370" s="31"/>
      <c r="IP370" s="5"/>
      <c r="IQ370" s="42"/>
      <c r="IR370" s="42"/>
      <c r="IS370" s="42"/>
      <c r="IT370" s="42"/>
      <c r="IU370" s="6">
        <v>50</v>
      </c>
      <c r="IV370" s="42"/>
      <c r="IY370" s="4" t="str">
        <f t="shared" si="0"/>
        <v>42,2</v>
      </c>
      <c r="IZ370" s="19">
        <v>4</v>
      </c>
      <c r="JA370" s="17" t="s">
        <v>48</v>
      </c>
      <c r="JB370" s="135">
        <v>58.4</v>
      </c>
      <c r="JC370" s="20"/>
      <c r="JE370" s="38" t="s">
        <v>20</v>
      </c>
      <c r="JF370" s="3">
        <f>JC366</f>
        <v>32.299999999999997</v>
      </c>
      <c r="JG370" s="34" t="s">
        <v>10</v>
      </c>
      <c r="JH370" s="30"/>
      <c r="JI370" s="30"/>
      <c r="JK370" s="42"/>
      <c r="JL370" s="42"/>
      <c r="JM370" s="42"/>
      <c r="JN370" s="42"/>
      <c r="JO370" s="42"/>
      <c r="JP370" s="15"/>
      <c r="JQ370" s="15"/>
    </row>
    <row r="371" spans="249:277" ht="28.8" hidden="1" x14ac:dyDescent="0.55000000000000004">
      <c r="IO371" s="31"/>
      <c r="IP371" s="5"/>
      <c r="IQ371" s="42"/>
      <c r="IR371" s="42"/>
      <c r="IS371" s="42"/>
      <c r="IT371" s="42"/>
      <c r="IU371" s="6">
        <v>55</v>
      </c>
      <c r="IV371" s="42"/>
      <c r="IY371" s="4" t="str">
        <f t="shared" si="0"/>
        <v>41,1,1,1</v>
      </c>
      <c r="IZ371" s="19">
        <v>4</v>
      </c>
      <c r="JA371" s="17" t="s">
        <v>55</v>
      </c>
      <c r="JB371" s="134">
        <v>54.2</v>
      </c>
      <c r="JC371" s="20"/>
      <c r="JE371" s="79" t="s">
        <v>3</v>
      </c>
      <c r="JF371" s="79" t="s">
        <v>1</v>
      </c>
      <c r="JG371" s="79" t="s">
        <v>2</v>
      </c>
      <c r="JH371" s="30"/>
      <c r="JI371" s="30"/>
      <c r="JK371" s="42"/>
      <c r="JL371" s="42"/>
      <c r="JM371" s="42"/>
      <c r="JN371" s="42"/>
      <c r="JO371" s="42"/>
      <c r="JP371" s="15"/>
      <c r="JQ371" s="15"/>
    </row>
    <row r="372" spans="249:277" ht="43.2" hidden="1" x14ac:dyDescent="0.55000000000000004">
      <c r="IO372" s="31"/>
      <c r="IP372" s="5"/>
      <c r="IQ372" s="42"/>
      <c r="IR372" s="42"/>
      <c r="IS372" s="42"/>
      <c r="IT372" s="42"/>
      <c r="IU372" s="6">
        <v>60</v>
      </c>
      <c r="IV372" s="42"/>
      <c r="IY372" s="4" t="str">
        <f t="shared" si="0"/>
        <v>42,1,1,2</v>
      </c>
      <c r="IZ372" s="19">
        <v>4</v>
      </c>
      <c r="JA372" s="17" t="s">
        <v>56</v>
      </c>
      <c r="JB372" s="134">
        <v>52.4</v>
      </c>
      <c r="JC372" s="20"/>
      <c r="JE372" s="38" t="s">
        <v>22</v>
      </c>
      <c r="JF372" s="9">
        <f>ROUND((B3/SQRT(3))*JF362,2)</f>
        <v>6.86</v>
      </c>
      <c r="JG372" s="52" t="s">
        <v>0</v>
      </c>
      <c r="JH372" s="30"/>
      <c r="JI372" s="30"/>
      <c r="JK372" s="42"/>
      <c r="JL372" s="42"/>
      <c r="JM372" s="42"/>
      <c r="JN372" s="42"/>
      <c r="JO372" s="42"/>
      <c r="JP372" s="15"/>
      <c r="JQ372" s="15"/>
    </row>
    <row r="373" spans="249:277" ht="57.6" hidden="1" x14ac:dyDescent="0.55000000000000004">
      <c r="IO373" s="31"/>
      <c r="IP373" s="5"/>
      <c r="IQ373" s="42"/>
      <c r="IR373" s="42"/>
      <c r="IS373" s="42"/>
      <c r="IT373" s="42"/>
      <c r="IU373" s="6">
        <v>65</v>
      </c>
      <c r="IV373" s="42"/>
      <c r="IY373" s="4" t="str">
        <f t="shared" si="0"/>
        <v>81,1</v>
      </c>
      <c r="IZ373" s="19">
        <v>8</v>
      </c>
      <c r="JA373" s="17" t="s">
        <v>47</v>
      </c>
      <c r="JB373" s="134">
        <v>52.7</v>
      </c>
      <c r="JC373" s="20"/>
      <c r="JE373" s="38" t="s">
        <v>21</v>
      </c>
      <c r="JF373" s="9">
        <f>ROUND(JF372/1.41,2)</f>
        <v>4.87</v>
      </c>
      <c r="JG373" s="52" t="s">
        <v>0</v>
      </c>
      <c r="JH373" s="30"/>
      <c r="JI373" s="30"/>
      <c r="JJ373" s="1"/>
      <c r="JK373" s="1"/>
      <c r="JL373" s="1"/>
      <c r="JM373" s="1"/>
      <c r="JN373" s="1"/>
      <c r="JO373" s="1"/>
      <c r="JP373" s="16"/>
      <c r="JQ373" s="16"/>
    </row>
    <row r="374" spans="249:277" hidden="1" x14ac:dyDescent="0.55000000000000004">
      <c r="IO374" s="31"/>
      <c r="IP374" s="5"/>
      <c r="IQ374" s="42"/>
      <c r="IR374" s="42"/>
      <c r="IS374" s="42"/>
      <c r="IT374" s="42"/>
      <c r="IU374" s="6">
        <v>70</v>
      </c>
      <c r="IV374" s="42"/>
      <c r="IY374" s="4" t="str">
        <f t="shared" si="0"/>
        <v>82,2</v>
      </c>
      <c r="IZ374" s="19">
        <v>8</v>
      </c>
      <c r="JA374" s="17" t="s">
        <v>48</v>
      </c>
      <c r="JB374" s="135">
        <v>46.2</v>
      </c>
      <c r="JC374" s="20"/>
      <c r="JE374" s="38"/>
      <c r="JF374" s="34"/>
      <c r="JG374" s="34"/>
      <c r="JH374" s="30"/>
      <c r="JI374" s="30"/>
      <c r="JK374" s="42"/>
      <c r="JL374" s="42"/>
      <c r="JM374" s="42"/>
      <c r="JN374" s="42"/>
      <c r="JO374" s="42"/>
      <c r="JP374" s="15"/>
      <c r="JQ374" s="15"/>
    </row>
    <row r="375" spans="249:277" ht="43.2" hidden="1" x14ac:dyDescent="0.55000000000000004">
      <c r="IO375" s="31"/>
      <c r="IP375" s="5"/>
      <c r="IQ375" s="42"/>
      <c r="IR375" s="42"/>
      <c r="IS375" s="42"/>
      <c r="IT375" s="42"/>
      <c r="IU375" s="6">
        <v>75</v>
      </c>
      <c r="IV375" s="42"/>
      <c r="IY375" s="4" t="str">
        <f t="shared" si="0"/>
        <v>81,1,1,1</v>
      </c>
      <c r="IZ375" s="19">
        <v>8</v>
      </c>
      <c r="JA375" s="17" t="s">
        <v>55</v>
      </c>
      <c r="JB375" s="134">
        <v>42.5</v>
      </c>
      <c r="JC375" s="20"/>
      <c r="JE375" s="38" t="s">
        <v>23</v>
      </c>
      <c r="JF375" s="3">
        <f>B4/0.816</f>
        <v>3.0637254901960786</v>
      </c>
      <c r="JG375" s="34" t="s">
        <v>13</v>
      </c>
      <c r="JH375" s="30"/>
      <c r="JI375" s="30"/>
      <c r="JK375" s="42"/>
      <c r="JL375" s="42"/>
      <c r="JM375" s="42"/>
      <c r="JN375" s="42"/>
      <c r="JO375" s="42"/>
      <c r="JP375" s="15"/>
      <c r="JQ375" s="15"/>
    </row>
    <row r="376" spans="249:277" ht="28.8" hidden="1" x14ac:dyDescent="0.55000000000000004">
      <c r="IO376" s="31"/>
      <c r="IP376" s="5"/>
      <c r="IQ376" s="42"/>
      <c r="IR376" s="42"/>
      <c r="IS376" s="42"/>
      <c r="IT376" s="42"/>
      <c r="IU376" s="42"/>
      <c r="IV376" s="42"/>
      <c r="IY376" s="4" t="str">
        <f t="shared" si="0"/>
        <v>82,1,1,2</v>
      </c>
      <c r="IZ376" s="19">
        <v>8</v>
      </c>
      <c r="JA376" s="17" t="s">
        <v>56</v>
      </c>
      <c r="JB376" s="134">
        <v>40.6</v>
      </c>
      <c r="JC376" s="20"/>
      <c r="JE376" s="74" t="s">
        <v>14</v>
      </c>
      <c r="JF376" s="10">
        <f>B3/B12</f>
        <v>0.24</v>
      </c>
      <c r="JG376" s="51" t="s">
        <v>15</v>
      </c>
      <c r="JH376" s="30"/>
      <c r="JI376" s="30"/>
      <c r="JK376" s="42"/>
      <c r="JL376" s="42"/>
      <c r="JM376" s="42"/>
      <c r="JN376" s="42"/>
      <c r="JO376" s="42"/>
      <c r="JP376" s="15"/>
      <c r="JQ376" s="15"/>
    </row>
    <row r="377" spans="249:277" ht="115.2" hidden="1" x14ac:dyDescent="0.55000000000000004">
      <c r="IO377" s="31"/>
      <c r="IP377" s="5"/>
      <c r="IQ377" s="42"/>
      <c r="IR377" s="42"/>
      <c r="IS377" s="42"/>
      <c r="IT377" s="42"/>
      <c r="IU377" s="42"/>
      <c r="IV377" s="42"/>
      <c r="IY377" s="4" t="str">
        <f t="shared" si="0"/>
        <v>161,1</v>
      </c>
      <c r="IZ377" s="19">
        <v>16</v>
      </c>
      <c r="JA377" s="17" t="s">
        <v>47</v>
      </c>
      <c r="JB377" s="134">
        <v>45.9</v>
      </c>
      <c r="JC377" s="20"/>
      <c r="JE377" s="50" t="s">
        <v>127</v>
      </c>
      <c r="JF377" s="10">
        <f>VLOOKUP(B12,IS362:IT365,2,FALSE)</f>
        <v>1.1000000000000001</v>
      </c>
      <c r="JG377" s="51" t="s">
        <v>15</v>
      </c>
      <c r="JH377" s="30"/>
      <c r="JI377" s="30"/>
      <c r="JK377" s="42"/>
      <c r="JL377" s="42"/>
      <c r="JM377" s="42"/>
      <c r="JN377" s="42"/>
      <c r="JO377" s="42"/>
      <c r="JP377" s="15"/>
      <c r="JQ377" s="15"/>
    </row>
    <row r="378" spans="249:277" ht="28.8" hidden="1" x14ac:dyDescent="0.55000000000000004">
      <c r="IO378" s="31"/>
      <c r="IP378" s="5"/>
      <c r="IQ378" s="42"/>
      <c r="IR378" s="42"/>
      <c r="IS378" s="42"/>
      <c r="IT378" s="42"/>
      <c r="IU378" s="42"/>
      <c r="IV378" s="42"/>
      <c r="IY378" s="4" t="str">
        <f t="shared" si="0"/>
        <v>162,2</v>
      </c>
      <c r="IZ378" s="19">
        <v>16</v>
      </c>
      <c r="JA378" s="17" t="s">
        <v>48</v>
      </c>
      <c r="JB378" s="135">
        <v>38.1</v>
      </c>
      <c r="JC378" s="21"/>
      <c r="JE378" s="75" t="s">
        <v>18</v>
      </c>
      <c r="JF378" s="29" t="s">
        <v>1</v>
      </c>
      <c r="JG378" s="33" t="s">
        <v>2</v>
      </c>
      <c r="JH378" s="30"/>
      <c r="JI378" s="30"/>
      <c r="JK378" s="42"/>
      <c r="JL378" s="42"/>
      <c r="JM378" s="42"/>
      <c r="JN378" s="42"/>
      <c r="JO378" s="42"/>
      <c r="JP378" s="15"/>
      <c r="JQ378" s="15"/>
    </row>
    <row r="379" spans="249:277" ht="43.2" hidden="1" x14ac:dyDescent="0.55000000000000004">
      <c r="IO379" s="31"/>
      <c r="IP379" s="5"/>
      <c r="IQ379" s="42"/>
      <c r="IR379" s="42"/>
      <c r="IS379" s="42"/>
      <c r="IT379" s="42"/>
      <c r="IU379" s="42"/>
      <c r="IV379" s="42"/>
      <c r="IY379" s="4" t="str">
        <f t="shared" si="0"/>
        <v>161,1,1,1</v>
      </c>
      <c r="IZ379" s="19">
        <v>16</v>
      </c>
      <c r="JA379" s="17" t="s">
        <v>55</v>
      </c>
      <c r="JB379" s="134">
        <v>34.5</v>
      </c>
      <c r="JC379" s="20"/>
      <c r="JE379" s="38" t="s">
        <v>19</v>
      </c>
      <c r="JF379" s="73">
        <f>B3*IF(B3&gt;6.01,JF364,JF363)/1000</f>
        <v>0.18684000000000001</v>
      </c>
      <c r="JG379" s="34"/>
      <c r="JH379" s="30"/>
      <c r="JI379" s="30"/>
      <c r="JK379" s="42"/>
      <c r="JL379" s="42"/>
      <c r="JM379" s="42"/>
      <c r="JN379" s="42"/>
      <c r="JO379" s="42"/>
      <c r="JP379" s="15"/>
      <c r="JQ379" s="15"/>
    </row>
    <row r="380" spans="249:277" hidden="1" x14ac:dyDescent="0.55000000000000004">
      <c r="IO380" s="31"/>
      <c r="IP380" s="5"/>
      <c r="IQ380" s="42"/>
      <c r="IR380" s="42"/>
      <c r="IS380" s="42"/>
      <c r="IT380" s="42"/>
      <c r="IU380" s="42"/>
      <c r="IV380" s="42"/>
      <c r="IY380" s="4" t="str">
        <f t="shared" si="0"/>
        <v>162,1,1,2</v>
      </c>
      <c r="IZ380" s="19">
        <v>16</v>
      </c>
      <c r="JA380" s="17" t="s">
        <v>56</v>
      </c>
      <c r="JB380" s="134">
        <v>32.299999999999997</v>
      </c>
      <c r="JC380" s="20"/>
      <c r="JE380" s="38"/>
      <c r="JF380" s="3"/>
      <c r="JG380" s="34"/>
      <c r="JH380" s="30"/>
      <c r="JI380" s="30"/>
      <c r="JK380" s="42"/>
      <c r="JL380" s="42"/>
      <c r="JM380" s="42"/>
      <c r="JN380" s="42"/>
      <c r="JO380" s="42"/>
      <c r="JP380" s="15"/>
      <c r="JQ380" s="15"/>
    </row>
    <row r="381" spans="249:277" ht="28.8" hidden="1" x14ac:dyDescent="0.55000000000000004">
      <c r="IO381" s="31"/>
      <c r="IP381" s="5"/>
      <c r="IQ381" s="42"/>
      <c r="IR381" s="42"/>
      <c r="IS381" s="42"/>
      <c r="IT381" s="42"/>
      <c r="IU381" s="42"/>
      <c r="IV381" s="42"/>
      <c r="IY381" s="4" t="str">
        <f t="shared" si="0"/>
        <v>321,1</v>
      </c>
      <c r="IZ381" s="19">
        <v>32</v>
      </c>
      <c r="JA381" s="17" t="s">
        <v>47</v>
      </c>
      <c r="JB381" s="134">
        <v>42.1</v>
      </c>
      <c r="JC381" s="20"/>
      <c r="JE381" s="75" t="s">
        <v>87</v>
      </c>
      <c r="JF381" s="29" t="s">
        <v>1</v>
      </c>
      <c r="JG381" s="33" t="s">
        <v>2</v>
      </c>
      <c r="JH381" s="30"/>
      <c r="JI381" s="30"/>
      <c r="JK381" s="42"/>
      <c r="JL381" s="42"/>
      <c r="JM381" s="42"/>
      <c r="JN381" s="42"/>
      <c r="JO381" s="42"/>
      <c r="JP381" s="15"/>
      <c r="JQ381" s="15"/>
    </row>
    <row r="382" spans="249:277" ht="43.2" hidden="1" x14ac:dyDescent="0.55000000000000004">
      <c r="IO382" s="31"/>
      <c r="IP382" s="5"/>
      <c r="IQ382" s="42"/>
      <c r="IR382" s="42"/>
      <c r="IS382" s="42"/>
      <c r="IT382" s="42"/>
      <c r="IU382" s="42"/>
      <c r="IV382" s="42"/>
      <c r="IY382" s="4" t="str">
        <f t="shared" si="0"/>
        <v>322,2</v>
      </c>
      <c r="IZ382" s="19">
        <v>32</v>
      </c>
      <c r="JA382" s="17" t="s">
        <v>48</v>
      </c>
      <c r="JB382" s="135">
        <v>33.200000000000003</v>
      </c>
      <c r="JC382" s="20"/>
      <c r="JE382" s="76" t="s">
        <v>16</v>
      </c>
      <c r="JF382" s="72">
        <f>ROUND(2*JF375*JF375*JP362/(1000),3)</f>
        <v>1.0780000000000001</v>
      </c>
      <c r="JG382" s="34" t="s">
        <v>12</v>
      </c>
      <c r="JH382" s="71" t="s">
        <v>113</v>
      </c>
      <c r="JI382" s="30"/>
      <c r="JK382" s="42"/>
      <c r="JL382" s="42"/>
      <c r="JM382" s="42"/>
      <c r="JN382" s="42"/>
      <c r="JO382" s="42"/>
      <c r="JP382" s="15"/>
      <c r="JQ382" s="15"/>
    </row>
    <row r="383" spans="249:277" ht="43.2" hidden="1" x14ac:dyDescent="0.55000000000000004">
      <c r="IO383" s="31"/>
      <c r="IP383" s="5"/>
      <c r="IQ383" s="42"/>
      <c r="IR383" s="42"/>
      <c r="IS383" s="42"/>
      <c r="IT383" s="42"/>
      <c r="IU383" s="42"/>
      <c r="IV383" s="42"/>
      <c r="IY383" s="4" t="str">
        <f t="shared" si="0"/>
        <v>321,1,1,1</v>
      </c>
      <c r="IZ383" s="19">
        <v>32</v>
      </c>
      <c r="JA383" s="17" t="s">
        <v>55</v>
      </c>
      <c r="JB383" s="134">
        <v>29.5</v>
      </c>
      <c r="JC383" s="20"/>
      <c r="JE383" s="76" t="s">
        <v>17</v>
      </c>
      <c r="JF383" s="73">
        <f>ROUND(B3*JF375*JF376/1000000*B11*1000,3)</f>
        <v>0.17599999999999999</v>
      </c>
      <c r="JG383" s="34" t="s">
        <v>12</v>
      </c>
      <c r="JH383" s="71" t="s">
        <v>114</v>
      </c>
      <c r="JI383" s="30"/>
      <c r="JK383" s="42"/>
      <c r="JL383" s="42"/>
      <c r="JM383" s="42"/>
      <c r="JN383" s="42"/>
      <c r="JO383" s="42"/>
      <c r="JP383" s="15"/>
      <c r="JQ383" s="15"/>
    </row>
    <row r="384" spans="249:277" ht="28.8" hidden="1" x14ac:dyDescent="0.55000000000000004">
      <c r="IO384" s="31"/>
      <c r="IP384" s="5"/>
      <c r="IQ384" s="42"/>
      <c r="IR384" s="42"/>
      <c r="IS384" s="42"/>
      <c r="IT384" s="42"/>
      <c r="IU384" s="42"/>
      <c r="IV384" s="42"/>
      <c r="IY384" s="4" t="str">
        <f t="shared" si="0"/>
        <v>322,1,1,2</v>
      </c>
      <c r="IZ384" s="19">
        <v>32</v>
      </c>
      <c r="JA384" s="17" t="s">
        <v>56</v>
      </c>
      <c r="JB384" s="134">
        <v>27</v>
      </c>
      <c r="JC384" s="20"/>
      <c r="JE384" s="76" t="s">
        <v>31</v>
      </c>
      <c r="JF384" s="73">
        <f>JF368*5*B11*0.000000001*1000</f>
        <v>1.2500000000000003E-4</v>
      </c>
      <c r="JG384" s="34" t="s">
        <v>12</v>
      </c>
      <c r="JH384" s="89" t="s">
        <v>118</v>
      </c>
      <c r="JI384" s="30"/>
      <c r="JK384" s="42"/>
      <c r="JL384" s="42"/>
      <c r="JM384" s="42"/>
      <c r="JN384" s="42"/>
      <c r="JO384" s="42"/>
      <c r="JP384" s="15"/>
      <c r="JQ384" s="15"/>
    </row>
    <row r="385" spans="249:277" ht="43.2" hidden="1" x14ac:dyDescent="0.55000000000000004">
      <c r="IO385" s="31"/>
      <c r="IP385" s="5"/>
      <c r="IQ385" s="42"/>
      <c r="IR385" s="42"/>
      <c r="IS385" s="42"/>
      <c r="IT385" s="42"/>
      <c r="IU385" s="42"/>
      <c r="IV385" s="42"/>
      <c r="IY385" s="4" t="str">
        <f t="shared" si="0"/>
        <v>641,1</v>
      </c>
      <c r="IZ385" s="19">
        <v>64</v>
      </c>
      <c r="JA385" s="17" t="s">
        <v>47</v>
      </c>
      <c r="JB385" s="134">
        <v>40.200000000000003</v>
      </c>
      <c r="JC385" s="20"/>
      <c r="JE385" s="76" t="s">
        <v>88</v>
      </c>
      <c r="JF385" s="72">
        <f>JF382+JF383+JF384</f>
        <v>1.2541249999999999</v>
      </c>
      <c r="JG385" s="34" t="s">
        <v>12</v>
      </c>
      <c r="JH385" s="30"/>
      <c r="JI385" s="30"/>
      <c r="JK385" s="42"/>
      <c r="JL385" s="42"/>
      <c r="JM385" s="42"/>
      <c r="JN385" s="42"/>
      <c r="JO385" s="42"/>
      <c r="JP385" s="15"/>
      <c r="JQ385" s="15"/>
    </row>
    <row r="386" spans="249:277" hidden="1" x14ac:dyDescent="0.55000000000000004">
      <c r="IO386" s="31"/>
      <c r="IP386" s="5"/>
      <c r="IQ386" s="42"/>
      <c r="IR386" s="42"/>
      <c r="IS386" s="42"/>
      <c r="IT386" s="42"/>
      <c r="IU386" s="42"/>
      <c r="IV386" s="42"/>
      <c r="IY386" s="4" t="str">
        <f t="shared" si="0"/>
        <v>642,2</v>
      </c>
      <c r="IZ386" s="19">
        <v>64</v>
      </c>
      <c r="JA386" s="17" t="s">
        <v>48</v>
      </c>
      <c r="JB386" s="135">
        <v>30.4</v>
      </c>
      <c r="JC386" s="20"/>
      <c r="JE386" s="77" t="s">
        <v>33</v>
      </c>
      <c r="JF386" s="85">
        <f>2*0.7*JF375*B11*1000*JF377/1000000</f>
        <v>9.4362745098039214E-2</v>
      </c>
      <c r="JG386" s="34" t="s">
        <v>12</v>
      </c>
      <c r="JH386" s="71" t="s">
        <v>115</v>
      </c>
      <c r="JI386" s="30"/>
      <c r="JK386" s="42"/>
      <c r="JL386" s="42"/>
      <c r="JM386" s="42"/>
      <c r="JN386" s="42"/>
      <c r="JO386" s="42"/>
      <c r="JP386" s="15"/>
      <c r="JQ386" s="15"/>
    </row>
    <row r="387" spans="249:277" ht="43.2" hidden="1" x14ac:dyDescent="0.55000000000000004">
      <c r="IO387" s="31"/>
      <c r="IP387" s="5"/>
      <c r="IQ387" s="42"/>
      <c r="IR387" s="42"/>
      <c r="IS387" s="42"/>
      <c r="IT387" s="42"/>
      <c r="IU387" s="42"/>
      <c r="IV387" s="42"/>
      <c r="IY387" s="4" t="str">
        <f t="shared" si="0"/>
        <v>641,1,1,1</v>
      </c>
      <c r="IZ387" s="19">
        <v>64</v>
      </c>
      <c r="JA387" s="17" t="s">
        <v>55</v>
      </c>
      <c r="JB387" s="134">
        <v>26.6</v>
      </c>
      <c r="JC387" s="20"/>
      <c r="JE387" s="78" t="s">
        <v>34</v>
      </c>
      <c r="JF387" s="85">
        <f>(B3-3.3)*B13*0.001</f>
        <v>4.3500000000000004E-2</v>
      </c>
      <c r="JG387" s="34" t="s">
        <v>12</v>
      </c>
      <c r="JH387" s="70" t="s">
        <v>117</v>
      </c>
      <c r="JI387" s="30"/>
      <c r="JK387" s="42"/>
      <c r="JL387" s="42"/>
      <c r="JM387" s="42"/>
      <c r="JN387" s="42"/>
      <c r="JO387" s="42"/>
      <c r="JP387" s="15"/>
      <c r="JQ387" s="15"/>
    </row>
    <row r="388" spans="249:277" hidden="1" x14ac:dyDescent="0.55000000000000004">
      <c r="IO388" s="31"/>
      <c r="IP388" s="5"/>
      <c r="IQ388" s="42"/>
      <c r="IR388" s="42"/>
      <c r="IS388" s="42"/>
      <c r="IT388" s="42"/>
      <c r="IU388" s="42"/>
      <c r="IV388" s="42"/>
      <c r="IY388" s="4" t="str">
        <f t="shared" si="0"/>
        <v>642,1,1,2</v>
      </c>
      <c r="IZ388" s="62">
        <v>64</v>
      </c>
      <c r="JA388" s="63" t="s">
        <v>56</v>
      </c>
      <c r="JB388" s="136">
        <v>23.9</v>
      </c>
      <c r="JC388" s="64"/>
      <c r="JE388" s="77" t="s">
        <v>35</v>
      </c>
      <c r="JF388" s="85">
        <v>6.25E-2</v>
      </c>
      <c r="JG388" s="34" t="s">
        <v>12</v>
      </c>
      <c r="JH388" s="30" t="s">
        <v>116</v>
      </c>
      <c r="JI388" s="30"/>
      <c r="JK388" s="42"/>
      <c r="JL388" s="42"/>
      <c r="JM388" s="42"/>
      <c r="JN388" s="42"/>
      <c r="JO388" s="42"/>
      <c r="JP388" s="15"/>
      <c r="JQ388" s="15"/>
    </row>
    <row r="389" spans="249:277" hidden="1" x14ac:dyDescent="0.55000000000000004">
      <c r="IO389" s="31"/>
      <c r="IP389" s="5"/>
      <c r="IQ389" s="42"/>
      <c r="IR389" s="42"/>
      <c r="IS389" s="42"/>
      <c r="IT389" s="42"/>
      <c r="IU389" s="42"/>
      <c r="IV389" s="42"/>
      <c r="IY389" s="67" t="str">
        <f t="shared" si="0"/>
        <v>43,1,1,3</v>
      </c>
      <c r="IZ389" s="66">
        <v>4</v>
      </c>
      <c r="JA389" s="65" t="s">
        <v>105</v>
      </c>
      <c r="JB389" s="134">
        <v>51.1</v>
      </c>
      <c r="JC389" s="68"/>
      <c r="JE389" s="38"/>
      <c r="JF389" s="3"/>
      <c r="JG389" s="34"/>
      <c r="JH389" s="30"/>
      <c r="JI389" s="30"/>
      <c r="JK389" s="42"/>
      <c r="JL389" s="42"/>
      <c r="JM389" s="42"/>
      <c r="JN389" s="42"/>
      <c r="JO389" s="42"/>
      <c r="JP389" s="15"/>
      <c r="JQ389" s="15"/>
    </row>
    <row r="390" spans="249:277" ht="28.8" hidden="1" x14ac:dyDescent="0.55000000000000004">
      <c r="IO390" s="44"/>
      <c r="IP390" s="42"/>
      <c r="IQ390" s="42"/>
      <c r="IR390" s="42"/>
      <c r="IS390" s="42"/>
      <c r="IT390" s="42"/>
      <c r="IU390" s="42"/>
      <c r="IV390" s="42"/>
      <c r="IY390" s="67" t="str">
        <f t="shared" si="0"/>
        <v>83,1,1,3</v>
      </c>
      <c r="IZ390" s="66">
        <v>8</v>
      </c>
      <c r="JA390" s="65" t="s">
        <v>105</v>
      </c>
      <c r="JB390" s="134">
        <v>39</v>
      </c>
      <c r="JC390" s="68"/>
      <c r="JE390" s="79" t="s">
        <v>3</v>
      </c>
      <c r="JF390" s="79" t="s">
        <v>1</v>
      </c>
      <c r="JG390" s="79" t="s">
        <v>2</v>
      </c>
      <c r="JH390" s="30"/>
      <c r="JI390" s="30"/>
      <c r="JK390" s="42"/>
      <c r="JL390" s="42"/>
      <c r="JM390" s="42"/>
      <c r="JN390" s="42"/>
      <c r="JO390" s="42"/>
      <c r="JP390" s="15"/>
      <c r="JQ390" s="15"/>
    </row>
    <row r="391" spans="249:277" hidden="1" x14ac:dyDescent="0.55000000000000004">
      <c r="IO391" s="8"/>
      <c r="IP391" s="42"/>
      <c r="IQ391" s="42"/>
      <c r="IR391" s="42"/>
      <c r="IS391" s="42"/>
      <c r="IT391" s="42"/>
      <c r="IU391" s="42"/>
      <c r="IV391" s="42"/>
      <c r="IY391" s="67" t="str">
        <f t="shared" si="0"/>
        <v>163,1,1,3</v>
      </c>
      <c r="IZ391" s="66">
        <v>16</v>
      </c>
      <c r="JA391" s="65" t="s">
        <v>105</v>
      </c>
      <c r="JB391" s="134">
        <v>30.6</v>
      </c>
      <c r="JC391" s="68"/>
      <c r="JE391" s="32" t="s">
        <v>90</v>
      </c>
      <c r="JF391" s="30"/>
      <c r="JG391" s="30"/>
      <c r="JH391" s="30"/>
      <c r="JI391" s="30"/>
      <c r="JK391" s="42"/>
      <c r="JL391" s="42"/>
      <c r="JM391" s="42"/>
      <c r="JN391" s="42"/>
      <c r="JO391" s="42"/>
      <c r="JP391" s="15"/>
      <c r="JQ391" s="15"/>
    </row>
    <row r="392" spans="249:277" hidden="1" x14ac:dyDescent="0.55000000000000004">
      <c r="IO392" s="42"/>
      <c r="IP392" s="42"/>
      <c r="IQ392" s="42"/>
      <c r="IR392" s="42"/>
      <c r="IS392" s="42"/>
      <c r="IT392" s="42"/>
      <c r="IU392" s="42"/>
      <c r="IV392" s="42"/>
      <c r="IY392" s="67" t="str">
        <f t="shared" si="0"/>
        <v>323,1,1,3</v>
      </c>
      <c r="IZ392" s="66">
        <v>32</v>
      </c>
      <c r="JA392" s="65" t="s">
        <v>105</v>
      </c>
      <c r="JB392" s="134">
        <v>25.1</v>
      </c>
      <c r="JC392" s="68"/>
      <c r="JE392" s="153" t="s">
        <v>91</v>
      </c>
      <c r="JF392" s="9">
        <f>B9*B10</f>
        <v>0</v>
      </c>
      <c r="JG392" s="52" t="s">
        <v>0</v>
      </c>
      <c r="JH392" s="15"/>
      <c r="JI392" s="15"/>
      <c r="JK392" s="42"/>
      <c r="JL392" s="42"/>
      <c r="JM392" s="42"/>
      <c r="JN392" s="42"/>
      <c r="JO392" s="42"/>
      <c r="JP392" s="15"/>
      <c r="JQ392" s="15"/>
    </row>
    <row r="393" spans="249:277" ht="72.3" hidden="1" thickBot="1" x14ac:dyDescent="0.6">
      <c r="IO393" s="42"/>
      <c r="IP393" s="42"/>
      <c r="IQ393" s="42"/>
      <c r="IR393" s="42"/>
      <c r="IS393" s="42"/>
      <c r="IT393" s="42"/>
      <c r="IU393" s="42"/>
      <c r="IV393" s="42"/>
      <c r="IY393" s="67" t="str">
        <f t="shared" si="0"/>
        <v>643,1,1,3</v>
      </c>
      <c r="IZ393" s="140">
        <v>64</v>
      </c>
      <c r="JA393" s="141" t="s">
        <v>105</v>
      </c>
      <c r="JB393" s="136">
        <v>21.7</v>
      </c>
      <c r="JC393" s="69"/>
      <c r="JE393" s="74" t="s">
        <v>92</v>
      </c>
      <c r="JF393" s="10">
        <f>IF(B7=0,IF(B6="Wye",(JF375*3*B8*1000)/(B3+(2*JF392)),(JF375*B8*1000)/(B3+JF392)),B7)</f>
        <v>100</v>
      </c>
      <c r="JG393" s="51" t="s">
        <v>15</v>
      </c>
      <c r="JH393" s="78" t="s">
        <v>110</v>
      </c>
      <c r="JI393" s="80" t="s">
        <v>109</v>
      </c>
      <c r="JK393" s="81"/>
      <c r="JL393" s="42"/>
      <c r="JM393" s="42"/>
      <c r="JN393" s="42"/>
      <c r="JO393" s="42"/>
      <c r="JP393" s="15"/>
      <c r="JQ393" s="15"/>
    </row>
    <row r="394" spans="249:277" ht="72" hidden="1" x14ac:dyDescent="0.55000000000000004">
      <c r="IO394" s="45"/>
      <c r="IP394" s="45"/>
      <c r="IQ394" s="45"/>
      <c r="IR394" s="45"/>
      <c r="IS394" s="45"/>
      <c r="IT394" s="45"/>
      <c r="IU394" s="45"/>
      <c r="IV394" s="45"/>
      <c r="IW394" s="4"/>
      <c r="IX394" s="4"/>
      <c r="IY394" s="4"/>
      <c r="IZ394" s="4"/>
      <c r="JA394" s="4"/>
      <c r="JB394" s="4"/>
      <c r="JC394" s="4"/>
      <c r="JD394" s="4"/>
      <c r="JE394" s="38" t="s">
        <v>93</v>
      </c>
      <c r="JF394" s="3">
        <f>6*(1/2)*0.7*JF375*JF393/1000000*B10</f>
        <v>8.5569852941176472E-2</v>
      </c>
      <c r="JG394" s="34" t="s">
        <v>12</v>
      </c>
      <c r="JH394" s="82" t="s">
        <v>108</v>
      </c>
      <c r="JI394" s="83"/>
      <c r="JJ394" s="4"/>
      <c r="JK394" s="84"/>
      <c r="JL394" s="45"/>
      <c r="JM394" s="45"/>
      <c r="JN394" s="45"/>
      <c r="JO394" s="45"/>
      <c r="JP394" s="45"/>
      <c r="JQ394" s="4"/>
    </row>
    <row r="395" spans="249:277" ht="86.4" hidden="1" x14ac:dyDescent="0.55000000000000004">
      <c r="IO395" s="45"/>
      <c r="IP395" s="45"/>
      <c r="IQ395" s="45"/>
      <c r="IR395" s="45"/>
      <c r="IS395" s="45"/>
      <c r="IT395" s="45"/>
      <c r="IU395" s="45"/>
      <c r="IV395" s="45"/>
      <c r="IW395" s="4"/>
      <c r="IX395" s="4"/>
      <c r="IY395" s="4"/>
      <c r="IZ395" s="4"/>
      <c r="JA395" s="4"/>
      <c r="JB395" s="4"/>
      <c r="JC395" s="4"/>
      <c r="JD395" s="4"/>
      <c r="JE395" s="38" t="s">
        <v>94</v>
      </c>
      <c r="JF395" s="3">
        <f>6*(1/3)*JF375*JF375*JL362/1000*JF393/1000000*B10</f>
        <v>1.1859733936466745E-2</v>
      </c>
      <c r="JG395" s="34" t="s">
        <v>12</v>
      </c>
      <c r="JH395" s="76" t="s">
        <v>107</v>
      </c>
      <c r="JI395" s="83"/>
      <c r="JJ395" s="4"/>
      <c r="JK395" s="84"/>
      <c r="JL395" s="45"/>
      <c r="JM395" s="45"/>
      <c r="JN395" s="45"/>
      <c r="JO395" s="45"/>
      <c r="JP395" s="45"/>
      <c r="JQ395" s="4"/>
    </row>
    <row r="396" spans="249:277" ht="28.8" hidden="1" x14ac:dyDescent="0.55000000000000004">
      <c r="IO396" s="42"/>
      <c r="IP396" s="42"/>
      <c r="IQ396" s="42"/>
      <c r="IR396" s="42"/>
      <c r="IS396" s="42"/>
      <c r="IT396" s="42"/>
      <c r="IU396" s="42"/>
      <c r="IV396" s="42"/>
      <c r="JE396" s="38" t="s">
        <v>95</v>
      </c>
      <c r="JF396" s="86">
        <f>IF($B$5="No",JF394,JF395)</f>
        <v>8.5569852941176472E-2</v>
      </c>
      <c r="JG396" s="34" t="s">
        <v>12</v>
      </c>
      <c r="JH396" s="30"/>
      <c r="JK396" s="42"/>
      <c r="JL396" s="42"/>
      <c r="JM396" s="42"/>
      <c r="JN396" s="42"/>
      <c r="JO396" s="42"/>
      <c r="JP396" s="15"/>
      <c r="JQ396" s="15"/>
    </row>
    <row r="397" spans="249:277" hidden="1" x14ac:dyDescent="0.55000000000000004"/>
    <row r="398" spans="249:277" hidden="1" x14ac:dyDescent="0.55000000000000004"/>
  </sheetData>
  <mergeCells count="2">
    <mergeCell ref="B1:F1"/>
    <mergeCell ref="A19:C19"/>
  </mergeCells>
  <conditionalFormatting sqref="E4">
    <cfRule type="cellIs" dxfId="19" priority="1" operator="lessThan">
      <formula>125</formula>
    </cfRule>
    <cfRule type="cellIs" dxfId="18" priority="2" operator="greaterThan">
      <formula>125</formula>
    </cfRule>
  </conditionalFormatting>
  <dataValidations count="19">
    <dataValidation type="decimal" allowBlank="1" showInputMessage="1" showErrorMessage="1" error="This current is outside the operating range of the DRV8316" prompt="Enter an RMS current between 0 and 6.53 amps" sqref="B4" xr:uid="{40D4A556-C54A-475C-8A7A-9A0F42E598F2}">
      <formula1>0</formula1>
      <formula2>6.53</formula2>
    </dataValidation>
    <dataValidation type="list" allowBlank="1" showInputMessage="1" showErrorMessage="1" prompt="Select copper thickness of top/bottom layers (oz)" sqref="JF369 JN361" xr:uid="{CEC03310-B700-4A77-94AB-CFDDCFEFE849}">
      <formula1>$IP$362:$IP$363</formula1>
    </dataValidation>
    <dataValidation type="list" allowBlank="1" showInputMessage="1" showErrorMessage="1" prompt="Select copper thickness of internal layers if more than 2 layer PCB (oz)" sqref="JF369" xr:uid="{2B8F43E6-C9E8-4199-B7C0-455D714F1260}">
      <formula1>$IQ$362:$IQ$363</formula1>
    </dataValidation>
    <dataValidation type="decimal" allowBlank="1" showInputMessage="1" showErrorMessage="1" error="This voltage is outside the operating range of the DRV8316" prompt="Enter a motor supply voltage between 4.5 to 35 volts" sqref="B3" xr:uid="{542DF59C-F371-49C1-A1DD-9204EAFD64EB}">
      <formula1>4.5</formula1>
      <formula2>35</formula2>
    </dataValidation>
    <dataValidation allowBlank="1" showInputMessage="1" showErrorMessage="1" prompt="Enter the operating ambient temperature" sqref="JF367" xr:uid="{B37DCA3F-048E-4BE6-9FCE-89FEE7F5FA5F}"/>
    <dataValidation allowBlank="1" showInputMessage="1" showErrorMessage="1" prompt="Enter the motor's electrical frequency in Hz" sqref="B10" xr:uid="{0F7F7ECB-4AFB-45B2-ADD2-61ABF02A2C4B}"/>
    <dataValidation allowBlank="1" showInputMessage="1" showErrorMessage="1" prompt="Enter the motor phase's Back-EMF constant (Ke_ph)" sqref="B9" xr:uid="{9D75DA03-4DF7-459C-A2A6-309335D1531F}"/>
    <dataValidation allowBlank="1" showInputMessage="1" showErrorMessage="1" prompt="Enter the motor's phase inductance in mH" sqref="B8" xr:uid="{611BE085-E373-4C3D-9EDC-A84E6BC5C172}"/>
    <dataValidation allowBlank="1" showInputMessage="1" showErrorMessage="1" prompt="Enter the motor's commutation time (tcomm) as shown on the diagram to the right. If unknown, enter &quot;0&quot;" sqref="B7" xr:uid="{E02D3CF5-5095-4C32-8331-4161C65D90FD}"/>
    <dataValidation type="decimal" allowBlank="1" showInputMessage="1" showErrorMessage="1" error="This ambient temperature is outside the operating range of the DRV8316" prompt="Enter the ambient temperature  of the MCT8316A for normal operation from -40C to 125C" sqref="B14" xr:uid="{03B6D242-8AA3-43BC-BBC8-53EF74BE3189}">
      <formula1>-40</formula1>
      <formula2>125</formula2>
    </dataValidation>
    <dataValidation type="decimal" allowBlank="1" showInputMessage="1" showErrorMessage="1" error="AVDD output current out of range" prompt="Enter the AVDD output load current between 0 to 20 mA" sqref="B13" xr:uid="{89B7179C-2F72-49C9-8639-A5D37B875ECB}">
      <formula1>0</formula1>
      <formula2>20</formula2>
    </dataValidation>
    <dataValidation type="list" allowBlank="1" showInputMessage="1" showErrorMessage="1" prompt="Select copper thickness of top/bottom layers (oz)" sqref="B18" xr:uid="{A652AA96-2B52-450E-983F-804344672C89}">
      <formula1>$IR$362:$IR$366</formula1>
    </dataValidation>
    <dataValidation type="list" allowBlank="1" showInputMessage="1" showErrorMessage="1" error="This PWM frequency is outside of the operating range of the DRV8316" prompt="Select a PWM frequency between 10kHz and 75kHz" sqref="B11" xr:uid="{022D5D73-E89C-4C44-9F4E-9C2CD0DE0A14}">
      <formula1>$IU$362:$IU$375</formula1>
    </dataValidation>
    <dataValidation type="list" allowBlank="1" showInputMessage="1" showErrorMessage="1" prompt="Select # of PCB Layers" sqref="B16" xr:uid="{6BE9A394-E76C-4D20-B65E-CA476F3255A7}">
      <formula1>$IO$362:$IO$363</formula1>
    </dataValidation>
    <dataValidation type="list" allowBlank="1" showInputMessage="1" showErrorMessage="1" prompt="Select PCB area (cm2)" sqref="B18" xr:uid="{EBC15807-2F91-4E26-933D-0947B65AFE0A}">
      <formula1>$IR$362:$IR$366</formula1>
    </dataValidation>
    <dataValidation type="list" allowBlank="1" showInputMessage="1" showErrorMessage="1" prompt="Select an output slew rate setting (V/us)" sqref="B12" xr:uid="{2C635D5D-0481-4893-9751-8AC7C76C1E45}">
      <formula1>$IS$362:$IS$365</formula1>
    </dataValidation>
    <dataValidation type="list" allowBlank="1" showInputMessage="1" showErrorMessage="1" prompt="Select yes or no if active demag is enabled" sqref="B5" xr:uid="{35494892-B66C-4699-AD9D-0FEF67E964FB}">
      <formula1>$IV$362:$IV$363</formula1>
    </dataValidation>
    <dataValidation type="list" allowBlank="1" showInputMessage="1" showErrorMessage="1" prompt="Select wye or delta motor configuration" sqref="B6" xr:uid="{35C944BB-4ACC-4A69-B9C4-E4180B4B6EBA}">
      <formula1>$IW$362:$IW$363</formula1>
    </dataValidation>
    <dataValidation type="list" allowBlank="1" showInputMessage="1" showErrorMessage="1" prompt="Select copper thickness of top/bottom layers (oz)" sqref="B17" xr:uid="{92A9C5A5-2740-447B-B38A-C1A24EE0FEA6}">
      <formula1>$IP$362:$IP$364</formula1>
    </dataValidation>
  </dataValidations>
  <pageMargins left="0.7" right="0.7" top="0.75" bottom="0.75" header="0.3" footer="0.3"/>
  <pageSetup orientation="portrait" r:id="rId1"/>
  <headerFooter>
    <oddHeader>&amp;L&amp;"Calibri"&amp;10&amp;KF6A800Internal&amp;1#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FC54F-F780-46F5-B82C-1CE35D80C157}">
  <dimension ref="A1:KN360"/>
  <sheetViews>
    <sheetView zoomScale="160" zoomScaleNormal="160" workbookViewId="0"/>
  </sheetViews>
  <sheetFormatPr defaultRowHeight="14.4" x14ac:dyDescent="0.55000000000000004"/>
  <cols>
    <col min="1" max="1" width="56.3671875" style="2" customWidth="1"/>
    <col min="2" max="2" width="13.47265625" style="34" customWidth="1"/>
    <col min="3" max="3" width="7.3671875" style="34" bestFit="1" customWidth="1"/>
    <col min="4" max="4" width="20.89453125" style="31" customWidth="1"/>
    <col min="5" max="5" width="24.89453125" style="5" bestFit="1" customWidth="1"/>
    <col min="6" max="6" width="21.15625" bestFit="1" customWidth="1"/>
    <col min="7" max="7" width="12.15625" style="42" bestFit="1" customWidth="1"/>
    <col min="8" max="8" width="28.7890625" style="42" bestFit="1" customWidth="1"/>
    <col min="9" max="9" width="24.5234375" style="42" bestFit="1" customWidth="1"/>
    <col min="10" max="10" width="10.47265625" style="42" bestFit="1" customWidth="1"/>
    <col min="11" max="12" width="10.62890625" style="42" bestFit="1" customWidth="1"/>
    <col min="13" max="13" width="10.7890625" style="42" bestFit="1" customWidth="1"/>
    <col min="14" max="14" width="14.62890625" style="42" bestFit="1" customWidth="1"/>
    <col min="15" max="15" width="13.89453125" bestFit="1" customWidth="1"/>
    <col min="16" max="16" width="8.7890625" bestFit="1" customWidth="1"/>
    <col min="17" max="17" width="14.62890625" bestFit="1" customWidth="1"/>
    <col min="18" max="18" width="19.3671875" bestFit="1" customWidth="1"/>
    <col min="19" max="19" width="12.15625" bestFit="1" customWidth="1"/>
    <col min="20" max="20" width="19.89453125" bestFit="1" customWidth="1"/>
    <col min="21" max="21" width="19.1015625" bestFit="1" customWidth="1"/>
    <col min="23" max="23" width="22.7890625" bestFit="1" customWidth="1"/>
    <col min="24" max="24" width="12.15625" bestFit="1" customWidth="1"/>
    <col min="25" max="25" width="15.15625" bestFit="1" customWidth="1"/>
    <col min="26" max="26" width="33" bestFit="1" customWidth="1"/>
    <col min="27" max="27" width="15.62890625" bestFit="1" customWidth="1"/>
    <col min="28" max="28" width="14.62890625" bestFit="1" customWidth="1"/>
    <col min="29" max="29" width="14.3671875" style="42" bestFit="1" customWidth="1"/>
    <col min="30" max="30" width="12.3671875" style="42" customWidth="1"/>
    <col min="31" max="31" width="15.1015625" style="42" bestFit="1" customWidth="1"/>
    <col min="32" max="32" width="13.47265625" style="42" bestFit="1" customWidth="1"/>
    <col min="33" max="33" width="15.47265625" style="42" bestFit="1" customWidth="1"/>
    <col min="34" max="34" width="13.47265625" style="15" bestFit="1" customWidth="1"/>
    <col min="35" max="35" width="10.15625" style="15" bestFit="1" customWidth="1"/>
    <col min="36" max="36" width="16.89453125" style="15" bestFit="1" customWidth="1"/>
    <col min="37" max="37" width="16.62890625" style="15" bestFit="1" customWidth="1"/>
    <col min="269" max="300" width="0" hidden="1" customWidth="1"/>
  </cols>
  <sheetData>
    <row r="1" spans="1:37" ht="14.7" thickBot="1" x14ac:dyDescent="0.6">
      <c r="A1" s="201" t="s">
        <v>145</v>
      </c>
      <c r="B1" s="219" t="s">
        <v>142</v>
      </c>
      <c r="C1" s="219"/>
      <c r="D1" s="219"/>
      <c r="E1" s="219"/>
      <c r="F1" s="219"/>
    </row>
    <row r="2" spans="1:37" ht="14.4" customHeight="1" thickBot="1" x14ac:dyDescent="0.6">
      <c r="A2" s="154" t="s">
        <v>65</v>
      </c>
      <c r="B2" s="155" t="s">
        <v>63</v>
      </c>
      <c r="C2" s="156" t="s">
        <v>2</v>
      </c>
      <c r="D2" s="157" t="s">
        <v>66</v>
      </c>
      <c r="E2" s="158" t="s">
        <v>1</v>
      </c>
      <c r="F2" s="158" t="s">
        <v>2</v>
      </c>
    </row>
    <row r="3" spans="1:37" ht="14.4" customHeight="1" thickBot="1" x14ac:dyDescent="0.6">
      <c r="A3" s="119" t="s">
        <v>121</v>
      </c>
      <c r="B3" s="159">
        <v>24</v>
      </c>
      <c r="C3" s="160" t="s">
        <v>0</v>
      </c>
      <c r="D3" s="161" t="s">
        <v>67</v>
      </c>
      <c r="E3" s="162">
        <f>ROUND(IF(KA326=-1,"n/a",$KN$324),2)</f>
        <v>1.57</v>
      </c>
      <c r="F3" s="160" t="s">
        <v>12</v>
      </c>
      <c r="X3" s="12"/>
      <c r="Y3" s="12"/>
      <c r="Z3" s="12"/>
      <c r="AA3" s="12"/>
      <c r="AB3" s="12"/>
      <c r="AC3" s="53"/>
      <c r="AD3" s="53"/>
    </row>
    <row r="4" spans="1:37" ht="14.4" customHeight="1" thickBot="1" x14ac:dyDescent="0.6">
      <c r="A4" s="121" t="s">
        <v>143</v>
      </c>
      <c r="B4" s="163">
        <v>2</v>
      </c>
      <c r="C4" s="164" t="s">
        <v>13</v>
      </c>
      <c r="D4" s="161" t="s">
        <v>24</v>
      </c>
      <c r="E4" s="3">
        <f>ROUND(IF(KA326=-1,"n/a",$KN$325),2)</f>
        <v>90.56</v>
      </c>
      <c r="F4" s="165" t="s">
        <v>7</v>
      </c>
      <c r="G4" s="43"/>
      <c r="X4" s="12"/>
    </row>
    <row r="5" spans="1:37" ht="14.4" customHeight="1" x14ac:dyDescent="0.55000000000000004">
      <c r="A5" s="166" t="s">
        <v>133</v>
      </c>
      <c r="B5" s="163" t="s">
        <v>134</v>
      </c>
      <c r="C5" s="164"/>
      <c r="D5" s="167"/>
      <c r="E5" s="167"/>
      <c r="F5" s="167"/>
      <c r="X5" s="12"/>
    </row>
    <row r="6" spans="1:37" ht="14.4" customHeight="1" x14ac:dyDescent="0.55000000000000004">
      <c r="A6" s="119" t="s">
        <v>123</v>
      </c>
      <c r="B6" s="159">
        <v>20</v>
      </c>
      <c r="C6" s="160" t="s">
        <v>11</v>
      </c>
      <c r="E6" s="31"/>
      <c r="F6" s="30"/>
      <c r="X6" s="12"/>
    </row>
    <row r="7" spans="1:37" ht="14.4" customHeight="1" x14ac:dyDescent="0.55000000000000004">
      <c r="A7" s="125" t="s">
        <v>126</v>
      </c>
      <c r="B7" s="163">
        <v>200</v>
      </c>
      <c r="C7" s="164" t="s">
        <v>9</v>
      </c>
      <c r="X7" s="12"/>
    </row>
    <row r="8" spans="1:37" ht="14.4" customHeight="1" x14ac:dyDescent="0.55000000000000004">
      <c r="A8" s="126" t="s">
        <v>119</v>
      </c>
      <c r="B8" s="103">
        <v>5</v>
      </c>
      <c r="C8" s="110" t="s">
        <v>4</v>
      </c>
    </row>
    <row r="9" spans="1:37" ht="14.4" customHeight="1" thickBot="1" x14ac:dyDescent="0.6">
      <c r="A9" s="168" t="s">
        <v>6</v>
      </c>
      <c r="B9" s="169">
        <v>40</v>
      </c>
      <c r="C9" s="170" t="s">
        <v>69</v>
      </c>
    </row>
    <row r="10" spans="1:37" ht="14.4" customHeight="1" thickBot="1" x14ac:dyDescent="0.6">
      <c r="A10" s="171" t="s">
        <v>68</v>
      </c>
      <c r="B10" s="155"/>
      <c r="C10" s="156"/>
    </row>
    <row r="11" spans="1:37" ht="34.299999999999997" customHeight="1" x14ac:dyDescent="0.55000000000000004">
      <c r="A11" s="172" t="s">
        <v>39</v>
      </c>
      <c r="B11" s="173">
        <v>4</v>
      </c>
      <c r="C11" s="174" t="s">
        <v>37</v>
      </c>
    </row>
    <row r="12" spans="1:37" ht="14.4" customHeight="1" x14ac:dyDescent="0.55000000000000004">
      <c r="A12" s="175" t="s">
        <v>64</v>
      </c>
      <c r="B12" s="176">
        <v>2</v>
      </c>
      <c r="C12" s="177" t="s">
        <v>38</v>
      </c>
    </row>
    <row r="13" spans="1:37" s="1" customFormat="1" ht="25.5" customHeight="1" thickBot="1" x14ac:dyDescent="0.6">
      <c r="A13" s="178" t="s">
        <v>42</v>
      </c>
      <c r="B13" s="179">
        <v>16</v>
      </c>
      <c r="C13" s="180" t="s">
        <v>43</v>
      </c>
      <c r="D13" s="31"/>
      <c r="E13" s="5"/>
      <c r="F13"/>
      <c r="AI13" s="16"/>
      <c r="AJ13" s="16"/>
      <c r="AK13" s="16"/>
    </row>
    <row r="14" spans="1:37" ht="46.5" customHeight="1" thickBot="1" x14ac:dyDescent="0.6">
      <c r="A14" s="228" t="s">
        <v>144</v>
      </c>
      <c r="B14" s="229"/>
      <c r="C14" s="230"/>
      <c r="D14" s="36"/>
      <c r="E14" s="1"/>
      <c r="F14" s="1"/>
    </row>
    <row r="20" spans="1:37" x14ac:dyDescent="0.55000000000000004">
      <c r="A20" s="34"/>
    </row>
    <row r="21" spans="1:37" x14ac:dyDescent="0.55000000000000004">
      <c r="A21" s="34"/>
    </row>
    <row r="22" spans="1:37" x14ac:dyDescent="0.55000000000000004">
      <c r="A22" s="34"/>
    </row>
    <row r="23" spans="1:37" x14ac:dyDescent="0.55000000000000004">
      <c r="A23" s="33"/>
      <c r="B23" s="33"/>
      <c r="C23" s="33"/>
    </row>
    <row r="24" spans="1:37" x14ac:dyDescent="0.55000000000000004">
      <c r="A24" s="34"/>
    </row>
    <row r="25" spans="1:37" x14ac:dyDescent="0.55000000000000004">
      <c r="A25" s="28"/>
      <c r="B25" s="3"/>
    </row>
    <row r="26" spans="1:37" x14ac:dyDescent="0.55000000000000004">
      <c r="A26" s="34"/>
    </row>
    <row r="27" spans="1:37" s="1" customFormat="1" x14ac:dyDescent="0.55000000000000004">
      <c r="A27" s="34"/>
      <c r="B27" s="34"/>
      <c r="C27" s="34"/>
      <c r="D27" s="31"/>
      <c r="E27" s="5"/>
      <c r="F27"/>
      <c r="AI27" s="16"/>
      <c r="AJ27" s="16"/>
      <c r="AK27" s="16"/>
    </row>
    <row r="28" spans="1:37" x14ac:dyDescent="0.55000000000000004">
      <c r="A28" s="36"/>
      <c r="B28" s="36"/>
      <c r="C28" s="36"/>
      <c r="D28" s="39"/>
      <c r="E28" s="6"/>
      <c r="F28" s="1"/>
    </row>
    <row r="29" spans="1:37" x14ac:dyDescent="0.55000000000000004">
      <c r="A29" s="34"/>
    </row>
    <row r="30" spans="1:37" x14ac:dyDescent="0.55000000000000004">
      <c r="A30" s="34"/>
    </row>
    <row r="31" spans="1:37" x14ac:dyDescent="0.55000000000000004">
      <c r="A31" s="34"/>
    </row>
    <row r="32" spans="1:37" x14ac:dyDescent="0.55000000000000004">
      <c r="A32" s="34"/>
    </row>
    <row r="33" spans="1:6" s="15" customFormat="1" x14ac:dyDescent="0.55000000000000004">
      <c r="A33" s="34"/>
      <c r="B33" s="34"/>
      <c r="C33" s="34"/>
      <c r="D33" s="31"/>
      <c r="E33" s="5"/>
      <c r="F33"/>
    </row>
    <row r="34" spans="1:6" s="15" customFormat="1" x14ac:dyDescent="0.55000000000000004">
      <c r="A34" s="34"/>
      <c r="B34" s="34"/>
      <c r="C34" s="34"/>
      <c r="D34" s="31"/>
      <c r="E34" s="5"/>
      <c r="F34"/>
    </row>
    <row r="35" spans="1:6" s="15" customFormat="1" x14ac:dyDescent="0.55000000000000004">
      <c r="A35" s="34"/>
      <c r="B35" s="34"/>
      <c r="C35" s="34"/>
      <c r="D35" s="31"/>
      <c r="E35" s="5"/>
      <c r="F35"/>
    </row>
    <row r="36" spans="1:6" s="15" customFormat="1" x14ac:dyDescent="0.55000000000000004">
      <c r="A36" s="34"/>
      <c r="B36" s="34"/>
      <c r="C36" s="34"/>
      <c r="D36" s="31"/>
      <c r="E36" s="5"/>
      <c r="F36"/>
    </row>
    <row r="37" spans="1:6" s="15" customFormat="1" x14ac:dyDescent="0.55000000000000004">
      <c r="A37" s="34"/>
      <c r="B37" s="34"/>
      <c r="C37" s="34"/>
      <c r="D37" s="31"/>
      <c r="E37" s="5"/>
      <c r="F37"/>
    </row>
    <row r="38" spans="1:6" s="15" customFormat="1" x14ac:dyDescent="0.55000000000000004">
      <c r="A38" s="34"/>
      <c r="B38" s="34"/>
      <c r="C38" s="34"/>
      <c r="D38" s="31"/>
      <c r="E38" s="5"/>
      <c r="F38"/>
    </row>
    <row r="39" spans="1:6" s="15" customFormat="1" x14ac:dyDescent="0.55000000000000004">
      <c r="A39" s="34"/>
      <c r="B39" s="34"/>
      <c r="C39" s="34"/>
      <c r="D39" s="31"/>
      <c r="E39" s="5"/>
      <c r="F39"/>
    </row>
    <row r="40" spans="1:6" s="15" customFormat="1" x14ac:dyDescent="0.55000000000000004">
      <c r="A40" s="34"/>
      <c r="B40" s="34"/>
      <c r="C40" s="34"/>
      <c r="D40" s="31"/>
      <c r="E40" s="5"/>
      <c r="F40"/>
    </row>
    <row r="41" spans="1:6" s="15" customFormat="1" x14ac:dyDescent="0.55000000000000004">
      <c r="A41" s="34"/>
      <c r="B41" s="34"/>
      <c r="C41" s="34"/>
      <c r="D41" s="31"/>
      <c r="E41" s="5"/>
      <c r="F41"/>
    </row>
    <row r="42" spans="1:6" s="15" customFormat="1" x14ac:dyDescent="0.55000000000000004">
      <c r="A42" s="34"/>
      <c r="B42" s="34"/>
      <c r="C42" s="34"/>
      <c r="D42" s="31"/>
      <c r="E42" s="5"/>
      <c r="F42"/>
    </row>
    <row r="43" spans="1:6" s="15" customFormat="1" x14ac:dyDescent="0.55000000000000004">
      <c r="A43" s="34"/>
      <c r="B43" s="34"/>
      <c r="C43" s="34"/>
      <c r="D43" s="31"/>
      <c r="E43" s="5"/>
      <c r="F43"/>
    </row>
    <row r="44" spans="1:6" s="15" customFormat="1" x14ac:dyDescent="0.55000000000000004">
      <c r="A44" s="33"/>
      <c r="B44" s="33"/>
      <c r="C44" s="33"/>
      <c r="D44" s="31"/>
      <c r="E44" s="5"/>
      <c r="F44" s="5"/>
    </row>
    <row r="45" spans="1:6" s="15" customFormat="1" x14ac:dyDescent="0.55000000000000004">
      <c r="A45" s="37"/>
      <c r="B45" s="34"/>
      <c r="C45" s="34"/>
      <c r="D45" s="14"/>
      <c r="E45" s="9"/>
      <c r="F45" s="9"/>
    </row>
    <row r="46" spans="1:6" s="15" customFormat="1" x14ac:dyDescent="0.55000000000000004">
      <c r="A46" s="34"/>
      <c r="B46" s="34"/>
      <c r="C46" s="34"/>
      <c r="D46" s="31"/>
      <c r="E46" s="5"/>
      <c r="F46" s="8"/>
    </row>
    <row r="47" spans="1:6" s="15" customFormat="1" x14ac:dyDescent="0.55000000000000004">
      <c r="A47" s="28"/>
      <c r="B47" s="3"/>
      <c r="C47" s="34"/>
      <c r="D47" s="31"/>
      <c r="E47" s="5"/>
      <c r="F47"/>
    </row>
    <row r="48" spans="1:6" s="4" customFormat="1" x14ac:dyDescent="0.55000000000000004">
      <c r="A48" s="33"/>
      <c r="B48" s="33"/>
      <c r="C48" s="33"/>
      <c r="D48" s="31"/>
      <c r="E48" s="5"/>
      <c r="F48"/>
    </row>
    <row r="49" spans="1:34" s="4" customFormat="1" x14ac:dyDescent="0.55000000000000004">
      <c r="A49" s="38"/>
      <c r="B49" s="32"/>
      <c r="C49" s="32"/>
      <c r="D49" s="40"/>
      <c r="E49" s="7"/>
      <c r="G49" s="45"/>
      <c r="H49" s="45"/>
      <c r="I49" s="45"/>
      <c r="J49" s="45"/>
      <c r="K49" s="45"/>
      <c r="L49" s="45"/>
      <c r="M49" s="45"/>
      <c r="N49" s="45"/>
      <c r="AC49" s="45"/>
      <c r="AD49" s="45"/>
      <c r="AE49" s="45"/>
      <c r="AF49" s="45"/>
      <c r="AG49" s="45"/>
      <c r="AH49" s="45"/>
    </row>
    <row r="50" spans="1:34" s="15" customFormat="1" x14ac:dyDescent="0.55000000000000004">
      <c r="A50" s="33"/>
      <c r="B50" s="33"/>
      <c r="C50" s="33"/>
      <c r="D50" s="40"/>
      <c r="E50" s="7"/>
      <c r="F50" s="4"/>
      <c r="G50" s="42"/>
      <c r="H50" s="42"/>
      <c r="I50" s="42"/>
      <c r="J50" s="42"/>
      <c r="K50" s="42"/>
      <c r="L50" s="42"/>
      <c r="M50" s="42"/>
      <c r="N50" s="42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42"/>
      <c r="AD50" s="42"/>
      <c r="AE50" s="42"/>
      <c r="AF50" s="42"/>
      <c r="AG50" s="42"/>
    </row>
    <row r="51" spans="1:34" s="15" customFormat="1" x14ac:dyDescent="0.55000000000000004">
      <c r="A51" s="33"/>
      <c r="B51" s="34"/>
      <c r="C51" s="34"/>
      <c r="D51" s="31"/>
      <c r="E51" s="5"/>
      <c r="F51"/>
      <c r="G51" s="42"/>
      <c r="H51" s="42"/>
      <c r="I51" s="42"/>
      <c r="J51" s="42"/>
      <c r="K51" s="42"/>
      <c r="L51" s="42"/>
      <c r="M51" s="42"/>
      <c r="N51" s="42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42"/>
      <c r="AD51" s="42"/>
      <c r="AE51" s="42"/>
      <c r="AF51" s="42"/>
      <c r="AG51" s="42"/>
    </row>
    <row r="52" spans="1:34" s="15" customFormat="1" x14ac:dyDescent="0.55000000000000004">
      <c r="A52" s="34"/>
      <c r="B52" s="34"/>
      <c r="C52" s="34"/>
      <c r="D52" s="31"/>
      <c r="E52" s="5"/>
      <c r="F52"/>
      <c r="G52" s="42"/>
      <c r="H52" s="42"/>
      <c r="I52" s="42"/>
      <c r="J52" s="42"/>
      <c r="K52" s="42"/>
      <c r="L52" s="42"/>
      <c r="M52" s="42"/>
      <c r="N52" s="4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42"/>
      <c r="AD52" s="42"/>
      <c r="AE52" s="42"/>
      <c r="AF52" s="42"/>
      <c r="AG52" s="42"/>
    </row>
    <row r="53" spans="1:34" s="15" customFormat="1" x14ac:dyDescent="0.55000000000000004">
      <c r="A53" s="34"/>
      <c r="B53" s="34"/>
      <c r="C53" s="34"/>
      <c r="D53" s="31"/>
      <c r="E53" s="5"/>
      <c r="F53"/>
      <c r="G53" s="42"/>
      <c r="H53" s="42"/>
      <c r="I53" s="42"/>
      <c r="J53" s="42"/>
      <c r="K53" s="42"/>
      <c r="L53" s="42"/>
      <c r="M53" s="42"/>
      <c r="N53" s="42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 s="42"/>
      <c r="AD53" s="42"/>
      <c r="AE53" s="42"/>
      <c r="AF53" s="42"/>
      <c r="AG53" s="42"/>
    </row>
    <row r="54" spans="1:34" s="15" customFormat="1" x14ac:dyDescent="0.55000000000000004">
      <c r="A54" s="34"/>
      <c r="B54" s="34"/>
      <c r="C54" s="34"/>
      <c r="D54" s="31"/>
      <c r="E54" s="5"/>
      <c r="F54"/>
      <c r="G54" s="42"/>
      <c r="H54" s="42"/>
      <c r="I54" s="42"/>
      <c r="J54" s="42"/>
      <c r="K54" s="42"/>
      <c r="L54" s="42"/>
      <c r="M54" s="42"/>
      <c r="N54" s="42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42"/>
      <c r="AD54" s="42"/>
      <c r="AE54" s="42"/>
      <c r="AF54" s="42"/>
      <c r="AG54" s="42"/>
    </row>
    <row r="55" spans="1:34" s="15" customFormat="1" x14ac:dyDescent="0.55000000000000004">
      <c r="A55" s="34"/>
      <c r="B55" s="34"/>
      <c r="C55" s="34"/>
      <c r="D55" s="31"/>
      <c r="E55" s="5"/>
      <c r="F55"/>
      <c r="G55" s="42"/>
      <c r="H55" s="42"/>
      <c r="I55" s="42"/>
      <c r="J55" s="42"/>
      <c r="K55" s="42"/>
      <c r="L55" s="42"/>
      <c r="M55" s="42"/>
      <c r="N55" s="42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42"/>
      <c r="AD55" s="42"/>
      <c r="AE55" s="42"/>
      <c r="AF55" s="42"/>
      <c r="AG55" s="42"/>
    </row>
    <row r="56" spans="1:34" s="15" customFormat="1" x14ac:dyDescent="0.55000000000000004">
      <c r="A56" s="34"/>
      <c r="B56" s="34"/>
      <c r="C56" s="34"/>
      <c r="D56" s="31"/>
      <c r="E56" s="5"/>
      <c r="F56"/>
      <c r="G56" s="42"/>
      <c r="H56" s="42"/>
      <c r="I56" s="42"/>
      <c r="J56" s="42"/>
      <c r="K56" s="42"/>
      <c r="L56" s="42"/>
      <c r="M56" s="42"/>
      <c r="N56" s="42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 s="42"/>
      <c r="AD56" s="42"/>
      <c r="AE56" s="42"/>
      <c r="AF56" s="42"/>
      <c r="AG56" s="42"/>
    </row>
    <row r="57" spans="1:34" s="15" customFormat="1" x14ac:dyDescent="0.55000000000000004">
      <c r="A57" s="34"/>
      <c r="B57" s="34"/>
      <c r="C57" s="34"/>
      <c r="D57" s="31"/>
      <c r="E57" s="5"/>
      <c r="F57"/>
      <c r="G57" s="42"/>
      <c r="H57" s="42"/>
      <c r="I57" s="42"/>
      <c r="J57" s="42"/>
      <c r="K57" s="42"/>
      <c r="L57" s="42"/>
      <c r="M57" s="42"/>
      <c r="N57" s="42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42"/>
      <c r="AD57" s="42"/>
      <c r="AE57" s="42"/>
      <c r="AF57" s="42"/>
      <c r="AG57" s="42"/>
    </row>
    <row r="58" spans="1:34" s="15" customFormat="1" x14ac:dyDescent="0.55000000000000004">
      <c r="A58" s="34"/>
      <c r="B58" s="34"/>
      <c r="C58" s="34"/>
      <c r="D58" s="31"/>
      <c r="E58" s="5"/>
      <c r="F58"/>
      <c r="G58" s="42"/>
      <c r="H58" s="42"/>
      <c r="I58" s="42"/>
      <c r="J58" s="42"/>
      <c r="K58" s="42"/>
      <c r="L58" s="42"/>
      <c r="M58" s="42"/>
      <c r="N58" s="42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42"/>
      <c r="AD58" s="42"/>
      <c r="AE58" s="42"/>
      <c r="AF58" s="42"/>
      <c r="AG58" s="42"/>
    </row>
    <row r="59" spans="1:34" s="15" customFormat="1" ht="43.5" customHeight="1" x14ac:dyDescent="0.55000000000000004">
      <c r="A59" s="34"/>
      <c r="B59" s="34"/>
      <c r="C59" s="34"/>
      <c r="D59" s="31"/>
      <c r="E59" s="5"/>
      <c r="F59"/>
      <c r="G59" s="42"/>
      <c r="H59" s="42"/>
      <c r="I59" s="42"/>
      <c r="J59" s="42"/>
      <c r="K59" s="42"/>
      <c r="L59" s="42"/>
      <c r="M59" s="42"/>
      <c r="N59" s="42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42"/>
      <c r="AD59" s="42"/>
      <c r="AE59" s="42"/>
      <c r="AF59" s="42"/>
      <c r="AG59" s="42"/>
    </row>
    <row r="60" spans="1:34" s="15" customFormat="1" x14ac:dyDescent="0.55000000000000004">
      <c r="A60" s="34"/>
      <c r="B60" s="34"/>
      <c r="C60" s="34"/>
      <c r="D60" s="31"/>
      <c r="E60" s="5"/>
      <c r="F60"/>
      <c r="G60" s="42"/>
      <c r="H60" s="42"/>
      <c r="I60" s="42"/>
      <c r="J60" s="42"/>
      <c r="K60" s="42"/>
      <c r="L60" s="42"/>
      <c r="M60" s="42"/>
      <c r="N60" s="42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42"/>
      <c r="AD60" s="42"/>
      <c r="AE60" s="42"/>
      <c r="AF60" s="42"/>
      <c r="AG60" s="42"/>
    </row>
    <row r="61" spans="1:34" s="15" customFormat="1" x14ac:dyDescent="0.55000000000000004">
      <c r="A61" s="34"/>
      <c r="B61" s="34"/>
      <c r="C61" s="34"/>
      <c r="D61" s="31"/>
      <c r="E61" s="5"/>
      <c r="F61"/>
      <c r="G61" s="42"/>
      <c r="H61" s="42"/>
      <c r="I61" s="42"/>
      <c r="J61" s="42"/>
      <c r="K61" s="42"/>
      <c r="L61" s="42"/>
      <c r="M61" s="42"/>
      <c r="N61" s="42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42"/>
      <c r="AD61" s="42"/>
      <c r="AE61" s="42"/>
      <c r="AF61" s="42"/>
      <c r="AG61" s="42"/>
    </row>
    <row r="62" spans="1:34" s="15" customFormat="1" x14ac:dyDescent="0.55000000000000004">
      <c r="A62" s="34"/>
      <c r="B62" s="34"/>
      <c r="C62" s="34"/>
      <c r="D62" s="31"/>
      <c r="E62" s="5"/>
      <c r="F62"/>
      <c r="G62" s="42"/>
      <c r="H62" s="42"/>
      <c r="I62" s="42"/>
      <c r="J62" s="42"/>
      <c r="K62" s="42"/>
      <c r="L62" s="42"/>
      <c r="M62" s="42"/>
      <c r="N62" s="4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42"/>
      <c r="AD62" s="42"/>
      <c r="AE62" s="42"/>
      <c r="AF62" s="42"/>
      <c r="AG62" s="42"/>
    </row>
    <row r="63" spans="1:34" s="15" customFormat="1" x14ac:dyDescent="0.55000000000000004">
      <c r="A63" s="34"/>
      <c r="B63" s="34"/>
      <c r="C63" s="34"/>
      <c r="D63" s="31"/>
      <c r="E63" s="5"/>
      <c r="F63"/>
      <c r="G63" s="42"/>
      <c r="H63" s="42"/>
      <c r="I63" s="42"/>
      <c r="J63" s="42"/>
      <c r="K63" s="42"/>
      <c r="L63" s="42"/>
      <c r="M63" s="42"/>
      <c r="N63" s="42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42"/>
      <c r="AD63" s="42"/>
      <c r="AE63" s="42"/>
      <c r="AF63" s="42"/>
      <c r="AG63" s="42"/>
    </row>
    <row r="64" spans="1:34" s="15" customFormat="1" x14ac:dyDescent="0.55000000000000004">
      <c r="A64" s="34"/>
      <c r="B64" s="34"/>
      <c r="C64" s="34"/>
      <c r="D64" s="31"/>
      <c r="E64" s="5"/>
      <c r="F64"/>
      <c r="G64" s="42"/>
      <c r="H64" s="42"/>
      <c r="I64" s="42"/>
      <c r="J64" s="42"/>
      <c r="K64" s="42"/>
      <c r="L64" s="42"/>
      <c r="M64" s="42"/>
      <c r="N64" s="42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42"/>
      <c r="AD64" s="42"/>
      <c r="AE64" s="42"/>
      <c r="AF64" s="42"/>
      <c r="AG64" s="42"/>
    </row>
    <row r="65" spans="4:37" s="34" customFormat="1" x14ac:dyDescent="0.55000000000000004">
      <c r="D65" s="31"/>
      <c r="E65" s="5"/>
      <c r="F65"/>
      <c r="G65" s="42"/>
      <c r="H65" s="42"/>
      <c r="I65" s="42"/>
      <c r="J65" s="42"/>
      <c r="K65" s="42"/>
      <c r="L65" s="42"/>
      <c r="M65" s="42"/>
      <c r="N65" s="42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42"/>
      <c r="AD65" s="42"/>
      <c r="AE65" s="42"/>
      <c r="AF65" s="42"/>
      <c r="AG65" s="42"/>
      <c r="AH65" s="15"/>
      <c r="AI65" s="15"/>
      <c r="AJ65" s="15"/>
      <c r="AK65" s="15"/>
    </row>
    <row r="66" spans="4:37" s="34" customFormat="1" x14ac:dyDescent="0.55000000000000004">
      <c r="D66" s="31"/>
      <c r="E66" s="5"/>
      <c r="F66"/>
      <c r="G66" s="42"/>
      <c r="H66" s="42"/>
      <c r="I66" s="42"/>
      <c r="J66" s="42"/>
      <c r="K66" s="42"/>
      <c r="L66" s="42"/>
      <c r="M66" s="42"/>
      <c r="N66" s="42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 s="42"/>
      <c r="AD66" s="42"/>
      <c r="AE66" s="42"/>
      <c r="AF66" s="42"/>
      <c r="AG66" s="42"/>
      <c r="AH66" s="15"/>
      <c r="AI66" s="15"/>
      <c r="AJ66" s="15"/>
      <c r="AK66" s="15"/>
    </row>
    <row r="67" spans="4:37" s="34" customFormat="1" x14ac:dyDescent="0.55000000000000004">
      <c r="D67" s="31"/>
      <c r="E67" s="5"/>
      <c r="F67"/>
      <c r="G67" s="42"/>
      <c r="H67" s="42"/>
      <c r="I67" s="42"/>
      <c r="J67" s="42"/>
      <c r="K67" s="42"/>
      <c r="L67" s="42"/>
      <c r="M67" s="42"/>
      <c r="N67" s="42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 s="42"/>
      <c r="AD67" s="42"/>
      <c r="AE67" s="42"/>
      <c r="AF67" s="42"/>
      <c r="AG67" s="42"/>
      <c r="AH67" s="15"/>
      <c r="AI67" s="15"/>
      <c r="AJ67" s="15"/>
      <c r="AK67" s="15"/>
    </row>
    <row r="68" spans="4:37" s="34" customFormat="1" x14ac:dyDescent="0.55000000000000004">
      <c r="D68" s="31"/>
      <c r="E68" s="5"/>
      <c r="F68"/>
      <c r="G68" s="42"/>
      <c r="H68" s="42"/>
      <c r="I68" s="42"/>
      <c r="J68" s="42"/>
      <c r="K68" s="42"/>
      <c r="L68" s="42"/>
      <c r="M68" s="42"/>
      <c r="N68" s="42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 s="42"/>
      <c r="AD68" s="42"/>
      <c r="AE68" s="42"/>
      <c r="AF68" s="42"/>
      <c r="AG68" s="42"/>
      <c r="AH68" s="15"/>
      <c r="AI68" s="15"/>
      <c r="AJ68" s="15"/>
      <c r="AK68" s="15"/>
    </row>
    <row r="69" spans="4:37" s="34" customFormat="1" x14ac:dyDescent="0.55000000000000004">
      <c r="D69" s="31"/>
      <c r="E69" s="5"/>
      <c r="F69"/>
      <c r="G69" s="42"/>
      <c r="H69" s="42"/>
      <c r="I69" s="42"/>
      <c r="J69" s="42"/>
      <c r="K69" s="42"/>
      <c r="L69" s="42"/>
      <c r="M69" s="42"/>
      <c r="N69" s="42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42"/>
      <c r="AD69" s="42"/>
      <c r="AE69" s="42"/>
      <c r="AF69" s="42"/>
      <c r="AG69" s="42"/>
      <c r="AH69" s="15"/>
      <c r="AI69" s="15"/>
      <c r="AJ69" s="15"/>
      <c r="AK69" s="15"/>
    </row>
    <row r="70" spans="4:37" s="34" customFormat="1" x14ac:dyDescent="0.55000000000000004">
      <c r="D70" s="31"/>
      <c r="E70" s="5"/>
      <c r="F70"/>
      <c r="G70" s="42"/>
      <c r="H70" s="42"/>
      <c r="I70" s="42"/>
      <c r="J70" s="42"/>
      <c r="K70" s="42"/>
      <c r="L70" s="42"/>
      <c r="M70" s="42"/>
      <c r="N70" s="42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42"/>
      <c r="AD70" s="42"/>
      <c r="AE70" s="42"/>
      <c r="AF70" s="42"/>
      <c r="AG70" s="42"/>
      <c r="AH70" s="15"/>
      <c r="AI70" s="15"/>
      <c r="AJ70" s="15"/>
      <c r="AK70" s="15"/>
    </row>
    <row r="71" spans="4:37" s="34" customFormat="1" x14ac:dyDescent="0.55000000000000004">
      <c r="D71" s="31"/>
      <c r="E71" s="5"/>
      <c r="F71"/>
      <c r="G71" s="42"/>
      <c r="H71" s="42"/>
      <c r="I71" s="42"/>
      <c r="J71" s="42"/>
      <c r="K71" s="42"/>
      <c r="L71" s="42"/>
      <c r="M71" s="42"/>
      <c r="N71" s="42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42"/>
      <c r="AD71" s="42"/>
      <c r="AE71" s="42"/>
      <c r="AF71" s="42"/>
      <c r="AG71" s="42"/>
      <c r="AH71" s="15"/>
      <c r="AI71" s="15"/>
      <c r="AJ71" s="15"/>
      <c r="AK71" s="15"/>
    </row>
    <row r="72" spans="4:37" s="34" customFormat="1" x14ac:dyDescent="0.55000000000000004">
      <c r="D72" s="31"/>
      <c r="E72" s="5"/>
      <c r="F72"/>
      <c r="G72" s="42"/>
      <c r="H72" s="42"/>
      <c r="I72" s="42"/>
      <c r="J72" s="42"/>
      <c r="K72" s="42"/>
      <c r="L72" s="42"/>
      <c r="M72" s="42"/>
      <c r="N72" s="4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42"/>
      <c r="AD72" s="42"/>
      <c r="AE72" s="42"/>
      <c r="AF72" s="42"/>
      <c r="AG72" s="42"/>
      <c r="AH72" s="15"/>
      <c r="AI72" s="15"/>
      <c r="AJ72" s="15"/>
      <c r="AK72" s="15"/>
    </row>
    <row r="73" spans="4:37" s="34" customFormat="1" x14ac:dyDescent="0.55000000000000004">
      <c r="D73" s="31"/>
      <c r="E73" s="5"/>
      <c r="F73"/>
      <c r="G73" s="42"/>
      <c r="H73" s="42"/>
      <c r="I73" s="42"/>
      <c r="J73" s="42"/>
      <c r="K73" s="42"/>
      <c r="L73" s="42"/>
      <c r="M73" s="42"/>
      <c r="N73" s="42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42"/>
      <c r="AD73" s="42"/>
      <c r="AE73" s="42"/>
      <c r="AF73" s="42"/>
      <c r="AG73" s="42"/>
      <c r="AH73" s="15"/>
      <c r="AI73" s="15"/>
      <c r="AJ73" s="15"/>
      <c r="AK73" s="15"/>
    </row>
    <row r="74" spans="4:37" s="34" customFormat="1" x14ac:dyDescent="0.55000000000000004">
      <c r="D74" s="31"/>
      <c r="E74" s="5"/>
      <c r="F74"/>
      <c r="G74" s="42"/>
      <c r="H74" s="42"/>
      <c r="I74" s="42"/>
      <c r="J74" s="42"/>
      <c r="K74" s="42"/>
      <c r="L74" s="42"/>
      <c r="M74" s="42"/>
      <c r="N74" s="42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42"/>
      <c r="AD74" s="42"/>
      <c r="AE74" s="42"/>
      <c r="AF74" s="42"/>
      <c r="AG74" s="42"/>
      <c r="AH74" s="15"/>
      <c r="AI74" s="15"/>
      <c r="AJ74" s="15"/>
      <c r="AK74" s="15"/>
    </row>
    <row r="75" spans="4:37" s="34" customFormat="1" x14ac:dyDescent="0.55000000000000004">
      <c r="D75" s="31"/>
      <c r="E75" s="5"/>
      <c r="F75"/>
      <c r="G75" s="42"/>
      <c r="H75" s="42"/>
      <c r="I75" s="42"/>
      <c r="J75" s="42"/>
      <c r="K75" s="42"/>
      <c r="L75" s="42"/>
      <c r="M75" s="42"/>
      <c r="N75" s="42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42"/>
      <c r="AD75" s="42"/>
      <c r="AE75" s="42"/>
      <c r="AF75" s="42"/>
      <c r="AG75" s="42"/>
      <c r="AH75" s="15"/>
      <c r="AI75" s="15"/>
      <c r="AJ75" s="15"/>
      <c r="AK75" s="15"/>
    </row>
    <row r="76" spans="4:37" s="34" customFormat="1" x14ac:dyDescent="0.55000000000000004">
      <c r="D76" s="31"/>
      <c r="E76" s="5"/>
      <c r="F76"/>
      <c r="G76" s="42"/>
      <c r="H76" s="42"/>
      <c r="I76" s="42"/>
      <c r="J76" s="42"/>
      <c r="K76" s="42"/>
      <c r="L76" s="42"/>
      <c r="M76" s="42"/>
      <c r="N76" s="42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42"/>
      <c r="AD76" s="42"/>
      <c r="AE76" s="42"/>
      <c r="AF76" s="42"/>
      <c r="AG76" s="42"/>
      <c r="AH76" s="15"/>
      <c r="AI76" s="15"/>
      <c r="AJ76" s="15"/>
      <c r="AK76" s="15"/>
    </row>
    <row r="77" spans="4:37" s="34" customFormat="1" x14ac:dyDescent="0.55000000000000004">
      <c r="D77" s="31"/>
      <c r="E77" s="5"/>
      <c r="F77"/>
      <c r="G77" s="42"/>
      <c r="H77" s="42"/>
      <c r="I77" s="42"/>
      <c r="J77" s="42"/>
      <c r="K77" s="42"/>
      <c r="L77" s="42"/>
      <c r="M77" s="42"/>
      <c r="N77" s="42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42"/>
      <c r="AD77" s="42"/>
      <c r="AE77" s="42"/>
      <c r="AF77" s="42"/>
      <c r="AG77" s="42"/>
      <c r="AH77" s="15"/>
      <c r="AI77" s="15"/>
      <c r="AJ77" s="15"/>
      <c r="AK77" s="15"/>
    </row>
    <row r="78" spans="4:37" s="34" customFormat="1" x14ac:dyDescent="0.55000000000000004">
      <c r="D78" s="31"/>
      <c r="E78" s="5"/>
      <c r="F78"/>
      <c r="G78" s="42"/>
      <c r="H78" s="42"/>
      <c r="I78" s="42"/>
      <c r="J78" s="42"/>
      <c r="K78" s="42"/>
      <c r="L78" s="42"/>
      <c r="M78" s="42"/>
      <c r="N78" s="42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42"/>
      <c r="AD78" s="42"/>
      <c r="AE78" s="42"/>
      <c r="AF78" s="42"/>
      <c r="AG78" s="42"/>
      <c r="AH78" s="15"/>
      <c r="AI78" s="15"/>
      <c r="AJ78" s="15"/>
      <c r="AK78" s="15"/>
    </row>
    <row r="79" spans="4:37" s="34" customFormat="1" x14ac:dyDescent="0.55000000000000004">
      <c r="D79" s="31"/>
      <c r="E79" s="5"/>
      <c r="F79"/>
      <c r="G79" s="42"/>
      <c r="H79" s="42"/>
      <c r="I79" s="42"/>
      <c r="J79" s="42"/>
      <c r="K79" s="42"/>
      <c r="L79" s="42"/>
      <c r="M79" s="42"/>
      <c r="N79" s="42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42"/>
      <c r="AD79" s="42"/>
      <c r="AE79" s="42"/>
      <c r="AF79" s="42"/>
      <c r="AG79" s="42"/>
      <c r="AH79" s="15"/>
      <c r="AI79" s="15"/>
      <c r="AJ79" s="15"/>
      <c r="AK79" s="15"/>
    </row>
    <row r="80" spans="4:37" s="34" customFormat="1" x14ac:dyDescent="0.55000000000000004">
      <c r="D80" s="31"/>
      <c r="E80" s="5"/>
      <c r="F80"/>
      <c r="G80" s="42"/>
      <c r="H80" s="42"/>
      <c r="I80" s="42"/>
      <c r="J80" s="42"/>
      <c r="K80" s="42"/>
      <c r="L80" s="42"/>
      <c r="M80" s="42"/>
      <c r="N80" s="42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42"/>
      <c r="AD80" s="42"/>
      <c r="AE80" s="42"/>
      <c r="AF80" s="42"/>
      <c r="AG80" s="42"/>
      <c r="AH80" s="15"/>
      <c r="AI80" s="15"/>
      <c r="AJ80" s="15"/>
      <c r="AK80" s="15"/>
    </row>
    <row r="81" spans="1:33" s="15" customFormat="1" x14ac:dyDescent="0.55000000000000004">
      <c r="A81" s="34"/>
      <c r="B81" s="34"/>
      <c r="C81" s="34"/>
      <c r="D81" s="31"/>
      <c r="E81" s="5"/>
      <c r="F81"/>
      <c r="G81" s="42"/>
      <c r="H81" s="42"/>
      <c r="I81" s="42"/>
      <c r="J81" s="42"/>
      <c r="K81" s="42"/>
      <c r="L81" s="42"/>
      <c r="M81" s="42"/>
      <c r="N81" s="42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42"/>
      <c r="AD81" s="42"/>
      <c r="AE81" s="42"/>
      <c r="AF81" s="42"/>
      <c r="AG81" s="42"/>
    </row>
    <row r="82" spans="1:33" s="15" customFormat="1" x14ac:dyDescent="0.55000000000000004">
      <c r="A82" s="34"/>
      <c r="B82" s="34"/>
      <c r="C82" s="34"/>
      <c r="D82" s="31"/>
      <c r="E82" s="5"/>
      <c r="F82"/>
      <c r="G82" s="42"/>
      <c r="H82" s="42"/>
      <c r="I82" s="42"/>
      <c r="J82" s="42"/>
      <c r="K82" s="42"/>
      <c r="L82" s="42"/>
      <c r="M82" s="42"/>
      <c r="N82" s="4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 s="42"/>
      <c r="AD82" s="42"/>
      <c r="AE82" s="42"/>
      <c r="AF82" s="42"/>
      <c r="AG82" s="42"/>
    </row>
    <row r="83" spans="1:33" s="15" customFormat="1" x14ac:dyDescent="0.55000000000000004">
      <c r="A83" s="34"/>
      <c r="B83" s="34"/>
      <c r="C83" s="34"/>
      <c r="D83" s="31"/>
      <c r="E83" s="5"/>
      <c r="F83"/>
      <c r="G83" s="42"/>
      <c r="H83" s="42"/>
      <c r="I83" s="42"/>
      <c r="J83" s="42"/>
      <c r="K83" s="42"/>
      <c r="L83" s="42"/>
      <c r="M83" s="42"/>
      <c r="N83" s="42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 s="42"/>
      <c r="AD83" s="42"/>
      <c r="AE83" s="42"/>
      <c r="AF83" s="42"/>
      <c r="AG83" s="42"/>
    </row>
    <row r="84" spans="1:33" s="15" customFormat="1" x14ac:dyDescent="0.55000000000000004">
      <c r="A84" s="34"/>
      <c r="B84" s="34"/>
      <c r="C84" s="34"/>
      <c r="D84" s="31"/>
      <c r="E84" s="5"/>
      <c r="F84"/>
      <c r="G84" s="42"/>
      <c r="H84" s="42"/>
      <c r="I84" s="42"/>
      <c r="J84" s="42"/>
      <c r="K84" s="42"/>
      <c r="L84" s="42"/>
      <c r="M84" s="42"/>
      <c r="N84" s="42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 s="42"/>
      <c r="AD84" s="42"/>
      <c r="AE84" s="42"/>
      <c r="AF84" s="42"/>
      <c r="AG84" s="42"/>
    </row>
    <row r="85" spans="1:33" s="15" customFormat="1" x14ac:dyDescent="0.55000000000000004">
      <c r="A85" s="34"/>
      <c r="B85" s="34"/>
      <c r="C85" s="34"/>
      <c r="D85" s="31"/>
      <c r="E85" s="5"/>
      <c r="F85"/>
      <c r="G85" s="42"/>
      <c r="H85" s="42"/>
      <c r="I85" s="42"/>
      <c r="J85" s="42"/>
      <c r="K85" s="42"/>
      <c r="L85" s="42"/>
      <c r="M85" s="42"/>
      <c r="N85" s="42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 s="42"/>
      <c r="AD85" s="42"/>
      <c r="AE85" s="42"/>
      <c r="AF85" s="42"/>
      <c r="AG85" s="14"/>
    </row>
    <row r="86" spans="1:33" s="15" customFormat="1" x14ac:dyDescent="0.55000000000000004">
      <c r="A86" s="2"/>
      <c r="B86" s="34"/>
      <c r="C86" s="34"/>
      <c r="D86" s="31"/>
      <c r="E86" s="5"/>
      <c r="F86"/>
      <c r="G86" s="42"/>
      <c r="H86" s="42"/>
      <c r="I86" s="42"/>
      <c r="J86" s="42"/>
      <c r="K86" s="42"/>
      <c r="L86" s="42"/>
      <c r="M86" s="42"/>
      <c r="N86" s="42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 s="42"/>
      <c r="AD86" s="42"/>
      <c r="AE86" s="42"/>
      <c r="AF86" s="42"/>
      <c r="AG86" s="14"/>
    </row>
    <row r="87" spans="1:33" s="15" customFormat="1" x14ac:dyDescent="0.55000000000000004">
      <c r="A87" s="2"/>
      <c r="B87" s="34"/>
      <c r="C87" s="34"/>
      <c r="D87" s="31"/>
      <c r="E87" s="5"/>
      <c r="F87"/>
      <c r="G87" s="42"/>
      <c r="H87" s="42"/>
      <c r="I87" s="42"/>
      <c r="J87" s="42"/>
      <c r="K87" s="42"/>
      <c r="L87" s="42"/>
      <c r="M87" s="42"/>
      <c r="N87" s="42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42"/>
      <c r="AD87" s="42"/>
      <c r="AE87" s="42"/>
      <c r="AF87" s="42"/>
      <c r="AG87" s="14"/>
    </row>
    <row r="314" spans="273:300" ht="57.6" hidden="1" x14ac:dyDescent="0.55000000000000004">
      <c r="JM314" s="42"/>
      <c r="JN314" s="42"/>
      <c r="JO314" s="42"/>
      <c r="JP314" s="42"/>
      <c r="JQ314" s="42"/>
      <c r="JR314" s="42"/>
      <c r="JS314" s="42"/>
      <c r="JT314" s="42"/>
      <c r="KC314" s="37" t="s">
        <v>152</v>
      </c>
      <c r="KD314" s="3">
        <v>10</v>
      </c>
      <c r="KE314" s="34" t="s">
        <v>4</v>
      </c>
      <c r="KF314" t="s">
        <v>154</v>
      </c>
      <c r="KI314" s="42"/>
      <c r="KJ314" s="42"/>
      <c r="KK314" s="42"/>
      <c r="KL314" s="42"/>
      <c r="KM314" s="42"/>
      <c r="KN314" s="15"/>
    </row>
    <row r="315" spans="273:300" ht="57.6" hidden="1" x14ac:dyDescent="0.55000000000000004">
      <c r="JM315" s="42"/>
      <c r="JN315" s="42"/>
      <c r="JO315" s="42"/>
      <c r="JP315" s="42"/>
      <c r="JQ315" s="42"/>
      <c r="JR315" s="42"/>
      <c r="JS315" s="42"/>
      <c r="JT315" s="42"/>
      <c r="KC315" s="37" t="s">
        <v>153</v>
      </c>
      <c r="KD315" s="72">
        <v>17</v>
      </c>
      <c r="KE315" s="34" t="s">
        <v>4</v>
      </c>
      <c r="KF315" t="s">
        <v>154</v>
      </c>
      <c r="KG315" s="29"/>
      <c r="KH315" s="9"/>
      <c r="KI315" s="54"/>
      <c r="KJ315" s="53"/>
      <c r="KK315" s="42"/>
      <c r="KL315" s="42"/>
      <c r="KM315" s="42"/>
      <c r="KN315" s="15"/>
    </row>
    <row r="316" spans="273:300" hidden="1" x14ac:dyDescent="0.55000000000000004">
      <c r="JM316" s="42"/>
      <c r="JN316" s="42"/>
      <c r="JO316" s="42"/>
      <c r="JP316" s="42"/>
      <c r="JQ316" s="42"/>
      <c r="JR316" s="42"/>
      <c r="JS316" s="42"/>
      <c r="JT316" s="42"/>
      <c r="KD316" s="12"/>
      <c r="KF316" s="12"/>
      <c r="KG316" s="12"/>
      <c r="KH316" s="12"/>
      <c r="KI316" s="53"/>
      <c r="KJ316" s="53"/>
      <c r="KK316" s="42"/>
      <c r="KL316" s="42"/>
      <c r="KM316" s="42"/>
      <c r="KN316" s="15"/>
    </row>
    <row r="317" spans="273:300" hidden="1" x14ac:dyDescent="0.55000000000000004">
      <c r="JM317" s="42"/>
      <c r="JN317" s="42"/>
      <c r="JO317" s="42"/>
      <c r="JP317" s="42"/>
      <c r="JQ317" s="42"/>
      <c r="JR317" s="42"/>
      <c r="JS317" s="42"/>
      <c r="JT317" s="42"/>
      <c r="KD317" s="12"/>
      <c r="KE317" s="12"/>
      <c r="KF317" s="12"/>
      <c r="KG317" s="12"/>
      <c r="KH317" s="12"/>
      <c r="KI317" s="53"/>
      <c r="KJ317" s="53"/>
      <c r="KK317" s="42"/>
      <c r="KL317" s="42"/>
      <c r="KM317" s="42"/>
      <c r="KN317" s="15"/>
    </row>
    <row r="318" spans="273:300" hidden="1" x14ac:dyDescent="0.55000000000000004">
      <c r="JM318" s="42"/>
      <c r="JN318" s="42"/>
      <c r="JO318" s="42"/>
      <c r="JP318" s="42"/>
      <c r="JQ318" s="42"/>
      <c r="JR318" s="42"/>
      <c r="JS318" s="42"/>
      <c r="JT318" s="42"/>
      <c r="KI318" s="42"/>
      <c r="KJ318" s="42"/>
      <c r="KK318" s="42"/>
      <c r="KL318" s="42"/>
      <c r="KM318" s="42"/>
      <c r="KN318" s="15"/>
    </row>
    <row r="319" spans="273:300" hidden="1" x14ac:dyDescent="0.55000000000000004"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6"/>
    </row>
    <row r="320" spans="273:300" ht="29.1" hidden="1" thickBot="1" x14ac:dyDescent="0.6">
      <c r="JM320" s="42"/>
      <c r="JN320" s="42"/>
      <c r="JO320" s="42"/>
      <c r="JP320" s="42"/>
      <c r="JQ320" s="42"/>
      <c r="JR320" s="42"/>
      <c r="JS320" s="42"/>
      <c r="JT320" s="42"/>
      <c r="KC320" s="196" t="s">
        <v>3</v>
      </c>
      <c r="KD320" s="197" t="s">
        <v>1</v>
      </c>
      <c r="KE320" s="197" t="s">
        <v>2</v>
      </c>
      <c r="KI320" s="42"/>
      <c r="KJ320" s="42"/>
      <c r="KK320" s="42"/>
      <c r="KL320" s="42"/>
      <c r="KM320" s="42"/>
      <c r="KN320" s="15"/>
    </row>
    <row r="321" spans="273:300" ht="29.1" hidden="1" thickBot="1" x14ac:dyDescent="0.6">
      <c r="JM321" s="13" t="s">
        <v>39</v>
      </c>
      <c r="JN321" s="46" t="s">
        <v>40</v>
      </c>
      <c r="JO321" s="46" t="s">
        <v>41</v>
      </c>
      <c r="JP321" s="47" t="s">
        <v>42</v>
      </c>
      <c r="JQ321" s="47" t="s">
        <v>8</v>
      </c>
      <c r="JR321" s="47" t="s">
        <v>36</v>
      </c>
      <c r="JS321" s="6" t="s">
        <v>70</v>
      </c>
      <c r="JT321" s="6" t="s">
        <v>136</v>
      </c>
      <c r="JU321" s="41"/>
      <c r="JV321" s="41"/>
      <c r="JX321" s="231" t="s">
        <v>54</v>
      </c>
      <c r="JY321" s="232"/>
      <c r="JZ321" s="232"/>
      <c r="KA321" s="233"/>
      <c r="KC321" s="50" t="s">
        <v>25</v>
      </c>
      <c r="KD321" s="10">
        <v>1.4829000000000001</v>
      </c>
      <c r="KE321" s="51" t="s">
        <v>13</v>
      </c>
      <c r="KI321" s="220" t="s">
        <v>72</v>
      </c>
      <c r="KJ321" s="221"/>
      <c r="KK321" s="220" t="s">
        <v>73</v>
      </c>
      <c r="KL321" s="221"/>
      <c r="KM321" s="220" t="s">
        <v>74</v>
      </c>
      <c r="KN321" s="221"/>
    </row>
    <row r="322" spans="273:300" ht="29.1" hidden="1" thickBot="1" x14ac:dyDescent="0.6">
      <c r="JM322" s="13">
        <v>2</v>
      </c>
      <c r="JN322" s="13">
        <v>1</v>
      </c>
      <c r="JO322" s="13">
        <v>1</v>
      </c>
      <c r="JP322" s="48">
        <v>4</v>
      </c>
      <c r="JQ322" s="47">
        <v>25</v>
      </c>
      <c r="JR322" s="13">
        <v>1.8</v>
      </c>
      <c r="JS322" s="6">
        <v>10</v>
      </c>
      <c r="JT322" s="6" t="s">
        <v>137</v>
      </c>
      <c r="JU322" s="41"/>
      <c r="JV322" s="41"/>
      <c r="JX322" s="22" t="s">
        <v>50</v>
      </c>
      <c r="JY322" s="23" t="s">
        <v>51</v>
      </c>
      <c r="JZ322" s="23" t="s">
        <v>52</v>
      </c>
      <c r="KA322" s="24" t="s">
        <v>53</v>
      </c>
      <c r="KC322" s="50" t="s">
        <v>32</v>
      </c>
      <c r="KD322" s="10">
        <v>0.99</v>
      </c>
      <c r="KE322" s="51"/>
      <c r="KI322" s="55" t="s">
        <v>75</v>
      </c>
      <c r="KJ322" s="53">
        <f>$KD$325+($KG$325*(B9-25))</f>
        <v>50.2</v>
      </c>
      <c r="KK322" s="55" t="s">
        <v>76</v>
      </c>
      <c r="KL322" s="53">
        <f>$KD$325+($KG$325*(KJ325-25))</f>
        <v>58.667926269999995</v>
      </c>
      <c r="KM322" s="55" t="s">
        <v>77</v>
      </c>
      <c r="KN322" s="53">
        <f>$KD$325+($KG$325*(KL325-25))</f>
        <v>59.260954269999999</v>
      </c>
    </row>
    <row r="323" spans="273:300" ht="57.9" hidden="1" thickBot="1" x14ac:dyDescent="0.6">
      <c r="JM323" s="13">
        <v>4</v>
      </c>
      <c r="JN323" s="13">
        <v>2</v>
      </c>
      <c r="JO323" s="13">
        <v>2</v>
      </c>
      <c r="JP323" s="48">
        <v>8</v>
      </c>
      <c r="JQ323" s="47">
        <v>50</v>
      </c>
      <c r="JR323" s="13">
        <v>1.1000000000000001</v>
      </c>
      <c r="JS323" s="6">
        <v>15</v>
      </c>
      <c r="JT323" s="6" t="s">
        <v>134</v>
      </c>
      <c r="JU323" s="41"/>
      <c r="JV323" s="41"/>
      <c r="JX323" s="19">
        <f>B12</f>
        <v>2</v>
      </c>
      <c r="JY323" s="17">
        <f>IF(B11&gt;2,KD329,"")</f>
        <v>1</v>
      </c>
      <c r="JZ323" s="17">
        <f>IF(B11&gt;2,KD329,"")</f>
        <v>1</v>
      </c>
      <c r="KA323" s="20">
        <f>B12</f>
        <v>2</v>
      </c>
      <c r="KC323" s="37" t="s">
        <v>152</v>
      </c>
      <c r="KD323" s="3">
        <v>19.86</v>
      </c>
      <c r="KE323" s="34" t="s">
        <v>4</v>
      </c>
      <c r="KF323" t="s">
        <v>154</v>
      </c>
      <c r="KI323" s="56" t="s">
        <v>78</v>
      </c>
      <c r="KJ323" s="11">
        <f>ROUND(3*$B$4*$B$4*KJ322/(1000),3)</f>
        <v>0.60199999999999998</v>
      </c>
      <c r="KK323" s="56" t="s">
        <v>79</v>
      </c>
      <c r="KL323" s="11">
        <f>ROUND(3*$B$4*$B$4*KL322/(1000),3)</f>
        <v>0.70399999999999996</v>
      </c>
      <c r="KM323" s="56" t="s">
        <v>80</v>
      </c>
      <c r="KN323" s="11">
        <f>ROUND(3*$B$4*$B$4*KN322/(1000),3)</f>
        <v>0.71099999999999997</v>
      </c>
    </row>
    <row r="324" spans="273:300" ht="57.9" hidden="1" thickBot="1" x14ac:dyDescent="0.6">
      <c r="JM324" s="13"/>
      <c r="JN324" s="13">
        <v>3</v>
      </c>
      <c r="JO324" s="13"/>
      <c r="JP324" s="48">
        <v>16</v>
      </c>
      <c r="JQ324" s="13">
        <v>125</v>
      </c>
      <c r="JR324" s="13">
        <v>0.65</v>
      </c>
      <c r="JS324" s="6">
        <v>20</v>
      </c>
      <c r="JT324" s="6"/>
      <c r="JU324" s="41"/>
      <c r="JV324" s="41"/>
      <c r="JW324" s="41"/>
      <c r="JX324" s="222" t="s">
        <v>49</v>
      </c>
      <c r="JY324" s="223"/>
      <c r="JZ324" s="224"/>
      <c r="KA324" s="59" t="s">
        <v>59</v>
      </c>
      <c r="KC324" s="37" t="s">
        <v>153</v>
      </c>
      <c r="KD324" s="72">
        <v>15.57</v>
      </c>
      <c r="KE324" s="34" t="s">
        <v>4</v>
      </c>
      <c r="KF324" t="s">
        <v>154</v>
      </c>
      <c r="KI324" s="56" t="s">
        <v>81</v>
      </c>
      <c r="KJ324" s="11">
        <f>KJ323+$KG$326</f>
        <v>1.4564716666666666</v>
      </c>
      <c r="KK324" s="56" t="s">
        <v>82</v>
      </c>
      <c r="KL324" s="11">
        <f>KL323+$KG$326</f>
        <v>1.5584716666666667</v>
      </c>
      <c r="KM324" s="57" t="s">
        <v>83</v>
      </c>
      <c r="KN324" s="58">
        <f>KN323+$KG$326</f>
        <v>1.5654716666666666</v>
      </c>
    </row>
    <row r="325" spans="273:300" ht="43.5" hidden="1" thickBot="1" x14ac:dyDescent="0.6">
      <c r="JM325" s="13"/>
      <c r="JN325" s="13"/>
      <c r="JO325" s="13"/>
      <c r="JP325" s="48">
        <v>32</v>
      </c>
      <c r="JQ325" s="47">
        <v>200</v>
      </c>
      <c r="JR325" s="13">
        <v>0.5</v>
      </c>
      <c r="JS325" s="6">
        <v>25</v>
      </c>
      <c r="JT325" s="6"/>
      <c r="JU325" s="41"/>
      <c r="JV325" s="41"/>
      <c r="JW325" s="41"/>
      <c r="JX325" s="25" t="s">
        <v>46</v>
      </c>
      <c r="JY325" s="26" t="s">
        <v>45</v>
      </c>
      <c r="JZ325" s="26" t="s">
        <v>61</v>
      </c>
      <c r="KA325" s="60" t="s">
        <v>60</v>
      </c>
      <c r="KC325" s="50" t="s">
        <v>27</v>
      </c>
      <c r="KD325" s="10">
        <v>47.5</v>
      </c>
      <c r="KE325" s="51" t="s">
        <v>5</v>
      </c>
      <c r="KF325" s="30" t="s">
        <v>71</v>
      </c>
      <c r="KG325" s="30">
        <f>(KD326-KD325)/(150-25)</f>
        <v>0.18</v>
      </c>
      <c r="KI325" s="56" t="s">
        <v>84</v>
      </c>
      <c r="KJ325" s="11">
        <f>$B$9+(KJ324*$KD$330)</f>
        <v>87.044034833333328</v>
      </c>
      <c r="KK325" s="56" t="s">
        <v>85</v>
      </c>
      <c r="KL325" s="11">
        <f>$B$9+(KL324*$KD$330)</f>
        <v>90.33863483333333</v>
      </c>
      <c r="KM325" s="57" t="s">
        <v>86</v>
      </c>
      <c r="KN325" s="58">
        <f>$B$9+(KN324*$KD$330)</f>
        <v>90.564734833333318</v>
      </c>
    </row>
    <row r="326" spans="273:300" ht="129.6" hidden="1" x14ac:dyDescent="0.55000000000000004">
      <c r="JM326" s="13"/>
      <c r="JN326" s="13"/>
      <c r="JO326" s="13"/>
      <c r="JP326" s="48">
        <v>64</v>
      </c>
      <c r="JQ326" s="13"/>
      <c r="JR326" s="13"/>
      <c r="JS326" s="6">
        <v>30</v>
      </c>
      <c r="JT326" s="6"/>
      <c r="JU326" s="41"/>
      <c r="JV326" s="41"/>
      <c r="JW326" s="41"/>
      <c r="JX326" s="19" t="str">
        <f>_xlfn.TEXTJOIN(",",TRUE,JX323:KA323)</f>
        <v>2,1,1,2</v>
      </c>
      <c r="JY326" s="17">
        <f>B13</f>
        <v>16</v>
      </c>
      <c r="JZ326" s="17"/>
      <c r="KA326" s="20">
        <f>VLOOKUP(JY326&amp;JX326,JW329:JZ353,4,FALSE)</f>
        <v>32.299999999999997</v>
      </c>
      <c r="KC326" s="50" t="s">
        <v>28</v>
      </c>
      <c r="KD326" s="10">
        <v>70</v>
      </c>
      <c r="KE326" s="51" t="s">
        <v>5</v>
      </c>
      <c r="KF326" s="49" t="s">
        <v>138</v>
      </c>
      <c r="KG326" s="30">
        <f>KD339+KD343+KD344+KD346+KD347+KD348</f>
        <v>0.85447166666666663</v>
      </c>
      <c r="KI326" s="42"/>
      <c r="KJ326" s="42"/>
      <c r="KK326" s="42"/>
      <c r="KL326" s="42"/>
      <c r="KM326" s="42"/>
      <c r="KN326" s="15"/>
    </row>
    <row r="327" spans="273:300" ht="43.2" hidden="1" x14ac:dyDescent="0.55000000000000004">
      <c r="JM327" s="31"/>
      <c r="JN327" s="5"/>
      <c r="JO327" s="42"/>
      <c r="JP327" s="42"/>
      <c r="JQ327" s="42"/>
      <c r="JR327" s="42"/>
      <c r="JS327" s="6">
        <v>35</v>
      </c>
      <c r="JT327" s="42"/>
      <c r="JX327" s="225" t="s">
        <v>44</v>
      </c>
      <c r="JY327" s="226"/>
      <c r="JZ327" s="226"/>
      <c r="KA327" s="227"/>
      <c r="KC327" s="50" t="s">
        <v>6</v>
      </c>
      <c r="KD327" s="10">
        <v>25</v>
      </c>
      <c r="KE327" s="51" t="s">
        <v>7</v>
      </c>
      <c r="KI327" s="42"/>
      <c r="KJ327" s="42"/>
      <c r="KK327" s="42"/>
      <c r="KL327" s="42"/>
      <c r="KM327" s="42"/>
      <c r="KN327" s="15"/>
    </row>
    <row r="328" spans="273:300" ht="28.8" hidden="1" x14ac:dyDescent="0.55000000000000004">
      <c r="JM328" s="31"/>
      <c r="JN328" s="5"/>
      <c r="JO328" s="42"/>
      <c r="JP328" s="42"/>
      <c r="JQ328" s="42"/>
      <c r="JR328" s="42"/>
      <c r="JS328" s="6">
        <v>40</v>
      </c>
      <c r="JT328" s="42"/>
      <c r="JW328" s="4" t="s">
        <v>62</v>
      </c>
      <c r="JX328" s="181" t="s">
        <v>58</v>
      </c>
      <c r="JY328" s="182" t="s">
        <v>46</v>
      </c>
      <c r="JZ328" s="183" t="s">
        <v>57</v>
      </c>
      <c r="KA328" s="27"/>
      <c r="KC328" s="50" t="s">
        <v>29</v>
      </c>
      <c r="KD328" s="10">
        <v>1.25</v>
      </c>
      <c r="KE328" s="51" t="s">
        <v>30</v>
      </c>
      <c r="KI328" s="42"/>
      <c r="KJ328" s="42"/>
      <c r="KK328" s="42"/>
      <c r="KL328" s="42"/>
      <c r="KM328" s="42"/>
      <c r="KN328" s="15"/>
    </row>
    <row r="329" spans="273:300" ht="43.2" hidden="1" x14ac:dyDescent="0.55000000000000004">
      <c r="JM329" s="31"/>
      <c r="JN329" s="5"/>
      <c r="JO329" s="42"/>
      <c r="JP329" s="42"/>
      <c r="JQ329" s="42"/>
      <c r="JR329" s="42"/>
      <c r="JS329" s="6">
        <v>45</v>
      </c>
      <c r="JT329" s="42"/>
      <c r="JW329" s="4" t="str">
        <f t="shared" ref="JW329:JW353" si="0">JX329&amp;JY329</f>
        <v>41,1</v>
      </c>
      <c r="JX329" s="19">
        <v>4</v>
      </c>
      <c r="JY329" s="17" t="s">
        <v>47</v>
      </c>
      <c r="JZ329" s="184">
        <v>63.8</v>
      </c>
      <c r="KA329" s="18"/>
      <c r="KC329" s="191" t="str">
        <f>IF(B11&gt;2,"Internal Layers Cu Thickness","")</f>
        <v>Internal Layers Cu Thickness</v>
      </c>
      <c r="KD329" s="193">
        <v>1</v>
      </c>
      <c r="KE329" s="192" t="str">
        <f>IF(B11&gt;2,"oz","")</f>
        <v>oz</v>
      </c>
      <c r="KI329" s="42"/>
      <c r="KJ329" s="42"/>
      <c r="KK329" s="42"/>
      <c r="KL329" s="42"/>
      <c r="KM329" s="42"/>
      <c r="KN329" s="15"/>
    </row>
    <row r="330" spans="273:300" hidden="1" x14ac:dyDescent="0.55000000000000004">
      <c r="JM330" s="31"/>
      <c r="JN330" s="5"/>
      <c r="JO330" s="42"/>
      <c r="JP330" s="42"/>
      <c r="JQ330" s="42"/>
      <c r="JR330" s="42"/>
      <c r="JS330" s="6">
        <v>50</v>
      </c>
      <c r="JT330" s="42"/>
      <c r="JW330" s="4" t="str">
        <f t="shared" si="0"/>
        <v>42,2</v>
      </c>
      <c r="JX330" s="19">
        <v>4</v>
      </c>
      <c r="JY330" s="17" t="s">
        <v>48</v>
      </c>
      <c r="JZ330" s="200">
        <v>58.4</v>
      </c>
      <c r="KA330" s="20"/>
      <c r="KC330" s="74" t="s">
        <v>20</v>
      </c>
      <c r="KD330" s="10">
        <f>KA326</f>
        <v>32.299999999999997</v>
      </c>
      <c r="KE330" s="51" t="s">
        <v>10</v>
      </c>
      <c r="KI330" s="42"/>
      <c r="KJ330" s="42"/>
      <c r="KK330" s="42"/>
      <c r="KL330" s="42"/>
      <c r="KM330" s="42"/>
      <c r="KN330" s="15"/>
    </row>
    <row r="331" spans="273:300" ht="28.8" hidden="1" x14ac:dyDescent="0.55000000000000004">
      <c r="JM331" s="31"/>
      <c r="JN331" s="5"/>
      <c r="JO331" s="42"/>
      <c r="JP331" s="42"/>
      <c r="JQ331" s="42"/>
      <c r="JR331" s="42"/>
      <c r="JS331" s="6">
        <v>55</v>
      </c>
      <c r="JT331" s="42"/>
      <c r="JW331" s="4" t="str">
        <f t="shared" si="0"/>
        <v>41,1,1,1</v>
      </c>
      <c r="JX331" s="19">
        <v>4</v>
      </c>
      <c r="JY331" s="17" t="s">
        <v>55</v>
      </c>
      <c r="JZ331" s="184">
        <v>54.2</v>
      </c>
      <c r="KA331" s="20"/>
      <c r="KC331" s="196" t="s">
        <v>3</v>
      </c>
      <c r="KD331" s="197" t="s">
        <v>1</v>
      </c>
      <c r="KE331" s="197" t="s">
        <v>2</v>
      </c>
      <c r="KI331" s="42"/>
      <c r="KJ331" s="42"/>
      <c r="KK331" s="42"/>
      <c r="KL331" s="42"/>
      <c r="KM331" s="42"/>
      <c r="KN331" s="15"/>
    </row>
    <row r="332" spans="273:300" ht="43.2" hidden="1" x14ac:dyDescent="0.55000000000000004">
      <c r="JM332" s="31"/>
      <c r="JN332" s="5"/>
      <c r="JO332" s="42"/>
      <c r="JP332" s="42"/>
      <c r="JQ332" s="42"/>
      <c r="JR332" s="42"/>
      <c r="JS332" s="6">
        <v>60</v>
      </c>
      <c r="JT332" s="42"/>
      <c r="JW332" s="4" t="str">
        <f t="shared" si="0"/>
        <v>42,1,1,2</v>
      </c>
      <c r="JX332" s="19">
        <v>4</v>
      </c>
      <c r="JY332" s="17" t="s">
        <v>56</v>
      </c>
      <c r="JZ332" s="184">
        <v>52.4</v>
      </c>
      <c r="KA332" s="20"/>
      <c r="KC332" s="74" t="s">
        <v>22</v>
      </c>
      <c r="KD332" s="193">
        <f>ROUND((B3/SQRT(2))*KD322,2)</f>
        <v>16.8</v>
      </c>
      <c r="KE332" s="192" t="s">
        <v>0</v>
      </c>
      <c r="KI332" s="42"/>
      <c r="KJ332" s="42"/>
      <c r="KK332" s="42"/>
      <c r="KL332" s="42"/>
      <c r="KM332" s="42"/>
      <c r="KN332" s="15"/>
    </row>
    <row r="333" spans="273:300" ht="57.6" hidden="1" x14ac:dyDescent="0.55000000000000004">
      <c r="JM333" s="31"/>
      <c r="JN333" s="5"/>
      <c r="JO333" s="42"/>
      <c r="JP333" s="42"/>
      <c r="JQ333" s="42"/>
      <c r="JR333" s="42"/>
      <c r="JS333" s="6">
        <v>65</v>
      </c>
      <c r="JT333" s="42"/>
      <c r="JW333" s="4" t="str">
        <f t="shared" si="0"/>
        <v>81,1</v>
      </c>
      <c r="JX333" s="19">
        <v>8</v>
      </c>
      <c r="JY333" s="17" t="s">
        <v>47</v>
      </c>
      <c r="JZ333" s="184">
        <v>52.7</v>
      </c>
      <c r="KA333" s="20"/>
      <c r="KC333" s="74" t="s">
        <v>21</v>
      </c>
      <c r="KD333" s="193">
        <f>ROUND(KD332/1.41,2)</f>
        <v>11.91</v>
      </c>
      <c r="KE333" s="192" t="s">
        <v>0</v>
      </c>
      <c r="KH333" s="1"/>
      <c r="KI333" s="1"/>
      <c r="KJ333" s="1"/>
      <c r="KK333" s="1"/>
      <c r="KL333" s="1"/>
      <c r="KM333" s="1"/>
      <c r="KN333" s="16"/>
    </row>
    <row r="334" spans="273:300" hidden="1" x14ac:dyDescent="0.55000000000000004">
      <c r="JM334" s="31"/>
      <c r="JN334" s="5"/>
      <c r="JO334" s="42"/>
      <c r="JP334" s="42"/>
      <c r="JQ334" s="42"/>
      <c r="JR334" s="42"/>
      <c r="JS334" s="6">
        <v>70</v>
      </c>
      <c r="JT334" s="42"/>
      <c r="JW334" s="4" t="str">
        <f t="shared" si="0"/>
        <v>82,2</v>
      </c>
      <c r="JX334" s="19">
        <v>8</v>
      </c>
      <c r="JY334" s="17" t="s">
        <v>48</v>
      </c>
      <c r="JZ334" s="200">
        <v>46.2</v>
      </c>
      <c r="KA334" s="20"/>
      <c r="KC334" s="74"/>
      <c r="KD334" s="51"/>
      <c r="KE334" s="51"/>
      <c r="KI334" s="42"/>
      <c r="KJ334" s="42"/>
      <c r="KK334" s="42"/>
      <c r="KL334" s="42"/>
      <c r="KM334" s="42"/>
      <c r="KN334" s="15"/>
    </row>
    <row r="335" spans="273:300" ht="43.2" hidden="1" x14ac:dyDescent="0.55000000000000004">
      <c r="JM335" s="31"/>
      <c r="JN335" s="5"/>
      <c r="JO335" s="42"/>
      <c r="JP335" s="42"/>
      <c r="JQ335" s="42"/>
      <c r="JR335" s="42"/>
      <c r="JS335" s="6">
        <v>75</v>
      </c>
      <c r="JT335" s="42"/>
      <c r="JW335" s="4" t="str">
        <f t="shared" si="0"/>
        <v>81,1,1,1</v>
      </c>
      <c r="JX335" s="19">
        <v>8</v>
      </c>
      <c r="JY335" s="17" t="s">
        <v>55</v>
      </c>
      <c r="JZ335" s="184">
        <v>42.5</v>
      </c>
      <c r="KA335" s="20"/>
      <c r="KC335" s="74" t="s">
        <v>23</v>
      </c>
      <c r="KD335" s="10">
        <f>B4*1.414</f>
        <v>2.8279999999999998</v>
      </c>
      <c r="KE335" s="51" t="s">
        <v>13</v>
      </c>
      <c r="KI335" s="42"/>
      <c r="KJ335" s="42"/>
      <c r="KK335" s="42"/>
      <c r="KL335" s="42"/>
      <c r="KM335" s="42"/>
      <c r="KN335" s="15"/>
    </row>
    <row r="336" spans="273:300" ht="28.8" hidden="1" x14ac:dyDescent="0.55000000000000004">
      <c r="JM336" s="31"/>
      <c r="JN336" s="5"/>
      <c r="JO336" s="42"/>
      <c r="JP336" s="42"/>
      <c r="JQ336" s="42"/>
      <c r="JR336" s="42"/>
      <c r="JS336" s="42"/>
      <c r="JT336" s="42"/>
      <c r="JW336" s="4" t="str">
        <f t="shared" si="0"/>
        <v>82,1,1,2</v>
      </c>
      <c r="JX336" s="19">
        <v>8</v>
      </c>
      <c r="JY336" s="17" t="s">
        <v>56</v>
      </c>
      <c r="JZ336" s="184">
        <v>40.6</v>
      </c>
      <c r="KA336" s="20"/>
      <c r="KC336" s="74" t="s">
        <v>14</v>
      </c>
      <c r="KD336" s="10">
        <f>B3/B7</f>
        <v>0.12</v>
      </c>
      <c r="KE336" s="51" t="s">
        <v>15</v>
      </c>
      <c r="KI336" s="42"/>
      <c r="KJ336" s="42"/>
      <c r="KK336" s="42"/>
      <c r="KL336" s="42"/>
      <c r="KM336" s="42"/>
      <c r="KN336" s="15"/>
    </row>
    <row r="337" spans="273:300" ht="86.4" hidden="1" x14ac:dyDescent="0.55000000000000004">
      <c r="JM337" s="31"/>
      <c r="JN337" s="5"/>
      <c r="JO337" s="42"/>
      <c r="JP337" s="42"/>
      <c r="JQ337" s="42"/>
      <c r="JR337" s="42"/>
      <c r="JS337" s="42"/>
      <c r="JT337" s="42"/>
      <c r="JW337" s="4" t="str">
        <f t="shared" si="0"/>
        <v>161,1</v>
      </c>
      <c r="JX337" s="19">
        <v>16</v>
      </c>
      <c r="JY337" s="17" t="s">
        <v>47</v>
      </c>
      <c r="JZ337" s="184">
        <v>45.9</v>
      </c>
      <c r="KA337" s="20"/>
      <c r="KC337" s="37" t="s">
        <v>135</v>
      </c>
      <c r="KD337" s="3">
        <f>VLOOKUP(B7,JQ322:JR325,2,FALSE)</f>
        <v>0.5</v>
      </c>
      <c r="KE337" s="34" t="s">
        <v>15</v>
      </c>
      <c r="KI337" s="42"/>
      <c r="KJ337" s="42"/>
      <c r="KK337" s="42"/>
      <c r="KL337" s="42"/>
      <c r="KM337" s="42"/>
      <c r="KN337" s="15"/>
    </row>
    <row r="338" spans="273:300" ht="28.8" hidden="1" x14ac:dyDescent="0.55000000000000004">
      <c r="JM338" s="31"/>
      <c r="JN338" s="5"/>
      <c r="JO338" s="42"/>
      <c r="JP338" s="42"/>
      <c r="JQ338" s="42"/>
      <c r="JR338" s="42"/>
      <c r="JS338" s="42"/>
      <c r="JT338" s="42"/>
      <c r="JW338" s="4" t="str">
        <f t="shared" si="0"/>
        <v>162,2</v>
      </c>
      <c r="JX338" s="19">
        <v>16</v>
      </c>
      <c r="JY338" s="17" t="s">
        <v>48</v>
      </c>
      <c r="JZ338" s="200">
        <v>38.1</v>
      </c>
      <c r="KA338" s="21"/>
      <c r="KC338" s="189" t="s">
        <v>18</v>
      </c>
      <c r="KD338" s="194" t="s">
        <v>1</v>
      </c>
      <c r="KE338" s="190" t="s">
        <v>2</v>
      </c>
      <c r="KI338" s="42"/>
      <c r="KJ338" s="42"/>
      <c r="KK338" s="42"/>
      <c r="KL338" s="42"/>
      <c r="KM338" s="42"/>
      <c r="KN338" s="15"/>
    </row>
    <row r="339" spans="273:300" ht="43.2" hidden="1" x14ac:dyDescent="0.55000000000000004">
      <c r="JM339" s="31"/>
      <c r="JN339" s="5"/>
      <c r="JO339" s="42"/>
      <c r="JP339" s="42"/>
      <c r="JQ339" s="42"/>
      <c r="JR339" s="42"/>
      <c r="JS339" s="42"/>
      <c r="JT339" s="42"/>
      <c r="JW339" s="4" t="str">
        <f t="shared" si="0"/>
        <v>161,1,1,1</v>
      </c>
      <c r="JX339" s="19">
        <v>16</v>
      </c>
      <c r="JY339" s="17" t="s">
        <v>55</v>
      </c>
      <c r="JZ339" s="184">
        <v>34.5</v>
      </c>
      <c r="KA339" s="20"/>
      <c r="KC339" s="74" t="s">
        <v>19</v>
      </c>
      <c r="KD339" s="199">
        <f>B3*IF(B3&gt;6.01,KD324,KD323)/1000</f>
        <v>0.37368000000000001</v>
      </c>
      <c r="KE339" s="51" t="s">
        <v>12</v>
      </c>
      <c r="KI339" s="42"/>
      <c r="KJ339" s="42"/>
      <c r="KK339" s="42"/>
      <c r="KL339" s="42"/>
      <c r="KM339" s="42"/>
      <c r="KN339" s="15"/>
    </row>
    <row r="340" spans="273:300" hidden="1" x14ac:dyDescent="0.55000000000000004">
      <c r="JM340" s="31"/>
      <c r="JN340" s="5"/>
      <c r="JO340" s="42"/>
      <c r="JP340" s="42"/>
      <c r="JQ340" s="42"/>
      <c r="JR340" s="42"/>
      <c r="JS340" s="42"/>
      <c r="JT340" s="42"/>
      <c r="JW340" s="4" t="str">
        <f t="shared" si="0"/>
        <v>162,1,1,2</v>
      </c>
      <c r="JX340" s="19">
        <v>16</v>
      </c>
      <c r="JY340" s="17" t="s">
        <v>56</v>
      </c>
      <c r="JZ340" s="184">
        <v>32.299999999999997</v>
      </c>
      <c r="KA340" s="20"/>
      <c r="KC340" s="74"/>
      <c r="KD340" s="10"/>
      <c r="KE340" s="51"/>
      <c r="KI340" s="42"/>
      <c r="KJ340" s="42"/>
      <c r="KK340" s="42"/>
      <c r="KL340" s="42"/>
      <c r="KM340" s="42"/>
      <c r="KN340" s="15"/>
    </row>
    <row r="341" spans="273:300" ht="28.8" hidden="1" x14ac:dyDescent="0.55000000000000004">
      <c r="JM341" s="31"/>
      <c r="JN341" s="5"/>
      <c r="JO341" s="42"/>
      <c r="JP341" s="42"/>
      <c r="JQ341" s="42"/>
      <c r="JR341" s="42"/>
      <c r="JS341" s="42"/>
      <c r="JT341" s="42"/>
      <c r="JW341" s="4" t="str">
        <f t="shared" si="0"/>
        <v>321,1</v>
      </c>
      <c r="JX341" s="19">
        <v>32</v>
      </c>
      <c r="JY341" s="17" t="s">
        <v>47</v>
      </c>
      <c r="JZ341" s="184">
        <v>42.1</v>
      </c>
      <c r="KA341" s="20"/>
      <c r="KC341" s="189" t="s">
        <v>139</v>
      </c>
      <c r="KD341" s="194" t="s">
        <v>1</v>
      </c>
      <c r="KE341" s="190" t="s">
        <v>2</v>
      </c>
      <c r="KI341" s="42"/>
      <c r="KJ341" s="42"/>
      <c r="KK341" s="42"/>
      <c r="KL341" s="42"/>
      <c r="KM341" s="42"/>
      <c r="KN341" s="15"/>
    </row>
    <row r="342" spans="273:300" ht="43.2" hidden="1" x14ac:dyDescent="0.55000000000000004">
      <c r="JM342" s="31"/>
      <c r="JN342" s="5"/>
      <c r="JO342" s="42"/>
      <c r="JP342" s="42"/>
      <c r="JQ342" s="42"/>
      <c r="JR342" s="42"/>
      <c r="JS342" s="42"/>
      <c r="JT342" s="42"/>
      <c r="JW342" s="4" t="str">
        <f t="shared" si="0"/>
        <v>322,2</v>
      </c>
      <c r="JX342" s="19">
        <v>32</v>
      </c>
      <c r="JY342" s="17" t="s">
        <v>48</v>
      </c>
      <c r="JZ342" s="200">
        <v>33.200000000000003</v>
      </c>
      <c r="KA342" s="20"/>
      <c r="KC342" s="74" t="s">
        <v>16</v>
      </c>
      <c r="KD342" s="10">
        <f>ROUND(3*B4*B4*KN322/(1000),3)</f>
        <v>0.71099999999999997</v>
      </c>
      <c r="KE342" s="51" t="s">
        <v>12</v>
      </c>
      <c r="KI342" s="42"/>
      <c r="KJ342" s="42"/>
      <c r="KK342" s="42"/>
      <c r="KL342" s="42"/>
      <c r="KM342" s="42"/>
      <c r="KN342" s="15"/>
    </row>
    <row r="343" spans="273:300" ht="43.2" hidden="1" x14ac:dyDescent="0.55000000000000004">
      <c r="JM343" s="31"/>
      <c r="JN343" s="5"/>
      <c r="JO343" s="42"/>
      <c r="JP343" s="42"/>
      <c r="JQ343" s="42"/>
      <c r="JR343" s="42"/>
      <c r="JS343" s="42"/>
      <c r="JT343" s="42"/>
      <c r="JW343" s="4" t="str">
        <f t="shared" si="0"/>
        <v>321,1,1,1</v>
      </c>
      <c r="JX343" s="19">
        <v>32</v>
      </c>
      <c r="JY343" s="17" t="s">
        <v>55</v>
      </c>
      <c r="JZ343" s="184">
        <v>29.5</v>
      </c>
      <c r="KA343" s="20"/>
      <c r="KC343" s="74" t="s">
        <v>17</v>
      </c>
      <c r="KD343" s="199">
        <f>ROUND(3*B3*B4*KD336*B6/(1000),3)*IF(B5="Discontinuous",2/3,1)</f>
        <v>0.23066666666666663</v>
      </c>
      <c r="KE343" s="51" t="s">
        <v>12</v>
      </c>
      <c r="KI343" s="42"/>
      <c r="KJ343" s="42"/>
      <c r="KK343" s="42"/>
      <c r="KL343" s="42"/>
      <c r="KM343" s="42"/>
      <c r="KN343" s="15"/>
    </row>
    <row r="344" spans="273:300" ht="28.8" hidden="1" x14ac:dyDescent="0.55000000000000004">
      <c r="JM344" s="31"/>
      <c r="JN344" s="5"/>
      <c r="JO344" s="42"/>
      <c r="JP344" s="42"/>
      <c r="JQ344" s="42"/>
      <c r="JR344" s="42"/>
      <c r="JS344" s="42"/>
      <c r="JT344" s="42"/>
      <c r="JW344" s="4" t="str">
        <f t="shared" si="0"/>
        <v>322,1,1,2</v>
      </c>
      <c r="JX344" s="19">
        <v>32</v>
      </c>
      <c r="JY344" s="17" t="s">
        <v>56</v>
      </c>
      <c r="JZ344" s="184">
        <v>27</v>
      </c>
      <c r="KA344" s="20"/>
      <c r="KC344" s="74" t="s">
        <v>31</v>
      </c>
      <c r="KD344" s="199">
        <f>KD328*5*B6*0.000000001*1000</f>
        <v>1.2500000000000003E-4</v>
      </c>
      <c r="KE344" s="51" t="s">
        <v>12</v>
      </c>
      <c r="KI344" s="42"/>
      <c r="KJ344" s="42"/>
      <c r="KK344" s="42"/>
      <c r="KL344" s="42"/>
      <c r="KM344" s="42"/>
      <c r="KN344" s="15"/>
    </row>
    <row r="345" spans="273:300" ht="43.2" hidden="1" x14ac:dyDescent="0.55000000000000004">
      <c r="JM345" s="31"/>
      <c r="JN345" s="5"/>
      <c r="JO345" s="42"/>
      <c r="JP345" s="42"/>
      <c r="JQ345" s="42"/>
      <c r="JR345" s="42"/>
      <c r="JS345" s="42"/>
      <c r="JT345" s="42"/>
      <c r="JW345" s="4" t="str">
        <f t="shared" si="0"/>
        <v>641,1</v>
      </c>
      <c r="JX345" s="19">
        <v>64</v>
      </c>
      <c r="JY345" s="17" t="s">
        <v>47</v>
      </c>
      <c r="JZ345" s="184">
        <v>40.200000000000003</v>
      </c>
      <c r="KA345" s="20"/>
      <c r="KC345" s="74" t="s">
        <v>140</v>
      </c>
      <c r="KD345" s="10">
        <f>KD342+KD343+KD344</f>
        <v>0.94179166666666669</v>
      </c>
      <c r="KE345" s="51" t="s">
        <v>12</v>
      </c>
      <c r="KI345" s="42"/>
      <c r="KJ345" s="42"/>
      <c r="KK345" s="42"/>
      <c r="KL345" s="42"/>
      <c r="KM345" s="42"/>
      <c r="KN345" s="15"/>
    </row>
    <row r="346" spans="273:300" hidden="1" x14ac:dyDescent="0.55000000000000004">
      <c r="JM346" s="31"/>
      <c r="JN346" s="5"/>
      <c r="JO346" s="42"/>
      <c r="JP346" s="42"/>
      <c r="JQ346" s="42"/>
      <c r="JR346" s="42"/>
      <c r="JS346" s="42"/>
      <c r="JT346" s="42"/>
      <c r="JW346" s="4" t="str">
        <f t="shared" si="0"/>
        <v>642,2</v>
      </c>
      <c r="JX346" s="19">
        <v>64</v>
      </c>
      <c r="JY346" s="17" t="s">
        <v>48</v>
      </c>
      <c r="JZ346" s="200">
        <v>30.4</v>
      </c>
      <c r="KA346" s="20"/>
      <c r="KC346" s="195" t="s">
        <v>33</v>
      </c>
      <c r="KD346" s="198">
        <f>3*2*B4*KD337*B6*0.7/1000</f>
        <v>8.4000000000000005E-2</v>
      </c>
      <c r="KE346" s="51" t="s">
        <v>12</v>
      </c>
      <c r="KI346" s="42"/>
      <c r="KJ346" s="42"/>
      <c r="KK346" s="42"/>
      <c r="KL346" s="42"/>
      <c r="KM346" s="42"/>
      <c r="KN346" s="15"/>
    </row>
    <row r="347" spans="273:300" ht="43.2" hidden="1" x14ac:dyDescent="0.55000000000000004">
      <c r="JM347" s="31"/>
      <c r="JN347" s="5"/>
      <c r="JO347" s="42"/>
      <c r="JP347" s="42"/>
      <c r="JQ347" s="42"/>
      <c r="JR347" s="42"/>
      <c r="JS347" s="42"/>
      <c r="JT347" s="42"/>
      <c r="JW347" s="4" t="str">
        <f t="shared" si="0"/>
        <v>641,1,1,1</v>
      </c>
      <c r="JX347" s="19">
        <v>64</v>
      </c>
      <c r="JY347" s="17" t="s">
        <v>55</v>
      </c>
      <c r="JZ347" s="184">
        <v>26.6</v>
      </c>
      <c r="KA347" s="20"/>
      <c r="KC347" s="74" t="s">
        <v>34</v>
      </c>
      <c r="KD347" s="198">
        <f>(B3-3.3)*B8*0.001</f>
        <v>0.10350000000000001</v>
      </c>
      <c r="KE347" s="51" t="s">
        <v>12</v>
      </c>
      <c r="KI347" s="42"/>
      <c r="KJ347" s="42"/>
      <c r="KK347" s="42"/>
      <c r="KL347" s="42"/>
      <c r="KM347" s="42"/>
      <c r="KN347" s="15"/>
    </row>
    <row r="348" spans="273:300" hidden="1" x14ac:dyDescent="0.55000000000000004">
      <c r="JM348" s="31"/>
      <c r="JN348" s="5"/>
      <c r="JO348" s="42"/>
      <c r="JP348" s="42"/>
      <c r="JQ348" s="42"/>
      <c r="JR348" s="42"/>
      <c r="JS348" s="42"/>
      <c r="JT348" s="42"/>
      <c r="JW348" s="4" t="str">
        <f t="shared" si="0"/>
        <v>642,1,1,2</v>
      </c>
      <c r="JX348" s="62">
        <v>64</v>
      </c>
      <c r="JY348" s="63" t="s">
        <v>56</v>
      </c>
      <c r="JZ348" s="185">
        <v>23.9</v>
      </c>
      <c r="KA348" s="64"/>
      <c r="KC348" s="195" t="s">
        <v>35</v>
      </c>
      <c r="KD348" s="198">
        <v>6.25E-2</v>
      </c>
      <c r="KE348" s="5" t="s">
        <v>12</v>
      </c>
      <c r="KF348" s="51" t="s">
        <v>116</v>
      </c>
      <c r="KI348" s="42"/>
      <c r="KJ348" s="42"/>
      <c r="KK348" s="42"/>
      <c r="KL348" s="42"/>
      <c r="KM348" s="42"/>
      <c r="KN348" s="15"/>
    </row>
    <row r="349" spans="273:300" ht="43.2" hidden="1" x14ac:dyDescent="0.55000000000000004">
      <c r="JM349" s="31"/>
      <c r="JN349" s="5"/>
      <c r="JO349" s="42"/>
      <c r="JP349" s="42"/>
      <c r="JQ349" s="42"/>
      <c r="JR349" s="42"/>
      <c r="JS349" s="42"/>
      <c r="JT349" s="42"/>
      <c r="JW349" s="67" t="str">
        <f t="shared" si="0"/>
        <v>43,1,1,3</v>
      </c>
      <c r="JX349" s="66">
        <v>4</v>
      </c>
      <c r="JY349" s="65" t="s">
        <v>105</v>
      </c>
      <c r="JZ349" s="184">
        <v>51.1</v>
      </c>
      <c r="KA349" s="68"/>
      <c r="KC349" s="74" t="s">
        <v>141</v>
      </c>
      <c r="KD349" s="10">
        <f>ROUND((3*KD333*B4)-E3,2)</f>
        <v>69.89</v>
      </c>
      <c r="KE349" s="51" t="s">
        <v>12</v>
      </c>
      <c r="KI349" s="42"/>
      <c r="KJ349" s="42"/>
      <c r="KK349" s="42"/>
      <c r="KL349" s="42"/>
      <c r="KM349" s="42"/>
      <c r="KN349" s="15"/>
    </row>
    <row r="350" spans="273:300" hidden="1" x14ac:dyDescent="0.55000000000000004">
      <c r="JM350" s="44"/>
      <c r="JN350" s="42"/>
      <c r="JO350" s="42"/>
      <c r="JP350" s="42"/>
      <c r="JQ350" s="42"/>
      <c r="JR350" s="42"/>
      <c r="JS350" s="42"/>
      <c r="JT350" s="42"/>
      <c r="JW350" s="67" t="str">
        <f t="shared" si="0"/>
        <v>83,1,1,3</v>
      </c>
      <c r="JX350" s="66">
        <v>8</v>
      </c>
      <c r="JY350" s="65" t="s">
        <v>105</v>
      </c>
      <c r="JZ350" s="184">
        <v>39</v>
      </c>
      <c r="KA350" s="68"/>
      <c r="KI350" s="42"/>
      <c r="KJ350" s="42"/>
      <c r="KK350" s="42"/>
      <c r="KL350" s="42"/>
      <c r="KM350" s="42"/>
      <c r="KN350" s="15"/>
    </row>
    <row r="351" spans="273:300" hidden="1" x14ac:dyDescent="0.55000000000000004">
      <c r="JM351" s="8"/>
      <c r="JN351" s="42"/>
      <c r="JO351" s="42"/>
      <c r="JP351" s="42"/>
      <c r="JQ351" s="42"/>
      <c r="JR351" s="42"/>
      <c r="JS351" s="42"/>
      <c r="JT351" s="42"/>
      <c r="JW351" s="67" t="str">
        <f t="shared" si="0"/>
        <v>163,1,1,3</v>
      </c>
      <c r="JX351" s="66">
        <v>16</v>
      </c>
      <c r="JY351" s="65" t="s">
        <v>105</v>
      </c>
      <c r="JZ351" s="184">
        <v>30.6</v>
      </c>
      <c r="KA351" s="68"/>
      <c r="KI351" s="42"/>
      <c r="KJ351" s="42"/>
      <c r="KK351" s="42"/>
      <c r="KL351" s="42"/>
      <c r="KM351" s="42"/>
      <c r="KN351" s="15"/>
    </row>
    <row r="352" spans="273:300" hidden="1" x14ac:dyDescent="0.55000000000000004">
      <c r="JM352" s="42"/>
      <c r="JN352" s="42"/>
      <c r="JO352" s="42"/>
      <c r="JP352" s="42"/>
      <c r="JQ352" s="42"/>
      <c r="JR352" s="42"/>
      <c r="JS352" s="42"/>
      <c r="JT352" s="42"/>
      <c r="JW352" s="67" t="str">
        <f t="shared" si="0"/>
        <v>323,1,1,3</v>
      </c>
      <c r="JX352" s="66">
        <v>32</v>
      </c>
      <c r="JY352" s="65" t="s">
        <v>105</v>
      </c>
      <c r="JZ352" s="184">
        <v>25.1</v>
      </c>
      <c r="KA352" s="68"/>
      <c r="KI352" s="42"/>
      <c r="KJ352" s="42"/>
      <c r="KK352" s="42"/>
      <c r="KL352" s="42"/>
      <c r="KM352" s="42"/>
      <c r="KN352" s="15"/>
    </row>
    <row r="353" spans="273:300" ht="14.7" hidden="1" thickBot="1" x14ac:dyDescent="0.6">
      <c r="JM353" s="42"/>
      <c r="JN353" s="42"/>
      <c r="JO353" s="42"/>
      <c r="JP353" s="42"/>
      <c r="JQ353" s="42"/>
      <c r="JR353" s="42"/>
      <c r="JS353" s="42"/>
      <c r="JT353" s="42"/>
      <c r="JW353" s="67" t="str">
        <f t="shared" si="0"/>
        <v>643,1,1,3</v>
      </c>
      <c r="JX353" s="186">
        <v>64</v>
      </c>
      <c r="JY353" s="187" t="s">
        <v>105</v>
      </c>
      <c r="JZ353" s="188">
        <v>21.7</v>
      </c>
      <c r="KA353" s="69"/>
      <c r="KI353" s="42"/>
      <c r="KJ353" s="42"/>
      <c r="KK353" s="42"/>
      <c r="KL353" s="42"/>
      <c r="KM353" s="42"/>
      <c r="KN353" s="15"/>
    </row>
    <row r="354" spans="273:300" hidden="1" x14ac:dyDescent="0.55000000000000004">
      <c r="JM354" s="45"/>
      <c r="JN354" s="45"/>
      <c r="JO354" s="45"/>
      <c r="JP354" s="45"/>
      <c r="JQ354" s="45"/>
      <c r="JR354" s="45"/>
      <c r="JS354" s="45"/>
      <c r="JT354" s="45"/>
      <c r="JU354" s="4"/>
      <c r="JV354" s="4"/>
      <c r="JW354" s="4"/>
      <c r="JX354" s="4"/>
      <c r="JY354" s="4"/>
      <c r="JZ354" s="4"/>
      <c r="KA354" s="4"/>
      <c r="KB354" s="4"/>
      <c r="KC354" s="4"/>
      <c r="KD354" s="4"/>
      <c r="KE354" s="4"/>
      <c r="KF354" s="4"/>
      <c r="KG354" s="4"/>
      <c r="KH354" s="4"/>
      <c r="KI354" s="45"/>
      <c r="KJ354" s="45"/>
      <c r="KK354" s="45"/>
      <c r="KL354" s="45"/>
      <c r="KM354" s="45"/>
      <c r="KN354" s="45"/>
    </row>
    <row r="355" spans="273:300" hidden="1" x14ac:dyDescent="0.55000000000000004"/>
    <row r="356" spans="273:300" hidden="1" x14ac:dyDescent="0.55000000000000004"/>
    <row r="357" spans="273:300" hidden="1" x14ac:dyDescent="0.55000000000000004"/>
    <row r="358" spans="273:300" hidden="1" x14ac:dyDescent="0.55000000000000004"/>
    <row r="359" spans="273:300" hidden="1" x14ac:dyDescent="0.55000000000000004"/>
    <row r="360" spans="273:300" hidden="1" x14ac:dyDescent="0.55000000000000004"/>
  </sheetData>
  <mergeCells count="8">
    <mergeCell ref="KM321:KN321"/>
    <mergeCell ref="JX324:JZ324"/>
    <mergeCell ref="JX327:KA327"/>
    <mergeCell ref="A14:C14"/>
    <mergeCell ref="B1:F1"/>
    <mergeCell ref="JX321:KA321"/>
    <mergeCell ref="KI321:KJ321"/>
    <mergeCell ref="KK321:KL321"/>
  </mergeCells>
  <conditionalFormatting sqref="E4">
    <cfRule type="cellIs" dxfId="11" priority="1" operator="lessThan">
      <formula>125</formula>
    </cfRule>
    <cfRule type="cellIs" dxfId="10" priority="2" operator="greaterThan">
      <formula>125</formula>
    </cfRule>
  </conditionalFormatting>
  <dataValidations count="14">
    <dataValidation allowBlank="1" showInputMessage="1" showErrorMessage="1" prompt="Enter the operating ambient temperature" sqref="KD327" xr:uid="{7986CA3F-62FD-4385-AA14-3AC8D4EB5FC5}"/>
    <dataValidation type="decimal" allowBlank="1" showInputMessage="1" showErrorMessage="1" error="This voltage is outside the operating range of the DRV8316" prompt="Enter a motor supply voltage between 4.5 to 35 volts" sqref="B3" xr:uid="{C02EB111-6C73-4A98-9A90-877F41E32AD4}">
      <formula1>4.5</formula1>
      <formula2>35</formula2>
    </dataValidation>
    <dataValidation type="list" allowBlank="1" showInputMessage="1" showErrorMessage="1" prompt="Select copper thickness of internal layers if more than 2 layer PCB (oz)" sqref="KD329" xr:uid="{5362E5B8-0311-4F98-8C08-72D427FDAB47}">
      <formula1>$JO$322:$JO$323</formula1>
    </dataValidation>
    <dataValidation type="list" allowBlank="1" showInputMessage="1" showErrorMessage="1" prompt="Select copper thickness of top/bottom layers (oz)" sqref="KD329 KL321 KH315" xr:uid="{AF6F4F2B-476A-4AA6-AD3D-DE5BA251951C}">
      <formula1>$JN$322:$JN$323</formula1>
    </dataValidation>
    <dataValidation type="decimal" allowBlank="1" showInputMessage="1" showErrorMessage="1" error="This current is outside the operating range of the DRV8316" prompt="Enter an RMS current between 0 and 5.657 amps" sqref="B4" xr:uid="{1779119E-D69F-4983-BFBC-52E7BA542B1E}">
      <formula1>0</formula1>
      <formula2>5.657</formula2>
    </dataValidation>
    <dataValidation type="decimal" allowBlank="1" showInputMessage="1" showErrorMessage="1" error="This ambient temperature is outside the operating range of the DRV8316" prompt="Enter the ambient temperature of the DRV8316 for normal operation" sqref="B9" xr:uid="{F69C94C1-D527-453E-9E95-6BF1DF64BFC2}">
      <formula1>-40</formula1>
      <formula2>125</formula2>
    </dataValidation>
    <dataValidation type="decimal" allowBlank="1" showInputMessage="1" showErrorMessage="1" error="AVDD output current out of range" prompt="Enter the AVDD output load current between 0 to 30mA" sqref="B8" xr:uid="{9897A4EF-C1AF-4065-B233-3A13408E37C1}">
      <formula1>0</formula1>
      <formula2>30</formula2>
    </dataValidation>
    <dataValidation type="list" allowBlank="1" showInputMessage="1" showErrorMessage="1" prompt="Select an output slew rate setting (V/us)" sqref="B7" xr:uid="{6DF34986-0F9C-4BFF-A4B2-A3DC34A62F0C}">
      <formula1>$JQ$322:$JQ$325</formula1>
    </dataValidation>
    <dataValidation type="list" allowBlank="1" showInputMessage="1" showErrorMessage="1" prompt="Select PCB area (cm2)" sqref="B13" xr:uid="{1AB01E78-A536-4092-B2B0-959D2A00CFEF}">
      <formula1>$JP$322:$JP$326</formula1>
    </dataValidation>
    <dataValidation type="list" allowBlank="1" showInputMessage="1" showErrorMessage="1" prompt="Select # of PCB Layers" sqref="B11" xr:uid="{F4F476E4-7525-460F-BA7C-0B48C5ADD3D0}">
      <formula1>$JM$322:$JM$323</formula1>
    </dataValidation>
    <dataValidation type="list" allowBlank="1" showInputMessage="1" showErrorMessage="1" error="This PWM frequency is outside of the operating range of the DRV8316" prompt="Select a PWM frequency between 10kHz and 75kHz" sqref="B6" xr:uid="{1FA9045C-BD44-47EA-8183-0CF6AEF6FE6E}">
      <formula1>$JS$322:$JS$335</formula1>
    </dataValidation>
    <dataValidation type="list" allowBlank="1" showInputMessage="1" showErrorMessage="1" prompt="Select PWM modulation type" sqref="B5" xr:uid="{92094770-BFFE-4B65-8D82-A7554FFF3AAD}">
      <formula1>$JT$322:$JT$323</formula1>
    </dataValidation>
    <dataValidation type="list" allowBlank="1" showInputMessage="1" showErrorMessage="1" prompt="Select copper thickness of top/bottom layers (oz)" sqref="B12" xr:uid="{71EB16F6-016E-4CAC-8BD6-14D30B374B6D}">
      <formula1>$JN$322:$JN$324</formula1>
    </dataValidation>
    <dataValidation type="list" allowBlank="1" showInputMessage="1" showErrorMessage="1" prompt="Select copper thickness of top/bottom layers (oz)" sqref="B13" xr:uid="{D1208F2F-CF70-4819-9506-ED99A60A61B0}">
      <formula1>$JP$322:$JP$326</formula1>
    </dataValidation>
  </dataValidations>
  <pageMargins left="0.7" right="0.7" top="0.75" bottom="0.75" header="0.3" footer="0.3"/>
  <pageSetup orientation="portrait" r:id="rId1"/>
  <headerFooter>
    <oddHeader>&amp;L&amp;"Calibri"&amp;10&amp;KF6A800Internal&amp;1#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FC54D-D82B-4EB3-9764-65C15502C000}">
  <dimension ref="A1:KA422"/>
  <sheetViews>
    <sheetView zoomScale="115" zoomScaleNormal="115" workbookViewId="0"/>
  </sheetViews>
  <sheetFormatPr defaultRowHeight="14.4" x14ac:dyDescent="0.55000000000000004"/>
  <cols>
    <col min="1" max="1" width="86" style="2" bestFit="1" customWidth="1"/>
    <col min="2" max="2" width="15.734375" style="34" bestFit="1" customWidth="1"/>
    <col min="3" max="3" width="7.734375" style="34" bestFit="1" customWidth="1"/>
    <col min="4" max="4" width="57.62890625" style="31" customWidth="1"/>
    <col min="5" max="5" width="13.5234375" style="5" customWidth="1"/>
    <col min="6" max="6" width="8.26171875" customWidth="1"/>
    <col min="7" max="7" width="12.15625" style="42" customWidth="1"/>
    <col min="8" max="8" width="28.7890625" style="42" bestFit="1" customWidth="1"/>
    <col min="9" max="9" width="12.7890625" style="42" bestFit="1" customWidth="1"/>
    <col min="10" max="10" width="31" style="42" bestFit="1" customWidth="1"/>
    <col min="11" max="11" width="25.5234375" style="42" bestFit="1" customWidth="1"/>
    <col min="12" max="12" width="11.26171875" style="42" bestFit="1" customWidth="1"/>
    <col min="13" max="13" width="12.7890625" style="42" bestFit="1" customWidth="1"/>
    <col min="14" max="14" width="30.26171875" style="42" bestFit="1" customWidth="1"/>
    <col min="15" max="15" width="26.26171875" bestFit="1" customWidth="1"/>
    <col min="16" max="16" width="11" bestFit="1" customWidth="1"/>
    <col min="17" max="18" width="10.62890625" bestFit="1" customWidth="1"/>
    <col min="19" max="19" width="11.3671875" bestFit="1" customWidth="1"/>
    <col min="20" max="20" width="13.15625" bestFit="1" customWidth="1"/>
    <col min="21" max="21" width="13.5234375" bestFit="1" customWidth="1"/>
    <col min="22" max="22" width="21.47265625" bestFit="1" customWidth="1"/>
    <col min="23" max="23" width="14.26171875" bestFit="1" customWidth="1"/>
    <col min="24" max="24" width="30.26171875" bestFit="1" customWidth="1"/>
    <col min="25" max="25" width="14.26171875" bestFit="1" customWidth="1"/>
    <col min="26" max="26" width="24.7890625" bestFit="1" customWidth="1"/>
    <col min="27" max="27" width="23.3671875" bestFit="1" customWidth="1"/>
    <col min="28" max="28" width="44.89453125" bestFit="1" customWidth="1"/>
    <col min="29" max="29" width="30.26171875" style="42" bestFit="1" customWidth="1"/>
    <col min="30" max="30" width="13.5234375" style="42" bestFit="1" customWidth="1"/>
    <col min="31" max="31" width="7.734375" style="42" bestFit="1" customWidth="1"/>
    <col min="32" max="32" width="45.89453125" style="42" bestFit="1" customWidth="1"/>
    <col min="33" max="33" width="34.62890625" style="42" bestFit="1" customWidth="1"/>
    <col min="34" max="34" width="14" style="15" bestFit="1" customWidth="1"/>
    <col min="35" max="35" width="16.47265625" style="15" bestFit="1" customWidth="1"/>
    <col min="36" max="36" width="13.5234375" style="15" bestFit="1" customWidth="1"/>
    <col min="37" max="37" width="16.47265625" style="15" bestFit="1" customWidth="1"/>
    <col min="38" max="38" width="13.5234375" bestFit="1" customWidth="1"/>
    <col min="39" max="39" width="16.47265625" bestFit="1" customWidth="1"/>
    <col min="40" max="40" width="13.5234375" bestFit="1" customWidth="1"/>
    <col min="122" max="149" width="8.734375" customWidth="1"/>
    <col min="257" max="287" width="0" hidden="1" customWidth="1"/>
  </cols>
  <sheetData>
    <row r="1" spans="1:37" ht="15" customHeight="1" thickBot="1" x14ac:dyDescent="0.6">
      <c r="A1" s="201" t="s">
        <v>150</v>
      </c>
      <c r="B1" s="219" t="s">
        <v>151</v>
      </c>
      <c r="C1" s="219"/>
      <c r="D1" s="219"/>
      <c r="E1" s="219"/>
      <c r="F1" s="219"/>
    </row>
    <row r="2" spans="1:37" ht="15" customHeight="1" thickBot="1" x14ac:dyDescent="0.6">
      <c r="A2" s="116" t="s">
        <v>65</v>
      </c>
      <c r="B2" s="105" t="s">
        <v>146</v>
      </c>
      <c r="C2" s="112" t="s">
        <v>2</v>
      </c>
      <c r="D2" s="117" t="s">
        <v>66</v>
      </c>
      <c r="E2" s="118" t="s">
        <v>1</v>
      </c>
      <c r="F2" s="118" t="s">
        <v>2</v>
      </c>
    </row>
    <row r="3" spans="1:37" ht="15" customHeight="1" thickBot="1" x14ac:dyDescent="0.6">
      <c r="A3" s="119" t="s">
        <v>121</v>
      </c>
      <c r="B3" s="101">
        <v>24</v>
      </c>
      <c r="C3" s="109" t="s">
        <v>0</v>
      </c>
      <c r="D3" s="120" t="s">
        <v>67</v>
      </c>
      <c r="E3" s="132">
        <f>ROUND(IF(JM384=-1,"n/a",$JZ$382),2)</f>
        <v>2.58</v>
      </c>
      <c r="F3" s="109" t="s">
        <v>12</v>
      </c>
    </row>
    <row r="4" spans="1:37" ht="15" customHeight="1" thickBot="1" x14ac:dyDescent="0.6">
      <c r="A4" s="121" t="s">
        <v>120</v>
      </c>
      <c r="B4" s="102">
        <v>2.5</v>
      </c>
      <c r="C4" s="110" t="s">
        <v>13</v>
      </c>
      <c r="D4" s="120" t="s">
        <v>24</v>
      </c>
      <c r="E4" s="133">
        <f>ROUND(IF(JM384=-1,"n/a",$JZ$383),2)</f>
        <v>108.08</v>
      </c>
      <c r="F4" s="111" t="s">
        <v>69</v>
      </c>
      <c r="X4" s="12"/>
      <c r="Y4" s="12"/>
      <c r="Z4" s="12"/>
      <c r="AA4" s="12"/>
      <c r="AB4" s="12"/>
      <c r="AC4" s="53"/>
      <c r="AD4" s="53"/>
    </row>
    <row r="5" spans="1:37" ht="15" customHeight="1" x14ac:dyDescent="0.55000000000000004">
      <c r="A5" s="122" t="s">
        <v>89</v>
      </c>
      <c r="B5" s="102" t="s">
        <v>97</v>
      </c>
      <c r="C5" s="110" t="s">
        <v>100</v>
      </c>
      <c r="D5" s="123"/>
      <c r="E5" s="123"/>
      <c r="F5" s="123"/>
      <c r="G5" s="43"/>
      <c r="X5" s="12"/>
    </row>
    <row r="6" spans="1:37" ht="15" customHeight="1" x14ac:dyDescent="0.55000000000000004">
      <c r="A6" s="124" t="s">
        <v>106</v>
      </c>
      <c r="B6" s="101" t="s">
        <v>101</v>
      </c>
      <c r="C6" s="110" t="s">
        <v>100</v>
      </c>
      <c r="D6" s="36"/>
      <c r="E6" s="36"/>
      <c r="F6" s="36"/>
      <c r="G6" s="43"/>
      <c r="X6" s="12"/>
    </row>
    <row r="7" spans="1:37" ht="15" customHeight="1" x14ac:dyDescent="0.55000000000000004">
      <c r="A7" s="124" t="s">
        <v>124</v>
      </c>
      <c r="B7" s="101">
        <v>100</v>
      </c>
      <c r="C7" s="110" t="s">
        <v>15</v>
      </c>
      <c r="D7" s="36"/>
      <c r="E7" s="36"/>
      <c r="F7" s="36"/>
      <c r="G7" s="43"/>
      <c r="X7" s="12"/>
    </row>
    <row r="8" spans="1:37" ht="15" customHeight="1" x14ac:dyDescent="0.55000000000000004">
      <c r="A8" s="121" t="str">
        <f>IF(B7=0,"Motor Phase Inductance [Ls]","-")</f>
        <v>-</v>
      </c>
      <c r="B8" s="101"/>
      <c r="C8" s="110" t="str">
        <f>IF(B7=0,"mH","-")</f>
        <v>-</v>
      </c>
      <c r="D8" s="36"/>
      <c r="E8" s="36"/>
      <c r="F8" s="36"/>
      <c r="G8" s="43"/>
      <c r="X8" s="12"/>
    </row>
    <row r="9" spans="1:37" ht="15" customHeight="1" x14ac:dyDescent="0.55000000000000004">
      <c r="A9" s="121" t="str">
        <f>IF(B7=0,"Motor Phase BEMF constant [Ke_ph(pk)]","-")</f>
        <v>-</v>
      </c>
      <c r="B9" s="101"/>
      <c r="C9" s="110" t="str">
        <f>IF(B7=0,"V/Hz","-")</f>
        <v>-</v>
      </c>
      <c r="D9" s="36"/>
      <c r="E9" s="36"/>
      <c r="F9" s="36"/>
      <c r="G9" s="43"/>
      <c r="X9" s="12"/>
    </row>
    <row r="10" spans="1:37" ht="15" customHeight="1" x14ac:dyDescent="0.55000000000000004">
      <c r="A10" s="121" t="s">
        <v>122</v>
      </c>
      <c r="B10" s="101">
        <v>133</v>
      </c>
      <c r="C10" s="109" t="s">
        <v>103</v>
      </c>
      <c r="D10" s="36"/>
      <c r="E10" s="36"/>
      <c r="F10" s="36"/>
      <c r="G10" s="43"/>
      <c r="X10" s="12"/>
    </row>
    <row r="11" spans="1:37" ht="15" customHeight="1" x14ac:dyDescent="0.55000000000000004">
      <c r="A11" s="119" t="s">
        <v>123</v>
      </c>
      <c r="B11" s="101">
        <v>20</v>
      </c>
      <c r="C11" s="110" t="s">
        <v>11</v>
      </c>
      <c r="D11" s="39"/>
      <c r="E11" s="39"/>
      <c r="F11" s="36"/>
      <c r="X11" s="12"/>
    </row>
    <row r="12" spans="1:37" ht="15" customHeight="1" x14ac:dyDescent="0.55000000000000004">
      <c r="A12" s="125" t="s">
        <v>126</v>
      </c>
      <c r="B12" s="102">
        <v>50</v>
      </c>
      <c r="C12" s="110" t="s">
        <v>9</v>
      </c>
      <c r="D12" s="39"/>
      <c r="E12" s="6"/>
      <c r="F12" s="1"/>
      <c r="X12" s="12"/>
    </row>
    <row r="13" spans="1:37" ht="15" customHeight="1" x14ac:dyDescent="0.55000000000000004">
      <c r="A13" s="126" t="s">
        <v>119</v>
      </c>
      <c r="B13" s="103">
        <v>5</v>
      </c>
      <c r="C13" s="110" t="s">
        <v>4</v>
      </c>
      <c r="D13" s="39"/>
      <c r="E13" s="6"/>
      <c r="F13" s="1"/>
      <c r="H13"/>
      <c r="I13"/>
      <c r="J13"/>
      <c r="K13"/>
      <c r="L13"/>
      <c r="M13"/>
      <c r="N13"/>
      <c r="AC13"/>
      <c r="AD13"/>
      <c r="AE13"/>
      <c r="AF13"/>
      <c r="AG13"/>
      <c r="AH13"/>
      <c r="AI13"/>
      <c r="AJ13"/>
      <c r="AK13"/>
    </row>
    <row r="14" spans="1:37" ht="15" customHeight="1" thickBot="1" x14ac:dyDescent="0.6">
      <c r="A14" s="127" t="s">
        <v>6</v>
      </c>
      <c r="B14" s="104">
        <v>25</v>
      </c>
      <c r="C14" s="111" t="s">
        <v>69</v>
      </c>
      <c r="D14" s="39"/>
      <c r="E14" s="6"/>
      <c r="F14" s="1"/>
      <c r="H14"/>
      <c r="I14"/>
      <c r="J14"/>
      <c r="K14"/>
      <c r="L14"/>
      <c r="M14"/>
      <c r="N14"/>
      <c r="AC14"/>
      <c r="AD14"/>
      <c r="AE14"/>
      <c r="AF14"/>
      <c r="AG14"/>
      <c r="AH14"/>
      <c r="AI14"/>
      <c r="AJ14"/>
      <c r="AK14"/>
    </row>
    <row r="15" spans="1:37" ht="15" customHeight="1" thickBot="1" x14ac:dyDescent="0.6">
      <c r="A15" s="128" t="s">
        <v>68</v>
      </c>
      <c r="B15" s="105"/>
      <c r="C15" s="112"/>
      <c r="D15" s="39"/>
      <c r="E15" s="6"/>
      <c r="F15" s="1"/>
      <c r="H15"/>
      <c r="I15"/>
      <c r="J15"/>
      <c r="K15"/>
      <c r="L15"/>
      <c r="M15"/>
      <c r="N15"/>
      <c r="AC15"/>
      <c r="AD15"/>
      <c r="AE15"/>
      <c r="AF15"/>
      <c r="AG15"/>
      <c r="AH15"/>
      <c r="AI15"/>
      <c r="AJ15"/>
      <c r="AK15"/>
    </row>
    <row r="16" spans="1:37" ht="15" customHeight="1" x14ac:dyDescent="0.55000000000000004">
      <c r="A16" s="129" t="s">
        <v>39</v>
      </c>
      <c r="B16" s="106">
        <v>4</v>
      </c>
      <c r="C16" s="113" t="s">
        <v>37</v>
      </c>
      <c r="D16" s="39"/>
      <c r="E16" s="6"/>
      <c r="F16" s="1"/>
      <c r="H16"/>
      <c r="I16"/>
      <c r="J16"/>
      <c r="K16"/>
      <c r="L16"/>
      <c r="M16"/>
      <c r="N16"/>
      <c r="AC16"/>
      <c r="AD16"/>
      <c r="AE16"/>
      <c r="AF16"/>
      <c r="AG16"/>
      <c r="AH16"/>
      <c r="AI16"/>
      <c r="AJ16"/>
      <c r="AK16"/>
    </row>
    <row r="17" spans="1:151" ht="15" customHeight="1" x14ac:dyDescent="0.55000000000000004">
      <c r="A17" s="130" t="s">
        <v>64</v>
      </c>
      <c r="B17" s="107">
        <v>2</v>
      </c>
      <c r="C17" s="114" t="s">
        <v>38</v>
      </c>
      <c r="D17" s="39"/>
      <c r="E17" s="6"/>
      <c r="F17" s="1"/>
      <c r="H17"/>
      <c r="I17"/>
      <c r="J17"/>
      <c r="K17"/>
      <c r="L17"/>
      <c r="M17"/>
      <c r="N17"/>
      <c r="AC17"/>
      <c r="AD17"/>
      <c r="AE17"/>
      <c r="AF17"/>
      <c r="AG17"/>
      <c r="AH17"/>
      <c r="AI17"/>
      <c r="AJ17"/>
      <c r="AK17"/>
    </row>
    <row r="18" spans="1:151" ht="28" customHeight="1" thickBot="1" x14ac:dyDescent="0.6">
      <c r="A18" s="131" t="s">
        <v>42</v>
      </c>
      <c r="B18" s="108">
        <v>16</v>
      </c>
      <c r="C18" s="115" t="s">
        <v>43</v>
      </c>
      <c r="D18" s="39"/>
      <c r="E18" s="6"/>
      <c r="F18" s="1"/>
      <c r="G18"/>
      <c r="H18"/>
      <c r="I18"/>
      <c r="J18"/>
    </row>
    <row r="19" spans="1:151" ht="28" customHeight="1" thickBot="1" x14ac:dyDescent="0.6">
      <c r="A19" s="216" t="s">
        <v>157</v>
      </c>
      <c r="B19" s="217"/>
      <c r="C19" s="218"/>
      <c r="D19" s="39"/>
      <c r="E19" s="6"/>
      <c r="F19" s="1"/>
      <c r="G19" s="1"/>
      <c r="H19"/>
      <c r="I19"/>
      <c r="J19"/>
      <c r="AO19" s="15"/>
    </row>
    <row r="20" spans="1:151" s="1" customFormat="1" ht="32.049999999999997" customHeight="1" x14ac:dyDescent="0.55000000000000004">
      <c r="D20" s="36"/>
      <c r="G20"/>
      <c r="H20"/>
      <c r="I20"/>
      <c r="J20"/>
      <c r="AN20"/>
      <c r="AO20" s="16"/>
      <c r="EU20"/>
    </row>
    <row r="21" spans="1:151" ht="22.5" customHeight="1" x14ac:dyDescent="0.55000000000000004">
      <c r="G21"/>
      <c r="H21"/>
      <c r="I21"/>
      <c r="J21"/>
    </row>
    <row r="22" spans="1:151" x14ac:dyDescent="0.55000000000000004">
      <c r="G22"/>
      <c r="H22"/>
      <c r="I22"/>
      <c r="J22"/>
    </row>
    <row r="23" spans="1:151" x14ac:dyDescent="0.55000000000000004">
      <c r="G23"/>
      <c r="H23"/>
      <c r="I23"/>
      <c r="J23"/>
    </row>
    <row r="24" spans="1:151" x14ac:dyDescent="0.55000000000000004">
      <c r="G24"/>
      <c r="H24"/>
      <c r="I24"/>
      <c r="J24"/>
    </row>
    <row r="25" spans="1:151" x14ac:dyDescent="0.55000000000000004">
      <c r="G25"/>
      <c r="H25"/>
      <c r="I25"/>
      <c r="J25"/>
    </row>
    <row r="26" spans="1:151" x14ac:dyDescent="0.55000000000000004">
      <c r="A26" s="34"/>
      <c r="G26"/>
      <c r="H26"/>
      <c r="I26"/>
      <c r="J26"/>
    </row>
    <row r="27" spans="1:151" x14ac:dyDescent="0.55000000000000004">
      <c r="A27" s="34"/>
      <c r="G27"/>
      <c r="H27"/>
      <c r="I27"/>
      <c r="J27"/>
    </row>
    <row r="28" spans="1:151" x14ac:dyDescent="0.55000000000000004">
      <c r="A28" s="34"/>
      <c r="G28"/>
      <c r="H28"/>
      <c r="I28"/>
      <c r="J28"/>
    </row>
    <row r="29" spans="1:151" x14ac:dyDescent="0.55000000000000004">
      <c r="A29" s="33"/>
      <c r="B29" s="33"/>
      <c r="C29" s="33"/>
      <c r="G29"/>
      <c r="H29"/>
      <c r="I29"/>
      <c r="J29"/>
    </row>
    <row r="30" spans="1:151" x14ac:dyDescent="0.55000000000000004">
      <c r="A30" s="34"/>
      <c r="G30"/>
      <c r="H30"/>
      <c r="I30"/>
      <c r="J30"/>
    </row>
    <row r="31" spans="1:151" x14ac:dyDescent="0.55000000000000004">
      <c r="A31" s="28"/>
      <c r="B31" s="3"/>
      <c r="G31"/>
      <c r="H31"/>
      <c r="I31"/>
      <c r="J31"/>
    </row>
    <row r="32" spans="1:151" x14ac:dyDescent="0.55000000000000004">
      <c r="A32" s="34"/>
      <c r="G32"/>
      <c r="H32"/>
      <c r="I32"/>
      <c r="J32"/>
      <c r="EU32" s="1"/>
    </row>
    <row r="33" spans="1:151" x14ac:dyDescent="0.55000000000000004">
      <c r="A33" s="34"/>
      <c r="G33" s="1"/>
      <c r="H33"/>
      <c r="I33"/>
      <c r="J33"/>
    </row>
    <row r="34" spans="1:151" s="1" customFormat="1" x14ac:dyDescent="0.55000000000000004">
      <c r="A34" s="36"/>
      <c r="B34" s="36"/>
      <c r="C34" s="36"/>
      <c r="D34" s="39"/>
      <c r="E34" s="6"/>
      <c r="G34"/>
      <c r="H34"/>
      <c r="I34"/>
      <c r="J34"/>
      <c r="AN34"/>
      <c r="EU34"/>
    </row>
    <row r="35" spans="1:151" x14ac:dyDescent="0.55000000000000004">
      <c r="A35" s="34"/>
      <c r="G35"/>
      <c r="H35"/>
      <c r="I35"/>
      <c r="J35"/>
    </row>
    <row r="36" spans="1:151" x14ac:dyDescent="0.55000000000000004">
      <c r="A36" s="34"/>
      <c r="G36"/>
      <c r="H36"/>
      <c r="I36"/>
      <c r="J36"/>
    </row>
    <row r="37" spans="1:151" x14ac:dyDescent="0.55000000000000004">
      <c r="A37" s="34"/>
      <c r="G37"/>
      <c r="H37"/>
      <c r="I37"/>
      <c r="J37"/>
    </row>
    <row r="38" spans="1:151" x14ac:dyDescent="0.55000000000000004">
      <c r="A38" s="34"/>
      <c r="G38"/>
      <c r="H38"/>
      <c r="I38"/>
      <c r="J38"/>
    </row>
    <row r="39" spans="1:151" x14ac:dyDescent="0.55000000000000004">
      <c r="A39" s="34"/>
      <c r="G39"/>
      <c r="H39"/>
      <c r="I39"/>
      <c r="J39"/>
    </row>
    <row r="40" spans="1:151" x14ac:dyDescent="0.55000000000000004">
      <c r="A40" s="34"/>
      <c r="G40"/>
      <c r="H40"/>
      <c r="I40"/>
      <c r="J40"/>
    </row>
    <row r="41" spans="1:151" x14ac:dyDescent="0.55000000000000004">
      <c r="A41" s="34"/>
      <c r="G41"/>
      <c r="H41"/>
      <c r="I41"/>
      <c r="J41"/>
    </row>
    <row r="42" spans="1:151" x14ac:dyDescent="0.55000000000000004">
      <c r="A42" s="34"/>
      <c r="G42"/>
      <c r="H42"/>
      <c r="I42"/>
      <c r="J42"/>
    </row>
    <row r="43" spans="1:151" x14ac:dyDescent="0.55000000000000004">
      <c r="A43" s="34"/>
      <c r="G43"/>
      <c r="H43"/>
      <c r="I43"/>
      <c r="J43"/>
    </row>
    <row r="44" spans="1:151" x14ac:dyDescent="0.55000000000000004">
      <c r="A44" s="34"/>
      <c r="G44"/>
      <c r="H44"/>
      <c r="I44"/>
      <c r="J44"/>
    </row>
    <row r="45" spans="1:151" x14ac:dyDescent="0.55000000000000004">
      <c r="A45" s="34"/>
      <c r="G45"/>
      <c r="H45"/>
      <c r="I45"/>
      <c r="J45"/>
    </row>
    <row r="46" spans="1:151" x14ac:dyDescent="0.55000000000000004">
      <c r="A46" s="34"/>
      <c r="G46"/>
      <c r="H46"/>
      <c r="I46"/>
      <c r="J46"/>
    </row>
    <row r="47" spans="1:151" x14ac:dyDescent="0.55000000000000004">
      <c r="A47" s="34"/>
      <c r="G47"/>
      <c r="H47"/>
      <c r="I47"/>
      <c r="J47"/>
    </row>
    <row r="48" spans="1:151" x14ac:dyDescent="0.55000000000000004">
      <c r="A48" s="34"/>
      <c r="G48"/>
      <c r="H48"/>
      <c r="I48"/>
      <c r="J48"/>
    </row>
    <row r="49" spans="1:151" x14ac:dyDescent="0.55000000000000004">
      <c r="A49" s="34"/>
      <c r="G49"/>
      <c r="H49"/>
      <c r="I49"/>
      <c r="J49"/>
    </row>
    <row r="50" spans="1:151" x14ac:dyDescent="0.55000000000000004">
      <c r="A50" s="33"/>
      <c r="B50" s="33"/>
      <c r="C50" s="33"/>
      <c r="F50" s="5"/>
      <c r="G50"/>
      <c r="H50"/>
      <c r="I50"/>
      <c r="J50"/>
    </row>
    <row r="51" spans="1:151" x14ac:dyDescent="0.55000000000000004">
      <c r="A51" s="37"/>
      <c r="D51" s="14"/>
      <c r="E51" s="9"/>
      <c r="F51" s="9"/>
      <c r="G51"/>
      <c r="H51"/>
      <c r="I51"/>
      <c r="J51"/>
    </row>
    <row r="52" spans="1:151" x14ac:dyDescent="0.55000000000000004">
      <c r="A52" s="34"/>
      <c r="F52" s="8"/>
      <c r="G52"/>
      <c r="H52"/>
      <c r="I52"/>
      <c r="J52"/>
    </row>
    <row r="53" spans="1:151" x14ac:dyDescent="0.55000000000000004">
      <c r="A53" s="28"/>
      <c r="B53" s="3"/>
      <c r="G53"/>
      <c r="H53"/>
      <c r="I53"/>
      <c r="J53"/>
      <c r="EU53" s="4"/>
    </row>
    <row r="54" spans="1:151" x14ac:dyDescent="0.55000000000000004">
      <c r="A54" s="33"/>
      <c r="B54" s="33"/>
      <c r="C54" s="33"/>
      <c r="G54" s="4"/>
      <c r="H54"/>
      <c r="I54"/>
      <c r="J54"/>
      <c r="EU54" s="4"/>
    </row>
    <row r="55" spans="1:151" s="4" customFormat="1" x14ac:dyDescent="0.55000000000000004">
      <c r="A55" s="38"/>
      <c r="B55" s="32"/>
      <c r="C55" s="32"/>
      <c r="D55" s="40"/>
      <c r="E55" s="7"/>
      <c r="H55"/>
      <c r="I55"/>
      <c r="J55"/>
      <c r="AN55"/>
      <c r="EU55"/>
    </row>
    <row r="56" spans="1:151" s="4" customFormat="1" x14ac:dyDescent="0.55000000000000004">
      <c r="A56" s="33"/>
      <c r="B56" s="33"/>
      <c r="C56" s="33"/>
      <c r="D56" s="40"/>
      <c r="E56" s="7"/>
      <c r="G56"/>
      <c r="H56"/>
      <c r="I56"/>
      <c r="J56"/>
      <c r="AN56"/>
      <c r="EU56"/>
    </row>
    <row r="57" spans="1:151" x14ac:dyDescent="0.55000000000000004">
      <c r="A57" s="33"/>
      <c r="G57"/>
      <c r="H57"/>
      <c r="I57"/>
      <c r="J57"/>
    </row>
    <row r="58" spans="1:151" x14ac:dyDescent="0.55000000000000004">
      <c r="A58" s="34"/>
      <c r="G58"/>
      <c r="H58"/>
      <c r="I58"/>
      <c r="J58"/>
      <c r="DR58" s="42"/>
      <c r="DS58" s="42"/>
      <c r="DT58" s="42"/>
      <c r="DU58" s="42"/>
      <c r="EJ58" s="42"/>
      <c r="EK58" s="42"/>
      <c r="EL58" s="42"/>
      <c r="EM58" s="42"/>
      <c r="EN58" s="42"/>
      <c r="EO58" s="15"/>
      <c r="EP58" s="15"/>
      <c r="EQ58" s="15"/>
      <c r="ER58" s="15"/>
    </row>
    <row r="59" spans="1:151" x14ac:dyDescent="0.55000000000000004">
      <c r="A59" s="34"/>
      <c r="G59"/>
      <c r="H59"/>
      <c r="I59"/>
      <c r="J59"/>
      <c r="DR59" s="42"/>
      <c r="DS59" s="42"/>
      <c r="DT59" s="42"/>
      <c r="DU59" s="42"/>
      <c r="EJ59" s="42"/>
      <c r="EK59" s="42"/>
      <c r="EL59" s="42"/>
      <c r="EM59" s="42"/>
      <c r="EN59" s="42"/>
      <c r="EO59" s="15"/>
      <c r="EP59" s="15"/>
      <c r="EQ59" s="15"/>
      <c r="ER59" s="15"/>
    </row>
    <row r="60" spans="1:151" x14ac:dyDescent="0.55000000000000004">
      <c r="A60" s="34"/>
      <c r="H60"/>
      <c r="I60"/>
      <c r="J60"/>
      <c r="DR60" s="42"/>
      <c r="DS60" s="42"/>
      <c r="DT60" s="42"/>
      <c r="DU60" s="42"/>
      <c r="EJ60" s="42"/>
      <c r="EK60" s="42"/>
      <c r="EL60" s="42"/>
      <c r="EM60" s="42"/>
      <c r="EN60" s="42"/>
      <c r="EO60" s="15"/>
      <c r="EP60" s="15"/>
      <c r="EQ60" s="15"/>
      <c r="ER60" s="15"/>
    </row>
    <row r="61" spans="1:151" x14ac:dyDescent="0.55000000000000004">
      <c r="A61" s="34"/>
      <c r="H61"/>
      <c r="I61"/>
      <c r="J61"/>
      <c r="DR61" s="42"/>
      <c r="DS61" s="42"/>
      <c r="DT61" s="42"/>
      <c r="DU61" s="42"/>
      <c r="EJ61" s="42"/>
      <c r="EK61" s="42"/>
      <c r="EL61" s="42"/>
      <c r="EM61" s="42"/>
      <c r="EN61" s="42"/>
      <c r="EO61" s="15"/>
      <c r="EP61" s="15"/>
      <c r="EQ61" s="15"/>
      <c r="ER61" s="15"/>
    </row>
    <row r="62" spans="1:151" x14ac:dyDescent="0.55000000000000004">
      <c r="A62" s="34"/>
      <c r="DR62" s="42"/>
      <c r="DS62" s="42"/>
      <c r="EH62" s="42"/>
      <c r="EI62" s="42"/>
      <c r="EJ62" s="42"/>
      <c r="EK62" s="42"/>
      <c r="EL62" s="42"/>
      <c r="EM62" s="15"/>
      <c r="EN62" s="15"/>
      <c r="EO62" s="15"/>
      <c r="EP62" s="15"/>
    </row>
    <row r="63" spans="1:151" x14ac:dyDescent="0.55000000000000004">
      <c r="A63" s="34"/>
      <c r="DR63" s="42"/>
      <c r="DS63" s="42"/>
      <c r="EH63" s="42"/>
      <c r="EI63" s="42"/>
      <c r="EJ63" s="42"/>
      <c r="EK63" s="42"/>
      <c r="EL63" s="42"/>
      <c r="EM63" s="15"/>
      <c r="EN63" s="15"/>
      <c r="EO63" s="15"/>
      <c r="EP63" s="15"/>
    </row>
    <row r="64" spans="1:151" x14ac:dyDescent="0.55000000000000004">
      <c r="A64" s="34"/>
      <c r="DR64" s="42"/>
      <c r="DS64" s="42"/>
      <c r="EH64" s="42"/>
      <c r="EI64" s="42"/>
      <c r="EJ64" s="42"/>
      <c r="EK64" s="42"/>
      <c r="EL64" s="42"/>
      <c r="EM64" s="15"/>
      <c r="EN64" s="15"/>
      <c r="EO64" s="15"/>
      <c r="EP64" s="15"/>
    </row>
    <row r="65" spans="1:1" x14ac:dyDescent="0.55000000000000004">
      <c r="A65" s="34"/>
    </row>
    <row r="66" spans="1:1" ht="43.5" customHeight="1" x14ac:dyDescent="0.55000000000000004">
      <c r="A66" s="34"/>
    </row>
    <row r="67" spans="1:1" x14ac:dyDescent="0.55000000000000004">
      <c r="A67" s="34"/>
    </row>
    <row r="68" spans="1:1" x14ac:dyDescent="0.55000000000000004">
      <c r="A68" s="34"/>
    </row>
    <row r="69" spans="1:1" x14ac:dyDescent="0.55000000000000004">
      <c r="A69" s="34"/>
    </row>
    <row r="70" spans="1:1" x14ac:dyDescent="0.55000000000000004">
      <c r="A70" s="34"/>
    </row>
    <row r="71" spans="1:1" x14ac:dyDescent="0.55000000000000004">
      <c r="A71" s="34"/>
    </row>
    <row r="72" spans="1:1" x14ac:dyDescent="0.55000000000000004">
      <c r="A72" s="34"/>
    </row>
    <row r="73" spans="1:1" x14ac:dyDescent="0.55000000000000004">
      <c r="A73" s="34"/>
    </row>
    <row r="74" spans="1:1" x14ac:dyDescent="0.55000000000000004">
      <c r="A74" s="34"/>
    </row>
    <row r="75" spans="1:1" x14ac:dyDescent="0.55000000000000004">
      <c r="A75" s="34"/>
    </row>
    <row r="76" spans="1:1" x14ac:dyDescent="0.55000000000000004">
      <c r="A76" s="34"/>
    </row>
    <row r="77" spans="1:1" x14ac:dyDescent="0.55000000000000004">
      <c r="A77" s="34"/>
    </row>
    <row r="78" spans="1:1" x14ac:dyDescent="0.55000000000000004">
      <c r="A78" s="34"/>
    </row>
    <row r="79" spans="1:1" x14ac:dyDescent="0.55000000000000004">
      <c r="A79" s="34"/>
    </row>
    <row r="80" spans="1:1" x14ac:dyDescent="0.55000000000000004">
      <c r="A80" s="34"/>
    </row>
    <row r="81" spans="1:33" x14ac:dyDescent="0.55000000000000004">
      <c r="A81" s="34"/>
    </row>
    <row r="82" spans="1:33" x14ac:dyDescent="0.55000000000000004">
      <c r="A82" s="34"/>
    </row>
    <row r="83" spans="1:33" x14ac:dyDescent="0.55000000000000004">
      <c r="A83" s="34"/>
    </row>
    <row r="84" spans="1:33" x14ac:dyDescent="0.55000000000000004">
      <c r="A84" s="34"/>
    </row>
    <row r="85" spans="1:33" x14ac:dyDescent="0.55000000000000004">
      <c r="A85" s="34"/>
    </row>
    <row r="86" spans="1:33" x14ac:dyDescent="0.55000000000000004">
      <c r="A86" s="34"/>
    </row>
    <row r="87" spans="1:33" x14ac:dyDescent="0.55000000000000004">
      <c r="A87" s="34"/>
    </row>
    <row r="88" spans="1:33" x14ac:dyDescent="0.55000000000000004">
      <c r="A88" s="34"/>
    </row>
    <row r="89" spans="1:33" x14ac:dyDescent="0.55000000000000004">
      <c r="A89" s="34"/>
    </row>
    <row r="90" spans="1:33" x14ac:dyDescent="0.55000000000000004">
      <c r="A90" s="34"/>
    </row>
    <row r="91" spans="1:33" x14ac:dyDescent="0.55000000000000004">
      <c r="A91" s="34"/>
    </row>
    <row r="92" spans="1:33" x14ac:dyDescent="0.55000000000000004">
      <c r="AG92" s="14"/>
    </row>
    <row r="93" spans="1:33" x14ac:dyDescent="0.55000000000000004">
      <c r="AG93" s="14"/>
    </row>
    <row r="94" spans="1:33" x14ac:dyDescent="0.55000000000000004">
      <c r="AG94" s="14"/>
    </row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spans="259:287" hidden="1" x14ac:dyDescent="0.55000000000000004"/>
    <row r="370" spans="259:287" hidden="1" x14ac:dyDescent="0.55000000000000004"/>
    <row r="371" spans="259:287" hidden="1" x14ac:dyDescent="0.55000000000000004"/>
    <row r="372" spans="259:287" hidden="1" x14ac:dyDescent="0.55000000000000004"/>
    <row r="373" spans="259:287" hidden="1" x14ac:dyDescent="0.55000000000000004"/>
    <row r="374" spans="259:287" hidden="1" x14ac:dyDescent="0.55000000000000004"/>
    <row r="375" spans="259:287" hidden="1" x14ac:dyDescent="0.55000000000000004"/>
    <row r="376" spans="259:287" hidden="1" x14ac:dyDescent="0.55000000000000004"/>
    <row r="377" spans="259:287" hidden="1" x14ac:dyDescent="0.55000000000000004"/>
    <row r="378" spans="259:287" ht="29.1" hidden="1" thickBot="1" x14ac:dyDescent="0.6">
      <c r="IY378" s="42"/>
      <c r="IZ378" s="42"/>
      <c r="JA378" s="42"/>
      <c r="JB378" s="42"/>
      <c r="JC378" s="42"/>
      <c r="JD378" s="42"/>
      <c r="JE378" s="42"/>
      <c r="JF378" s="42"/>
      <c r="JO378" s="79" t="s">
        <v>3</v>
      </c>
      <c r="JP378" s="79" t="s">
        <v>1</v>
      </c>
      <c r="JQ378" s="79" t="s">
        <v>2</v>
      </c>
      <c r="JU378" s="42"/>
      <c r="JV378" s="42"/>
      <c r="JW378" s="42"/>
      <c r="JX378" s="42"/>
      <c r="JY378" s="42"/>
      <c r="JZ378" s="15"/>
      <c r="KA378" s="15"/>
    </row>
    <row r="379" spans="259:287" ht="29.1" hidden="1" thickBot="1" x14ac:dyDescent="0.6">
      <c r="IY379" s="13" t="s">
        <v>39</v>
      </c>
      <c r="IZ379" s="46" t="s">
        <v>40</v>
      </c>
      <c r="JA379" s="46" t="s">
        <v>41</v>
      </c>
      <c r="JB379" s="47" t="s">
        <v>42</v>
      </c>
      <c r="JC379" s="47" t="s">
        <v>8</v>
      </c>
      <c r="JD379" s="47" t="s">
        <v>36</v>
      </c>
      <c r="JE379" s="6" t="s">
        <v>70</v>
      </c>
      <c r="JF379" s="6" t="s">
        <v>98</v>
      </c>
      <c r="JG379" s="41" t="s">
        <v>99</v>
      </c>
      <c r="JH379" s="41"/>
      <c r="JJ379" s="209" t="s">
        <v>54</v>
      </c>
      <c r="JK379" s="210"/>
      <c r="JL379" s="210"/>
      <c r="JM379" s="211"/>
      <c r="JO379" s="37" t="s">
        <v>25</v>
      </c>
      <c r="JP379" s="3">
        <v>1.4829000000000001</v>
      </c>
      <c r="JQ379" s="34" t="s">
        <v>13</v>
      </c>
      <c r="JR379" s="30"/>
      <c r="JS379" s="30"/>
      <c r="JU379" s="202" t="s">
        <v>72</v>
      </c>
      <c r="JV379" s="143"/>
      <c r="JW379" s="202" t="s">
        <v>73</v>
      </c>
      <c r="JX379" s="143"/>
      <c r="JY379" s="202" t="s">
        <v>74</v>
      </c>
      <c r="JZ379" s="143"/>
      <c r="KA379" s="15"/>
    </row>
    <row r="380" spans="259:287" ht="29.1" hidden="1" thickBot="1" x14ac:dyDescent="0.6">
      <c r="IY380" s="13">
        <v>2</v>
      </c>
      <c r="IZ380" s="13">
        <v>1</v>
      </c>
      <c r="JA380" s="13">
        <v>1</v>
      </c>
      <c r="JB380" s="48">
        <v>4</v>
      </c>
      <c r="JC380" s="47">
        <v>25</v>
      </c>
      <c r="JD380" s="13">
        <v>1.8</v>
      </c>
      <c r="JE380" s="6">
        <v>10</v>
      </c>
      <c r="JF380" s="6" t="s">
        <v>96</v>
      </c>
      <c r="JG380" s="41" t="s">
        <v>101</v>
      </c>
      <c r="JH380" s="41"/>
      <c r="JJ380" s="22" t="s">
        <v>50</v>
      </c>
      <c r="JK380" s="23" t="s">
        <v>51</v>
      </c>
      <c r="JL380" s="23" t="s">
        <v>52</v>
      </c>
      <c r="JM380" s="24" t="s">
        <v>53</v>
      </c>
      <c r="JO380" s="37" t="s">
        <v>32</v>
      </c>
      <c r="JP380" s="3">
        <v>0.99</v>
      </c>
      <c r="JQ380" s="34"/>
      <c r="JR380" s="30"/>
      <c r="JS380" s="30"/>
      <c r="JU380" s="55" t="s">
        <v>75</v>
      </c>
      <c r="JV380" s="53">
        <f>$JP$383+($JS$385*(B14-25))</f>
        <v>47.5</v>
      </c>
      <c r="JW380" s="55" t="s">
        <v>76</v>
      </c>
      <c r="JX380" s="53">
        <f>$JP$383+($JS$385*(JV383-25))</f>
        <v>60.848521838235293</v>
      </c>
      <c r="JY380" s="55" t="s">
        <v>77</v>
      </c>
      <c r="JZ380" s="87">
        <f>$JP$383+($JS$385*(JX383-25))</f>
        <v>62.297521838235291</v>
      </c>
      <c r="KA380" s="88"/>
    </row>
    <row r="381" spans="259:287" ht="14.7" hidden="1" thickBot="1" x14ac:dyDescent="0.6">
      <c r="IY381" s="13">
        <v>4</v>
      </c>
      <c r="IZ381" s="13">
        <v>2</v>
      </c>
      <c r="JA381" s="13">
        <v>2</v>
      </c>
      <c r="JB381" s="48">
        <v>8</v>
      </c>
      <c r="JC381" s="47">
        <v>50</v>
      </c>
      <c r="JD381" s="13">
        <v>1.1000000000000001</v>
      </c>
      <c r="JE381" s="6">
        <v>15</v>
      </c>
      <c r="JF381" s="6" t="s">
        <v>97</v>
      </c>
      <c r="JG381" s="41" t="s">
        <v>102</v>
      </c>
      <c r="JH381" s="41"/>
      <c r="JJ381" s="19">
        <f>B17</f>
        <v>2</v>
      </c>
      <c r="JK381" s="17">
        <f>IF(B16&gt;2,JP387,"")</f>
        <v>1</v>
      </c>
      <c r="JL381" s="17">
        <f>IF(B16&gt;2,JP387,"")</f>
        <v>1</v>
      </c>
      <c r="JM381" s="20">
        <f>B17</f>
        <v>2</v>
      </c>
      <c r="JO381" s="37"/>
      <c r="JP381" s="3"/>
      <c r="JQ381" s="34"/>
      <c r="JR381" s="30"/>
      <c r="JS381" s="30"/>
      <c r="JU381" s="56" t="s">
        <v>78</v>
      </c>
      <c r="JV381" s="11">
        <f>ROUND(3*$B$4*$B$4*JV380/(1000),3)</f>
        <v>0.89100000000000001</v>
      </c>
      <c r="JW381" s="56" t="s">
        <v>79</v>
      </c>
      <c r="JX381" s="11">
        <f>ROUND(3*$B$4*$B$4*JX380/(1000),3)</f>
        <v>1.141</v>
      </c>
      <c r="JY381" s="56" t="s">
        <v>80</v>
      </c>
      <c r="JZ381" s="11">
        <f>ROUND(3*$B$4*$B$4*JZ380/(1000),3)</f>
        <v>1.1679999999999999</v>
      </c>
      <c r="KA381" s="15"/>
    </row>
    <row r="382" spans="259:287" ht="72.3" hidden="1" thickBot="1" x14ac:dyDescent="0.6">
      <c r="IY382" s="13"/>
      <c r="IZ382" s="13">
        <v>3</v>
      </c>
      <c r="JA382" s="13"/>
      <c r="JB382" s="48">
        <v>16</v>
      </c>
      <c r="JC382" s="13">
        <v>125</v>
      </c>
      <c r="JD382" s="13">
        <v>0.65</v>
      </c>
      <c r="JE382" s="6">
        <v>20</v>
      </c>
      <c r="JF382" s="6"/>
      <c r="JG382" s="41"/>
      <c r="JH382" s="41"/>
      <c r="JI382" s="41"/>
      <c r="JJ382" s="203" t="s">
        <v>49</v>
      </c>
      <c r="JK382" s="204"/>
      <c r="JL382" s="205"/>
      <c r="JM382" s="59" t="s">
        <v>59</v>
      </c>
      <c r="JO382" s="50" t="s">
        <v>158</v>
      </c>
      <c r="JP382" s="10">
        <v>15</v>
      </c>
      <c r="JQ382" s="51" t="s">
        <v>4</v>
      </c>
      <c r="JR382" t="s">
        <v>160</v>
      </c>
      <c r="JU382" s="56" t="s">
        <v>81</v>
      </c>
      <c r="JV382" s="11">
        <f>JV381+$JS$386</f>
        <v>2.3030575980392154</v>
      </c>
      <c r="JW382" s="56" t="s">
        <v>82</v>
      </c>
      <c r="JX382" s="11">
        <f>JX381+$JS$386</f>
        <v>2.5530575980392154</v>
      </c>
      <c r="JY382" s="57" t="s">
        <v>83</v>
      </c>
      <c r="JZ382" s="58">
        <f>JZ381+$JS$386</f>
        <v>2.5800575980392155</v>
      </c>
      <c r="KA382" s="15"/>
    </row>
    <row r="383" spans="259:287" ht="43.5" hidden="1" thickBot="1" x14ac:dyDescent="0.6">
      <c r="IY383" s="13"/>
      <c r="IZ383" s="13"/>
      <c r="JA383" s="13"/>
      <c r="JB383" s="48">
        <v>32</v>
      </c>
      <c r="JC383" s="47">
        <v>200</v>
      </c>
      <c r="JD383" s="13">
        <v>0.5</v>
      </c>
      <c r="JE383" s="6">
        <v>25</v>
      </c>
      <c r="JF383" s="6"/>
      <c r="JG383" s="41"/>
      <c r="JH383" s="41"/>
      <c r="JI383" s="41"/>
      <c r="JJ383" s="25" t="s">
        <v>46</v>
      </c>
      <c r="JK383" s="26" t="s">
        <v>45</v>
      </c>
      <c r="JL383" s="26" t="s">
        <v>61</v>
      </c>
      <c r="JM383" s="60" t="s">
        <v>60</v>
      </c>
      <c r="JO383" s="37" t="s">
        <v>27</v>
      </c>
      <c r="JP383" s="3">
        <v>47.5</v>
      </c>
      <c r="JQ383" s="34" t="s">
        <v>5</v>
      </c>
      <c r="JU383" s="56" t="s">
        <v>84</v>
      </c>
      <c r="JV383" s="11">
        <f>$B$14+(JV382*$JP$388)</f>
        <v>99.158454656862745</v>
      </c>
      <c r="JW383" s="56" t="s">
        <v>85</v>
      </c>
      <c r="JX383" s="11">
        <f>$B$14+(JX382*$JP$388)</f>
        <v>107.20845465686274</v>
      </c>
      <c r="JY383" s="57" t="s">
        <v>86</v>
      </c>
      <c r="JZ383" s="58">
        <f>$B$14+(JZ382*$JP$388)</f>
        <v>108.07785465686274</v>
      </c>
      <c r="KA383" s="15"/>
    </row>
    <row r="384" spans="259:287" ht="43.2" hidden="1" x14ac:dyDescent="0.55000000000000004">
      <c r="IY384" s="13"/>
      <c r="IZ384" s="13"/>
      <c r="JA384" s="13"/>
      <c r="JB384" s="48">
        <v>64</v>
      </c>
      <c r="JC384" s="13"/>
      <c r="JD384" s="13"/>
      <c r="JE384" s="6">
        <v>30</v>
      </c>
      <c r="JF384" s="6"/>
      <c r="JG384" s="41"/>
      <c r="JH384" s="41"/>
      <c r="JI384" s="41"/>
      <c r="JJ384" s="19" t="str">
        <f>_xlfn.TEXTJOIN(",",TRUE,JJ381:JM381)</f>
        <v>2,1,1,2</v>
      </c>
      <c r="JK384" s="17">
        <f>B18</f>
        <v>16</v>
      </c>
      <c r="JL384" s="17"/>
      <c r="JM384" s="20">
        <f>VLOOKUP(JK384&amp;JJ384,JI387:JL411,4,FALSE)</f>
        <v>32.200000000000003</v>
      </c>
      <c r="JO384" s="50" t="s">
        <v>159</v>
      </c>
      <c r="JP384" s="10">
        <v>70</v>
      </c>
      <c r="JQ384" s="51" t="s">
        <v>5</v>
      </c>
      <c r="JR384" s="30"/>
      <c r="JS384" s="30"/>
      <c r="JU384" s="42"/>
      <c r="JV384" s="42"/>
      <c r="JW384" s="42"/>
      <c r="JX384" s="42"/>
      <c r="JY384" s="42"/>
      <c r="JZ384" s="15"/>
      <c r="KA384" s="15"/>
    </row>
    <row r="385" spans="259:287" ht="43.2" hidden="1" x14ac:dyDescent="0.55000000000000004">
      <c r="IY385" s="31"/>
      <c r="IZ385" s="5"/>
      <c r="JA385" s="42"/>
      <c r="JB385" s="42"/>
      <c r="JC385" s="42"/>
      <c r="JD385" s="42"/>
      <c r="JE385" s="6">
        <v>35</v>
      </c>
      <c r="JF385" s="42"/>
      <c r="JJ385" s="206" t="s">
        <v>44</v>
      </c>
      <c r="JK385" s="207"/>
      <c r="JL385" s="207"/>
      <c r="JM385" s="208"/>
      <c r="JO385" s="37" t="s">
        <v>6</v>
      </c>
      <c r="JP385" s="3">
        <v>25</v>
      </c>
      <c r="JQ385" s="34" t="s">
        <v>7</v>
      </c>
      <c r="JR385" s="30" t="s">
        <v>71</v>
      </c>
      <c r="JS385" s="70">
        <f>(JP384-JP383)/(150-25)</f>
        <v>0.18</v>
      </c>
      <c r="JU385" s="42"/>
      <c r="JV385" s="42"/>
      <c r="JW385" s="42"/>
      <c r="JX385" s="42"/>
      <c r="JY385" s="42"/>
      <c r="JZ385" s="15"/>
      <c r="KA385" s="15"/>
    </row>
    <row r="386" spans="259:287" ht="129.6" hidden="1" x14ac:dyDescent="0.55000000000000004">
      <c r="IY386" s="31"/>
      <c r="IZ386" s="5"/>
      <c r="JA386" s="42"/>
      <c r="JB386" s="42"/>
      <c r="JC386" s="42"/>
      <c r="JD386" s="42"/>
      <c r="JE386" s="6">
        <v>40</v>
      </c>
      <c r="JF386" s="42"/>
      <c r="JI386" s="4" t="s">
        <v>62</v>
      </c>
      <c r="JJ386" s="137" t="s">
        <v>58</v>
      </c>
      <c r="JK386" s="138" t="s">
        <v>46</v>
      </c>
      <c r="JL386" s="139" t="s">
        <v>57</v>
      </c>
      <c r="JM386" s="27"/>
      <c r="JO386" s="37" t="s">
        <v>29</v>
      </c>
      <c r="JP386" s="3">
        <v>1.25</v>
      </c>
      <c r="JQ386" s="34" t="s">
        <v>30</v>
      </c>
      <c r="JR386" s="49" t="s">
        <v>104</v>
      </c>
      <c r="JS386" s="61">
        <f>JP397+JP401+JP402+JP404+JP405+JP406+JP414</f>
        <v>1.4120575980392154</v>
      </c>
      <c r="JU386" s="42"/>
      <c r="JV386" s="42"/>
      <c r="JW386" s="42"/>
      <c r="JX386" s="42"/>
      <c r="JY386" s="42"/>
      <c r="JZ386" s="15"/>
      <c r="KA386" s="15"/>
    </row>
    <row r="387" spans="259:287" ht="43.2" x14ac:dyDescent="0.55000000000000004">
      <c r="IY387" s="31"/>
      <c r="IZ387" s="5"/>
      <c r="JA387" s="42"/>
      <c r="JB387" s="42"/>
      <c r="JC387" s="42"/>
      <c r="JD387" s="42"/>
      <c r="JE387" s="6">
        <v>45</v>
      </c>
      <c r="JF387" s="42"/>
      <c r="JI387" s="4" t="str">
        <f t="shared" ref="JI387:JI411" si="0">JJ387&amp;JK387</f>
        <v>41,1</v>
      </c>
      <c r="JJ387" s="19">
        <v>4</v>
      </c>
      <c r="JK387" s="17" t="s">
        <v>47</v>
      </c>
      <c r="JL387" s="134">
        <v>63.6</v>
      </c>
      <c r="JM387" s="18"/>
      <c r="JO387" s="35" t="str">
        <f>IF(B16&gt;2,"Internal Layers Cu Thickness","")</f>
        <v>Internal Layers Cu Thickness</v>
      </c>
      <c r="JP387" s="9">
        <v>1</v>
      </c>
      <c r="JQ387" s="52" t="str">
        <f>IF(B16&gt;2,"oz","")</f>
        <v>oz</v>
      </c>
      <c r="JR387" s="30"/>
      <c r="JS387" s="30"/>
      <c r="JU387" s="42"/>
      <c r="JV387" s="42"/>
      <c r="JW387" s="42"/>
      <c r="JX387" s="42"/>
      <c r="JY387" s="42"/>
      <c r="JZ387" s="15"/>
      <c r="KA387" s="15"/>
    </row>
    <row r="388" spans="259:287" x14ac:dyDescent="0.55000000000000004">
      <c r="IY388" s="31"/>
      <c r="IZ388" s="5"/>
      <c r="JA388" s="42"/>
      <c r="JB388" s="42"/>
      <c r="JC388" s="42"/>
      <c r="JD388" s="42"/>
      <c r="JE388" s="6">
        <v>50</v>
      </c>
      <c r="JF388" s="42"/>
      <c r="JI388" s="4" t="str">
        <f t="shared" si="0"/>
        <v>42,2</v>
      </c>
      <c r="JJ388" s="19">
        <v>4</v>
      </c>
      <c r="JK388" s="17" t="s">
        <v>48</v>
      </c>
      <c r="JL388" s="135">
        <v>58.7</v>
      </c>
      <c r="JM388" s="20"/>
      <c r="JO388" s="38" t="s">
        <v>20</v>
      </c>
      <c r="JP388" s="3">
        <f>JM384</f>
        <v>32.200000000000003</v>
      </c>
      <c r="JQ388" s="34" t="s">
        <v>10</v>
      </c>
      <c r="JR388" s="30"/>
      <c r="JS388" s="30"/>
      <c r="JU388" s="42"/>
      <c r="JV388" s="42"/>
      <c r="JW388" s="42"/>
      <c r="JX388" s="42"/>
      <c r="JY388" s="42"/>
      <c r="JZ388" s="15"/>
      <c r="KA388" s="15"/>
    </row>
    <row r="389" spans="259:287" ht="28.8" x14ac:dyDescent="0.55000000000000004">
      <c r="IY389" s="31"/>
      <c r="IZ389" s="5"/>
      <c r="JA389" s="42"/>
      <c r="JB389" s="42"/>
      <c r="JC389" s="42"/>
      <c r="JD389" s="42"/>
      <c r="JE389" s="6">
        <v>55</v>
      </c>
      <c r="JF389" s="42"/>
      <c r="JI389" s="4" t="str">
        <f t="shared" si="0"/>
        <v>41,1,1,1</v>
      </c>
      <c r="JJ389" s="19">
        <v>4</v>
      </c>
      <c r="JK389" s="17" t="s">
        <v>55</v>
      </c>
      <c r="JL389" s="134">
        <v>54.4</v>
      </c>
      <c r="JM389" s="20"/>
      <c r="JO389" s="79" t="s">
        <v>3</v>
      </c>
      <c r="JP389" s="79" t="s">
        <v>1</v>
      </c>
      <c r="JQ389" s="79" t="s">
        <v>2</v>
      </c>
      <c r="JR389" s="30"/>
      <c r="JS389" s="30"/>
      <c r="JU389" s="42"/>
      <c r="JV389" s="42"/>
      <c r="JW389" s="42"/>
      <c r="JX389" s="42"/>
      <c r="JY389" s="42"/>
      <c r="JZ389" s="15"/>
      <c r="KA389" s="15"/>
    </row>
    <row r="390" spans="259:287" ht="43.2" x14ac:dyDescent="0.55000000000000004">
      <c r="IY390" s="31"/>
      <c r="IZ390" s="5"/>
      <c r="JA390" s="42"/>
      <c r="JB390" s="42"/>
      <c r="JC390" s="42"/>
      <c r="JD390" s="42"/>
      <c r="JE390" s="6">
        <v>60</v>
      </c>
      <c r="JF390" s="42"/>
      <c r="JI390" s="4" t="str">
        <f t="shared" si="0"/>
        <v>42,1,1,2</v>
      </c>
      <c r="JJ390" s="19">
        <v>4</v>
      </c>
      <c r="JK390" s="17" t="s">
        <v>56</v>
      </c>
      <c r="JL390" s="134">
        <v>52.5</v>
      </c>
      <c r="JM390" s="20"/>
      <c r="JO390" s="38" t="s">
        <v>22</v>
      </c>
      <c r="JP390" s="9">
        <f>ROUND((B3/SQRT(3))*JP380,2)</f>
        <v>13.72</v>
      </c>
      <c r="JQ390" s="52" t="s">
        <v>0</v>
      </c>
      <c r="JR390" s="30"/>
      <c r="JS390" s="30"/>
      <c r="JU390" s="42"/>
      <c r="JV390" s="42"/>
      <c r="JW390" s="42"/>
      <c r="JX390" s="42"/>
      <c r="JY390" s="42"/>
      <c r="JZ390" s="15"/>
      <c r="KA390" s="15"/>
    </row>
    <row r="391" spans="259:287" ht="57.6" x14ac:dyDescent="0.55000000000000004">
      <c r="IY391" s="31"/>
      <c r="IZ391" s="5"/>
      <c r="JA391" s="42"/>
      <c r="JB391" s="42"/>
      <c r="JC391" s="42"/>
      <c r="JD391" s="42"/>
      <c r="JE391" s="6">
        <v>65</v>
      </c>
      <c r="JF391" s="42"/>
      <c r="JI391" s="4" t="str">
        <f t="shared" si="0"/>
        <v>81,1</v>
      </c>
      <c r="JJ391" s="19">
        <v>8</v>
      </c>
      <c r="JK391" s="17" t="s">
        <v>47</v>
      </c>
      <c r="JL391" s="134">
        <v>52.6</v>
      </c>
      <c r="JM391" s="20"/>
      <c r="JO391" s="38" t="s">
        <v>21</v>
      </c>
      <c r="JP391" s="9">
        <f>ROUND(JP390/1.41,2)</f>
        <v>9.73</v>
      </c>
      <c r="JQ391" s="52" t="s">
        <v>0</v>
      </c>
      <c r="JR391" s="30"/>
      <c r="JS391" s="30"/>
      <c r="JT391" s="1"/>
      <c r="JU391" s="1"/>
      <c r="JV391" s="1"/>
      <c r="JW391" s="1"/>
      <c r="JX391" s="1"/>
      <c r="JY391" s="1"/>
      <c r="JZ391" s="16"/>
      <c r="KA391" s="16"/>
    </row>
    <row r="392" spans="259:287" x14ac:dyDescent="0.55000000000000004">
      <c r="IY392" s="31"/>
      <c r="IZ392" s="5"/>
      <c r="JA392" s="42"/>
      <c r="JB392" s="42"/>
      <c r="JC392" s="42"/>
      <c r="JD392" s="42"/>
      <c r="JE392" s="6">
        <v>70</v>
      </c>
      <c r="JF392" s="42"/>
      <c r="JI392" s="4" t="str">
        <f t="shared" si="0"/>
        <v>82,2</v>
      </c>
      <c r="JJ392" s="19">
        <v>8</v>
      </c>
      <c r="JK392" s="17" t="s">
        <v>48</v>
      </c>
      <c r="JL392" s="135">
        <v>46.5</v>
      </c>
      <c r="JM392" s="20"/>
      <c r="JO392" s="38"/>
      <c r="JP392" s="34"/>
      <c r="JQ392" s="34"/>
      <c r="JR392" s="30"/>
      <c r="JS392" s="30"/>
      <c r="JU392" s="42"/>
      <c r="JV392" s="42"/>
      <c r="JW392" s="42"/>
      <c r="JX392" s="42"/>
      <c r="JY392" s="42"/>
      <c r="JZ392" s="15"/>
      <c r="KA392" s="15"/>
    </row>
    <row r="393" spans="259:287" ht="43.2" x14ac:dyDescent="0.55000000000000004">
      <c r="IY393" s="31"/>
      <c r="IZ393" s="5"/>
      <c r="JA393" s="42"/>
      <c r="JB393" s="42"/>
      <c r="JC393" s="42"/>
      <c r="JD393" s="42"/>
      <c r="JE393" s="6">
        <v>75</v>
      </c>
      <c r="JF393" s="42"/>
      <c r="JI393" s="4" t="str">
        <f t="shared" si="0"/>
        <v>81,1,1,1</v>
      </c>
      <c r="JJ393" s="19">
        <v>8</v>
      </c>
      <c r="JK393" s="17" t="s">
        <v>55</v>
      </c>
      <c r="JL393" s="134">
        <v>42.7</v>
      </c>
      <c r="JM393" s="20"/>
      <c r="JO393" s="38" t="s">
        <v>23</v>
      </c>
      <c r="JP393" s="3">
        <f>B4/0.816</f>
        <v>3.0637254901960786</v>
      </c>
      <c r="JQ393" s="34" t="s">
        <v>13</v>
      </c>
      <c r="JR393" s="30"/>
      <c r="JS393" s="30"/>
      <c r="JU393" s="42"/>
      <c r="JV393" s="42"/>
      <c r="JW393" s="42"/>
      <c r="JX393" s="42"/>
      <c r="JY393" s="42"/>
      <c r="JZ393" s="15"/>
      <c r="KA393" s="15"/>
    </row>
    <row r="394" spans="259:287" ht="28.8" x14ac:dyDescent="0.55000000000000004">
      <c r="IY394" s="31"/>
      <c r="IZ394" s="5"/>
      <c r="JA394" s="42"/>
      <c r="JB394" s="42"/>
      <c r="JC394" s="42"/>
      <c r="JD394" s="42"/>
      <c r="JE394" s="42"/>
      <c r="JF394" s="42"/>
      <c r="JI394" s="4" t="str">
        <f t="shared" si="0"/>
        <v>82,1,1,2</v>
      </c>
      <c r="JJ394" s="19">
        <v>8</v>
      </c>
      <c r="JK394" s="17" t="s">
        <v>56</v>
      </c>
      <c r="JL394" s="134">
        <v>40.5</v>
      </c>
      <c r="JM394" s="20"/>
      <c r="JO394" s="74" t="s">
        <v>14</v>
      </c>
      <c r="JP394" s="10">
        <f>B3/B12</f>
        <v>0.48</v>
      </c>
      <c r="JQ394" s="51" t="s">
        <v>15</v>
      </c>
      <c r="JR394" s="30"/>
      <c r="JS394" s="30"/>
      <c r="JU394" s="42"/>
      <c r="JV394" s="42"/>
      <c r="JW394" s="42"/>
      <c r="JX394" s="42"/>
      <c r="JY394" s="42"/>
      <c r="JZ394" s="15"/>
      <c r="KA394" s="15"/>
    </row>
    <row r="395" spans="259:287" ht="115.2" x14ac:dyDescent="0.55000000000000004">
      <c r="IY395" s="31"/>
      <c r="IZ395" s="5"/>
      <c r="JA395" s="42"/>
      <c r="JB395" s="42"/>
      <c r="JC395" s="42"/>
      <c r="JD395" s="42"/>
      <c r="JE395" s="42"/>
      <c r="JF395" s="42"/>
      <c r="JI395" s="4" t="str">
        <f t="shared" si="0"/>
        <v>161,1</v>
      </c>
      <c r="JJ395" s="19">
        <v>16</v>
      </c>
      <c r="JK395" s="17" t="s">
        <v>47</v>
      </c>
      <c r="JL395" s="134">
        <v>45.7</v>
      </c>
      <c r="JM395" s="20"/>
      <c r="JO395" s="50" t="s">
        <v>127</v>
      </c>
      <c r="JP395" s="10">
        <f>VLOOKUP(B12,JC380:JD383,2,FALSE)</f>
        <v>1.1000000000000001</v>
      </c>
      <c r="JQ395" s="51" t="s">
        <v>15</v>
      </c>
      <c r="JR395" s="30"/>
      <c r="JS395" s="30"/>
      <c r="JU395" s="42"/>
      <c r="JV395" s="42"/>
      <c r="JW395" s="42"/>
      <c r="JX395" s="42"/>
      <c r="JY395" s="42"/>
      <c r="JZ395" s="15"/>
      <c r="KA395" s="15"/>
    </row>
    <row r="396" spans="259:287" ht="28.8" x14ac:dyDescent="0.55000000000000004">
      <c r="IY396" s="31"/>
      <c r="IZ396" s="5"/>
      <c r="JA396" s="42"/>
      <c r="JB396" s="42"/>
      <c r="JC396" s="42"/>
      <c r="JD396" s="42"/>
      <c r="JE396" s="42"/>
      <c r="JF396" s="42"/>
      <c r="JI396" s="4" t="str">
        <f t="shared" si="0"/>
        <v>162,2</v>
      </c>
      <c r="JJ396" s="19">
        <v>16</v>
      </c>
      <c r="JK396" s="17" t="s">
        <v>48</v>
      </c>
      <c r="JL396" s="135">
        <v>38.4</v>
      </c>
      <c r="JM396" s="21"/>
      <c r="JO396" s="75" t="s">
        <v>18</v>
      </c>
      <c r="JP396" s="29" t="s">
        <v>1</v>
      </c>
      <c r="JQ396" s="33" t="s">
        <v>2</v>
      </c>
      <c r="JR396" s="30"/>
      <c r="JS396" s="30"/>
      <c r="JU396" s="42"/>
      <c r="JV396" s="42"/>
      <c r="JW396" s="42"/>
      <c r="JX396" s="42"/>
      <c r="JY396" s="42"/>
      <c r="JZ396" s="15"/>
      <c r="KA396" s="15"/>
    </row>
    <row r="397" spans="259:287" ht="43.2" x14ac:dyDescent="0.55000000000000004">
      <c r="IY397" s="31"/>
      <c r="IZ397" s="5"/>
      <c r="JA397" s="42"/>
      <c r="JB397" s="42"/>
      <c r="JC397" s="42"/>
      <c r="JD397" s="42"/>
      <c r="JE397" s="42"/>
      <c r="JF397" s="42"/>
      <c r="JI397" s="4" t="str">
        <f t="shared" si="0"/>
        <v>161,1,1,1</v>
      </c>
      <c r="JJ397" s="19">
        <v>16</v>
      </c>
      <c r="JK397" s="17" t="s">
        <v>55</v>
      </c>
      <c r="JL397" s="134">
        <v>34.6</v>
      </c>
      <c r="JM397" s="20"/>
      <c r="JO397" s="38" t="s">
        <v>19</v>
      </c>
      <c r="JP397" s="73">
        <f>B3*JP382/1000</f>
        <v>0.36</v>
      </c>
      <c r="JQ397" s="34"/>
      <c r="JR397" s="30"/>
      <c r="JS397" s="30"/>
      <c r="JU397" s="42"/>
      <c r="JV397" s="42"/>
      <c r="JW397" s="42"/>
      <c r="JX397" s="42"/>
      <c r="JY397" s="42"/>
      <c r="JZ397" s="15"/>
      <c r="KA397" s="15"/>
    </row>
    <row r="398" spans="259:287" x14ac:dyDescent="0.55000000000000004">
      <c r="IY398" s="31"/>
      <c r="IZ398" s="5"/>
      <c r="JA398" s="42"/>
      <c r="JB398" s="42"/>
      <c r="JC398" s="42"/>
      <c r="JD398" s="42"/>
      <c r="JE398" s="42"/>
      <c r="JF398" s="42"/>
      <c r="JI398" s="4" t="str">
        <f t="shared" si="0"/>
        <v>162,1,1,2</v>
      </c>
      <c r="JJ398" s="19">
        <v>16</v>
      </c>
      <c r="JK398" s="17" t="s">
        <v>56</v>
      </c>
      <c r="JL398" s="134">
        <v>32.200000000000003</v>
      </c>
      <c r="JM398" s="20"/>
      <c r="JO398" s="38"/>
      <c r="JP398" s="3"/>
      <c r="JQ398" s="34"/>
      <c r="JR398" s="30"/>
      <c r="JS398" s="30"/>
      <c r="JU398" s="42"/>
      <c r="JV398" s="42"/>
      <c r="JW398" s="42"/>
      <c r="JX398" s="42"/>
      <c r="JY398" s="42"/>
      <c r="JZ398" s="15"/>
      <c r="KA398" s="15"/>
    </row>
    <row r="399" spans="259:287" ht="28.8" x14ac:dyDescent="0.55000000000000004">
      <c r="IY399" s="31"/>
      <c r="IZ399" s="5"/>
      <c r="JA399" s="42"/>
      <c r="JB399" s="42"/>
      <c r="JC399" s="42"/>
      <c r="JD399" s="42"/>
      <c r="JE399" s="42"/>
      <c r="JF399" s="42"/>
      <c r="JI399" s="4" t="str">
        <f t="shared" si="0"/>
        <v>321,1</v>
      </c>
      <c r="JJ399" s="19">
        <v>32</v>
      </c>
      <c r="JK399" s="17" t="s">
        <v>47</v>
      </c>
      <c r="JL399" s="134">
        <v>41.8</v>
      </c>
      <c r="JM399" s="20"/>
      <c r="JO399" s="75" t="s">
        <v>87</v>
      </c>
      <c r="JP399" s="29" t="s">
        <v>1</v>
      </c>
      <c r="JQ399" s="33" t="s">
        <v>2</v>
      </c>
      <c r="JR399" s="30"/>
      <c r="JS399" s="30"/>
      <c r="JU399" s="42"/>
      <c r="JV399" s="42"/>
      <c r="JW399" s="42"/>
      <c r="JX399" s="42"/>
      <c r="JY399" s="42"/>
      <c r="JZ399" s="15"/>
      <c r="KA399" s="15"/>
    </row>
    <row r="400" spans="259:287" ht="43.2" x14ac:dyDescent="0.55000000000000004">
      <c r="IY400" s="31"/>
      <c r="IZ400" s="5"/>
      <c r="JA400" s="42"/>
      <c r="JB400" s="42"/>
      <c r="JC400" s="42"/>
      <c r="JD400" s="42"/>
      <c r="JE400" s="42"/>
      <c r="JF400" s="42"/>
      <c r="JI400" s="4" t="str">
        <f t="shared" si="0"/>
        <v>322,2</v>
      </c>
      <c r="JJ400" s="19">
        <v>32</v>
      </c>
      <c r="JK400" s="17" t="s">
        <v>48</v>
      </c>
      <c r="JL400" s="135">
        <v>33.4</v>
      </c>
      <c r="JM400" s="20"/>
      <c r="JO400" s="76" t="s">
        <v>16</v>
      </c>
      <c r="JP400" s="72">
        <f>ROUND(2*JP393*JP393*JZ380/(1000),3)</f>
        <v>1.17</v>
      </c>
      <c r="JQ400" s="34" t="s">
        <v>12</v>
      </c>
      <c r="JR400" s="71" t="s">
        <v>113</v>
      </c>
      <c r="JS400" s="30"/>
      <c r="JU400" s="42"/>
      <c r="JV400" s="42"/>
      <c r="JW400" s="42"/>
      <c r="JX400" s="42"/>
      <c r="JY400" s="42"/>
      <c r="JZ400" s="15"/>
      <c r="KA400" s="15"/>
    </row>
    <row r="401" spans="259:287" ht="43.2" x14ac:dyDescent="0.55000000000000004">
      <c r="IY401" s="31"/>
      <c r="IZ401" s="5"/>
      <c r="JA401" s="42"/>
      <c r="JB401" s="42"/>
      <c r="JC401" s="42"/>
      <c r="JD401" s="42"/>
      <c r="JE401" s="42"/>
      <c r="JF401" s="42"/>
      <c r="JI401" s="4" t="str">
        <f t="shared" si="0"/>
        <v>321,1,1,1</v>
      </c>
      <c r="JJ401" s="19">
        <v>32</v>
      </c>
      <c r="JK401" s="17" t="s">
        <v>55</v>
      </c>
      <c r="JL401" s="134">
        <v>29.6</v>
      </c>
      <c r="JM401" s="20"/>
      <c r="JO401" s="76" t="s">
        <v>17</v>
      </c>
      <c r="JP401" s="73">
        <f>ROUND(B3*JP393*JP394/1000000*B11*1000,3)</f>
        <v>0.70599999999999996</v>
      </c>
      <c r="JQ401" s="34" t="s">
        <v>12</v>
      </c>
      <c r="JR401" s="71" t="s">
        <v>114</v>
      </c>
      <c r="JS401" s="30"/>
      <c r="JU401" s="42"/>
      <c r="JV401" s="42"/>
      <c r="JW401" s="42"/>
      <c r="JX401" s="42"/>
      <c r="JY401" s="42"/>
      <c r="JZ401" s="15"/>
      <c r="KA401" s="15"/>
    </row>
    <row r="402" spans="259:287" ht="28.8" x14ac:dyDescent="0.55000000000000004">
      <c r="IY402" s="31"/>
      <c r="IZ402" s="5"/>
      <c r="JA402" s="42"/>
      <c r="JB402" s="42"/>
      <c r="JC402" s="42"/>
      <c r="JD402" s="42"/>
      <c r="JE402" s="42"/>
      <c r="JF402" s="42"/>
      <c r="JI402" s="4" t="str">
        <f t="shared" si="0"/>
        <v>322,1,1,2</v>
      </c>
      <c r="JJ402" s="19">
        <v>32</v>
      </c>
      <c r="JK402" s="17" t="s">
        <v>56</v>
      </c>
      <c r="JL402" s="134">
        <v>26.9</v>
      </c>
      <c r="JM402" s="20"/>
      <c r="JO402" s="76" t="s">
        <v>31</v>
      </c>
      <c r="JP402" s="73">
        <f>JP386*5*B11*0.000000001*1000</f>
        <v>1.2500000000000003E-4</v>
      </c>
      <c r="JQ402" s="34" t="s">
        <v>12</v>
      </c>
      <c r="JR402" s="89" t="s">
        <v>118</v>
      </c>
      <c r="JS402" s="30"/>
      <c r="JU402" s="42"/>
      <c r="JV402" s="42"/>
      <c r="JW402" s="42"/>
      <c r="JX402" s="42"/>
      <c r="JY402" s="42"/>
      <c r="JZ402" s="15"/>
      <c r="KA402" s="15"/>
    </row>
    <row r="403" spans="259:287" ht="43.2" x14ac:dyDescent="0.55000000000000004">
      <c r="IY403" s="31"/>
      <c r="IZ403" s="5"/>
      <c r="JA403" s="42"/>
      <c r="JB403" s="42"/>
      <c r="JC403" s="42"/>
      <c r="JD403" s="42"/>
      <c r="JE403" s="42"/>
      <c r="JF403" s="42"/>
      <c r="JI403" s="4" t="str">
        <f t="shared" si="0"/>
        <v>641,1</v>
      </c>
      <c r="JJ403" s="19">
        <v>64</v>
      </c>
      <c r="JK403" s="17" t="s">
        <v>47</v>
      </c>
      <c r="JL403" s="134">
        <v>39.9</v>
      </c>
      <c r="JM403" s="20"/>
      <c r="JO403" s="76" t="s">
        <v>88</v>
      </c>
      <c r="JP403" s="72">
        <f>JP400+JP401+JP402</f>
        <v>1.8761249999999998</v>
      </c>
      <c r="JQ403" s="34" t="s">
        <v>12</v>
      </c>
      <c r="JR403" s="30"/>
      <c r="JS403" s="30"/>
      <c r="JU403" s="42"/>
      <c r="JV403" s="42"/>
      <c r="JW403" s="42"/>
      <c r="JX403" s="42"/>
      <c r="JY403" s="42"/>
      <c r="JZ403" s="15"/>
      <c r="KA403" s="15"/>
    </row>
    <row r="404" spans="259:287" x14ac:dyDescent="0.55000000000000004">
      <c r="IY404" s="31"/>
      <c r="IZ404" s="5"/>
      <c r="JA404" s="42"/>
      <c r="JB404" s="42"/>
      <c r="JC404" s="42"/>
      <c r="JD404" s="42"/>
      <c r="JE404" s="42"/>
      <c r="JF404" s="42"/>
      <c r="JI404" s="4" t="str">
        <f t="shared" si="0"/>
        <v>642,2</v>
      </c>
      <c r="JJ404" s="19">
        <v>64</v>
      </c>
      <c r="JK404" s="17" t="s">
        <v>48</v>
      </c>
      <c r="JL404" s="135">
        <v>30.8</v>
      </c>
      <c r="JM404" s="20"/>
      <c r="JO404" s="77" t="s">
        <v>33</v>
      </c>
      <c r="JP404" s="85">
        <f>2*0.7*JP393*B11*1000*JP395/1000000</f>
        <v>9.4362745098039214E-2</v>
      </c>
      <c r="JQ404" s="34" t="s">
        <v>12</v>
      </c>
      <c r="JR404" s="71" t="s">
        <v>115</v>
      </c>
      <c r="JS404" s="30"/>
      <c r="JU404" s="42"/>
      <c r="JV404" s="42"/>
      <c r="JW404" s="42"/>
      <c r="JX404" s="42"/>
      <c r="JY404" s="42"/>
      <c r="JZ404" s="15"/>
      <c r="KA404" s="15"/>
    </row>
    <row r="405" spans="259:287" ht="43.2" x14ac:dyDescent="0.55000000000000004">
      <c r="IY405" s="31"/>
      <c r="IZ405" s="5"/>
      <c r="JA405" s="42"/>
      <c r="JB405" s="42"/>
      <c r="JC405" s="42"/>
      <c r="JD405" s="42"/>
      <c r="JE405" s="42"/>
      <c r="JF405" s="42"/>
      <c r="JI405" s="4" t="str">
        <f t="shared" si="0"/>
        <v>641,1,1,1</v>
      </c>
      <c r="JJ405" s="19">
        <v>64</v>
      </c>
      <c r="JK405" s="17" t="s">
        <v>55</v>
      </c>
      <c r="JL405" s="134">
        <v>26.6</v>
      </c>
      <c r="JM405" s="20"/>
      <c r="JO405" s="78" t="s">
        <v>34</v>
      </c>
      <c r="JP405" s="85">
        <f>(B3-3.3)*B13*0.001</f>
        <v>0.10350000000000001</v>
      </c>
      <c r="JQ405" s="34" t="s">
        <v>12</v>
      </c>
      <c r="JR405" s="70" t="s">
        <v>117</v>
      </c>
      <c r="JS405" s="30"/>
      <c r="JU405" s="42"/>
      <c r="JV405" s="42"/>
      <c r="JW405" s="42"/>
      <c r="JX405" s="42"/>
      <c r="JY405" s="42"/>
      <c r="JZ405" s="15"/>
      <c r="KA405" s="15"/>
    </row>
    <row r="406" spans="259:287" x14ac:dyDescent="0.55000000000000004">
      <c r="IY406" s="31"/>
      <c r="IZ406" s="5"/>
      <c r="JA406" s="42"/>
      <c r="JB406" s="42"/>
      <c r="JC406" s="42"/>
      <c r="JD406" s="42"/>
      <c r="JE406" s="42"/>
      <c r="JF406" s="42"/>
      <c r="JI406" s="4" t="str">
        <f t="shared" si="0"/>
        <v>642,1,1,2</v>
      </c>
      <c r="JJ406" s="62">
        <v>64</v>
      </c>
      <c r="JK406" s="63" t="s">
        <v>56</v>
      </c>
      <c r="JL406" s="136">
        <v>23.7</v>
      </c>
      <c r="JM406" s="64"/>
      <c r="JO406" s="77" t="s">
        <v>35</v>
      </c>
      <c r="JP406" s="85">
        <v>6.25E-2</v>
      </c>
      <c r="JQ406" s="34" t="s">
        <v>12</v>
      </c>
      <c r="JR406" s="30" t="s">
        <v>116</v>
      </c>
      <c r="JS406" s="30"/>
      <c r="JU406" s="42"/>
      <c r="JV406" s="42"/>
      <c r="JW406" s="42"/>
      <c r="JX406" s="42"/>
      <c r="JY406" s="42"/>
      <c r="JZ406" s="15"/>
      <c r="KA406" s="15"/>
    </row>
    <row r="407" spans="259:287" x14ac:dyDescent="0.55000000000000004">
      <c r="IY407" s="31"/>
      <c r="IZ407" s="5"/>
      <c r="JA407" s="42"/>
      <c r="JB407" s="42"/>
      <c r="JC407" s="42"/>
      <c r="JD407" s="42"/>
      <c r="JE407" s="42"/>
      <c r="JF407" s="42"/>
      <c r="JI407" s="67" t="str">
        <f t="shared" si="0"/>
        <v>43,1,1,3</v>
      </c>
      <c r="JJ407" s="66">
        <v>4</v>
      </c>
      <c r="JK407" s="65" t="s">
        <v>105</v>
      </c>
      <c r="JL407" s="134">
        <v>51.4</v>
      </c>
      <c r="JM407" s="68"/>
      <c r="JO407" s="38"/>
      <c r="JP407" s="3"/>
      <c r="JQ407" s="34"/>
      <c r="JR407" s="30"/>
      <c r="JS407" s="30"/>
      <c r="JU407" s="42"/>
      <c r="JV407" s="42"/>
      <c r="JW407" s="42"/>
      <c r="JX407" s="42"/>
      <c r="JY407" s="42"/>
      <c r="JZ407" s="15"/>
      <c r="KA407" s="15"/>
    </row>
    <row r="408" spans="259:287" ht="28.8" x14ac:dyDescent="0.55000000000000004">
      <c r="IY408" s="44"/>
      <c r="IZ408" s="42"/>
      <c r="JA408" s="42"/>
      <c r="JB408" s="42"/>
      <c r="JC408" s="42"/>
      <c r="JD408" s="42"/>
      <c r="JE408" s="42"/>
      <c r="JF408" s="42"/>
      <c r="JI408" s="67" t="str">
        <f t="shared" si="0"/>
        <v>83,1,1,3</v>
      </c>
      <c r="JJ408" s="66">
        <v>8</v>
      </c>
      <c r="JK408" s="65" t="s">
        <v>105</v>
      </c>
      <c r="JL408" s="134">
        <v>39.200000000000003</v>
      </c>
      <c r="JM408" s="68"/>
      <c r="JO408" s="79" t="s">
        <v>3</v>
      </c>
      <c r="JP408" s="79" t="s">
        <v>1</v>
      </c>
      <c r="JQ408" s="79" t="s">
        <v>2</v>
      </c>
      <c r="JR408" s="30"/>
      <c r="JS408" s="30"/>
      <c r="JU408" s="42"/>
      <c r="JV408" s="42"/>
      <c r="JW408" s="42"/>
      <c r="JX408" s="42"/>
      <c r="JY408" s="42"/>
      <c r="JZ408" s="15"/>
      <c r="KA408" s="15"/>
    </row>
    <row r="409" spans="259:287" x14ac:dyDescent="0.55000000000000004">
      <c r="IY409" s="8"/>
      <c r="IZ409" s="42"/>
      <c r="JA409" s="42"/>
      <c r="JB409" s="42"/>
      <c r="JC409" s="42"/>
      <c r="JD409" s="42"/>
      <c r="JE409" s="42"/>
      <c r="JF409" s="42"/>
      <c r="JI409" s="67" t="str">
        <f t="shared" si="0"/>
        <v>163,1,1,3</v>
      </c>
      <c r="JJ409" s="66">
        <v>16</v>
      </c>
      <c r="JK409" s="65" t="s">
        <v>105</v>
      </c>
      <c r="JL409" s="134">
        <v>30.8</v>
      </c>
      <c r="JM409" s="68"/>
      <c r="JO409" s="32" t="s">
        <v>90</v>
      </c>
      <c r="JP409" s="30"/>
      <c r="JQ409" s="30"/>
      <c r="JR409" s="30"/>
      <c r="JS409" s="30"/>
      <c r="JU409" s="42"/>
      <c r="JV409" s="42"/>
      <c r="JW409" s="42"/>
      <c r="JX409" s="42"/>
      <c r="JY409" s="42"/>
      <c r="JZ409" s="15"/>
      <c r="KA409" s="15"/>
    </row>
    <row r="410" spans="259:287" x14ac:dyDescent="0.55000000000000004">
      <c r="IY410" s="42"/>
      <c r="IZ410" s="42"/>
      <c r="JA410" s="42"/>
      <c r="JB410" s="42"/>
      <c r="JC410" s="42"/>
      <c r="JD410" s="42"/>
      <c r="JE410" s="42"/>
      <c r="JF410" s="42"/>
      <c r="JI410" s="67" t="str">
        <f t="shared" si="0"/>
        <v>323,1,1,3</v>
      </c>
      <c r="JJ410" s="66">
        <v>32</v>
      </c>
      <c r="JK410" s="65" t="s">
        <v>105</v>
      </c>
      <c r="JL410" s="134">
        <v>25.4</v>
      </c>
      <c r="JM410" s="68"/>
      <c r="JO410" s="153" t="s">
        <v>91</v>
      </c>
      <c r="JP410" s="9">
        <f>B9*B10</f>
        <v>0</v>
      </c>
      <c r="JQ410" s="52" t="s">
        <v>0</v>
      </c>
      <c r="JR410" s="15"/>
      <c r="JS410" s="15"/>
      <c r="JU410" s="42"/>
      <c r="JV410" s="42"/>
      <c r="JW410" s="42"/>
      <c r="JX410" s="42"/>
      <c r="JY410" s="42"/>
      <c r="JZ410" s="15"/>
      <c r="KA410" s="15"/>
    </row>
    <row r="411" spans="259:287" ht="72.3" thickBot="1" x14ac:dyDescent="0.6">
      <c r="IY411" s="42"/>
      <c r="IZ411" s="42"/>
      <c r="JA411" s="42"/>
      <c r="JB411" s="42"/>
      <c r="JC411" s="42"/>
      <c r="JD411" s="42"/>
      <c r="JE411" s="42"/>
      <c r="JF411" s="42"/>
      <c r="JI411" s="67" t="str">
        <f t="shared" si="0"/>
        <v>643,1,1,3</v>
      </c>
      <c r="JJ411" s="140">
        <v>64</v>
      </c>
      <c r="JK411" s="141" t="s">
        <v>105</v>
      </c>
      <c r="JL411" s="136">
        <v>22</v>
      </c>
      <c r="JM411" s="69"/>
      <c r="JO411" s="74" t="s">
        <v>92</v>
      </c>
      <c r="JP411" s="10">
        <f>IF(B7=0,IF(B6="Wye",(JP393*3*B8*1000)/(B3+(2*JP410)),(JP393*B8*1000)/(B3+JP410)),B7)</f>
        <v>100</v>
      </c>
      <c r="JQ411" s="51" t="s">
        <v>15</v>
      </c>
      <c r="JR411" s="78" t="s">
        <v>110</v>
      </c>
      <c r="JS411" s="80" t="s">
        <v>109</v>
      </c>
      <c r="JU411" s="81"/>
      <c r="JV411" s="42"/>
      <c r="JW411" s="42"/>
      <c r="JX411" s="42"/>
      <c r="JY411" s="42"/>
      <c r="JZ411" s="15"/>
      <c r="KA411" s="15"/>
    </row>
    <row r="412" spans="259:287" ht="72" x14ac:dyDescent="0.55000000000000004">
      <c r="IY412" s="45"/>
      <c r="IZ412" s="45"/>
      <c r="JA412" s="45"/>
      <c r="JB412" s="45"/>
      <c r="JC412" s="45"/>
      <c r="JD412" s="45"/>
      <c r="JE412" s="45"/>
      <c r="JF412" s="45"/>
      <c r="JG412" s="4"/>
      <c r="JH412" s="4"/>
      <c r="JI412" s="4"/>
      <c r="JJ412" s="4"/>
      <c r="JK412" s="4"/>
      <c r="JL412" s="4"/>
      <c r="JM412" s="4"/>
      <c r="JN412" s="4"/>
      <c r="JO412" s="38" t="s">
        <v>93</v>
      </c>
      <c r="JP412" s="3">
        <f>6*(1/2)*0.7*JP393*JP411/1000000*B10</f>
        <v>8.5569852941176472E-2</v>
      </c>
      <c r="JQ412" s="34" t="s">
        <v>12</v>
      </c>
      <c r="JR412" s="82" t="s">
        <v>108</v>
      </c>
      <c r="JS412" s="83"/>
      <c r="JT412" s="4"/>
      <c r="JU412" s="84"/>
      <c r="JV412" s="45"/>
      <c r="JW412" s="45"/>
      <c r="JX412" s="45"/>
      <c r="JY412" s="45"/>
      <c r="JZ412" s="45"/>
      <c r="KA412" s="4"/>
    </row>
    <row r="413" spans="259:287" ht="86.4" x14ac:dyDescent="0.55000000000000004">
      <c r="IY413" s="45"/>
      <c r="IZ413" s="45"/>
      <c r="JA413" s="45"/>
      <c r="JB413" s="45"/>
      <c r="JC413" s="45"/>
      <c r="JD413" s="45"/>
      <c r="JE413" s="45"/>
      <c r="JF413" s="45"/>
      <c r="JG413" s="4"/>
      <c r="JH413" s="4"/>
      <c r="JI413" s="4"/>
      <c r="JJ413" s="4"/>
      <c r="JK413" s="4"/>
      <c r="JL413" s="4"/>
      <c r="JM413" s="4"/>
      <c r="JN413" s="4"/>
      <c r="JO413" s="38" t="s">
        <v>94</v>
      </c>
      <c r="JP413" s="3">
        <f>6*(1/3)*JP393*JP393*JV380/1000*JP411/1000000*B10</f>
        <v>1.1859733936466745E-2</v>
      </c>
      <c r="JQ413" s="34" t="s">
        <v>12</v>
      </c>
      <c r="JR413" s="76" t="s">
        <v>107</v>
      </c>
      <c r="JS413" s="83"/>
      <c r="JT413" s="4"/>
      <c r="JU413" s="84"/>
      <c r="JV413" s="45"/>
      <c r="JW413" s="45"/>
      <c r="JX413" s="45"/>
      <c r="JY413" s="45"/>
      <c r="JZ413" s="45"/>
      <c r="KA413" s="4"/>
    </row>
    <row r="414" spans="259:287" ht="28.8" x14ac:dyDescent="0.55000000000000004">
      <c r="IY414" s="42"/>
      <c r="IZ414" s="42"/>
      <c r="JA414" s="42"/>
      <c r="JB414" s="42"/>
      <c r="JC414" s="42"/>
      <c r="JD414" s="42"/>
      <c r="JE414" s="42"/>
      <c r="JF414" s="42"/>
      <c r="JO414" s="38" t="s">
        <v>95</v>
      </c>
      <c r="JP414" s="86">
        <f>IF($B$5="No",JP412,JP413)</f>
        <v>8.5569852941176472E-2</v>
      </c>
      <c r="JQ414" s="34" t="s">
        <v>12</v>
      </c>
      <c r="JR414" s="30"/>
      <c r="JU414" s="42"/>
      <c r="JV414" s="42"/>
      <c r="JW414" s="42"/>
      <c r="JX414" s="42"/>
      <c r="JY414" s="42"/>
      <c r="JZ414" s="15"/>
      <c r="KA414" s="15"/>
    </row>
    <row r="418" spans="259:285" x14ac:dyDescent="0.55000000000000004">
      <c r="IY418" s="42"/>
      <c r="IZ418" s="42"/>
      <c r="JA418" s="42"/>
      <c r="JB418" s="42"/>
      <c r="JQ418" s="42"/>
      <c r="JR418" s="42"/>
      <c r="JS418" s="42"/>
      <c r="JT418" s="42"/>
      <c r="JU418" s="42"/>
      <c r="JV418" s="15"/>
      <c r="JW418" s="15"/>
      <c r="JX418" s="15"/>
      <c r="JY418" s="15"/>
    </row>
    <row r="419" spans="259:285" x14ac:dyDescent="0.55000000000000004">
      <c r="IY419" s="42"/>
      <c r="IZ419" s="42"/>
      <c r="JA419" s="42"/>
      <c r="JB419" s="42"/>
      <c r="JQ419" s="42"/>
      <c r="JR419" s="42"/>
      <c r="JS419" s="42"/>
      <c r="JT419" s="42"/>
      <c r="JU419" s="42"/>
      <c r="JV419" s="15"/>
      <c r="JW419" s="15"/>
      <c r="JX419" s="15"/>
      <c r="JY419" s="15"/>
    </row>
    <row r="420" spans="259:285" x14ac:dyDescent="0.55000000000000004">
      <c r="IY420" s="42"/>
      <c r="IZ420" s="42"/>
      <c r="JA420" s="42"/>
      <c r="JB420" s="42"/>
      <c r="JQ420" s="42"/>
      <c r="JR420" s="42"/>
      <c r="JS420" s="42"/>
      <c r="JT420" s="42"/>
      <c r="JU420" s="42"/>
      <c r="JV420" s="15"/>
      <c r="JW420" s="15"/>
      <c r="JX420" s="15"/>
      <c r="JY420" s="15"/>
    </row>
    <row r="421" spans="259:285" x14ac:dyDescent="0.55000000000000004">
      <c r="IY421" s="42"/>
      <c r="IZ421" s="42"/>
      <c r="JA421" s="42"/>
      <c r="JB421" s="42"/>
      <c r="JQ421" s="42"/>
      <c r="JR421" s="42"/>
      <c r="JS421" s="42"/>
      <c r="JT421" s="42"/>
      <c r="JU421" s="42"/>
      <c r="JV421" s="15"/>
      <c r="JW421" s="15"/>
      <c r="JX421" s="15"/>
      <c r="JY421" s="15"/>
    </row>
    <row r="422" spans="259:285" x14ac:dyDescent="0.55000000000000004">
      <c r="IY422" s="42"/>
      <c r="IZ422" s="42"/>
      <c r="JA422" s="42"/>
      <c r="JB422" s="42"/>
      <c r="JQ422" s="42"/>
      <c r="JR422" s="42"/>
      <c r="JS422" s="42"/>
      <c r="JT422" s="42"/>
      <c r="JU422" s="42"/>
      <c r="JV422" s="15"/>
      <c r="JW422" s="15"/>
      <c r="JX422" s="15"/>
      <c r="JY422" s="15"/>
    </row>
  </sheetData>
  <mergeCells count="2">
    <mergeCell ref="B1:F1"/>
    <mergeCell ref="A19:C19"/>
  </mergeCells>
  <conditionalFormatting sqref="E4">
    <cfRule type="cellIs" dxfId="9" priority="1" operator="lessThan">
      <formula>125</formula>
    </cfRule>
    <cfRule type="cellIs" dxfId="8" priority="2" operator="greaterThan">
      <formula>125</formula>
    </cfRule>
  </conditionalFormatting>
  <dataValidations count="19">
    <dataValidation allowBlank="1" showInputMessage="1" showErrorMessage="1" prompt="Enter the motor's commutation time (tcomm) as shown on the diagram to the right. If unknown, enter &quot;0&quot;" sqref="B7" xr:uid="{21366D94-B8C8-4290-8F2A-F8202E353B8C}"/>
    <dataValidation allowBlank="1" showInputMessage="1" showErrorMessage="1" prompt="Enter the motor's phase inductance in mH" sqref="B8" xr:uid="{17AC4592-0051-4513-B096-A754CD6AD57C}"/>
    <dataValidation allowBlank="1" showInputMessage="1" showErrorMessage="1" prompt="Enter the motor phase's Back-EMF constant (Ke_ph)" sqref="B9" xr:uid="{0138A16E-2408-4C14-AC6D-0F9B6FB11F59}"/>
    <dataValidation allowBlank="1" showInputMessage="1" showErrorMessage="1" prompt="Enter the motor's electrical frequency in Hz" sqref="B10" xr:uid="{E72820CB-9A37-4EA1-ADB5-94E50440BFC0}"/>
    <dataValidation type="decimal" allowBlank="1" showInputMessage="1" showErrorMessage="1" error="AVDD output current out of range" prompt="Enter the AVDD output load current between 0 to 20 mA" sqref="B13" xr:uid="{DDEBBA72-DCD3-43F2-A8E6-12E14FF1A8B9}">
      <formula1>0</formula1>
      <formula2>20</formula2>
    </dataValidation>
    <dataValidation allowBlank="1" showInputMessage="1" showErrorMessage="1" prompt="Enter the operating ambient temperature" sqref="JP385" xr:uid="{0414E482-4D2C-46BD-BA25-591DFF639B01}"/>
    <dataValidation type="decimal" allowBlank="1" showInputMessage="1" showErrorMessage="1" error="This voltage is outside the operating range of the DRV8316" prompt="Enter a motor supply voltage between 4.5 to 35 volts" sqref="B3" xr:uid="{665D1897-FB5F-4A41-9E52-E75CB4ED29C8}">
      <formula1>4.5</formula1>
      <formula2>35</formula2>
    </dataValidation>
    <dataValidation type="list" allowBlank="1" showInputMessage="1" showErrorMessage="1" prompt="Select copper thickness of internal layers if more than 2 layer PCB (oz)" sqref="JP387" xr:uid="{FD7035A2-DD58-4802-92FF-EBADFBF5D524}">
      <formula1>$JA$380:$JA$381</formula1>
    </dataValidation>
    <dataValidation type="list" allowBlank="1" showInputMessage="1" showErrorMessage="1" prompt="Select copper thickness of top/bottom layers (oz)" sqref="JP387 JX379" xr:uid="{41AC0761-3FCF-48F6-AFAA-A87EAAA3BD16}">
      <formula1>$IZ$380:$IZ$381</formula1>
    </dataValidation>
    <dataValidation type="decimal" allowBlank="1" showInputMessage="1" showErrorMessage="1" error="This current is outside the operating range of the DRV8316" prompt="Enter an RMS current between 0 and 6.53 amps" sqref="B4" xr:uid="{658A42C5-0F1D-4D50-9080-79E75D2E680A}">
      <formula1>0</formula1>
      <formula2>6.53</formula2>
    </dataValidation>
    <dataValidation type="decimal" allowBlank="1" showInputMessage="1" showErrorMessage="1" error="This ambient temperature is outside the operating range of the DRV8316" prompt="Enter the ambient temperature  of the MCT8316A for normal operation from -40C to 125C" sqref="B14" xr:uid="{126C1954-736F-428C-AF2D-EAF52345C860}">
      <formula1>-40</formula1>
      <formula2>125</formula2>
    </dataValidation>
    <dataValidation type="list" allowBlank="1" showInputMessage="1" showErrorMessage="1" prompt="Select copper thickness of top/bottom layers (oz)" sqref="B17" xr:uid="{4C47EAB3-A439-414F-AAA6-ABDB0DC29579}">
      <formula1>$IZ$380:$IZ$382</formula1>
    </dataValidation>
    <dataValidation type="list" allowBlank="1" showInputMessage="1" showErrorMessage="1" prompt="Select wye or delta motor configuration" sqref="B6" xr:uid="{DB4D584A-5F7A-42DE-B6FB-B3C99911864B}">
      <formula1>$JG$380:$JG$381</formula1>
    </dataValidation>
    <dataValidation type="list" allowBlank="1" showInputMessage="1" showErrorMessage="1" prompt="Select yes or no if active demag is enabled" sqref="B5" xr:uid="{700A4829-91FC-47F9-BC85-2480ACAD4939}">
      <formula1>$JF$380:$JF$381</formula1>
    </dataValidation>
    <dataValidation type="list" allowBlank="1" showInputMessage="1" showErrorMessage="1" prompt="Select an output slew rate setting (V/us)" sqref="B12" xr:uid="{0C480F56-F83A-4974-8A2C-0FF22FD9C44A}">
      <formula1>$JC$380:$JC$383</formula1>
    </dataValidation>
    <dataValidation type="list" allowBlank="1" showInputMessage="1" showErrorMessage="1" prompt="Select PCB area (cm2)" sqref="B18" xr:uid="{459E38AF-950C-45B9-AB5B-48C2E51ED6B8}">
      <formula1>$JB$380:$JB$384</formula1>
    </dataValidation>
    <dataValidation type="list" allowBlank="1" showInputMessage="1" showErrorMessage="1" prompt="Select # of PCB Layers" sqref="B16" xr:uid="{9F087D8C-E295-45EA-B5FD-576B093BFA7C}">
      <formula1>$IY$380:$IY$381</formula1>
    </dataValidation>
    <dataValidation type="list" allowBlank="1" showInputMessage="1" showErrorMessage="1" error="This PWM frequency is outside of the operating range of the DRV8316" prompt="Select a PWM frequency between 10kHz and 75kHz" sqref="B11" xr:uid="{101D6165-5AA6-4EF6-8E67-B99F9B42C2E0}">
      <formula1>$JE$380:$JE$393</formula1>
    </dataValidation>
    <dataValidation type="list" allowBlank="1" showInputMessage="1" showErrorMessage="1" prompt="Select copper thickness of top/bottom layers (oz)" sqref="B18" xr:uid="{245F1535-E322-4EA0-BABB-68CFBB452A0A}">
      <formula1>$JB$380:$JB$384</formula1>
    </dataValidation>
  </dataValidations>
  <pageMargins left="0.7" right="0.7" top="0.75" bottom="0.75" header="0.3" footer="0.3"/>
  <pageSetup orientation="portrait" r:id="rId1"/>
  <headerFooter>
    <oddHeader>&amp;L&amp;"Calibri"&amp;10&amp;KF6A800Internal&amp;1#</oddHead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3370E-EB55-4355-AC30-093BBF4ECBD9}">
  <dimension ref="A1:KN407"/>
  <sheetViews>
    <sheetView zoomScale="160" zoomScaleNormal="160" workbookViewId="0"/>
  </sheetViews>
  <sheetFormatPr defaultRowHeight="14.4" x14ac:dyDescent="0.55000000000000004"/>
  <cols>
    <col min="1" max="1" width="56.3671875" style="2" customWidth="1"/>
    <col min="2" max="2" width="13.47265625" style="34" customWidth="1"/>
    <col min="3" max="3" width="7.3671875" style="34" bestFit="1" customWidth="1"/>
    <col min="4" max="4" width="20.89453125" style="31" customWidth="1"/>
    <col min="5" max="5" width="24.89453125" style="5" bestFit="1" customWidth="1"/>
    <col min="6" max="6" width="21.15625" bestFit="1" customWidth="1"/>
    <col min="7" max="7" width="12.15625" style="42" bestFit="1" customWidth="1"/>
    <col min="8" max="8" width="28.7890625" style="42" bestFit="1" customWidth="1"/>
    <col min="9" max="9" width="24.5234375" style="42" bestFit="1" customWidth="1"/>
    <col min="10" max="10" width="10.47265625" style="42" bestFit="1" customWidth="1"/>
    <col min="11" max="12" width="10.62890625" style="42" bestFit="1" customWidth="1"/>
    <col min="13" max="13" width="10.7890625" style="42" bestFit="1" customWidth="1"/>
    <col min="14" max="14" width="14.62890625" style="42" bestFit="1" customWidth="1"/>
    <col min="15" max="15" width="13.89453125" bestFit="1" customWidth="1"/>
    <col min="16" max="16" width="8.7890625" bestFit="1" customWidth="1"/>
    <col min="17" max="17" width="14.62890625" bestFit="1" customWidth="1"/>
    <col min="18" max="18" width="19.3671875" bestFit="1" customWidth="1"/>
    <col min="19" max="19" width="12.15625" bestFit="1" customWidth="1"/>
    <col min="20" max="20" width="19.89453125" bestFit="1" customWidth="1"/>
    <col min="21" max="21" width="19.1015625" bestFit="1" customWidth="1"/>
    <col min="23" max="23" width="22.7890625" bestFit="1" customWidth="1"/>
    <col min="24" max="24" width="12.15625" bestFit="1" customWidth="1"/>
    <col min="25" max="25" width="15.15625" bestFit="1" customWidth="1"/>
    <col min="26" max="26" width="33" bestFit="1" customWidth="1"/>
    <col min="27" max="27" width="15.62890625" bestFit="1" customWidth="1"/>
    <col min="28" max="28" width="14.62890625" bestFit="1" customWidth="1"/>
    <col min="29" max="29" width="14.3671875" style="42" bestFit="1" customWidth="1"/>
    <col min="30" max="30" width="12.3671875" style="42" customWidth="1"/>
    <col min="31" max="31" width="15.1015625" style="42" bestFit="1" customWidth="1"/>
    <col min="32" max="32" width="13.47265625" style="42" bestFit="1" customWidth="1"/>
    <col min="33" max="33" width="15.47265625" style="42" bestFit="1" customWidth="1"/>
    <col min="34" max="34" width="13.47265625" style="15" bestFit="1" customWidth="1"/>
    <col min="35" max="35" width="10.15625" style="15" bestFit="1" customWidth="1"/>
    <col min="36" max="36" width="16.89453125" style="15" bestFit="1" customWidth="1"/>
    <col min="37" max="37" width="16.62890625" style="15" bestFit="1" customWidth="1"/>
    <col min="270" max="300" width="0" hidden="1" customWidth="1"/>
  </cols>
  <sheetData>
    <row r="1" spans="1:37" ht="14.7" thickBot="1" x14ac:dyDescent="0.6">
      <c r="A1" s="201" t="s">
        <v>148</v>
      </c>
      <c r="B1" s="219" t="s">
        <v>149</v>
      </c>
      <c r="C1" s="219"/>
      <c r="D1" s="219"/>
      <c r="E1" s="219"/>
      <c r="F1" s="219"/>
    </row>
    <row r="2" spans="1:37" ht="14.4" customHeight="1" thickBot="1" x14ac:dyDescent="0.6">
      <c r="A2" s="154" t="s">
        <v>65</v>
      </c>
      <c r="B2" s="155" t="s">
        <v>147</v>
      </c>
      <c r="C2" s="156" t="s">
        <v>2</v>
      </c>
      <c r="D2" s="157" t="s">
        <v>66</v>
      </c>
      <c r="E2" s="158" t="s">
        <v>1</v>
      </c>
      <c r="F2" s="158" t="s">
        <v>2</v>
      </c>
    </row>
    <row r="3" spans="1:37" ht="14.4" customHeight="1" thickBot="1" x14ac:dyDescent="0.6">
      <c r="A3" s="119" t="s">
        <v>121</v>
      </c>
      <c r="B3" s="159">
        <v>24</v>
      </c>
      <c r="C3" s="160" t="s">
        <v>0</v>
      </c>
      <c r="D3" s="161" t="s">
        <v>67</v>
      </c>
      <c r="E3" s="162">
        <f>ROUND(IF(JZ379=-1,"n/a",$KM$377),2)</f>
        <v>1.58</v>
      </c>
      <c r="F3" s="160" t="s">
        <v>12</v>
      </c>
      <c r="X3" s="12"/>
      <c r="Y3" s="12"/>
      <c r="Z3" s="12"/>
      <c r="AA3" s="12"/>
      <c r="AB3" s="12"/>
      <c r="AC3" s="53"/>
      <c r="AD3" s="53"/>
    </row>
    <row r="4" spans="1:37" ht="14.4" customHeight="1" thickBot="1" x14ac:dyDescent="0.6">
      <c r="A4" s="121" t="s">
        <v>143</v>
      </c>
      <c r="B4" s="163">
        <v>2</v>
      </c>
      <c r="C4" s="164" t="s">
        <v>13</v>
      </c>
      <c r="D4" s="161" t="s">
        <v>24</v>
      </c>
      <c r="E4" s="3">
        <f>ROUND(IF(JZ379=-1,"n/a",$KM$378),2)</f>
        <v>101.77</v>
      </c>
      <c r="F4" s="165" t="s">
        <v>7</v>
      </c>
      <c r="G4" s="43"/>
      <c r="X4" s="12"/>
    </row>
    <row r="5" spans="1:37" ht="14.4" customHeight="1" x14ac:dyDescent="0.55000000000000004">
      <c r="A5" s="166" t="s">
        <v>133</v>
      </c>
      <c r="B5" s="163" t="s">
        <v>134</v>
      </c>
      <c r="C5" s="164"/>
      <c r="D5" s="167"/>
      <c r="E5" s="167"/>
      <c r="F5" s="167"/>
      <c r="X5" s="12"/>
    </row>
    <row r="6" spans="1:37" ht="14.4" customHeight="1" x14ac:dyDescent="0.55000000000000004">
      <c r="A6" s="119" t="s">
        <v>123</v>
      </c>
      <c r="B6" s="159">
        <v>20</v>
      </c>
      <c r="C6" s="160" t="s">
        <v>11</v>
      </c>
      <c r="E6" s="31"/>
      <c r="F6" s="30"/>
      <c r="X6" s="12"/>
    </row>
    <row r="7" spans="1:37" ht="14.4" customHeight="1" x14ac:dyDescent="0.55000000000000004">
      <c r="A7" s="125" t="s">
        <v>126</v>
      </c>
      <c r="B7" s="163">
        <v>200</v>
      </c>
      <c r="C7" s="164" t="s">
        <v>9</v>
      </c>
      <c r="X7" s="12"/>
    </row>
    <row r="8" spans="1:37" ht="14.4" customHeight="1" x14ac:dyDescent="0.55000000000000004">
      <c r="A8" s="126" t="s">
        <v>119</v>
      </c>
      <c r="B8" s="103">
        <v>5</v>
      </c>
      <c r="C8" s="110" t="s">
        <v>4</v>
      </c>
      <c r="X8" s="12"/>
    </row>
    <row r="9" spans="1:37" ht="14.4" customHeight="1" thickBot="1" x14ac:dyDescent="0.6">
      <c r="A9" s="168" t="s">
        <v>6</v>
      </c>
      <c r="B9" s="169">
        <v>40</v>
      </c>
      <c r="C9" s="170" t="s">
        <v>69</v>
      </c>
      <c r="X9" s="12"/>
      <c r="Y9" s="35"/>
      <c r="Z9" s="29"/>
      <c r="AA9" s="29"/>
      <c r="AB9" s="9"/>
      <c r="AC9" s="54"/>
      <c r="AD9" s="53"/>
    </row>
    <row r="10" spans="1:37" ht="14.4" customHeight="1" thickBot="1" x14ac:dyDescent="0.6">
      <c r="A10" s="171" t="s">
        <v>68</v>
      </c>
      <c r="B10" s="155"/>
      <c r="C10" s="156"/>
      <c r="X10" s="12"/>
      <c r="Z10" s="12"/>
      <c r="AA10" s="12"/>
      <c r="AB10" s="12"/>
      <c r="AC10" s="53"/>
      <c r="AD10" s="53"/>
    </row>
    <row r="11" spans="1:37" ht="34.299999999999997" customHeight="1" x14ac:dyDescent="0.55000000000000004">
      <c r="A11" s="172" t="s">
        <v>39</v>
      </c>
      <c r="B11" s="173">
        <v>4</v>
      </c>
      <c r="C11" s="174" t="s">
        <v>37</v>
      </c>
      <c r="X11" s="12"/>
      <c r="Y11" s="12"/>
      <c r="Z11" s="12"/>
      <c r="AA11" s="12"/>
      <c r="AB11" s="12"/>
      <c r="AC11" s="53"/>
      <c r="AD11" s="53"/>
    </row>
    <row r="12" spans="1:37" ht="14.4" customHeight="1" x14ac:dyDescent="0.55000000000000004">
      <c r="A12" s="175" t="s">
        <v>64</v>
      </c>
      <c r="B12" s="176">
        <v>3</v>
      </c>
      <c r="C12" s="177" t="s">
        <v>38</v>
      </c>
    </row>
    <row r="13" spans="1:37" s="1" customFormat="1" ht="25.5" customHeight="1" thickBot="1" x14ac:dyDescent="0.6">
      <c r="A13" s="178" t="s">
        <v>42</v>
      </c>
      <c r="B13" s="179">
        <v>8</v>
      </c>
      <c r="C13" s="180" t="s">
        <v>43</v>
      </c>
      <c r="D13" s="31"/>
      <c r="E13" s="5"/>
      <c r="F13"/>
      <c r="AH13" s="16"/>
      <c r="AI13" s="16"/>
      <c r="AJ13" s="16"/>
      <c r="AK13" s="16"/>
    </row>
    <row r="14" spans="1:37" ht="46.5" customHeight="1" thickBot="1" x14ac:dyDescent="0.6">
      <c r="A14" s="228" t="s">
        <v>156</v>
      </c>
      <c r="B14" s="229"/>
      <c r="C14" s="230"/>
      <c r="D14" s="36"/>
      <c r="E14" s="1"/>
      <c r="F14" s="1"/>
    </row>
    <row r="20" spans="1:37" x14ac:dyDescent="0.55000000000000004">
      <c r="A20" s="34"/>
    </row>
    <row r="21" spans="1:37" x14ac:dyDescent="0.55000000000000004">
      <c r="A21" s="34"/>
    </row>
    <row r="22" spans="1:37" x14ac:dyDescent="0.55000000000000004">
      <c r="A22" s="34"/>
    </row>
    <row r="23" spans="1:37" x14ac:dyDescent="0.55000000000000004">
      <c r="A23" s="33"/>
      <c r="B23" s="33"/>
      <c r="C23" s="33"/>
    </row>
    <row r="24" spans="1:37" x14ac:dyDescent="0.55000000000000004">
      <c r="A24" s="34"/>
    </row>
    <row r="25" spans="1:37" x14ac:dyDescent="0.55000000000000004">
      <c r="A25" s="28"/>
      <c r="B25" s="3"/>
    </row>
    <row r="26" spans="1:37" x14ac:dyDescent="0.55000000000000004">
      <c r="A26" s="34"/>
    </row>
    <row r="27" spans="1:37" s="1" customFormat="1" x14ac:dyDescent="0.55000000000000004">
      <c r="A27" s="34"/>
      <c r="B27" s="34"/>
      <c r="C27" s="34"/>
      <c r="D27" s="31"/>
      <c r="E27" s="5"/>
      <c r="F27"/>
      <c r="AJ27" s="16"/>
      <c r="AK27" s="16"/>
    </row>
    <row r="28" spans="1:37" x14ac:dyDescent="0.55000000000000004">
      <c r="A28" s="36"/>
      <c r="B28" s="36"/>
      <c r="C28" s="36"/>
      <c r="D28" s="39"/>
      <c r="E28" s="6"/>
      <c r="F28" s="1"/>
    </row>
    <row r="29" spans="1:37" x14ac:dyDescent="0.55000000000000004">
      <c r="A29" s="34"/>
    </row>
    <row r="30" spans="1:37" x14ac:dyDescent="0.55000000000000004">
      <c r="A30" s="34"/>
    </row>
    <row r="31" spans="1:37" x14ac:dyDescent="0.55000000000000004">
      <c r="A31" s="34"/>
    </row>
    <row r="32" spans="1:37" x14ac:dyDescent="0.55000000000000004">
      <c r="A32" s="34"/>
    </row>
    <row r="33" spans="1:6" s="15" customFormat="1" x14ac:dyDescent="0.55000000000000004">
      <c r="A33" s="34"/>
      <c r="B33" s="34"/>
      <c r="C33" s="34"/>
      <c r="D33" s="31"/>
      <c r="E33" s="5"/>
      <c r="F33"/>
    </row>
    <row r="34" spans="1:6" s="15" customFormat="1" x14ac:dyDescent="0.55000000000000004">
      <c r="A34" s="34"/>
      <c r="B34" s="34"/>
      <c r="C34" s="34"/>
      <c r="D34" s="31"/>
      <c r="E34" s="5"/>
      <c r="F34"/>
    </row>
    <row r="35" spans="1:6" s="15" customFormat="1" x14ac:dyDescent="0.55000000000000004">
      <c r="A35" s="34"/>
      <c r="B35" s="34"/>
      <c r="C35" s="34"/>
      <c r="D35" s="31"/>
      <c r="E35" s="5"/>
      <c r="F35"/>
    </row>
    <row r="36" spans="1:6" s="15" customFormat="1" x14ac:dyDescent="0.55000000000000004">
      <c r="A36" s="34"/>
      <c r="B36" s="34"/>
      <c r="C36" s="34"/>
      <c r="D36" s="31"/>
      <c r="E36" s="5"/>
      <c r="F36"/>
    </row>
    <row r="37" spans="1:6" s="15" customFormat="1" x14ac:dyDescent="0.55000000000000004">
      <c r="A37" s="34"/>
      <c r="B37" s="34"/>
      <c r="C37" s="34"/>
      <c r="D37" s="31"/>
      <c r="E37" s="5"/>
      <c r="F37"/>
    </row>
    <row r="38" spans="1:6" s="15" customFormat="1" x14ac:dyDescent="0.55000000000000004">
      <c r="A38" s="34"/>
      <c r="B38" s="34"/>
      <c r="C38" s="34"/>
      <c r="D38" s="31"/>
      <c r="E38" s="5"/>
      <c r="F38"/>
    </row>
    <row r="39" spans="1:6" s="15" customFormat="1" x14ac:dyDescent="0.55000000000000004">
      <c r="A39" s="34"/>
      <c r="B39" s="34"/>
      <c r="C39" s="34"/>
      <c r="D39" s="31"/>
      <c r="E39" s="5"/>
      <c r="F39"/>
    </row>
    <row r="40" spans="1:6" s="15" customFormat="1" x14ac:dyDescent="0.55000000000000004">
      <c r="A40" s="34"/>
      <c r="B40" s="34"/>
      <c r="C40" s="34"/>
      <c r="D40" s="31"/>
      <c r="E40" s="5"/>
      <c r="F40"/>
    </row>
    <row r="41" spans="1:6" s="15" customFormat="1" x14ac:dyDescent="0.55000000000000004">
      <c r="A41" s="34"/>
      <c r="B41" s="34"/>
      <c r="C41" s="34"/>
      <c r="D41" s="31"/>
      <c r="E41" s="5"/>
      <c r="F41"/>
    </row>
    <row r="42" spans="1:6" s="15" customFormat="1" x14ac:dyDescent="0.55000000000000004">
      <c r="A42" s="34"/>
      <c r="B42" s="34"/>
      <c r="C42" s="34"/>
      <c r="D42" s="31"/>
      <c r="E42" s="5"/>
      <c r="F42"/>
    </row>
    <row r="43" spans="1:6" s="15" customFormat="1" x14ac:dyDescent="0.55000000000000004">
      <c r="A43" s="34"/>
      <c r="B43" s="34"/>
      <c r="C43" s="34"/>
      <c r="D43" s="31"/>
      <c r="E43" s="5"/>
      <c r="F43"/>
    </row>
    <row r="44" spans="1:6" s="15" customFormat="1" x14ac:dyDescent="0.55000000000000004">
      <c r="A44" s="33"/>
      <c r="B44" s="33"/>
      <c r="C44" s="33"/>
      <c r="D44" s="31"/>
      <c r="E44" s="5"/>
      <c r="F44" s="5"/>
    </row>
    <row r="45" spans="1:6" s="15" customFormat="1" x14ac:dyDescent="0.55000000000000004">
      <c r="A45" s="37"/>
      <c r="B45" s="34"/>
      <c r="C45" s="34"/>
      <c r="D45" s="14"/>
      <c r="E45" s="9"/>
      <c r="F45" s="9"/>
    </row>
    <row r="46" spans="1:6" s="15" customFormat="1" x14ac:dyDescent="0.55000000000000004">
      <c r="A46" s="34"/>
      <c r="B46" s="34"/>
      <c r="C46" s="34"/>
      <c r="D46" s="31"/>
      <c r="E46" s="5"/>
      <c r="F46" s="8"/>
    </row>
    <row r="47" spans="1:6" s="15" customFormat="1" x14ac:dyDescent="0.55000000000000004">
      <c r="A47" s="28"/>
      <c r="B47" s="3"/>
      <c r="C47" s="34"/>
      <c r="D47" s="31"/>
      <c r="E47" s="5"/>
      <c r="F47"/>
    </row>
    <row r="48" spans="1:6" s="4" customFormat="1" x14ac:dyDescent="0.55000000000000004">
      <c r="A48" s="33"/>
      <c r="B48" s="33"/>
      <c r="C48" s="33"/>
      <c r="D48" s="31"/>
      <c r="E48" s="5"/>
      <c r="F48"/>
    </row>
    <row r="49" spans="1:34" s="4" customFormat="1" x14ac:dyDescent="0.55000000000000004">
      <c r="A49" s="38"/>
      <c r="B49" s="32"/>
      <c r="C49" s="32"/>
      <c r="D49" s="40"/>
      <c r="E49" s="7"/>
      <c r="G49" s="45"/>
      <c r="H49" s="45"/>
      <c r="I49" s="45"/>
      <c r="J49" s="45"/>
      <c r="K49" s="45"/>
      <c r="L49" s="45"/>
      <c r="M49" s="45"/>
      <c r="N49" s="45"/>
      <c r="AC49" s="45"/>
      <c r="AD49" s="45"/>
      <c r="AE49" s="45"/>
      <c r="AF49" s="45"/>
      <c r="AG49" s="45"/>
      <c r="AH49" s="45"/>
    </row>
    <row r="50" spans="1:34" s="15" customFormat="1" x14ac:dyDescent="0.55000000000000004">
      <c r="A50" s="33"/>
      <c r="B50" s="33"/>
      <c r="C50" s="33"/>
      <c r="D50" s="40"/>
      <c r="E50" s="7"/>
      <c r="F50" s="4"/>
      <c r="G50" s="42"/>
      <c r="H50" s="42"/>
      <c r="I50" s="42"/>
      <c r="J50" s="42"/>
      <c r="K50" s="42"/>
      <c r="L50" s="42"/>
      <c r="M50" s="42"/>
      <c r="N50" s="42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42"/>
      <c r="AD50" s="42"/>
      <c r="AE50" s="42"/>
      <c r="AF50" s="42"/>
      <c r="AG50" s="42"/>
    </row>
    <row r="51" spans="1:34" s="15" customFormat="1" x14ac:dyDescent="0.55000000000000004">
      <c r="A51" s="33"/>
      <c r="B51" s="34"/>
      <c r="C51" s="34"/>
      <c r="D51" s="31"/>
      <c r="E51" s="5"/>
      <c r="F51"/>
      <c r="G51" s="42"/>
      <c r="H51" s="42"/>
      <c r="I51" s="42"/>
      <c r="J51" s="42"/>
      <c r="K51" s="42"/>
      <c r="L51" s="42"/>
      <c r="M51" s="42"/>
      <c r="N51" s="42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42"/>
      <c r="AD51" s="42"/>
      <c r="AE51" s="42"/>
      <c r="AF51" s="42"/>
      <c r="AG51" s="42"/>
    </row>
    <row r="52" spans="1:34" s="15" customFormat="1" x14ac:dyDescent="0.55000000000000004">
      <c r="A52" s="34"/>
      <c r="B52" s="34"/>
      <c r="C52" s="34"/>
      <c r="D52" s="31"/>
      <c r="E52" s="5"/>
      <c r="F52"/>
      <c r="G52" s="42"/>
      <c r="H52" s="42"/>
      <c r="I52" s="42"/>
      <c r="J52" s="42"/>
      <c r="K52" s="42"/>
      <c r="L52" s="42"/>
      <c r="M52" s="42"/>
      <c r="N52" s="4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42"/>
      <c r="AD52" s="42"/>
      <c r="AE52" s="42"/>
      <c r="AF52" s="42"/>
      <c r="AG52" s="42"/>
    </row>
    <row r="53" spans="1:34" s="15" customFormat="1" x14ac:dyDescent="0.55000000000000004">
      <c r="A53" s="34"/>
      <c r="B53" s="34"/>
      <c r="C53" s="34"/>
      <c r="D53" s="31"/>
      <c r="E53" s="5"/>
      <c r="F53"/>
      <c r="G53" s="42"/>
      <c r="H53" s="42"/>
      <c r="I53" s="42"/>
      <c r="J53" s="42"/>
      <c r="K53" s="42"/>
      <c r="L53" s="42"/>
      <c r="M53" s="42"/>
      <c r="N53" s="42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 s="42"/>
      <c r="AD53" s="42"/>
      <c r="AE53" s="42"/>
      <c r="AF53" s="42"/>
      <c r="AG53" s="42"/>
    </row>
    <row r="54" spans="1:34" s="15" customFormat="1" x14ac:dyDescent="0.55000000000000004">
      <c r="A54" s="34"/>
      <c r="B54" s="34"/>
      <c r="C54" s="34"/>
      <c r="D54" s="31"/>
      <c r="E54" s="5"/>
      <c r="F54"/>
      <c r="G54" s="42"/>
      <c r="H54" s="42"/>
      <c r="I54" s="42"/>
      <c r="J54" s="42"/>
      <c r="K54" s="42"/>
      <c r="L54" s="42"/>
      <c r="M54" s="42"/>
      <c r="N54" s="42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42"/>
      <c r="AD54" s="42"/>
      <c r="AE54" s="42"/>
      <c r="AF54" s="42"/>
      <c r="AG54" s="42"/>
    </row>
    <row r="55" spans="1:34" s="15" customFormat="1" x14ac:dyDescent="0.55000000000000004">
      <c r="A55" s="34"/>
      <c r="B55" s="34"/>
      <c r="C55" s="34"/>
      <c r="D55" s="31"/>
      <c r="E55" s="5"/>
      <c r="F55"/>
      <c r="G55" s="42"/>
      <c r="H55" s="42"/>
      <c r="I55" s="42"/>
      <c r="J55" s="42"/>
      <c r="K55" s="42"/>
      <c r="L55" s="42"/>
      <c r="M55" s="42"/>
      <c r="N55" s="42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42"/>
      <c r="AD55" s="42"/>
      <c r="AE55" s="42"/>
      <c r="AF55" s="42"/>
      <c r="AG55" s="42"/>
    </row>
    <row r="56" spans="1:34" s="15" customFormat="1" x14ac:dyDescent="0.55000000000000004">
      <c r="A56" s="34"/>
      <c r="B56" s="34"/>
      <c r="C56" s="34"/>
      <c r="D56" s="31"/>
      <c r="E56" s="5"/>
      <c r="F56"/>
      <c r="G56" s="42"/>
      <c r="H56" s="42"/>
      <c r="I56" s="42"/>
      <c r="J56" s="42"/>
      <c r="K56" s="42"/>
      <c r="L56" s="42"/>
      <c r="M56" s="42"/>
      <c r="N56" s="42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 s="42"/>
      <c r="AD56" s="42"/>
      <c r="AE56" s="42"/>
      <c r="AF56" s="42"/>
      <c r="AG56" s="42"/>
    </row>
    <row r="57" spans="1:34" s="15" customFormat="1" x14ac:dyDescent="0.55000000000000004">
      <c r="A57" s="34"/>
      <c r="B57" s="34"/>
      <c r="C57" s="34"/>
      <c r="D57" s="31"/>
      <c r="E57" s="5"/>
      <c r="F57"/>
      <c r="G57" s="42"/>
      <c r="H57" s="42"/>
      <c r="I57" s="42"/>
      <c r="J57" s="42"/>
      <c r="K57" s="42"/>
      <c r="L57" s="42"/>
      <c r="M57" s="42"/>
      <c r="N57" s="42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42"/>
      <c r="AD57" s="42"/>
      <c r="AE57" s="42"/>
      <c r="AF57" s="42"/>
      <c r="AG57" s="42"/>
    </row>
    <row r="58" spans="1:34" s="15" customFormat="1" x14ac:dyDescent="0.55000000000000004">
      <c r="A58" s="34"/>
      <c r="B58" s="34"/>
      <c r="C58" s="34"/>
      <c r="D58" s="31"/>
      <c r="E58" s="5"/>
      <c r="F58"/>
      <c r="G58" s="42"/>
      <c r="H58" s="42"/>
      <c r="I58" s="42"/>
      <c r="J58" s="42"/>
      <c r="K58" s="42"/>
      <c r="L58" s="42"/>
      <c r="M58" s="42"/>
      <c r="N58" s="42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42"/>
      <c r="AD58" s="42"/>
      <c r="AE58" s="42"/>
      <c r="AF58" s="42"/>
      <c r="AG58" s="42"/>
    </row>
    <row r="59" spans="1:34" s="15" customFormat="1" ht="43.5" customHeight="1" x14ac:dyDescent="0.55000000000000004">
      <c r="A59" s="34"/>
      <c r="B59" s="34"/>
      <c r="C59" s="34"/>
      <c r="D59" s="31"/>
      <c r="E59" s="5"/>
      <c r="F59"/>
      <c r="G59" s="42"/>
      <c r="H59" s="42"/>
      <c r="I59" s="42"/>
      <c r="J59" s="42"/>
      <c r="K59" s="42"/>
      <c r="L59" s="42"/>
      <c r="M59" s="42"/>
      <c r="N59" s="42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42"/>
      <c r="AD59" s="42"/>
      <c r="AE59" s="42"/>
      <c r="AF59" s="42"/>
      <c r="AG59" s="42"/>
    </row>
    <row r="60" spans="1:34" s="15" customFormat="1" x14ac:dyDescent="0.55000000000000004">
      <c r="A60" s="34"/>
      <c r="B60" s="34"/>
      <c r="C60" s="34"/>
      <c r="D60" s="31"/>
      <c r="E60" s="5"/>
      <c r="F60"/>
      <c r="G60" s="42"/>
      <c r="H60" s="42"/>
      <c r="I60" s="42"/>
      <c r="J60" s="42"/>
      <c r="K60" s="42"/>
      <c r="L60" s="42"/>
      <c r="M60" s="42"/>
      <c r="N60" s="42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42"/>
      <c r="AD60" s="42"/>
      <c r="AE60" s="42"/>
      <c r="AF60" s="42"/>
      <c r="AG60" s="42"/>
    </row>
    <row r="61" spans="1:34" s="15" customFormat="1" x14ac:dyDescent="0.55000000000000004">
      <c r="A61" s="34"/>
      <c r="B61" s="34"/>
      <c r="C61" s="34"/>
      <c r="D61" s="31"/>
      <c r="E61" s="5"/>
      <c r="F61"/>
      <c r="G61" s="42"/>
      <c r="H61" s="42"/>
      <c r="I61" s="42"/>
      <c r="J61" s="42"/>
      <c r="K61" s="42"/>
      <c r="L61" s="42"/>
      <c r="M61" s="42"/>
      <c r="N61" s="42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42"/>
      <c r="AD61" s="42"/>
      <c r="AE61" s="42"/>
      <c r="AF61" s="42"/>
      <c r="AG61" s="42"/>
    </row>
    <row r="62" spans="1:34" s="15" customFormat="1" x14ac:dyDescent="0.55000000000000004">
      <c r="A62" s="34"/>
      <c r="B62" s="34"/>
      <c r="C62" s="34"/>
      <c r="D62" s="31"/>
      <c r="E62" s="5"/>
      <c r="F62"/>
      <c r="G62" s="42"/>
      <c r="H62" s="42"/>
      <c r="I62" s="42"/>
      <c r="J62" s="42"/>
      <c r="K62" s="42"/>
      <c r="L62" s="42"/>
      <c r="M62" s="42"/>
      <c r="N62" s="4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42"/>
      <c r="AD62" s="42"/>
      <c r="AE62" s="42"/>
      <c r="AF62" s="42"/>
      <c r="AG62" s="42"/>
    </row>
    <row r="63" spans="1:34" s="15" customFormat="1" x14ac:dyDescent="0.55000000000000004">
      <c r="A63" s="34"/>
      <c r="B63" s="34"/>
      <c r="C63" s="34"/>
      <c r="D63" s="31"/>
      <c r="E63" s="5"/>
      <c r="F63"/>
      <c r="G63" s="42"/>
      <c r="H63" s="42"/>
      <c r="I63" s="42"/>
      <c r="J63" s="42"/>
      <c r="K63" s="42"/>
      <c r="L63" s="42"/>
      <c r="M63" s="42"/>
      <c r="N63" s="42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42"/>
      <c r="AD63" s="42"/>
      <c r="AE63" s="42"/>
      <c r="AF63" s="42"/>
      <c r="AG63" s="42"/>
    </row>
    <row r="64" spans="1:34" s="15" customFormat="1" x14ac:dyDescent="0.55000000000000004">
      <c r="A64" s="34"/>
      <c r="B64" s="34"/>
      <c r="C64" s="34"/>
      <c r="D64" s="31"/>
      <c r="E64" s="5"/>
      <c r="F64"/>
      <c r="G64" s="42"/>
      <c r="H64" s="42"/>
      <c r="I64" s="42"/>
      <c r="J64" s="42"/>
      <c r="K64" s="42"/>
      <c r="L64" s="42"/>
      <c r="M64" s="42"/>
      <c r="N64" s="42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42"/>
      <c r="AD64" s="42"/>
      <c r="AE64" s="42"/>
      <c r="AF64" s="42"/>
      <c r="AG64" s="42"/>
    </row>
    <row r="65" spans="4:37" s="34" customFormat="1" x14ac:dyDescent="0.55000000000000004">
      <c r="D65" s="31"/>
      <c r="E65" s="5"/>
      <c r="F65"/>
      <c r="G65" s="42"/>
      <c r="H65" s="42"/>
      <c r="I65" s="42"/>
      <c r="J65" s="42"/>
      <c r="K65" s="42"/>
      <c r="L65" s="42"/>
      <c r="M65" s="42"/>
      <c r="N65" s="42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42"/>
      <c r="AD65" s="42"/>
      <c r="AE65" s="42"/>
      <c r="AF65" s="42"/>
      <c r="AG65" s="42"/>
      <c r="AH65" s="15"/>
      <c r="AI65" s="15"/>
      <c r="AJ65" s="15"/>
      <c r="AK65" s="15"/>
    </row>
    <row r="66" spans="4:37" s="34" customFormat="1" x14ac:dyDescent="0.55000000000000004">
      <c r="D66" s="31"/>
      <c r="E66" s="5"/>
      <c r="F66"/>
      <c r="G66" s="42"/>
      <c r="H66" s="42"/>
      <c r="I66" s="42"/>
      <c r="J66" s="42"/>
      <c r="K66" s="42"/>
      <c r="L66" s="42"/>
      <c r="M66" s="42"/>
      <c r="N66" s="42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 s="42"/>
      <c r="AD66" s="42"/>
      <c r="AE66" s="42"/>
      <c r="AF66" s="42"/>
      <c r="AG66" s="42"/>
      <c r="AH66" s="15"/>
      <c r="AI66" s="15"/>
      <c r="AJ66" s="15"/>
      <c r="AK66" s="15"/>
    </row>
    <row r="67" spans="4:37" s="34" customFormat="1" x14ac:dyDescent="0.55000000000000004">
      <c r="D67" s="31"/>
      <c r="E67" s="5"/>
      <c r="F67"/>
      <c r="G67" s="42"/>
      <c r="H67" s="42"/>
      <c r="I67" s="42"/>
      <c r="J67" s="42"/>
      <c r="K67" s="42"/>
      <c r="L67" s="42"/>
      <c r="M67" s="42"/>
      <c r="N67" s="42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 s="42"/>
      <c r="AD67" s="42"/>
      <c r="AE67" s="42"/>
      <c r="AF67" s="42"/>
      <c r="AG67" s="42"/>
      <c r="AH67" s="15"/>
      <c r="AI67" s="15"/>
      <c r="AJ67" s="15"/>
      <c r="AK67" s="15"/>
    </row>
    <row r="68" spans="4:37" s="34" customFormat="1" x14ac:dyDescent="0.55000000000000004">
      <c r="D68" s="31"/>
      <c r="E68" s="5"/>
      <c r="F68"/>
      <c r="G68" s="42"/>
      <c r="H68" s="42"/>
      <c r="I68" s="42"/>
      <c r="J68" s="42"/>
      <c r="K68" s="42"/>
      <c r="L68" s="42"/>
      <c r="M68" s="42"/>
      <c r="N68" s="42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 s="42"/>
      <c r="AD68" s="42"/>
      <c r="AE68" s="42"/>
      <c r="AF68" s="42"/>
      <c r="AG68" s="42"/>
      <c r="AH68" s="15"/>
      <c r="AI68" s="15"/>
      <c r="AJ68" s="15"/>
      <c r="AK68" s="15"/>
    </row>
    <row r="69" spans="4:37" s="34" customFormat="1" x14ac:dyDescent="0.55000000000000004">
      <c r="D69" s="31"/>
      <c r="E69" s="5"/>
      <c r="F69"/>
      <c r="G69" s="42"/>
      <c r="H69" s="42"/>
      <c r="I69" s="42"/>
      <c r="J69" s="42"/>
      <c r="K69" s="42"/>
      <c r="L69" s="42"/>
      <c r="M69" s="42"/>
      <c r="N69" s="42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42"/>
      <c r="AD69" s="42"/>
      <c r="AE69" s="42"/>
      <c r="AF69" s="42"/>
      <c r="AG69" s="42"/>
      <c r="AH69" s="15"/>
      <c r="AI69" s="15"/>
      <c r="AJ69" s="15"/>
      <c r="AK69" s="15"/>
    </row>
    <row r="70" spans="4:37" s="34" customFormat="1" x14ac:dyDescent="0.55000000000000004">
      <c r="D70" s="31"/>
      <c r="E70" s="5"/>
      <c r="F70"/>
      <c r="G70" s="42"/>
      <c r="H70" s="42"/>
      <c r="I70" s="42"/>
      <c r="J70" s="42"/>
      <c r="K70" s="42"/>
      <c r="L70" s="42"/>
      <c r="M70" s="42"/>
      <c r="N70" s="42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42"/>
      <c r="AD70" s="42"/>
      <c r="AE70" s="42"/>
      <c r="AF70" s="42"/>
      <c r="AG70" s="42"/>
      <c r="AH70" s="15"/>
      <c r="AI70" s="15"/>
      <c r="AJ70" s="15"/>
      <c r="AK70" s="15"/>
    </row>
    <row r="71" spans="4:37" s="34" customFormat="1" x14ac:dyDescent="0.55000000000000004">
      <c r="D71" s="31"/>
      <c r="E71" s="5"/>
      <c r="F71"/>
      <c r="G71" s="42"/>
      <c r="H71" s="42"/>
      <c r="I71" s="42"/>
      <c r="J71" s="42"/>
      <c r="K71" s="42"/>
      <c r="L71" s="42"/>
      <c r="M71" s="42"/>
      <c r="N71" s="42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42"/>
      <c r="AD71" s="42"/>
      <c r="AE71" s="42"/>
      <c r="AF71" s="42"/>
      <c r="AG71" s="42"/>
      <c r="AH71" s="15"/>
      <c r="AI71" s="15"/>
      <c r="AJ71" s="15"/>
      <c r="AK71" s="15"/>
    </row>
    <row r="72" spans="4:37" s="34" customFormat="1" x14ac:dyDescent="0.55000000000000004">
      <c r="D72" s="31"/>
      <c r="E72" s="5"/>
      <c r="F72"/>
      <c r="G72" s="42"/>
      <c r="H72" s="42"/>
      <c r="I72" s="42"/>
      <c r="J72" s="42"/>
      <c r="K72" s="42"/>
      <c r="L72" s="42"/>
      <c r="M72" s="42"/>
      <c r="N72" s="4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42"/>
      <c r="AD72" s="42"/>
      <c r="AE72" s="42"/>
      <c r="AF72" s="42"/>
      <c r="AG72" s="42"/>
      <c r="AH72" s="15"/>
      <c r="AI72" s="15"/>
      <c r="AJ72" s="15"/>
      <c r="AK72" s="15"/>
    </row>
    <row r="73" spans="4:37" s="34" customFormat="1" x14ac:dyDescent="0.55000000000000004">
      <c r="D73" s="31"/>
      <c r="E73" s="5"/>
      <c r="F73"/>
      <c r="G73" s="42"/>
      <c r="H73" s="42"/>
      <c r="I73" s="42"/>
      <c r="J73" s="42"/>
      <c r="K73" s="42"/>
      <c r="L73" s="42"/>
      <c r="M73" s="42"/>
      <c r="N73" s="42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42"/>
      <c r="AD73" s="42"/>
      <c r="AE73" s="42"/>
      <c r="AF73" s="42"/>
      <c r="AG73" s="42"/>
      <c r="AH73" s="15"/>
      <c r="AI73" s="15"/>
      <c r="AJ73" s="15"/>
      <c r="AK73" s="15"/>
    </row>
    <row r="74" spans="4:37" s="34" customFormat="1" x14ac:dyDescent="0.55000000000000004">
      <c r="D74" s="31"/>
      <c r="E74" s="5"/>
      <c r="F74"/>
      <c r="G74" s="42"/>
      <c r="H74" s="42"/>
      <c r="I74" s="42"/>
      <c r="J74" s="42"/>
      <c r="K74" s="42"/>
      <c r="L74" s="42"/>
      <c r="M74" s="42"/>
      <c r="N74" s="42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42"/>
      <c r="AD74" s="42"/>
      <c r="AE74" s="42"/>
      <c r="AF74" s="42"/>
      <c r="AG74" s="42"/>
      <c r="AH74" s="15"/>
      <c r="AI74" s="15"/>
      <c r="AJ74" s="15"/>
      <c r="AK74" s="15"/>
    </row>
    <row r="75" spans="4:37" s="34" customFormat="1" x14ac:dyDescent="0.55000000000000004">
      <c r="D75" s="31"/>
      <c r="E75" s="5"/>
      <c r="F75"/>
      <c r="G75" s="42"/>
      <c r="H75" s="42"/>
      <c r="I75" s="42"/>
      <c r="J75" s="42"/>
      <c r="K75" s="42"/>
      <c r="L75" s="42"/>
      <c r="M75" s="42"/>
      <c r="N75" s="42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42"/>
      <c r="AD75" s="42"/>
      <c r="AE75" s="42"/>
      <c r="AF75" s="42"/>
      <c r="AG75" s="42"/>
      <c r="AH75" s="15"/>
      <c r="AI75" s="15"/>
      <c r="AJ75" s="15"/>
      <c r="AK75" s="15"/>
    </row>
    <row r="76" spans="4:37" s="34" customFormat="1" x14ac:dyDescent="0.55000000000000004">
      <c r="D76" s="31"/>
      <c r="E76" s="5"/>
      <c r="F76"/>
      <c r="G76" s="42"/>
      <c r="H76" s="42"/>
      <c r="I76" s="42"/>
      <c r="J76" s="42"/>
      <c r="K76" s="42"/>
      <c r="L76" s="42"/>
      <c r="M76" s="42"/>
      <c r="N76" s="42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42"/>
      <c r="AD76" s="42"/>
      <c r="AE76" s="42"/>
      <c r="AF76" s="42"/>
      <c r="AG76" s="42"/>
      <c r="AH76" s="15"/>
      <c r="AI76" s="15"/>
      <c r="AJ76" s="15"/>
      <c r="AK76" s="15"/>
    </row>
    <row r="77" spans="4:37" s="34" customFormat="1" x14ac:dyDescent="0.55000000000000004">
      <c r="D77" s="31"/>
      <c r="E77" s="5"/>
      <c r="F77"/>
      <c r="G77" s="42"/>
      <c r="H77" s="42"/>
      <c r="I77" s="42"/>
      <c r="J77" s="42"/>
      <c r="K77" s="42"/>
      <c r="L77" s="42"/>
      <c r="M77" s="42"/>
      <c r="N77" s="42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42"/>
      <c r="AD77" s="42"/>
      <c r="AE77" s="42"/>
      <c r="AF77" s="42"/>
      <c r="AG77" s="42"/>
      <c r="AH77" s="15"/>
      <c r="AI77" s="15"/>
      <c r="AJ77" s="15"/>
      <c r="AK77" s="15"/>
    </row>
    <row r="78" spans="4:37" s="34" customFormat="1" x14ac:dyDescent="0.55000000000000004">
      <c r="D78" s="31"/>
      <c r="E78" s="5"/>
      <c r="F78"/>
      <c r="G78" s="42"/>
      <c r="H78" s="42"/>
      <c r="I78" s="42"/>
      <c r="J78" s="42"/>
      <c r="K78" s="42"/>
      <c r="L78" s="42"/>
      <c r="M78" s="42"/>
      <c r="N78" s="42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42"/>
      <c r="AD78" s="42"/>
      <c r="AE78" s="42"/>
      <c r="AF78" s="42"/>
      <c r="AG78" s="42"/>
      <c r="AH78" s="15"/>
      <c r="AI78" s="15"/>
      <c r="AJ78" s="15"/>
      <c r="AK78" s="15"/>
    </row>
    <row r="79" spans="4:37" s="34" customFormat="1" x14ac:dyDescent="0.55000000000000004">
      <c r="D79" s="31"/>
      <c r="E79" s="5"/>
      <c r="F79"/>
      <c r="G79" s="42"/>
      <c r="H79" s="42"/>
      <c r="I79" s="42"/>
      <c r="J79" s="42"/>
      <c r="K79" s="42"/>
      <c r="L79" s="42"/>
      <c r="M79" s="42"/>
      <c r="N79" s="42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42"/>
      <c r="AD79" s="42"/>
      <c r="AE79" s="42"/>
      <c r="AF79" s="42"/>
      <c r="AG79" s="42"/>
      <c r="AH79" s="15"/>
      <c r="AI79" s="15"/>
      <c r="AJ79" s="15"/>
      <c r="AK79" s="15"/>
    </row>
    <row r="80" spans="4:37" s="34" customFormat="1" x14ac:dyDescent="0.55000000000000004">
      <c r="D80" s="31"/>
      <c r="E80" s="5"/>
      <c r="F80"/>
      <c r="G80" s="42"/>
      <c r="H80" s="42"/>
      <c r="I80" s="42"/>
      <c r="J80" s="42"/>
      <c r="K80" s="42"/>
      <c r="L80" s="42"/>
      <c r="M80" s="42"/>
      <c r="N80" s="42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42"/>
      <c r="AD80" s="42"/>
      <c r="AE80" s="42"/>
      <c r="AF80" s="42"/>
      <c r="AG80" s="42"/>
      <c r="AH80" s="15"/>
      <c r="AI80" s="15"/>
      <c r="AJ80" s="15"/>
      <c r="AK80" s="15"/>
    </row>
    <row r="81" spans="1:33" s="15" customFormat="1" x14ac:dyDescent="0.55000000000000004">
      <c r="A81" s="34"/>
      <c r="B81" s="34"/>
      <c r="C81" s="34"/>
      <c r="D81" s="31"/>
      <c r="E81" s="5"/>
      <c r="F81"/>
      <c r="G81" s="42"/>
      <c r="H81" s="42"/>
      <c r="I81" s="42"/>
      <c r="J81" s="42"/>
      <c r="K81" s="42"/>
      <c r="L81" s="42"/>
      <c r="M81" s="42"/>
      <c r="N81" s="42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42"/>
      <c r="AD81" s="42"/>
      <c r="AE81" s="42"/>
      <c r="AF81" s="42"/>
      <c r="AG81" s="42"/>
    </row>
    <row r="82" spans="1:33" s="15" customFormat="1" x14ac:dyDescent="0.55000000000000004">
      <c r="A82" s="34"/>
      <c r="B82" s="34"/>
      <c r="C82" s="34"/>
      <c r="D82" s="31"/>
      <c r="E82" s="5"/>
      <c r="F82"/>
      <c r="G82" s="42"/>
      <c r="H82" s="42"/>
      <c r="I82" s="42"/>
      <c r="J82" s="42"/>
      <c r="K82" s="42"/>
      <c r="L82" s="42"/>
      <c r="M82" s="42"/>
      <c r="N82" s="4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 s="42"/>
      <c r="AD82" s="42"/>
      <c r="AE82" s="42"/>
      <c r="AF82" s="42"/>
      <c r="AG82" s="42"/>
    </row>
    <row r="83" spans="1:33" s="15" customFormat="1" x14ac:dyDescent="0.55000000000000004">
      <c r="A83" s="34"/>
      <c r="B83" s="34"/>
      <c r="C83" s="34"/>
      <c r="D83" s="31"/>
      <c r="E83" s="5"/>
      <c r="F83"/>
      <c r="G83" s="42"/>
      <c r="H83" s="42"/>
      <c r="I83" s="42"/>
      <c r="J83" s="42"/>
      <c r="K83" s="42"/>
      <c r="L83" s="42"/>
      <c r="M83" s="42"/>
      <c r="N83" s="42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 s="42"/>
      <c r="AD83" s="42"/>
      <c r="AE83" s="42"/>
      <c r="AF83" s="42"/>
      <c r="AG83" s="42"/>
    </row>
    <row r="84" spans="1:33" s="15" customFormat="1" x14ac:dyDescent="0.55000000000000004">
      <c r="A84" s="34"/>
      <c r="B84" s="34"/>
      <c r="C84" s="34"/>
      <c r="D84" s="31"/>
      <c r="E84" s="5"/>
      <c r="F84"/>
      <c r="G84" s="42"/>
      <c r="H84" s="42"/>
      <c r="I84" s="42"/>
      <c r="J84" s="42"/>
      <c r="K84" s="42"/>
      <c r="L84" s="42"/>
      <c r="M84" s="42"/>
      <c r="N84" s="42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 s="42"/>
      <c r="AD84" s="42"/>
      <c r="AE84" s="42"/>
      <c r="AF84" s="42"/>
      <c r="AG84" s="42"/>
    </row>
    <row r="85" spans="1:33" s="15" customFormat="1" x14ac:dyDescent="0.55000000000000004">
      <c r="A85" s="34"/>
      <c r="B85" s="34"/>
      <c r="C85" s="34"/>
      <c r="D85" s="31"/>
      <c r="E85" s="5"/>
      <c r="F85"/>
      <c r="G85" s="42"/>
      <c r="H85" s="42"/>
      <c r="I85" s="42"/>
      <c r="J85" s="42"/>
      <c r="K85" s="42"/>
      <c r="L85" s="42"/>
      <c r="M85" s="42"/>
      <c r="N85" s="42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 s="42"/>
      <c r="AD85" s="42"/>
      <c r="AE85" s="42"/>
      <c r="AF85" s="42"/>
      <c r="AG85" s="14"/>
    </row>
    <row r="86" spans="1:33" s="15" customFormat="1" x14ac:dyDescent="0.55000000000000004">
      <c r="A86" s="2"/>
      <c r="B86" s="34"/>
      <c r="C86" s="34"/>
      <c r="D86" s="31"/>
      <c r="E86" s="5"/>
      <c r="F86"/>
      <c r="G86" s="42"/>
      <c r="H86" s="42"/>
      <c r="I86" s="42"/>
      <c r="J86" s="42"/>
      <c r="K86" s="42"/>
      <c r="L86" s="42"/>
      <c r="M86" s="42"/>
      <c r="N86" s="42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 s="42"/>
      <c r="AD86" s="42"/>
      <c r="AE86" s="42"/>
      <c r="AF86" s="42"/>
      <c r="AG86" s="14"/>
    </row>
    <row r="87" spans="1:33" s="15" customFormat="1" x14ac:dyDescent="0.55000000000000004">
      <c r="A87" s="2"/>
      <c r="B87" s="34"/>
      <c r="C87" s="34"/>
      <c r="D87" s="31"/>
      <c r="E87" s="5"/>
      <c r="F87"/>
      <c r="G87" s="42"/>
      <c r="H87" s="42"/>
      <c r="I87" s="42"/>
      <c r="J87" s="42"/>
      <c r="K87" s="42"/>
      <c r="L87" s="42"/>
      <c r="M87" s="42"/>
      <c r="N87" s="42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42"/>
      <c r="AD87" s="42"/>
      <c r="AE87" s="42"/>
      <c r="AF87" s="42"/>
      <c r="AG87" s="14"/>
    </row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spans="272:300" hidden="1" x14ac:dyDescent="0.55000000000000004"/>
    <row r="370" spans="272:300" hidden="1" x14ac:dyDescent="0.55000000000000004"/>
    <row r="371" spans="272:300" hidden="1" x14ac:dyDescent="0.55000000000000004"/>
    <row r="372" spans="272:300" hidden="1" x14ac:dyDescent="0.55000000000000004"/>
    <row r="373" spans="272:300" ht="29.1" hidden="1" thickBot="1" x14ac:dyDescent="0.6">
      <c r="JL373" s="42"/>
      <c r="JM373" s="42"/>
      <c r="JN373" s="42"/>
      <c r="JO373" s="42"/>
      <c r="JP373" s="42"/>
      <c r="JQ373" s="42"/>
      <c r="JR373" s="42"/>
      <c r="JS373" s="42"/>
      <c r="KB373" s="196" t="s">
        <v>3</v>
      </c>
      <c r="KC373" s="197" t="s">
        <v>1</v>
      </c>
      <c r="KD373" s="197" t="s">
        <v>2</v>
      </c>
      <c r="KH373" s="42"/>
      <c r="KI373" s="42"/>
      <c r="KJ373" s="42"/>
      <c r="KK373" s="42"/>
      <c r="KL373" s="42"/>
      <c r="KM373" s="15"/>
      <c r="KN373" s="15"/>
    </row>
    <row r="374" spans="272:300" ht="29.1" hidden="1" thickBot="1" x14ac:dyDescent="0.6">
      <c r="JL374" s="13" t="s">
        <v>39</v>
      </c>
      <c r="JM374" s="46" t="s">
        <v>40</v>
      </c>
      <c r="JN374" s="46" t="s">
        <v>41</v>
      </c>
      <c r="JO374" s="47" t="s">
        <v>42</v>
      </c>
      <c r="JP374" s="47" t="s">
        <v>8</v>
      </c>
      <c r="JQ374" s="47" t="s">
        <v>36</v>
      </c>
      <c r="JR374" s="6" t="s">
        <v>70</v>
      </c>
      <c r="JS374" s="6" t="s">
        <v>136</v>
      </c>
      <c r="JT374" s="41"/>
      <c r="JU374" s="41"/>
      <c r="JW374" s="231" t="s">
        <v>54</v>
      </c>
      <c r="JX374" s="232"/>
      <c r="JY374" s="232"/>
      <c r="JZ374" s="233"/>
      <c r="KB374" s="50" t="s">
        <v>25</v>
      </c>
      <c r="KC374" s="10">
        <v>1.4829000000000001</v>
      </c>
      <c r="KD374" s="51" t="s">
        <v>13</v>
      </c>
      <c r="KH374" s="220" t="s">
        <v>72</v>
      </c>
      <c r="KI374" s="221"/>
      <c r="KJ374" s="220" t="s">
        <v>73</v>
      </c>
      <c r="KK374" s="221"/>
      <c r="KL374" s="220" t="s">
        <v>74</v>
      </c>
      <c r="KM374" s="221"/>
      <c r="KN374" s="15"/>
    </row>
    <row r="375" spans="272:300" ht="29.1" hidden="1" thickBot="1" x14ac:dyDescent="0.6">
      <c r="JL375" s="13">
        <v>2</v>
      </c>
      <c r="JM375" s="13">
        <v>1</v>
      </c>
      <c r="JN375" s="13">
        <v>1</v>
      </c>
      <c r="JO375" s="48">
        <v>4</v>
      </c>
      <c r="JP375" s="47">
        <v>25</v>
      </c>
      <c r="JQ375" s="13">
        <v>1.8</v>
      </c>
      <c r="JR375" s="6">
        <v>10</v>
      </c>
      <c r="JS375" s="6" t="s">
        <v>137</v>
      </c>
      <c r="JT375" s="41"/>
      <c r="JU375" s="41"/>
      <c r="JW375" s="22" t="s">
        <v>50</v>
      </c>
      <c r="JX375" s="23" t="s">
        <v>51</v>
      </c>
      <c r="JY375" s="23" t="s">
        <v>52</v>
      </c>
      <c r="JZ375" s="24" t="s">
        <v>53</v>
      </c>
      <c r="KB375" s="50" t="s">
        <v>32</v>
      </c>
      <c r="KC375" s="10">
        <v>0.99</v>
      </c>
      <c r="KD375" s="51"/>
      <c r="KH375" s="55" t="s">
        <v>75</v>
      </c>
      <c r="KI375" s="53">
        <f>$KC$378+($KF$378*(B9-25))</f>
        <v>50.2</v>
      </c>
      <c r="KJ375" s="55" t="s">
        <v>76</v>
      </c>
      <c r="KK375" s="53">
        <f>$KC$378+($KF$378*(KI378-25))</f>
        <v>60.380338000000002</v>
      </c>
      <c r="KL375" s="55" t="s">
        <v>77</v>
      </c>
      <c r="KM375" s="53">
        <f>$KC$378+($KF$378*(KK378-25))</f>
        <v>61.248226000000003</v>
      </c>
      <c r="KN375" s="15"/>
    </row>
    <row r="376" spans="272:300" ht="14.7" hidden="1" thickBot="1" x14ac:dyDescent="0.6">
      <c r="JL376" s="13">
        <v>4</v>
      </c>
      <c r="JM376" s="13">
        <v>2</v>
      </c>
      <c r="JN376" s="13">
        <v>2</v>
      </c>
      <c r="JO376" s="48">
        <v>8</v>
      </c>
      <c r="JP376" s="47">
        <v>50</v>
      </c>
      <c r="JQ376" s="13">
        <v>1.1000000000000001</v>
      </c>
      <c r="JR376" s="6">
        <v>15</v>
      </c>
      <c r="JS376" s="6" t="s">
        <v>134</v>
      </c>
      <c r="JT376" s="41"/>
      <c r="JU376" s="41"/>
      <c r="JW376" s="19">
        <f>B12</f>
        <v>3</v>
      </c>
      <c r="JX376" s="17">
        <f>IF(B11&gt;2,KC382,"")</f>
        <v>1</v>
      </c>
      <c r="JY376" s="17">
        <f>IF(B11&gt;2,KC382,"")</f>
        <v>1</v>
      </c>
      <c r="JZ376" s="20">
        <f>B12</f>
        <v>3</v>
      </c>
      <c r="KB376" s="50"/>
      <c r="KC376" s="10"/>
      <c r="KD376" s="51"/>
      <c r="KH376" s="56" t="s">
        <v>78</v>
      </c>
      <c r="KI376" s="11">
        <f>ROUND(3*$B$4*$B$4*KI375/(1000),3)</f>
        <v>0.60199999999999998</v>
      </c>
      <c r="KJ376" s="56" t="s">
        <v>79</v>
      </c>
      <c r="KK376" s="11">
        <f>ROUND(3*$B$4*$B$4*KK375/(1000),3)</f>
        <v>0.72499999999999998</v>
      </c>
      <c r="KL376" s="56" t="s">
        <v>80</v>
      </c>
      <c r="KM376" s="11">
        <f>ROUND(3*$B$4*$B$4*KM375/(1000),3)</f>
        <v>0.73499999999999999</v>
      </c>
      <c r="KN376" s="15"/>
    </row>
    <row r="377" spans="272:300" ht="72.3" hidden="1" thickBot="1" x14ac:dyDescent="0.6">
      <c r="JL377" s="13"/>
      <c r="JM377" s="13">
        <v>3</v>
      </c>
      <c r="JN377" s="13"/>
      <c r="JO377" s="48">
        <v>16</v>
      </c>
      <c r="JP377" s="13">
        <v>125</v>
      </c>
      <c r="JQ377" s="13">
        <v>0.65</v>
      </c>
      <c r="JR377" s="6">
        <v>20</v>
      </c>
      <c r="JS377" s="6"/>
      <c r="JT377" s="41"/>
      <c r="JU377" s="41"/>
      <c r="JV377" s="41"/>
      <c r="JW377" s="222" t="s">
        <v>49</v>
      </c>
      <c r="JX377" s="223"/>
      <c r="JY377" s="224"/>
      <c r="JZ377" s="59" t="s">
        <v>59</v>
      </c>
      <c r="KB377" s="50" t="s">
        <v>158</v>
      </c>
      <c r="KC377" s="10">
        <v>15</v>
      </c>
      <c r="KD377" s="51" t="s">
        <v>4</v>
      </c>
      <c r="KE377" t="s">
        <v>160</v>
      </c>
      <c r="KH377" s="56" t="s">
        <v>81</v>
      </c>
      <c r="KI377" s="11">
        <f>KI376+$KF$379</f>
        <v>1.4427916666666667</v>
      </c>
      <c r="KJ377" s="56" t="s">
        <v>82</v>
      </c>
      <c r="KK377" s="11">
        <f>KK376+$KF$379</f>
        <v>1.5657916666666667</v>
      </c>
      <c r="KL377" s="57" t="s">
        <v>83</v>
      </c>
      <c r="KM377" s="58">
        <f>KM376+$KF$379</f>
        <v>1.5757916666666667</v>
      </c>
      <c r="KN377" s="15"/>
    </row>
    <row r="378" spans="272:300" ht="43.5" hidden="1" thickBot="1" x14ac:dyDescent="0.6">
      <c r="JL378" s="13"/>
      <c r="JM378" s="13"/>
      <c r="JN378" s="13"/>
      <c r="JO378" s="48">
        <v>32</v>
      </c>
      <c r="JP378" s="47">
        <v>200</v>
      </c>
      <c r="JQ378" s="13">
        <v>0.5</v>
      </c>
      <c r="JR378" s="6">
        <v>25</v>
      </c>
      <c r="JS378" s="6"/>
      <c r="JT378" s="41"/>
      <c r="JU378" s="41"/>
      <c r="JV378" s="41"/>
      <c r="JW378" s="25" t="s">
        <v>46</v>
      </c>
      <c r="JX378" s="26" t="s">
        <v>45</v>
      </c>
      <c r="JY378" s="26" t="s">
        <v>61</v>
      </c>
      <c r="JZ378" s="60" t="s">
        <v>60</v>
      </c>
      <c r="KB378" s="50" t="s">
        <v>27</v>
      </c>
      <c r="KC378" s="10">
        <v>47.5</v>
      </c>
      <c r="KD378" s="51" t="s">
        <v>5</v>
      </c>
      <c r="KE378" s="30" t="s">
        <v>71</v>
      </c>
      <c r="KF378" s="30">
        <f>(KC379-KC378)/(150-25)</f>
        <v>0.18</v>
      </c>
      <c r="KH378" s="56" t="s">
        <v>84</v>
      </c>
      <c r="KI378" s="11">
        <f>$B$9+(KI377*$KC$383)</f>
        <v>96.557433333333336</v>
      </c>
      <c r="KJ378" s="56" t="s">
        <v>85</v>
      </c>
      <c r="KK378" s="11">
        <f>$B$9+(KK377*$KC$383)</f>
        <v>101.37903333333334</v>
      </c>
      <c r="KL378" s="57" t="s">
        <v>86</v>
      </c>
      <c r="KM378" s="58">
        <f>$B$9+(KM377*$KC$383)</f>
        <v>101.77103333333335</v>
      </c>
      <c r="KN378" s="15"/>
    </row>
    <row r="379" spans="272:300" ht="129.6" hidden="1" x14ac:dyDescent="0.55000000000000004">
      <c r="JL379" s="13"/>
      <c r="JM379" s="13"/>
      <c r="JN379" s="13"/>
      <c r="JO379" s="48">
        <v>64</v>
      </c>
      <c r="JP379" s="13"/>
      <c r="JQ379" s="13"/>
      <c r="JR379" s="6">
        <v>30</v>
      </c>
      <c r="JS379" s="6"/>
      <c r="JT379" s="41"/>
      <c r="JU379" s="41"/>
      <c r="JV379" s="41"/>
      <c r="JW379" s="19" t="str">
        <f>_xlfn.TEXTJOIN(",",TRUE,JW376:JZ376)</f>
        <v>3,1,1,3</v>
      </c>
      <c r="JX379" s="17">
        <f>B13</f>
        <v>8</v>
      </c>
      <c r="JY379" s="17"/>
      <c r="JZ379" s="20">
        <f>VLOOKUP(JX379&amp;JW379,JV382:JY406,4,FALSE)</f>
        <v>39.200000000000003</v>
      </c>
      <c r="KB379" s="50" t="s">
        <v>159</v>
      </c>
      <c r="KC379" s="10">
        <v>70</v>
      </c>
      <c r="KD379" s="51" t="s">
        <v>5</v>
      </c>
      <c r="KE379" s="49" t="s">
        <v>138</v>
      </c>
      <c r="KF379" s="30">
        <f>KC392+KC396+KC397+KC399+KC400+KC401</f>
        <v>0.84079166666666671</v>
      </c>
      <c r="KH379" s="42"/>
      <c r="KI379" s="42"/>
      <c r="KJ379" s="42"/>
      <c r="KK379" s="42"/>
      <c r="KL379" s="42"/>
      <c r="KM379" s="15"/>
      <c r="KN379" s="15"/>
    </row>
    <row r="380" spans="272:300" ht="43.2" hidden="1" x14ac:dyDescent="0.55000000000000004">
      <c r="JL380" s="31"/>
      <c r="JM380" s="5"/>
      <c r="JN380" s="42"/>
      <c r="JO380" s="42"/>
      <c r="JP380" s="42"/>
      <c r="JQ380" s="42"/>
      <c r="JR380" s="6">
        <v>35</v>
      </c>
      <c r="JS380" s="42"/>
      <c r="JW380" s="225" t="s">
        <v>44</v>
      </c>
      <c r="JX380" s="226"/>
      <c r="JY380" s="226"/>
      <c r="JZ380" s="227"/>
      <c r="KB380" s="50" t="s">
        <v>6</v>
      </c>
      <c r="KC380" s="10">
        <v>25</v>
      </c>
      <c r="KD380" s="51" t="s">
        <v>7</v>
      </c>
      <c r="KH380" s="42"/>
      <c r="KI380" s="42"/>
      <c r="KJ380" s="42"/>
      <c r="KK380" s="42"/>
      <c r="KL380" s="42"/>
      <c r="KM380" s="15"/>
      <c r="KN380" s="15"/>
    </row>
    <row r="381" spans="272:300" ht="28.8" hidden="1" x14ac:dyDescent="0.55000000000000004">
      <c r="JL381" s="31"/>
      <c r="JM381" s="5"/>
      <c r="JN381" s="42"/>
      <c r="JO381" s="42"/>
      <c r="JP381" s="42"/>
      <c r="JQ381" s="42"/>
      <c r="JR381" s="6">
        <v>40</v>
      </c>
      <c r="JS381" s="42"/>
      <c r="JV381" s="4" t="s">
        <v>62</v>
      </c>
      <c r="JW381" s="181" t="s">
        <v>58</v>
      </c>
      <c r="JX381" s="182" t="s">
        <v>46</v>
      </c>
      <c r="JY381" s="183" t="s">
        <v>57</v>
      </c>
      <c r="JZ381" s="27"/>
      <c r="KB381" s="50" t="s">
        <v>29</v>
      </c>
      <c r="KC381" s="10">
        <v>1.25</v>
      </c>
      <c r="KD381" s="51" t="s">
        <v>30</v>
      </c>
      <c r="KH381" s="42"/>
      <c r="KI381" s="42"/>
      <c r="KJ381" s="42"/>
      <c r="KK381" s="42"/>
      <c r="KL381" s="42"/>
      <c r="KM381" s="15"/>
      <c r="KN381" s="15"/>
    </row>
    <row r="382" spans="272:300" ht="43.2" hidden="1" x14ac:dyDescent="0.55000000000000004">
      <c r="JL382" s="31"/>
      <c r="JM382" s="5"/>
      <c r="JN382" s="42"/>
      <c r="JO382" s="42"/>
      <c r="JP382" s="42"/>
      <c r="JQ382" s="42"/>
      <c r="JR382" s="6">
        <v>45</v>
      </c>
      <c r="JS382" s="42"/>
      <c r="JV382" s="4" t="str">
        <f t="shared" ref="JV382:JV406" si="0">JW382&amp;JX382</f>
        <v>41,1</v>
      </c>
      <c r="JW382" s="19">
        <v>4</v>
      </c>
      <c r="JX382" s="17" t="s">
        <v>47</v>
      </c>
      <c r="JY382" s="212">
        <v>63.6</v>
      </c>
      <c r="JZ382" s="18"/>
      <c r="KB382" s="191" t="str">
        <f>IF(B11&gt;2,"Internal Layers Cu Thickness","")</f>
        <v>Internal Layers Cu Thickness</v>
      </c>
      <c r="KC382" s="193">
        <v>1</v>
      </c>
      <c r="KD382" s="192" t="str">
        <f>IF(B11&gt;2,"oz","")</f>
        <v>oz</v>
      </c>
      <c r="KH382" s="42"/>
      <c r="KI382" s="42"/>
      <c r="KJ382" s="42"/>
      <c r="KK382" s="42"/>
      <c r="KL382" s="42"/>
      <c r="KM382" s="15"/>
      <c r="KN382" s="15"/>
    </row>
    <row r="383" spans="272:300" hidden="1" x14ac:dyDescent="0.55000000000000004">
      <c r="JL383" s="31"/>
      <c r="JM383" s="5"/>
      <c r="JN383" s="42"/>
      <c r="JO383" s="42"/>
      <c r="JP383" s="42"/>
      <c r="JQ383" s="42"/>
      <c r="JR383" s="6">
        <v>50</v>
      </c>
      <c r="JS383" s="42"/>
      <c r="JV383" s="4" t="str">
        <f t="shared" si="0"/>
        <v>42,2</v>
      </c>
      <c r="JW383" s="19">
        <v>4</v>
      </c>
      <c r="JX383" s="17" t="s">
        <v>48</v>
      </c>
      <c r="JY383" s="213">
        <v>58.7</v>
      </c>
      <c r="JZ383" s="20"/>
      <c r="KB383" s="74" t="s">
        <v>20</v>
      </c>
      <c r="KC383" s="10">
        <f>JZ379</f>
        <v>39.200000000000003</v>
      </c>
      <c r="KD383" s="51" t="s">
        <v>10</v>
      </c>
      <c r="KH383" s="42"/>
      <c r="KI383" s="42"/>
      <c r="KJ383" s="42"/>
      <c r="KK383" s="42"/>
      <c r="KL383" s="42"/>
      <c r="KM383" s="15"/>
      <c r="KN383" s="15"/>
    </row>
    <row r="384" spans="272:300" ht="28.8" hidden="1" x14ac:dyDescent="0.55000000000000004">
      <c r="JL384" s="31"/>
      <c r="JM384" s="5"/>
      <c r="JN384" s="42"/>
      <c r="JO384" s="42"/>
      <c r="JP384" s="42"/>
      <c r="JQ384" s="42"/>
      <c r="JR384" s="6">
        <v>55</v>
      </c>
      <c r="JS384" s="42"/>
      <c r="JV384" s="4" t="str">
        <f t="shared" si="0"/>
        <v>41,1,1,1</v>
      </c>
      <c r="JW384" s="19">
        <v>4</v>
      </c>
      <c r="JX384" s="17" t="s">
        <v>55</v>
      </c>
      <c r="JY384" s="212">
        <v>54.4</v>
      </c>
      <c r="JZ384" s="20"/>
      <c r="KB384" s="196" t="s">
        <v>3</v>
      </c>
      <c r="KC384" s="197" t="s">
        <v>1</v>
      </c>
      <c r="KD384" s="197" t="s">
        <v>2</v>
      </c>
      <c r="KH384" s="42"/>
      <c r="KI384" s="42"/>
      <c r="KJ384" s="42"/>
      <c r="KK384" s="42"/>
      <c r="KL384" s="42"/>
      <c r="KM384" s="15"/>
      <c r="KN384" s="15"/>
    </row>
    <row r="385" spans="272:300" ht="43.2" hidden="1" x14ac:dyDescent="0.55000000000000004">
      <c r="JL385" s="31"/>
      <c r="JM385" s="5"/>
      <c r="JN385" s="42"/>
      <c r="JO385" s="42"/>
      <c r="JP385" s="42"/>
      <c r="JQ385" s="42"/>
      <c r="JR385" s="6">
        <v>60</v>
      </c>
      <c r="JS385" s="42"/>
      <c r="JV385" s="4" t="str">
        <f t="shared" si="0"/>
        <v>42,1,1,2</v>
      </c>
      <c r="JW385" s="19">
        <v>4</v>
      </c>
      <c r="JX385" s="17" t="s">
        <v>56</v>
      </c>
      <c r="JY385" s="212">
        <v>52.5</v>
      </c>
      <c r="JZ385" s="20"/>
      <c r="KB385" s="74" t="s">
        <v>22</v>
      </c>
      <c r="KC385" s="193">
        <f>ROUND((B3/SQRT(2))*KC375,2)</f>
        <v>16.8</v>
      </c>
      <c r="KD385" s="192" t="s">
        <v>0</v>
      </c>
      <c r="KH385" s="42"/>
      <c r="KI385" s="42"/>
      <c r="KJ385" s="42"/>
      <c r="KK385" s="42"/>
      <c r="KL385" s="42"/>
      <c r="KM385" s="15"/>
      <c r="KN385" s="15"/>
    </row>
    <row r="386" spans="272:300" ht="57.6" hidden="1" x14ac:dyDescent="0.55000000000000004">
      <c r="JL386" s="31"/>
      <c r="JM386" s="5"/>
      <c r="JN386" s="42"/>
      <c r="JO386" s="42"/>
      <c r="JP386" s="42"/>
      <c r="JQ386" s="42"/>
      <c r="JR386" s="6">
        <v>65</v>
      </c>
      <c r="JS386" s="42"/>
      <c r="JV386" s="4" t="str">
        <f t="shared" si="0"/>
        <v>81,1</v>
      </c>
      <c r="JW386" s="19">
        <v>8</v>
      </c>
      <c r="JX386" s="17" t="s">
        <v>47</v>
      </c>
      <c r="JY386" s="212">
        <v>52.6</v>
      </c>
      <c r="JZ386" s="20"/>
      <c r="KB386" s="74" t="s">
        <v>21</v>
      </c>
      <c r="KC386" s="193">
        <f>ROUND(KC385/1.41,2)</f>
        <v>11.91</v>
      </c>
      <c r="KD386" s="192" t="s">
        <v>0</v>
      </c>
      <c r="KG386" s="1"/>
      <c r="KH386" s="1"/>
      <c r="KI386" s="1"/>
      <c r="KJ386" s="1"/>
      <c r="KK386" s="1"/>
      <c r="KL386" s="1"/>
      <c r="KM386" s="16"/>
      <c r="KN386" s="16"/>
    </row>
    <row r="387" spans="272:300" hidden="1" x14ac:dyDescent="0.55000000000000004">
      <c r="JL387" s="31"/>
      <c r="JM387" s="5"/>
      <c r="JN387" s="42"/>
      <c r="JO387" s="42"/>
      <c r="JP387" s="42"/>
      <c r="JQ387" s="42"/>
      <c r="JR387" s="6">
        <v>70</v>
      </c>
      <c r="JS387" s="42"/>
      <c r="JV387" s="4" t="str">
        <f t="shared" si="0"/>
        <v>82,2</v>
      </c>
      <c r="JW387" s="19">
        <v>8</v>
      </c>
      <c r="JX387" s="17" t="s">
        <v>48</v>
      </c>
      <c r="JY387" s="213">
        <v>46.5</v>
      </c>
      <c r="JZ387" s="20"/>
      <c r="KB387" s="74"/>
      <c r="KC387" s="51"/>
      <c r="KD387" s="51"/>
      <c r="KH387" s="42"/>
      <c r="KI387" s="42"/>
      <c r="KJ387" s="42"/>
      <c r="KK387" s="42"/>
      <c r="KL387" s="42"/>
      <c r="KM387" s="15"/>
      <c r="KN387" s="15"/>
    </row>
    <row r="388" spans="272:300" ht="43.2" hidden="1" x14ac:dyDescent="0.55000000000000004">
      <c r="JL388" s="31"/>
      <c r="JM388" s="5"/>
      <c r="JN388" s="42"/>
      <c r="JO388" s="42"/>
      <c r="JP388" s="42"/>
      <c r="JQ388" s="42"/>
      <c r="JR388" s="6">
        <v>75</v>
      </c>
      <c r="JS388" s="42"/>
      <c r="JV388" s="4" t="str">
        <f t="shared" si="0"/>
        <v>81,1,1,1</v>
      </c>
      <c r="JW388" s="19">
        <v>8</v>
      </c>
      <c r="JX388" s="17" t="s">
        <v>55</v>
      </c>
      <c r="JY388" s="212">
        <v>42.7</v>
      </c>
      <c r="JZ388" s="20"/>
      <c r="KB388" s="74" t="s">
        <v>23</v>
      </c>
      <c r="KC388" s="10">
        <f>B4*1.414</f>
        <v>2.8279999999999998</v>
      </c>
      <c r="KD388" s="51" t="s">
        <v>13</v>
      </c>
      <c r="KH388" s="42"/>
      <c r="KI388" s="42"/>
      <c r="KJ388" s="42"/>
      <c r="KK388" s="42"/>
      <c r="KL388" s="42"/>
      <c r="KM388" s="15"/>
      <c r="KN388" s="15"/>
    </row>
    <row r="389" spans="272:300" ht="28.8" hidden="1" x14ac:dyDescent="0.55000000000000004">
      <c r="JL389" s="31"/>
      <c r="JM389" s="5"/>
      <c r="JN389" s="42"/>
      <c r="JO389" s="42"/>
      <c r="JP389" s="42"/>
      <c r="JQ389" s="42"/>
      <c r="JR389" s="42"/>
      <c r="JS389" s="42"/>
      <c r="JV389" s="4" t="str">
        <f t="shared" si="0"/>
        <v>82,1,1,2</v>
      </c>
      <c r="JW389" s="19">
        <v>8</v>
      </c>
      <c r="JX389" s="17" t="s">
        <v>56</v>
      </c>
      <c r="JY389" s="212">
        <v>40.5</v>
      </c>
      <c r="JZ389" s="20"/>
      <c r="KB389" s="74" t="s">
        <v>14</v>
      </c>
      <c r="KC389" s="10">
        <f>B3/B7</f>
        <v>0.12</v>
      </c>
      <c r="KD389" s="51" t="s">
        <v>15</v>
      </c>
      <c r="KH389" s="42"/>
      <c r="KI389" s="42"/>
      <c r="KJ389" s="42"/>
      <c r="KK389" s="42"/>
      <c r="KL389" s="42"/>
      <c r="KM389" s="15"/>
      <c r="KN389" s="15"/>
    </row>
    <row r="390" spans="272:300" ht="86.4" hidden="1" x14ac:dyDescent="0.55000000000000004">
      <c r="JL390" s="31"/>
      <c r="JM390" s="5"/>
      <c r="JN390" s="42"/>
      <c r="JO390" s="42"/>
      <c r="JP390" s="42"/>
      <c r="JQ390" s="42"/>
      <c r="JR390" s="42"/>
      <c r="JS390" s="42"/>
      <c r="JV390" s="4" t="str">
        <f t="shared" si="0"/>
        <v>161,1</v>
      </c>
      <c r="JW390" s="19">
        <v>16</v>
      </c>
      <c r="JX390" s="17" t="s">
        <v>47</v>
      </c>
      <c r="JY390" s="212">
        <v>45.7</v>
      </c>
      <c r="JZ390" s="20"/>
      <c r="KB390" s="37" t="s">
        <v>135</v>
      </c>
      <c r="KC390" s="3">
        <f>VLOOKUP(B7,JP375:JQ378,2,FALSE)</f>
        <v>0.5</v>
      </c>
      <c r="KD390" s="34" t="s">
        <v>15</v>
      </c>
      <c r="KH390" s="42"/>
      <c r="KI390" s="42"/>
      <c r="KJ390" s="42"/>
      <c r="KK390" s="42"/>
      <c r="KL390" s="42"/>
      <c r="KM390" s="15"/>
      <c r="KN390" s="15"/>
    </row>
    <row r="391" spans="272:300" ht="28.8" hidden="1" x14ac:dyDescent="0.55000000000000004">
      <c r="JL391" s="31"/>
      <c r="JM391" s="5"/>
      <c r="JN391" s="42"/>
      <c r="JO391" s="42"/>
      <c r="JP391" s="42"/>
      <c r="JQ391" s="42"/>
      <c r="JR391" s="42"/>
      <c r="JS391" s="42"/>
      <c r="JV391" s="4" t="str">
        <f t="shared" si="0"/>
        <v>162,2</v>
      </c>
      <c r="JW391" s="19">
        <v>16</v>
      </c>
      <c r="JX391" s="17" t="s">
        <v>48</v>
      </c>
      <c r="JY391" s="213">
        <v>38.4</v>
      </c>
      <c r="JZ391" s="21"/>
      <c r="KB391" s="189" t="s">
        <v>18</v>
      </c>
      <c r="KC391" s="194" t="s">
        <v>1</v>
      </c>
      <c r="KD391" s="190" t="s">
        <v>2</v>
      </c>
      <c r="KH391" s="42"/>
      <c r="KI391" s="42"/>
      <c r="KJ391" s="42"/>
      <c r="KK391" s="42"/>
      <c r="KL391" s="42"/>
      <c r="KM391" s="15"/>
      <c r="KN391" s="15"/>
    </row>
    <row r="392" spans="272:300" ht="43.2" hidden="1" x14ac:dyDescent="0.55000000000000004">
      <c r="JL392" s="31"/>
      <c r="JM392" s="5"/>
      <c r="JN392" s="42"/>
      <c r="JO392" s="42"/>
      <c r="JP392" s="42"/>
      <c r="JQ392" s="42"/>
      <c r="JR392" s="42"/>
      <c r="JS392" s="42"/>
      <c r="JV392" s="4" t="str">
        <f t="shared" si="0"/>
        <v>161,1,1,1</v>
      </c>
      <c r="JW392" s="19">
        <v>16</v>
      </c>
      <c r="JX392" s="17" t="s">
        <v>55</v>
      </c>
      <c r="JY392" s="212">
        <v>34.6</v>
      </c>
      <c r="JZ392" s="20"/>
      <c r="KB392" s="74" t="s">
        <v>19</v>
      </c>
      <c r="KC392" s="199">
        <f>B3*KC377/1000</f>
        <v>0.36</v>
      </c>
      <c r="KD392" s="51" t="s">
        <v>12</v>
      </c>
      <c r="KH392" s="42"/>
      <c r="KI392" s="42"/>
      <c r="KJ392" s="42"/>
      <c r="KK392" s="42"/>
      <c r="KL392" s="42"/>
      <c r="KM392" s="15"/>
      <c r="KN392" s="15"/>
    </row>
    <row r="393" spans="272:300" hidden="1" x14ac:dyDescent="0.55000000000000004">
      <c r="JL393" s="31"/>
      <c r="JM393" s="5"/>
      <c r="JN393" s="42"/>
      <c r="JO393" s="42"/>
      <c r="JP393" s="42"/>
      <c r="JQ393" s="42"/>
      <c r="JR393" s="42"/>
      <c r="JS393" s="42"/>
      <c r="JV393" s="4" t="str">
        <f t="shared" si="0"/>
        <v>162,1,1,2</v>
      </c>
      <c r="JW393" s="19">
        <v>16</v>
      </c>
      <c r="JX393" s="17" t="s">
        <v>56</v>
      </c>
      <c r="JY393" s="212">
        <v>32.200000000000003</v>
      </c>
      <c r="JZ393" s="20"/>
      <c r="KB393" s="74"/>
      <c r="KC393" s="10"/>
      <c r="KD393" s="51"/>
      <c r="KH393" s="42"/>
      <c r="KI393" s="42"/>
      <c r="KJ393" s="42"/>
      <c r="KK393" s="42"/>
      <c r="KL393" s="42"/>
      <c r="KM393" s="15"/>
      <c r="KN393" s="15"/>
    </row>
    <row r="394" spans="272:300" ht="28.8" hidden="1" x14ac:dyDescent="0.55000000000000004">
      <c r="JL394" s="31"/>
      <c r="JM394" s="5"/>
      <c r="JN394" s="42"/>
      <c r="JO394" s="42"/>
      <c r="JP394" s="42"/>
      <c r="JQ394" s="42"/>
      <c r="JR394" s="42"/>
      <c r="JS394" s="42"/>
      <c r="JV394" s="4" t="str">
        <f t="shared" si="0"/>
        <v>321,1</v>
      </c>
      <c r="JW394" s="19">
        <v>32</v>
      </c>
      <c r="JX394" s="17" t="s">
        <v>47</v>
      </c>
      <c r="JY394" s="212">
        <v>41.8</v>
      </c>
      <c r="JZ394" s="20"/>
      <c r="KB394" s="189" t="s">
        <v>139</v>
      </c>
      <c r="KC394" s="194" t="s">
        <v>1</v>
      </c>
      <c r="KD394" s="190" t="s">
        <v>2</v>
      </c>
      <c r="KH394" s="42"/>
      <c r="KI394" s="42"/>
      <c r="KJ394" s="42"/>
      <c r="KK394" s="42"/>
      <c r="KL394" s="42"/>
      <c r="KM394" s="15"/>
      <c r="KN394" s="15"/>
    </row>
    <row r="395" spans="272:300" ht="43.2" hidden="1" x14ac:dyDescent="0.55000000000000004">
      <c r="JL395" s="31"/>
      <c r="JM395" s="5"/>
      <c r="JN395" s="42"/>
      <c r="JO395" s="42"/>
      <c r="JP395" s="42"/>
      <c r="JQ395" s="42"/>
      <c r="JR395" s="42"/>
      <c r="JS395" s="42"/>
      <c r="JV395" s="4" t="str">
        <f t="shared" si="0"/>
        <v>322,2</v>
      </c>
      <c r="JW395" s="19">
        <v>32</v>
      </c>
      <c r="JX395" s="17" t="s">
        <v>48</v>
      </c>
      <c r="JY395" s="213">
        <v>33.4</v>
      </c>
      <c r="JZ395" s="20"/>
      <c r="KB395" s="74" t="s">
        <v>16</v>
      </c>
      <c r="KC395" s="10">
        <f>ROUND(3*B4*B4*KM375/(1000),3)</f>
        <v>0.73499999999999999</v>
      </c>
      <c r="KD395" s="51" t="s">
        <v>12</v>
      </c>
      <c r="KH395" s="42"/>
      <c r="KI395" s="42"/>
      <c r="KJ395" s="42"/>
      <c r="KK395" s="42"/>
      <c r="KL395" s="42"/>
      <c r="KM395" s="15"/>
      <c r="KN395" s="15"/>
    </row>
    <row r="396" spans="272:300" ht="43.2" hidden="1" x14ac:dyDescent="0.55000000000000004">
      <c r="JL396" s="31"/>
      <c r="JM396" s="5"/>
      <c r="JN396" s="42"/>
      <c r="JO396" s="42"/>
      <c r="JP396" s="42"/>
      <c r="JQ396" s="42"/>
      <c r="JR396" s="42"/>
      <c r="JS396" s="42"/>
      <c r="JV396" s="4" t="str">
        <f t="shared" si="0"/>
        <v>321,1,1,1</v>
      </c>
      <c r="JW396" s="19">
        <v>32</v>
      </c>
      <c r="JX396" s="17" t="s">
        <v>55</v>
      </c>
      <c r="JY396" s="212">
        <v>29.6</v>
      </c>
      <c r="JZ396" s="20"/>
      <c r="KB396" s="74" t="s">
        <v>17</v>
      </c>
      <c r="KC396" s="199">
        <f>ROUND(3*B3*B4*KC389*B6/(1000),3)*IF(B5="Discontinuous",2/3,1)</f>
        <v>0.23066666666666663</v>
      </c>
      <c r="KD396" s="51" t="s">
        <v>12</v>
      </c>
      <c r="KH396" s="42"/>
      <c r="KI396" s="42"/>
      <c r="KJ396" s="42"/>
      <c r="KK396" s="42"/>
      <c r="KL396" s="42"/>
      <c r="KM396" s="15"/>
      <c r="KN396" s="15"/>
    </row>
    <row r="397" spans="272:300" ht="28.8" hidden="1" x14ac:dyDescent="0.55000000000000004">
      <c r="JL397" s="31"/>
      <c r="JM397" s="5"/>
      <c r="JN397" s="42"/>
      <c r="JO397" s="42"/>
      <c r="JP397" s="42"/>
      <c r="JQ397" s="42"/>
      <c r="JR397" s="42"/>
      <c r="JS397" s="42"/>
      <c r="JV397" s="4" t="str">
        <f t="shared" si="0"/>
        <v>322,1,1,2</v>
      </c>
      <c r="JW397" s="19">
        <v>32</v>
      </c>
      <c r="JX397" s="17" t="s">
        <v>56</v>
      </c>
      <c r="JY397" s="212">
        <v>26.9</v>
      </c>
      <c r="JZ397" s="20"/>
      <c r="KB397" s="74" t="s">
        <v>31</v>
      </c>
      <c r="KC397" s="199">
        <f>KC381*5*B6*0.000000001*1000</f>
        <v>1.2500000000000003E-4</v>
      </c>
      <c r="KD397" s="51" t="s">
        <v>12</v>
      </c>
      <c r="KH397" s="42"/>
      <c r="KI397" s="42"/>
      <c r="KJ397" s="42"/>
      <c r="KK397" s="42"/>
      <c r="KL397" s="42"/>
      <c r="KM397" s="15"/>
      <c r="KN397" s="15"/>
    </row>
    <row r="398" spans="272:300" ht="43.2" hidden="1" x14ac:dyDescent="0.55000000000000004">
      <c r="JL398" s="31"/>
      <c r="JM398" s="5"/>
      <c r="JN398" s="42"/>
      <c r="JO398" s="42"/>
      <c r="JP398" s="42"/>
      <c r="JQ398" s="42"/>
      <c r="JR398" s="42"/>
      <c r="JS398" s="42"/>
      <c r="JV398" s="4" t="str">
        <f t="shared" si="0"/>
        <v>641,1</v>
      </c>
      <c r="JW398" s="19">
        <v>64</v>
      </c>
      <c r="JX398" s="17" t="s">
        <v>47</v>
      </c>
      <c r="JY398" s="212">
        <v>39.9</v>
      </c>
      <c r="JZ398" s="20"/>
      <c r="KB398" s="74" t="s">
        <v>140</v>
      </c>
      <c r="KC398" s="10">
        <f>KC395+KC396+KC397</f>
        <v>0.96579166666666671</v>
      </c>
      <c r="KD398" s="51" t="s">
        <v>12</v>
      </c>
      <c r="KH398" s="42"/>
      <c r="KI398" s="42"/>
      <c r="KJ398" s="42"/>
      <c r="KK398" s="42"/>
      <c r="KL398" s="42"/>
      <c r="KM398" s="15"/>
      <c r="KN398" s="15"/>
    </row>
    <row r="399" spans="272:300" hidden="1" x14ac:dyDescent="0.55000000000000004">
      <c r="JL399" s="31"/>
      <c r="JM399" s="5"/>
      <c r="JN399" s="42"/>
      <c r="JO399" s="42"/>
      <c r="JP399" s="42"/>
      <c r="JQ399" s="42"/>
      <c r="JR399" s="42"/>
      <c r="JS399" s="42"/>
      <c r="JV399" s="4" t="str">
        <f t="shared" si="0"/>
        <v>642,2</v>
      </c>
      <c r="JW399" s="19">
        <v>64</v>
      </c>
      <c r="JX399" s="17" t="s">
        <v>48</v>
      </c>
      <c r="JY399" s="213">
        <v>30.8</v>
      </c>
      <c r="JZ399" s="20"/>
      <c r="KB399" s="195" t="s">
        <v>33</v>
      </c>
      <c r="KC399" s="198">
        <f>3*2*B4*KC390*B6*0.7/1000</f>
        <v>8.4000000000000005E-2</v>
      </c>
      <c r="KD399" s="51" t="s">
        <v>12</v>
      </c>
      <c r="KH399" s="42"/>
      <c r="KI399" s="42"/>
      <c r="KJ399" s="42"/>
      <c r="KK399" s="42"/>
      <c r="KL399" s="42"/>
      <c r="KM399" s="15"/>
      <c r="KN399" s="15"/>
    </row>
    <row r="400" spans="272:300" ht="43.2" hidden="1" x14ac:dyDescent="0.55000000000000004">
      <c r="JL400" s="31"/>
      <c r="JM400" s="5"/>
      <c r="JN400" s="42"/>
      <c r="JO400" s="42"/>
      <c r="JP400" s="42"/>
      <c r="JQ400" s="42"/>
      <c r="JR400" s="42"/>
      <c r="JS400" s="42"/>
      <c r="JV400" s="4" t="str">
        <f t="shared" si="0"/>
        <v>641,1,1,1</v>
      </c>
      <c r="JW400" s="19">
        <v>64</v>
      </c>
      <c r="JX400" s="17" t="s">
        <v>55</v>
      </c>
      <c r="JY400" s="212">
        <v>26.6</v>
      </c>
      <c r="JZ400" s="20"/>
      <c r="KB400" s="74" t="s">
        <v>34</v>
      </c>
      <c r="KC400" s="198">
        <f>(B3-3.3)*B8*0.001</f>
        <v>0.10350000000000001</v>
      </c>
      <c r="KD400" s="51" t="s">
        <v>12</v>
      </c>
      <c r="KH400" s="42"/>
      <c r="KI400" s="42"/>
      <c r="KJ400" s="42"/>
      <c r="KK400" s="42"/>
      <c r="KL400" s="42"/>
      <c r="KM400" s="15"/>
      <c r="KN400" s="15"/>
    </row>
    <row r="401" spans="272:300" hidden="1" x14ac:dyDescent="0.55000000000000004">
      <c r="JL401" s="31"/>
      <c r="JM401" s="5"/>
      <c r="JN401" s="42"/>
      <c r="JO401" s="42"/>
      <c r="JP401" s="42"/>
      <c r="JQ401" s="42"/>
      <c r="JR401" s="42"/>
      <c r="JS401" s="42"/>
      <c r="JV401" s="4" t="str">
        <f t="shared" si="0"/>
        <v>642,1,1,2</v>
      </c>
      <c r="JW401" s="62">
        <v>64</v>
      </c>
      <c r="JX401" s="63" t="s">
        <v>56</v>
      </c>
      <c r="JY401" s="214">
        <v>23.7</v>
      </c>
      <c r="JZ401" s="64"/>
      <c r="KB401" s="195" t="s">
        <v>35</v>
      </c>
      <c r="KC401" s="198">
        <v>6.25E-2</v>
      </c>
      <c r="KD401" s="5" t="s">
        <v>12</v>
      </c>
      <c r="KE401" s="51" t="s">
        <v>116</v>
      </c>
      <c r="KH401" s="42"/>
      <c r="KI401" s="42"/>
      <c r="KJ401" s="42"/>
      <c r="KK401" s="42"/>
      <c r="KL401" s="42"/>
      <c r="KM401" s="15"/>
      <c r="KN401" s="15"/>
    </row>
    <row r="402" spans="272:300" ht="43.2" hidden="1" x14ac:dyDescent="0.55000000000000004">
      <c r="JL402" s="31"/>
      <c r="JM402" s="5"/>
      <c r="JN402" s="42"/>
      <c r="JO402" s="42"/>
      <c r="JP402" s="42"/>
      <c r="JQ402" s="42"/>
      <c r="JR402" s="42"/>
      <c r="JS402" s="42"/>
      <c r="JV402" s="67" t="str">
        <f t="shared" si="0"/>
        <v>43,1,1,3</v>
      </c>
      <c r="JW402" s="66">
        <v>4</v>
      </c>
      <c r="JX402" s="65" t="s">
        <v>105</v>
      </c>
      <c r="JY402" s="212">
        <v>51.4</v>
      </c>
      <c r="JZ402" s="68"/>
      <c r="KB402" s="74" t="s">
        <v>141</v>
      </c>
      <c r="KC402" s="10">
        <f>ROUND((3*KC386*B4)-E3,2)</f>
        <v>69.88</v>
      </c>
      <c r="KD402" s="51" t="s">
        <v>12</v>
      </c>
      <c r="KH402" s="42"/>
      <c r="KI402" s="42"/>
      <c r="KJ402" s="42"/>
      <c r="KK402" s="42"/>
      <c r="KL402" s="42"/>
      <c r="KM402" s="15"/>
      <c r="KN402" s="15"/>
    </row>
    <row r="403" spans="272:300" hidden="1" x14ac:dyDescent="0.55000000000000004">
      <c r="JL403" s="44"/>
      <c r="JM403" s="42"/>
      <c r="JN403" s="42"/>
      <c r="JO403" s="42"/>
      <c r="JP403" s="42"/>
      <c r="JQ403" s="42"/>
      <c r="JR403" s="42"/>
      <c r="JS403" s="42"/>
      <c r="JV403" s="67" t="str">
        <f t="shared" si="0"/>
        <v>83,1,1,3</v>
      </c>
      <c r="JW403" s="66">
        <v>8</v>
      </c>
      <c r="JX403" s="65" t="s">
        <v>105</v>
      </c>
      <c r="JY403" s="212">
        <v>39.200000000000003</v>
      </c>
      <c r="JZ403" s="68"/>
      <c r="KH403" s="42"/>
      <c r="KI403" s="42"/>
      <c r="KJ403" s="42"/>
      <c r="KK403" s="42"/>
      <c r="KL403" s="42"/>
      <c r="KM403" s="15"/>
      <c r="KN403" s="15"/>
    </row>
    <row r="404" spans="272:300" hidden="1" x14ac:dyDescent="0.55000000000000004">
      <c r="JL404" s="8"/>
      <c r="JM404" s="42"/>
      <c r="JN404" s="42"/>
      <c r="JO404" s="42"/>
      <c r="JP404" s="42"/>
      <c r="JQ404" s="42"/>
      <c r="JR404" s="42"/>
      <c r="JS404" s="42"/>
      <c r="JV404" s="67" t="str">
        <f t="shared" si="0"/>
        <v>163,1,1,3</v>
      </c>
      <c r="JW404" s="66">
        <v>16</v>
      </c>
      <c r="JX404" s="65" t="s">
        <v>105</v>
      </c>
      <c r="JY404" s="212">
        <v>30.8</v>
      </c>
      <c r="JZ404" s="68"/>
      <c r="KH404" s="42"/>
      <c r="KI404" s="42"/>
      <c r="KJ404" s="42"/>
      <c r="KK404" s="42"/>
      <c r="KL404" s="42"/>
      <c r="KM404" s="15"/>
      <c r="KN404" s="15"/>
    </row>
    <row r="405" spans="272:300" hidden="1" x14ac:dyDescent="0.55000000000000004">
      <c r="JL405" s="42"/>
      <c r="JM405" s="42"/>
      <c r="JN405" s="42"/>
      <c r="JO405" s="42"/>
      <c r="JP405" s="42"/>
      <c r="JQ405" s="42"/>
      <c r="JR405" s="42"/>
      <c r="JS405" s="42"/>
      <c r="JV405" s="67" t="str">
        <f t="shared" si="0"/>
        <v>323,1,1,3</v>
      </c>
      <c r="JW405" s="66">
        <v>32</v>
      </c>
      <c r="JX405" s="65" t="s">
        <v>105</v>
      </c>
      <c r="JY405" s="212">
        <v>25.4</v>
      </c>
      <c r="JZ405" s="68"/>
      <c r="KH405" s="42"/>
      <c r="KI405" s="42"/>
      <c r="KJ405" s="42"/>
      <c r="KK405" s="42"/>
      <c r="KL405" s="42"/>
      <c r="KM405" s="15"/>
      <c r="KN405" s="15"/>
    </row>
    <row r="406" spans="272:300" ht="14.7" hidden="1" thickBot="1" x14ac:dyDescent="0.6">
      <c r="JL406" s="42"/>
      <c r="JM406" s="42"/>
      <c r="JN406" s="42"/>
      <c r="JO406" s="42"/>
      <c r="JP406" s="42"/>
      <c r="JQ406" s="42"/>
      <c r="JR406" s="42"/>
      <c r="JS406" s="42"/>
      <c r="JV406" s="67" t="str">
        <f t="shared" si="0"/>
        <v>643,1,1,3</v>
      </c>
      <c r="JW406" s="186">
        <v>64</v>
      </c>
      <c r="JX406" s="187" t="s">
        <v>105</v>
      </c>
      <c r="JY406" s="215">
        <v>22</v>
      </c>
      <c r="JZ406" s="69"/>
      <c r="KH406" s="42"/>
      <c r="KI406" s="42"/>
      <c r="KJ406" s="42"/>
      <c r="KK406" s="42"/>
      <c r="KL406" s="42"/>
      <c r="KM406" s="15"/>
      <c r="KN406" s="15"/>
    </row>
    <row r="407" spans="272:300" x14ac:dyDescent="0.55000000000000004">
      <c r="JL407" s="45"/>
      <c r="JM407" s="45"/>
      <c r="JN407" s="45"/>
      <c r="JO407" s="45"/>
      <c r="JP407" s="45"/>
      <c r="JQ407" s="45"/>
      <c r="JR407" s="45"/>
      <c r="JS407" s="45"/>
      <c r="JT407" s="4"/>
      <c r="JU407" s="4"/>
      <c r="JV407" s="4"/>
      <c r="JW407" s="4"/>
      <c r="JX407" s="4"/>
      <c r="JY407" s="4"/>
      <c r="JZ407" s="4"/>
      <c r="KA407" s="4"/>
      <c r="KB407" s="4"/>
      <c r="KC407" s="4"/>
      <c r="KD407" s="4"/>
      <c r="KE407" s="4"/>
      <c r="KF407" s="4"/>
      <c r="KG407" s="4"/>
      <c r="KH407" s="45"/>
      <c r="KI407" s="45"/>
      <c r="KJ407" s="45"/>
      <c r="KK407" s="45"/>
      <c r="KL407" s="45"/>
      <c r="KM407" s="45"/>
      <c r="KN407" s="4"/>
    </row>
  </sheetData>
  <mergeCells count="8">
    <mergeCell ref="KL374:KM374"/>
    <mergeCell ref="JW377:JY377"/>
    <mergeCell ref="JW380:JZ380"/>
    <mergeCell ref="B1:F1"/>
    <mergeCell ref="A14:C14"/>
    <mergeCell ref="JW374:JZ374"/>
    <mergeCell ref="KH374:KI374"/>
    <mergeCell ref="KJ374:KK374"/>
  </mergeCells>
  <conditionalFormatting sqref="E4">
    <cfRule type="cellIs" dxfId="1" priority="1" operator="lessThan">
      <formula>125</formula>
    </cfRule>
    <cfRule type="cellIs" dxfId="0" priority="2" operator="greaterThan">
      <formula>125</formula>
    </cfRule>
  </conditionalFormatting>
  <dataValidations count="14">
    <dataValidation type="decimal" allowBlank="1" showInputMessage="1" showErrorMessage="1" error="AVDD output current out of range" prompt="Enter the AVDD output load current between 0 to 20 mA" sqref="B8" xr:uid="{9AE18D27-CE4B-4CA7-88FB-4E5066806DFC}">
      <formula1>0</formula1>
      <formula2>20</formula2>
    </dataValidation>
    <dataValidation type="decimal" allowBlank="1" showInputMessage="1" showErrorMessage="1" error="This ambient temperature is outside the operating range of the DRV8316" prompt="Enter the ambient temperature of the MCF8316A for normal operation" sqref="B9" xr:uid="{602A17D8-8D1C-4F40-A45E-0E82D37F1B20}">
      <formula1>-40</formula1>
      <formula2>125</formula2>
    </dataValidation>
    <dataValidation type="decimal" allowBlank="1" showInputMessage="1" showErrorMessage="1" error="This current is outside the operating range of the DRV8316" prompt="Enter an RMS current between 0 and 5.657 amps" sqref="B4" xr:uid="{49A5085B-B70C-4A92-9841-54CCD30E47AB}">
      <formula1>0</formula1>
      <formula2>5.657</formula2>
    </dataValidation>
    <dataValidation type="list" allowBlank="1" showInputMessage="1" showErrorMessage="1" prompt="Select copper thickness of top/bottom layers (oz)" sqref="KC382 AB9 KK374" xr:uid="{0B8874E7-5AE7-4D6B-AE35-56EE3757DD7A}">
      <formula1>$JM$375:$JM$376</formula1>
    </dataValidation>
    <dataValidation type="list" allowBlank="1" showInputMessage="1" showErrorMessage="1" prompt="Select copper thickness of internal layers if more than 2 layer PCB (oz)" sqref="KC382" xr:uid="{87631A4E-F3FE-4F9C-8C16-427042490EB3}">
      <formula1>$JN$375:$JN$376</formula1>
    </dataValidation>
    <dataValidation type="decimal" allowBlank="1" showInputMessage="1" showErrorMessage="1" error="This voltage is outside the operating range of the DRV8316" prompt="Enter a motor supply voltage between 4.5 to 35 volts" sqref="B3" xr:uid="{FF658838-E62F-48B8-B984-E44058AFBF2C}">
      <formula1>4.5</formula1>
      <formula2>35</formula2>
    </dataValidation>
    <dataValidation allowBlank="1" showInputMessage="1" showErrorMessage="1" prompt="Enter the operating ambient temperature" sqref="KC380" xr:uid="{8A602FEA-4E05-4DE4-A914-1464BA98BF1C}"/>
    <dataValidation type="list" allowBlank="1" showInputMessage="1" showErrorMessage="1" prompt="Select copper thickness of top/bottom layers (oz)" sqref="B13" xr:uid="{F0E45467-7503-45A3-BDC2-6916625C9C55}">
      <formula1>$JO$375:$JO$379</formula1>
    </dataValidation>
    <dataValidation type="list" allowBlank="1" showInputMessage="1" showErrorMessage="1" prompt="Select copper thickness of top/bottom layers (oz)" sqref="B12" xr:uid="{91A901D5-4096-4416-B485-E24CA0ABC0DF}">
      <formula1>$JM$375:$JM$377</formula1>
    </dataValidation>
    <dataValidation type="list" allowBlank="1" showInputMessage="1" showErrorMessage="1" prompt="Select PWM modulation type" sqref="B5" xr:uid="{98A7CCAC-657F-4396-A473-3FB1CA65911C}">
      <formula1>$JS$375:$JS$376</formula1>
    </dataValidation>
    <dataValidation type="list" allowBlank="1" showInputMessage="1" showErrorMessage="1" error="This PWM frequency is outside of the operating range of the DRV8316" prompt="Select a PWM frequency between 10kHz and 75kHz" sqref="B6" xr:uid="{D774B536-F8F1-4B6A-827D-23CBC383A342}">
      <formula1>$JR$375:$JR$388</formula1>
    </dataValidation>
    <dataValidation type="list" allowBlank="1" showInputMessage="1" showErrorMessage="1" prompt="Select # of PCB Layers" sqref="B11" xr:uid="{8EBAA42D-7EF9-4EE0-96C9-E58D439883B1}">
      <formula1>$JL$375:$JL$376</formula1>
    </dataValidation>
    <dataValidation type="list" allowBlank="1" showInputMessage="1" showErrorMessage="1" prompt="Select PCB area (cm2)" sqref="B13" xr:uid="{1E2B6826-77BB-459E-9198-69831D3FD0EF}">
      <formula1>$JO$375:$JO$379</formula1>
    </dataValidation>
    <dataValidation type="list" allowBlank="1" showInputMessage="1" showErrorMessage="1" prompt="Select an output slew rate setting (V/us)" sqref="B7" xr:uid="{B98FF41D-28F2-4B7D-944E-CE78D25A33F1}">
      <formula1>$JP$375:$JP$378</formula1>
    </dataValidation>
  </dataValidations>
  <pageMargins left="0.7" right="0.7" top="0.75" bottom="0.75" header="0.3" footer="0.3"/>
  <pageSetup orientation="portrait" r:id="rId1"/>
  <headerFooter>
    <oddHeader>&amp;L&amp;"Calibri"&amp;10&amp;KF6A800Internal&amp;1#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08A0F8D698B141B9993AF2DF55C4F7" ma:contentTypeVersion="4" ma:contentTypeDescription="Create a new document." ma:contentTypeScope="" ma:versionID="4bdd9cddd219278efcf89083269ac41a">
  <xsd:schema xmlns:xsd="http://www.w3.org/2001/XMLSchema" xmlns:xs="http://www.w3.org/2001/XMLSchema" xmlns:p="http://schemas.microsoft.com/office/2006/metadata/properties" xmlns:ns2="6f2f0605-bfee-4698-a78a-575fc242f63d" targetNamespace="http://schemas.microsoft.com/office/2006/metadata/properties" ma:root="true" ma:fieldsID="466cf61841b38c7c5cda7ad14bc2bd24" ns2:_="">
    <xsd:import namespace="6f2f0605-bfee-4698-a78a-575fc242f63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f0605-bfee-4698-a78a-575fc242f6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967D38FC-285B-4D91-A2F6-66B0401DBE63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6f2f0605-bfee-4698-a78a-575fc242f63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0BF63F8-CEA6-4456-BCF3-351222CF8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f0605-bfee-4698-a78a-575fc242f6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57F820-D125-4EAD-A1D3-79A8BB5DCF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MCT8316Z_Trap</vt:lpstr>
      <vt:lpstr>DRV8316_Trap</vt:lpstr>
      <vt:lpstr>DRV8316_FOC</vt:lpstr>
      <vt:lpstr>MCT8316A_Trap</vt:lpstr>
      <vt:lpstr>MCF8316A_FOC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2022-05-13T07:28:23Z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0x0101006D08A0F8D698B141B9993AF2DF55C4F7</vt:lpwstr>
  </property>
  <property fmtid="{D5CDD505-2E9C-101B-9397-08002B2CF9AE}" pid="3" name="MSIP_Label_16b2258f-3676-449a-9218-817a22e44788_Enabled">
    <vt:lpwstr>true</vt:lpwstr>
  </property>
  <property fmtid="{D5CDD505-2E9C-101B-9397-08002B2CF9AE}" pid="4" name="MSIP_Label_16b2258f-3676-449a-9218-817a22e44788_SetDate">
    <vt:lpwstr>2022-05-13T07:28:23Z</vt:lpwstr>
  </property>
  <property fmtid="{D5CDD505-2E9C-101B-9397-08002B2CF9AE}" pid="5" name="MSIP_Label_16b2258f-3676-449a-9218-817a22e44788_Method">
    <vt:lpwstr>Standard</vt:lpwstr>
  </property>
  <property fmtid="{D5CDD505-2E9C-101B-9397-08002B2CF9AE}" pid="6" name="MSIP_Label_16b2258f-3676-449a-9218-817a22e44788_Name">
    <vt:lpwstr>Internal - Labeled</vt:lpwstr>
  </property>
  <property fmtid="{D5CDD505-2E9C-101B-9397-08002B2CF9AE}" pid="7" name="MSIP_Label_16b2258f-3676-449a-9218-817a22e44788_SiteId">
    <vt:lpwstr>e8d897a8-f400-4625-858a-6f3ae627542b</vt:lpwstr>
  </property>
  <property fmtid="{D5CDD505-2E9C-101B-9397-08002B2CF9AE}" pid="8" name="MSIP_Label_16b2258f-3676-449a-9218-817a22e44788_ActionId">
    <vt:lpwstr>8e195032-98a4-4b6c-8a8f-30ead4dfe155</vt:lpwstr>
  </property>
  <property fmtid="{D5CDD505-2E9C-101B-9397-08002B2CF9AE}" pid="9" name="MSIP_Label_16b2258f-3676-449a-9218-817a22e44788_ContentBits">
    <vt:lpwstr>1</vt:lpwstr>
  </property>
</Properties>
</file>