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88284\Documents\Calculators\DRV3245-Q1\"/>
    </mc:Choice>
  </mc:AlternateContent>
  <xr:revisionPtr revIDLastSave="0" documentId="8_{4624727F-F1F9-47F3-A99D-15330B9DBA79}" xr6:coauthVersionLast="36" xr6:coauthVersionMax="36" xr10:uidLastSave="{00000000-0000-0000-0000-000000000000}"/>
  <bookViews>
    <workbookView xWindow="480" yWindow="120" windowWidth="13680" windowHeight="12590" xr2:uid="{00000000-000D-0000-FFFF-FFFF00000000}"/>
  </bookViews>
  <sheets>
    <sheet name="New_Power_Diss_3245" sheetId="1" r:id="rId1"/>
  </sheets>
  <externalReferences>
    <externalReference r:id="rId2"/>
  </externalReferences>
  <definedNames>
    <definedName name="_xlnm._FilterDatabase" localSheetId="0" hidden="1">New_Power_Diss_3245!$C$6:$C$11</definedName>
    <definedName name="ADC_Accuracy">#REF!</definedName>
    <definedName name="ADCREF">#REF!</definedName>
    <definedName name="ADCREF_Accuracy">#REF!</definedName>
    <definedName name="Calac_Input_Offset_Drift_Temp">#REF!</definedName>
    <definedName name="Calc_ADCREF_Accuracy">#REF!</definedName>
    <definedName name="Calc_Aging_Drift">#REF!</definedName>
    <definedName name="Calc_Gain_Error">#REF!</definedName>
    <definedName name="Calc_Gain_Error_Correlated">#REF!</definedName>
    <definedName name="Calc_Gain_Error_Uncorrelated">[1]CSA_Calculator_Rev5!$H$17</definedName>
    <definedName name="Calc_Input_Offset">#REF!</definedName>
    <definedName name="Calc_Input_Offset_Drift_Temp">#REF!</definedName>
    <definedName name="Calc_Shift_Buffer_Accuracy">#REF!</definedName>
    <definedName name="CMRR">[1]CSA_Calculator_Rev6!$G$8</definedName>
    <definedName name="Gain">#REF!</definedName>
    <definedName name="Gain_Error">#REF!</definedName>
    <definedName name="Gain_Error_Correlated">#REF!</definedName>
    <definedName name="Gain_Error_UNcorrelated">[1]CSA_Calculator_Rev5!$G$3</definedName>
    <definedName name="Input_Offset">#REF!</definedName>
    <definedName name="Input_Offset_Drift___Aging">#REF!</definedName>
    <definedName name="Input_Offset_Drift___Temp">#REF!</definedName>
    <definedName name="Input_Offset_Drift_Temp">#REF!</definedName>
    <definedName name="k">#REF!</definedName>
    <definedName name="k_hi">#REF!</definedName>
    <definedName name="k_high">#REF!</definedName>
    <definedName name="k_low">#REF!</definedName>
    <definedName name="PWM">New_Power_Diss_3245!$C$6:$C$11</definedName>
    <definedName name="R_1">[1]CSA_Calculator_Rev6!$B$13</definedName>
    <definedName name="R_2">[1]CSA_Calculator_Rev6!$B$14</definedName>
    <definedName name="R_2_Effective">[1]CSA_Calculator_Rev8!$B$16</definedName>
    <definedName name="R_TOL">[1]CSA_Calculator_Rev6!$B$15</definedName>
    <definedName name="Shift_Buffer_Accuracy">#REF!</definedName>
    <definedName name="Shift_Buffer_Offset">#REF!</definedName>
    <definedName name="Shunt">#REF!</definedName>
    <definedName name="Shunt_Accuracy">#REF!</definedName>
    <definedName name="V_DIV_HIGH">[1]CSA_Calculator_Rev6!$B$17</definedName>
    <definedName name="V_DIV_LOW">[1]CSA_Calculator_Rev6!$B$18</definedName>
    <definedName name="V_DIV_NOM">[1]CSA_Calculator_Rev6!$B$16</definedName>
    <definedName name="VCM">[1]CSA_Calculator_Rev6!$B$11</definedName>
    <definedName name="VREF">#REF!</definedName>
  </definedNames>
  <calcPr calcId="191028"/>
</workbook>
</file>

<file path=xl/calcChain.xml><?xml version="1.0" encoding="utf-8"?>
<calcChain xmlns="http://schemas.openxmlformats.org/spreadsheetml/2006/main">
  <c r="V126" i="1" l="1"/>
  <c r="Q126" i="1"/>
  <c r="V125" i="1"/>
  <c r="Q125" i="1"/>
  <c r="V124" i="1"/>
  <c r="Q124" i="1"/>
  <c r="V123" i="1"/>
  <c r="Q123" i="1"/>
  <c r="V122" i="1"/>
  <c r="Q122" i="1"/>
  <c r="V121" i="1"/>
  <c r="Q121" i="1"/>
  <c r="V120" i="1"/>
  <c r="Q120" i="1"/>
  <c r="V119" i="1"/>
  <c r="Q119" i="1"/>
  <c r="V118" i="1"/>
  <c r="Q118" i="1"/>
  <c r="V117" i="1"/>
  <c r="Q117" i="1"/>
  <c r="V116" i="1"/>
  <c r="Q116" i="1"/>
  <c r="Q115" i="1"/>
  <c r="Q114" i="1"/>
  <c r="T112" i="1"/>
  <c r="V112" i="1"/>
  <c r="Q112" i="1"/>
  <c r="T111" i="1"/>
  <c r="V111" i="1"/>
  <c r="Q111" i="1"/>
  <c r="T110" i="1"/>
  <c r="V110" i="1"/>
  <c r="Q110" i="1"/>
  <c r="T109" i="1"/>
  <c r="V109" i="1"/>
  <c r="Q109" i="1"/>
  <c r="T108" i="1"/>
  <c r="V108" i="1"/>
  <c r="Q108" i="1"/>
  <c r="T107" i="1"/>
  <c r="V107" i="1"/>
  <c r="Q107" i="1"/>
  <c r="T106" i="1"/>
  <c r="V106" i="1"/>
  <c r="Q106" i="1"/>
  <c r="T105" i="1"/>
  <c r="V105" i="1"/>
  <c r="Q105" i="1"/>
  <c r="T104" i="1"/>
  <c r="V104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T89" i="1"/>
  <c r="S89" i="1"/>
  <c r="Q89" i="1"/>
  <c r="T88" i="1"/>
  <c r="S88" i="1"/>
  <c r="V88" i="1"/>
  <c r="Q88" i="1"/>
  <c r="T87" i="1"/>
  <c r="S87" i="1"/>
  <c r="Q87" i="1"/>
  <c r="T86" i="1"/>
  <c r="S86" i="1"/>
  <c r="V86" i="1"/>
  <c r="Q86" i="1"/>
  <c r="T85" i="1"/>
  <c r="S85" i="1"/>
  <c r="V85" i="1"/>
  <c r="Q85" i="1"/>
  <c r="T84" i="1"/>
  <c r="S84" i="1"/>
  <c r="V84" i="1"/>
  <c r="Q84" i="1"/>
  <c r="T83" i="1"/>
  <c r="S83" i="1"/>
  <c r="Q83" i="1"/>
  <c r="T82" i="1"/>
  <c r="S82" i="1"/>
  <c r="V82" i="1"/>
  <c r="Q82" i="1"/>
  <c r="T81" i="1"/>
  <c r="S81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T66" i="1"/>
  <c r="V66" i="1"/>
  <c r="Q66" i="1"/>
  <c r="T65" i="1"/>
  <c r="V65" i="1"/>
  <c r="Q65" i="1"/>
  <c r="T64" i="1"/>
  <c r="V64" i="1"/>
  <c r="Q64" i="1"/>
  <c r="T63" i="1"/>
  <c r="V63" i="1"/>
  <c r="Q63" i="1"/>
  <c r="T62" i="1"/>
  <c r="V62" i="1"/>
  <c r="Q62" i="1"/>
  <c r="T61" i="1"/>
  <c r="V61" i="1"/>
  <c r="Q61" i="1"/>
  <c r="T60" i="1"/>
  <c r="V60" i="1"/>
  <c r="Q60" i="1"/>
  <c r="T59" i="1"/>
  <c r="V59" i="1"/>
  <c r="Q59" i="1"/>
  <c r="T58" i="1"/>
  <c r="V58" i="1"/>
  <c r="Q58" i="1"/>
  <c r="S57" i="1"/>
  <c r="V57" i="1"/>
  <c r="Q57" i="1"/>
  <c r="S56" i="1"/>
  <c r="V56" i="1"/>
  <c r="Q56" i="1"/>
  <c r="S55" i="1"/>
  <c r="V55" i="1"/>
  <c r="Q55" i="1"/>
  <c r="S54" i="1"/>
  <c r="V54" i="1"/>
  <c r="Q54" i="1"/>
  <c r="S53" i="1"/>
  <c r="V53" i="1"/>
  <c r="Q53" i="1"/>
  <c r="S52" i="1"/>
  <c r="V52" i="1"/>
  <c r="Q52" i="1"/>
  <c r="S51" i="1"/>
  <c r="V51" i="1"/>
  <c r="Q51" i="1"/>
  <c r="S50" i="1"/>
  <c r="V50" i="1"/>
  <c r="Q50" i="1"/>
  <c r="S49" i="1"/>
  <c r="V49" i="1"/>
  <c r="Q49" i="1"/>
  <c r="S48" i="1"/>
  <c r="V48" i="1"/>
  <c r="Q48" i="1"/>
  <c r="S47" i="1"/>
  <c r="V47" i="1"/>
  <c r="Q47" i="1"/>
  <c r="S46" i="1"/>
  <c r="S115" i="1"/>
  <c r="Q46" i="1"/>
  <c r="S45" i="1"/>
  <c r="V45" i="1"/>
  <c r="Q45" i="1"/>
  <c r="S43" i="1"/>
  <c r="V43" i="1"/>
  <c r="S80" i="1"/>
  <c r="Q43" i="1"/>
  <c r="S42" i="1"/>
  <c r="S79" i="1"/>
  <c r="Q42" i="1"/>
  <c r="S41" i="1"/>
  <c r="S78" i="1"/>
  <c r="Q41" i="1"/>
  <c r="S40" i="1"/>
  <c r="S77" i="1"/>
  <c r="Q40" i="1"/>
  <c r="S39" i="1"/>
  <c r="S76" i="1"/>
  <c r="Q39" i="1"/>
  <c r="S38" i="1"/>
  <c r="S75" i="1"/>
  <c r="Q38" i="1"/>
  <c r="S37" i="1"/>
  <c r="S74" i="1"/>
  <c r="Q37" i="1"/>
  <c r="S36" i="1"/>
  <c r="S73" i="1"/>
  <c r="Q36" i="1"/>
  <c r="S35" i="1"/>
  <c r="V35" i="1"/>
  <c r="S72" i="1"/>
  <c r="Q35" i="1"/>
  <c r="S34" i="1"/>
  <c r="S71" i="1"/>
  <c r="Q34" i="1"/>
  <c r="S33" i="1"/>
  <c r="S70" i="1"/>
  <c r="Q33" i="1"/>
  <c r="V32" i="1"/>
  <c r="Q32" i="1"/>
  <c r="V31" i="1"/>
  <c r="Q31" i="1"/>
  <c r="V29" i="1"/>
  <c r="Q29" i="1"/>
  <c r="V28" i="1"/>
  <c r="Q28" i="1"/>
  <c r="V27" i="1"/>
  <c r="Q27" i="1"/>
  <c r="V26" i="1"/>
  <c r="Q26" i="1"/>
  <c r="V25" i="1"/>
  <c r="Q25" i="1"/>
  <c r="V24" i="1"/>
  <c r="Q24" i="1"/>
  <c r="V23" i="1"/>
  <c r="Q23" i="1"/>
  <c r="V22" i="1"/>
  <c r="Q22" i="1"/>
  <c r="V21" i="1"/>
  <c r="Q21" i="1"/>
  <c r="V20" i="1"/>
  <c r="Q20" i="1"/>
  <c r="V19" i="1"/>
  <c r="Q19" i="1"/>
  <c r="V18" i="1"/>
  <c r="Q18" i="1"/>
  <c r="V17" i="1"/>
  <c r="Q17" i="1"/>
  <c r="V15" i="1"/>
  <c r="Q15" i="1"/>
  <c r="V14" i="1"/>
  <c r="Q14" i="1"/>
  <c r="V13" i="1"/>
  <c r="Q13" i="1"/>
  <c r="V12" i="1"/>
  <c r="Q12" i="1"/>
  <c r="V11" i="1"/>
  <c r="Q11" i="1"/>
  <c r="V10" i="1"/>
  <c r="Q10" i="1"/>
  <c r="V9" i="1"/>
  <c r="Q9" i="1"/>
  <c r="V8" i="1"/>
  <c r="Q8" i="1"/>
  <c r="V7" i="1"/>
  <c r="Q7" i="1"/>
  <c r="V6" i="1"/>
  <c r="Q6" i="1"/>
  <c r="V5" i="1"/>
  <c r="Q5" i="1"/>
  <c r="V4" i="1"/>
  <c r="Q4" i="1"/>
  <c r="V3" i="1"/>
  <c r="Q3" i="1"/>
  <c r="V41" i="1"/>
  <c r="V33" i="1"/>
  <c r="V83" i="1"/>
  <c r="V87" i="1"/>
  <c r="V37" i="1"/>
  <c r="V46" i="1"/>
  <c r="V39" i="1"/>
  <c r="V81" i="1"/>
  <c r="V89" i="1"/>
  <c r="S95" i="1"/>
  <c r="V95" i="1"/>
  <c r="V72" i="1"/>
  <c r="V75" i="1"/>
  <c r="S98" i="1"/>
  <c r="V98" i="1"/>
  <c r="S103" i="1"/>
  <c r="V103" i="1"/>
  <c r="V80" i="1"/>
  <c r="V74" i="1"/>
  <c r="S97" i="1"/>
  <c r="V97" i="1"/>
  <c r="S100" i="1"/>
  <c r="V100" i="1"/>
  <c r="V77" i="1"/>
  <c r="S69" i="1"/>
  <c r="V115" i="1"/>
  <c r="V71" i="1"/>
  <c r="S94" i="1"/>
  <c r="V94" i="1"/>
  <c r="S99" i="1"/>
  <c r="V99" i="1"/>
  <c r="V76" i="1"/>
  <c r="V79" i="1"/>
  <c r="S102" i="1"/>
  <c r="V102" i="1"/>
  <c r="V70" i="1"/>
  <c r="S93" i="1"/>
  <c r="V93" i="1"/>
  <c r="S96" i="1"/>
  <c r="V96" i="1"/>
  <c r="V73" i="1"/>
  <c r="V78" i="1"/>
  <c r="S101" i="1"/>
  <c r="V101" i="1"/>
  <c r="V34" i="1"/>
  <c r="V38" i="1"/>
  <c r="V42" i="1"/>
  <c r="S114" i="1"/>
  <c r="V36" i="1"/>
  <c r="V40" i="1"/>
  <c r="C49" i="1"/>
  <c r="B49" i="1"/>
  <c r="C47" i="1"/>
  <c r="E32" i="1"/>
  <c r="E30" i="1"/>
  <c r="E29" i="1"/>
  <c r="E25" i="1"/>
  <c r="G9" i="1"/>
  <c r="F9" i="1"/>
  <c r="G6" i="1"/>
  <c r="F6" i="1"/>
  <c r="E5" i="1"/>
  <c r="E4" i="1"/>
  <c r="V114" i="1"/>
  <c r="S68" i="1"/>
  <c r="S92" i="1"/>
  <c r="V92" i="1"/>
  <c r="V69" i="1"/>
  <c r="B47" i="1"/>
  <c r="C24" i="1"/>
  <c r="C23" i="1"/>
  <c r="E23" i="1"/>
  <c r="C18" i="1"/>
  <c r="E18" i="1"/>
  <c r="C22" i="1"/>
  <c r="C21" i="1"/>
  <c r="S91" i="1"/>
  <c r="V91" i="1"/>
  <c r="V68" i="1"/>
  <c r="C41" i="1"/>
  <c r="B41" i="1"/>
  <c r="C19" i="1"/>
  <c r="E21" i="1"/>
  <c r="C40" i="1"/>
  <c r="C42" i="1"/>
  <c r="B44" i="1"/>
  <c r="C20" i="1"/>
  <c r="C44" i="1"/>
  <c r="C50" i="1"/>
  <c r="C15" i="1"/>
  <c r="C16" i="1"/>
  <c r="B40" i="1"/>
  <c r="B45" i="1"/>
  <c r="B42" i="1"/>
  <c r="B50" i="1"/>
</calcChain>
</file>

<file path=xl/sharedStrings.xml><?xml version="1.0" encoding="utf-8"?>
<sst xmlns="http://schemas.openxmlformats.org/spreadsheetml/2006/main" count="124" uniqueCount="82">
  <si>
    <t xml:space="preserve">Model Parameters (Assumptions) </t>
  </si>
  <si>
    <t>Value</t>
  </si>
  <si>
    <t>Units</t>
  </si>
  <si>
    <t xml:space="preserve">CP Load </t>
  </si>
  <si>
    <t>PVDD-CP Load</t>
  </si>
  <si>
    <t>PVDD (V)</t>
  </si>
  <si>
    <t>PVDD (Amps)</t>
  </si>
  <si>
    <t>Vcp</t>
  </si>
  <si>
    <t xml:space="preserve">Igate (mA) </t>
  </si>
  <si>
    <t>Pdiss (W)</t>
  </si>
  <si>
    <t>Efficiency</t>
  </si>
  <si>
    <t>Case</t>
  </si>
  <si>
    <t>Typ</t>
  </si>
  <si>
    <t xml:space="preserve">Vsupply </t>
  </si>
  <si>
    <t>V</t>
  </si>
  <si>
    <t xml:space="preserve">PWM frequency </t>
  </si>
  <si>
    <t>kHz</t>
  </si>
  <si>
    <t>Total Gate Charge of MOSFET</t>
  </si>
  <si>
    <t>nC</t>
  </si>
  <si>
    <t>HS Src</t>
  </si>
  <si>
    <t>HS Sink</t>
  </si>
  <si>
    <t>PWM</t>
  </si>
  <si>
    <t>CP List</t>
  </si>
  <si>
    <t>GH_A</t>
  </si>
  <si>
    <t>ON</t>
  </si>
  <si>
    <t>GH_B</t>
  </si>
  <si>
    <t>OFF</t>
  </si>
  <si>
    <t>GH_C</t>
  </si>
  <si>
    <t xml:space="preserve">LS Src </t>
  </si>
  <si>
    <t xml:space="preserve">LS Sink </t>
  </si>
  <si>
    <t>GL_A</t>
  </si>
  <si>
    <t>GL_B</t>
  </si>
  <si>
    <t>GL_C</t>
  </si>
  <si>
    <t xml:space="preserve">CS Amps in Use </t>
  </si>
  <si>
    <t xml:space="preserve">Number </t>
  </si>
  <si>
    <t xml:space="preserve">Charge Pump/Low Side Gate Drive  </t>
  </si>
  <si>
    <t>Charge Pump Voltage (Vcp)</t>
  </si>
  <si>
    <t xml:space="preserve">Look Up </t>
  </si>
  <si>
    <t>Vgs (HS)</t>
  </si>
  <si>
    <t/>
  </si>
  <si>
    <t xml:space="preserve">Vgs (LS) </t>
  </si>
  <si>
    <t xml:space="preserve"> Iload </t>
  </si>
  <si>
    <t>mA</t>
  </si>
  <si>
    <t>=IF(A6&gt;$B$5,"no match",INDEX($B$1:$B$5,MATCH(MAX($B$1,A6),$B$1:$B$5)+ISNA(MATCH(MAX($B$1,A6),$B$1:$B$5,0))))
where your list in B1:B5 and your look up value is in A6
Your list must be sorted as shown (ascending)</t>
  </si>
  <si>
    <t>Iload Simulated Lookup</t>
  </si>
  <si>
    <t xml:space="preserve">PVDD Current (CP only) </t>
  </si>
  <si>
    <t>High side Gate Drive Current ON</t>
  </si>
  <si>
    <t>High side Gate Drive Current OFF</t>
  </si>
  <si>
    <t>Low Side Gate Drive Current ON</t>
  </si>
  <si>
    <t>Low Side Gate Drive Current OFF</t>
  </si>
  <si>
    <t>Switching/Parasitic Loss</t>
  </si>
  <si>
    <t>%</t>
  </si>
  <si>
    <t xml:space="preserve">Analog (Bias) + Digital </t>
  </si>
  <si>
    <t>Current Load ( AVDD)</t>
  </si>
  <si>
    <t xml:space="preserve">Current Load (DVDD) </t>
  </si>
  <si>
    <t xml:space="preserve">VREF Voltage </t>
  </si>
  <si>
    <t>Current Load (VREF)</t>
  </si>
  <si>
    <t>Power Dissipated (Calculated) mW</t>
  </si>
  <si>
    <t xml:space="preserve">PVDD Current (mA) </t>
  </si>
  <si>
    <t>State 1</t>
  </si>
  <si>
    <t>State2</t>
  </si>
  <si>
    <t>State 3</t>
  </si>
  <si>
    <t>State 4</t>
  </si>
  <si>
    <t>State5</t>
  </si>
  <si>
    <t>State6</t>
  </si>
  <si>
    <t>A</t>
  </si>
  <si>
    <t>L</t>
  </si>
  <si>
    <t>Z</t>
  </si>
  <si>
    <t xml:space="preserve">Half Bridge </t>
  </si>
  <si>
    <t>B</t>
  </si>
  <si>
    <t xml:space="preserve">Gate Driver (HS) </t>
  </si>
  <si>
    <t>C</t>
  </si>
  <si>
    <t xml:space="preserve">Gate Driver (LS) </t>
  </si>
  <si>
    <t>Sink</t>
  </si>
  <si>
    <t>Gate Driver (Switching Loss)</t>
  </si>
  <si>
    <t xml:space="preserve">Source </t>
  </si>
  <si>
    <t>Charge Pump</t>
  </si>
  <si>
    <t xml:space="preserve">Low Side LDO </t>
  </si>
  <si>
    <t>!PWM</t>
  </si>
  <si>
    <t xml:space="preserve">Sink </t>
  </si>
  <si>
    <t xml:space="preserve">VREG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</si>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</sst>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60">
    <xf numFmtId="0" fontId="0" fillId="0" borderId="0" xfId="0"/>
    <xf numFmtId="0" fontId="3" fillId="4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1" fontId="5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quotePrefix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2" borderId="1" xfId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4" fontId="2" fillId="3" borderId="1" xfId="2" applyNumberFormat="1" applyAlignment="1" applyProtection="1">
      <alignment horizontal="center"/>
      <protection locked="0"/>
    </xf>
    <xf numFmtId="0" fontId="2" fillId="3" borderId="1" xfId="2" applyAlignment="1" applyProtection="1">
      <alignment horizontal="center"/>
      <protection locked="0"/>
    </xf>
    <xf numFmtId="164" fontId="2" fillId="3" borderId="1" xfId="2" applyNumberFormat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2" fontId="1" fillId="2" borderId="1" xfId="1" applyNumberFormat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2" fontId="2" fillId="3" borderId="1" xfId="2" applyNumberFormat="1" applyAlignment="1" applyProtection="1">
      <alignment horizontal="center"/>
      <protection locked="0"/>
    </xf>
    <xf numFmtId="164" fontId="9" fillId="4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center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869351/AppData/Local/Microsoft/Windows/Temporary%20Internet%20Files/Content.Outlook/Z4C1QNT3/DRV3245A_Models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edriver Switching "/>
      <sheetName val="External FET switching "/>
      <sheetName val="New_Power_Diss_3245"/>
      <sheetName val="CSA_Calculator_Rev6"/>
      <sheetName val="CSA_Calculator_Rev8"/>
      <sheetName val="CSA_Calculator_Rev5"/>
      <sheetName val="3245_LookUpTables"/>
      <sheetName val="Commutation "/>
      <sheetName val="DRV3245A Mesurements"/>
    </sheetNames>
    <sheetDataSet>
      <sheetData sheetId="0"/>
      <sheetData sheetId="1"/>
      <sheetData sheetId="2"/>
      <sheetData sheetId="3"/>
      <sheetData sheetId="4">
        <row r="8">
          <cell r="G8">
            <v>55</v>
          </cell>
        </row>
        <row r="11">
          <cell r="B11">
            <v>0.5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1E-3</v>
          </cell>
        </row>
        <row r="16">
          <cell r="B16">
            <v>1</v>
          </cell>
        </row>
        <row r="17">
          <cell r="B17">
            <v>1.0009999999999999</v>
          </cell>
        </row>
        <row r="18">
          <cell r="B18">
            <v>0.999</v>
          </cell>
        </row>
      </sheetData>
      <sheetData sheetId="5">
        <row r="16">
          <cell r="B16">
            <v>19.900497512437809</v>
          </cell>
        </row>
      </sheetData>
      <sheetData sheetId="6">
        <row r="3">
          <cell r="G3">
            <v>2.3E-2</v>
          </cell>
        </row>
        <row r="17">
          <cell r="H17">
            <v>2.3E-2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26"/>
  <sheetViews>
    <sheetView tabSelected="1" zoomScale="67" zoomScaleNormal="55" workbookViewId="0"/>
  </sheetViews>
  <sheetFormatPr defaultRowHeight="14.5" x14ac:dyDescent="0.35"/>
  <cols>
    <col min="1" max="1" width="31.54296875" customWidth="1"/>
    <col min="2" max="2" width="39.7265625" customWidth="1"/>
    <col min="3" max="3" width="25" customWidth="1"/>
    <col min="4" max="4" width="27.26953125" customWidth="1"/>
    <col min="5" max="5" width="12.453125" style="11" hidden="1" customWidth="1"/>
    <col min="6" max="12" width="9.1796875" style="11" hidden="1" customWidth="1"/>
    <col min="13" max="13" width="75.453125" style="11" hidden="1" customWidth="1"/>
    <col min="14" max="17" width="9.1796875" style="11" hidden="1" customWidth="1"/>
    <col min="18" max="18" width="10.1796875" style="11" hidden="1" customWidth="1"/>
    <col min="19" max="19" width="11.26953125" style="11" hidden="1" customWidth="1"/>
    <col min="20" max="23" width="9.1796875" style="11" hidden="1" customWidth="1"/>
    <col min="24" max="24" width="5.26953125" customWidth="1"/>
  </cols>
  <sheetData>
    <row r="1" spans="1:23" x14ac:dyDescent="0.35">
      <c r="A1" s="32"/>
      <c r="B1" s="18" t="s">
        <v>0</v>
      </c>
      <c r="C1" s="18" t="s">
        <v>1</v>
      </c>
      <c r="D1" s="1" t="s">
        <v>2</v>
      </c>
      <c r="E1" s="10"/>
      <c r="P1" t="s">
        <v>3</v>
      </c>
      <c r="Q1" t="s">
        <v>4</v>
      </c>
      <c r="R1" s="56" t="s">
        <v>5</v>
      </c>
      <c r="S1" s="58" t="s">
        <v>6</v>
      </c>
      <c r="T1" s="55" t="s">
        <v>7</v>
      </c>
      <c r="U1" s="59" t="s">
        <v>8</v>
      </c>
      <c r="V1" s="55" t="s">
        <v>9</v>
      </c>
      <c r="W1" s="11" t="s">
        <v>10</v>
      </c>
    </row>
    <row r="2" spans="1:23" x14ac:dyDescent="0.35">
      <c r="A2" s="22"/>
      <c r="B2" s="24" t="s">
        <v>11</v>
      </c>
      <c r="C2" s="33" t="s">
        <v>12</v>
      </c>
      <c r="D2" s="3"/>
      <c r="E2" s="10"/>
      <c r="P2"/>
      <c r="Q2"/>
      <c r="R2" s="56"/>
      <c r="S2" s="58"/>
      <c r="T2" s="55"/>
      <c r="U2" s="59"/>
      <c r="V2"/>
    </row>
    <row r="3" spans="1:23" x14ac:dyDescent="0.35">
      <c r="A3" s="34"/>
      <c r="B3" s="35" t="s">
        <v>13</v>
      </c>
      <c r="C3" s="36">
        <v>27</v>
      </c>
      <c r="D3" s="5" t="s">
        <v>14</v>
      </c>
      <c r="E3" s="12"/>
      <c r="P3">
        <v>3</v>
      </c>
      <c r="Q3" t="str">
        <f t="shared" ref="Q3:Q15" si="0">CONCATENATE(R3,U3)</f>
        <v>63</v>
      </c>
      <c r="R3" s="59">
        <v>6</v>
      </c>
      <c r="S3" s="58">
        <v>0.02</v>
      </c>
      <c r="T3" s="57">
        <v>15.428745739263499</v>
      </c>
      <c r="U3" s="59">
        <v>3</v>
      </c>
      <c r="V3">
        <f t="shared" ref="V3:V15" si="1">(R3*S3)-(T3*U3*10^-3)</f>
        <v>7.3713762782209494E-2</v>
      </c>
    </row>
    <row r="4" spans="1:23" x14ac:dyDescent="0.35">
      <c r="A4" s="34"/>
      <c r="B4" s="35" t="s">
        <v>15</v>
      </c>
      <c r="C4" s="36">
        <v>20</v>
      </c>
      <c r="D4" s="5" t="s">
        <v>16</v>
      </c>
      <c r="E4" s="12">
        <f>C4*10^3</f>
        <v>20000</v>
      </c>
      <c r="P4">
        <v>3</v>
      </c>
      <c r="Q4" t="str">
        <f t="shared" si="0"/>
        <v>73</v>
      </c>
      <c r="R4" s="59">
        <v>7</v>
      </c>
      <c r="S4" s="58">
        <v>1.5469999999999999E-2</v>
      </c>
      <c r="T4" s="57">
        <v>17.295657352776502</v>
      </c>
      <c r="U4" s="59">
        <v>3</v>
      </c>
      <c r="V4">
        <f t="shared" si="1"/>
        <v>5.6403027941670493E-2</v>
      </c>
    </row>
    <row r="5" spans="1:23" x14ac:dyDescent="0.35">
      <c r="A5" s="34"/>
      <c r="B5" s="35" t="s">
        <v>17</v>
      </c>
      <c r="C5" s="36">
        <v>150</v>
      </c>
      <c r="D5" s="5" t="s">
        <v>18</v>
      </c>
      <c r="E5" s="13">
        <f>C5*10^-9</f>
        <v>1.5000000000000002E-7</v>
      </c>
      <c r="F5" s="11" t="s">
        <v>19</v>
      </c>
      <c r="G5" s="14" t="s">
        <v>20</v>
      </c>
      <c r="I5" s="11" t="s">
        <v>21</v>
      </c>
      <c r="K5" s="11" t="s">
        <v>22</v>
      </c>
      <c r="P5">
        <v>3</v>
      </c>
      <c r="Q5" t="str">
        <f t="shared" si="0"/>
        <v>83</v>
      </c>
      <c r="R5" s="59">
        <v>8</v>
      </c>
      <c r="S5" s="58">
        <v>1.5469999999999999E-2</v>
      </c>
      <c r="T5" s="57">
        <v>18.290341638843</v>
      </c>
      <c r="U5" s="59">
        <v>3</v>
      </c>
      <c r="V5">
        <f t="shared" si="1"/>
        <v>6.8888975083470999E-2</v>
      </c>
    </row>
    <row r="6" spans="1:23" x14ac:dyDescent="0.35">
      <c r="A6" s="34"/>
      <c r="B6" s="35" t="s">
        <v>23</v>
      </c>
      <c r="C6" s="36" t="s">
        <v>21</v>
      </c>
      <c r="D6" s="5"/>
      <c r="E6" s="12"/>
      <c r="F6" s="11">
        <f>COUNTIF($C$6:$C$8,"PWM")</f>
        <v>3</v>
      </c>
      <c r="G6" s="11">
        <f>COUNTIF($C$6:$C$8,"PWM")</f>
        <v>3</v>
      </c>
      <c r="I6" s="11" t="s">
        <v>24</v>
      </c>
      <c r="J6" s="11">
        <v>0</v>
      </c>
      <c r="K6" s="11">
        <v>0</v>
      </c>
      <c r="P6">
        <v>3</v>
      </c>
      <c r="Q6" t="str">
        <f t="shared" si="0"/>
        <v>93</v>
      </c>
      <c r="R6" s="59">
        <v>9</v>
      </c>
      <c r="S6" s="58">
        <v>1.5469999999999999E-2</v>
      </c>
      <c r="T6" s="57">
        <v>19.3142308912125</v>
      </c>
      <c r="U6" s="59">
        <v>3</v>
      </c>
      <c r="V6">
        <f t="shared" si="1"/>
        <v>8.1287307326362496E-2</v>
      </c>
    </row>
    <row r="7" spans="1:23" x14ac:dyDescent="0.35">
      <c r="A7" s="34"/>
      <c r="B7" s="35" t="s">
        <v>25</v>
      </c>
      <c r="C7" s="36" t="s">
        <v>21</v>
      </c>
      <c r="D7" s="5"/>
      <c r="E7" s="12"/>
      <c r="I7" s="11" t="s">
        <v>26</v>
      </c>
      <c r="J7" s="11">
        <v>3</v>
      </c>
      <c r="K7" s="11">
        <v>3</v>
      </c>
      <c r="P7">
        <v>3</v>
      </c>
      <c r="Q7" t="str">
        <f t="shared" si="0"/>
        <v>103</v>
      </c>
      <c r="R7" s="59">
        <v>10</v>
      </c>
      <c r="S7" s="58">
        <v>1.5469999999999999E-2</v>
      </c>
      <c r="T7" s="57">
        <v>20.337060719071701</v>
      </c>
      <c r="U7" s="59">
        <v>3</v>
      </c>
      <c r="V7">
        <f t="shared" si="1"/>
        <v>9.3688817842784905E-2</v>
      </c>
    </row>
    <row r="8" spans="1:23" x14ac:dyDescent="0.35">
      <c r="A8" s="34"/>
      <c r="B8" s="35" t="s">
        <v>27</v>
      </c>
      <c r="C8" s="36" t="s">
        <v>21</v>
      </c>
      <c r="D8" s="5"/>
      <c r="E8" s="12"/>
      <c r="F8" s="11" t="s">
        <v>28</v>
      </c>
      <c r="G8" s="11" t="s">
        <v>29</v>
      </c>
      <c r="J8" s="11">
        <v>5</v>
      </c>
      <c r="K8" s="11">
        <v>5</v>
      </c>
      <c r="P8">
        <v>3</v>
      </c>
      <c r="Q8" t="str">
        <f t="shared" si="0"/>
        <v>113</v>
      </c>
      <c r="R8" s="59">
        <v>11</v>
      </c>
      <c r="S8" s="58">
        <v>1.5469999999999999E-2</v>
      </c>
      <c r="T8" s="57">
        <v>21.3184269997504</v>
      </c>
      <c r="U8" s="59">
        <v>3</v>
      </c>
      <c r="V8">
        <f t="shared" si="1"/>
        <v>0.10621471900074879</v>
      </c>
    </row>
    <row r="9" spans="1:23" x14ac:dyDescent="0.35">
      <c r="A9" s="34"/>
      <c r="B9" s="35" t="s">
        <v>30</v>
      </c>
      <c r="C9" s="36" t="s">
        <v>21</v>
      </c>
      <c r="D9" s="5"/>
      <c r="E9" s="12"/>
      <c r="F9" s="11">
        <f>COUNTIF($C$9:$C$11,"PWM")</f>
        <v>3</v>
      </c>
      <c r="G9" s="11">
        <f>COUNTIF($C$9:$C$11,"PWM")</f>
        <v>3</v>
      </c>
      <c r="J9" s="11">
        <v>10</v>
      </c>
      <c r="K9" s="11">
        <v>10</v>
      </c>
      <c r="P9">
        <v>3</v>
      </c>
      <c r="Q9" t="str">
        <f t="shared" si="0"/>
        <v>123</v>
      </c>
      <c r="R9" s="59">
        <v>12</v>
      </c>
      <c r="S9" s="58">
        <v>1.5469999999999999E-2</v>
      </c>
      <c r="T9" s="57">
        <v>22.350883489463001</v>
      </c>
      <c r="U9" s="59">
        <v>3</v>
      </c>
      <c r="V9">
        <f t="shared" si="1"/>
        <v>0.118587349531611</v>
      </c>
    </row>
    <row r="10" spans="1:23" x14ac:dyDescent="0.35">
      <c r="A10" s="34"/>
      <c r="B10" s="35" t="s">
        <v>31</v>
      </c>
      <c r="C10" s="36" t="s">
        <v>21</v>
      </c>
      <c r="D10" s="5"/>
      <c r="E10" s="12"/>
      <c r="J10" s="11">
        <v>15</v>
      </c>
      <c r="K10" s="11">
        <v>15</v>
      </c>
      <c r="P10">
        <v>3</v>
      </c>
      <c r="Q10" t="str">
        <f t="shared" si="0"/>
        <v>133</v>
      </c>
      <c r="R10" s="59">
        <v>13</v>
      </c>
      <c r="S10" s="58">
        <v>1.5469999999999999E-2</v>
      </c>
      <c r="T10" s="57">
        <v>23.3828173413076</v>
      </c>
      <c r="U10" s="59">
        <v>3</v>
      </c>
      <c r="V10">
        <f t="shared" si="1"/>
        <v>0.13096154797607718</v>
      </c>
    </row>
    <row r="11" spans="1:23" x14ac:dyDescent="0.35">
      <c r="A11" s="34"/>
      <c r="B11" s="35" t="s">
        <v>32</v>
      </c>
      <c r="C11" s="36" t="s">
        <v>21</v>
      </c>
      <c r="D11" s="5"/>
      <c r="E11" s="12"/>
      <c r="J11" s="11">
        <v>20</v>
      </c>
      <c r="K11" s="11">
        <v>20</v>
      </c>
      <c r="P11">
        <v>3</v>
      </c>
      <c r="Q11" t="str">
        <f t="shared" si="0"/>
        <v>143</v>
      </c>
      <c r="R11" s="59">
        <v>14</v>
      </c>
      <c r="S11" s="58">
        <v>1.5469999999999999E-2</v>
      </c>
      <c r="T11" s="57">
        <v>24.4169314534658</v>
      </c>
      <c r="U11" s="59">
        <v>3</v>
      </c>
      <c r="V11">
        <f t="shared" si="1"/>
        <v>0.14332920563960258</v>
      </c>
    </row>
    <row r="12" spans="1:23" x14ac:dyDescent="0.35">
      <c r="A12" s="34"/>
      <c r="B12" s="35" t="s">
        <v>33</v>
      </c>
      <c r="C12" s="36">
        <v>3</v>
      </c>
      <c r="D12" s="5" t="s">
        <v>34</v>
      </c>
      <c r="E12" s="12"/>
      <c r="J12" s="11">
        <v>25</v>
      </c>
      <c r="K12" s="11">
        <v>25</v>
      </c>
      <c r="P12">
        <v>3</v>
      </c>
      <c r="Q12" t="str">
        <f t="shared" si="0"/>
        <v>153</v>
      </c>
      <c r="R12" s="59">
        <v>15</v>
      </c>
      <c r="S12" s="58">
        <v>1.5469999999999999E-2</v>
      </c>
      <c r="T12" s="57">
        <v>25.3977824105277</v>
      </c>
      <c r="U12" s="59">
        <v>3</v>
      </c>
      <c r="V12">
        <f t="shared" si="1"/>
        <v>0.15585665276841687</v>
      </c>
    </row>
    <row r="13" spans="1:23" x14ac:dyDescent="0.35">
      <c r="A13" s="34"/>
      <c r="B13" s="37"/>
      <c r="C13" s="38"/>
      <c r="D13" s="5"/>
      <c r="E13" s="12"/>
      <c r="J13" s="11">
        <v>30</v>
      </c>
      <c r="K13" s="11">
        <v>30</v>
      </c>
      <c r="P13">
        <v>3</v>
      </c>
      <c r="Q13" t="str">
        <f t="shared" si="0"/>
        <v>163</v>
      </c>
      <c r="R13" s="59">
        <v>16</v>
      </c>
      <c r="S13" s="58">
        <v>1.5469999999999999E-2</v>
      </c>
      <c r="T13" s="57">
        <v>26.387469337833299</v>
      </c>
      <c r="U13" s="59">
        <v>3</v>
      </c>
      <c r="V13">
        <f t="shared" si="1"/>
        <v>0.16835759198650008</v>
      </c>
    </row>
    <row r="14" spans="1:23" hidden="1" x14ac:dyDescent="0.35">
      <c r="A14" s="34"/>
      <c r="B14" s="39" t="s">
        <v>35</v>
      </c>
      <c r="C14" s="38"/>
      <c r="D14" s="5"/>
      <c r="E14" s="15"/>
      <c r="P14">
        <v>3</v>
      </c>
      <c r="Q14" t="str">
        <f t="shared" si="0"/>
        <v>173</v>
      </c>
      <c r="R14" s="59">
        <v>17</v>
      </c>
      <c r="S14" s="58">
        <v>1.5469999999999999E-2</v>
      </c>
      <c r="T14" s="57">
        <v>27.360032161286099</v>
      </c>
      <c r="U14" s="59">
        <v>3</v>
      </c>
      <c r="V14">
        <f t="shared" si="1"/>
        <v>0.1809099035161417</v>
      </c>
    </row>
    <row r="15" spans="1:23" hidden="1" x14ac:dyDescent="0.35">
      <c r="A15" s="34"/>
      <c r="B15" s="40" t="s">
        <v>36</v>
      </c>
      <c r="C15" s="41">
        <f>VLOOKUP(CONCATENATE($C$3,$C$19),$Q$3:$V$127,4,FALSE)</f>
        <v>37.299999999999997</v>
      </c>
      <c r="D15" s="5" t="s">
        <v>14</v>
      </c>
      <c r="E15" s="15" t="s">
        <v>37</v>
      </c>
      <c r="P15">
        <v>3</v>
      </c>
      <c r="Q15" t="str">
        <f t="shared" si="0"/>
        <v>183</v>
      </c>
      <c r="R15" s="59">
        <v>18</v>
      </c>
      <c r="S15" s="58">
        <v>1.5469999999999999E-2</v>
      </c>
      <c r="T15" s="57">
        <v>28.3589178322277</v>
      </c>
      <c r="U15" s="59">
        <v>3</v>
      </c>
      <c r="V15">
        <f t="shared" si="1"/>
        <v>0.1933832465033169</v>
      </c>
    </row>
    <row r="16" spans="1:23" hidden="1" x14ac:dyDescent="0.35">
      <c r="A16" s="34"/>
      <c r="B16" s="40" t="s">
        <v>38</v>
      </c>
      <c r="C16" s="41">
        <f>C15-C3</f>
        <v>10.299999999999997</v>
      </c>
      <c r="D16" s="5" t="s">
        <v>14</v>
      </c>
      <c r="E16" s="15" t="s">
        <v>37</v>
      </c>
      <c r="P16"/>
      <c r="Q16" t="s">
        <v>39</v>
      </c>
      <c r="R16" s="59"/>
      <c r="S16" s="58"/>
      <c r="T16" s="57"/>
      <c r="U16" s="59"/>
      <c r="V16"/>
    </row>
    <row r="17" spans="1:22" hidden="1" x14ac:dyDescent="0.35">
      <c r="A17" s="34"/>
      <c r="B17" s="40" t="s">
        <v>40</v>
      </c>
      <c r="C17" s="42">
        <v>10.5</v>
      </c>
      <c r="D17" s="5" t="s">
        <v>14</v>
      </c>
      <c r="E17" s="15" t="s">
        <v>37</v>
      </c>
      <c r="P17">
        <v>5</v>
      </c>
      <c r="Q17" t="str">
        <f t="shared" ref="Q17:Q29" si="2">CONCATENATE(R17,U17)</f>
        <v>65</v>
      </c>
      <c r="R17" s="59">
        <v>6</v>
      </c>
      <c r="S17" s="58">
        <v>0.02</v>
      </c>
      <c r="T17" s="57">
        <v>15.428745739263499</v>
      </c>
      <c r="U17" s="59">
        <v>5</v>
      </c>
      <c r="V17">
        <f t="shared" ref="V17:V29" si="3">(R17*S17)-(T17*U17*10^-3)</f>
        <v>4.2856271303682497E-2</v>
      </c>
    </row>
    <row r="18" spans="1:22" ht="16.5" hidden="1" customHeight="1" x14ac:dyDescent="0.35">
      <c r="A18" s="34"/>
      <c r="B18" s="40" t="s">
        <v>41</v>
      </c>
      <c r="C18" s="42">
        <f>(($F$6+$F$9)*$E$4*$E$5)*10^3</f>
        <v>18.000000000000004</v>
      </c>
      <c r="D18" s="5" t="s">
        <v>42</v>
      </c>
      <c r="E18" s="12">
        <f>C18*10^-3</f>
        <v>1.8000000000000006E-2</v>
      </c>
      <c r="M18" s="16" t="s">
        <v>43</v>
      </c>
      <c r="P18">
        <v>5</v>
      </c>
      <c r="Q18" t="str">
        <f t="shared" si="2"/>
        <v>75</v>
      </c>
      <c r="R18" s="59">
        <v>7</v>
      </c>
      <c r="S18" s="58">
        <v>0.02</v>
      </c>
      <c r="T18" s="57">
        <v>17.295657352776502</v>
      </c>
      <c r="U18" s="59">
        <v>5</v>
      </c>
      <c r="V18">
        <f t="shared" si="3"/>
        <v>5.3521713236117499E-2</v>
      </c>
    </row>
    <row r="19" spans="1:22" hidden="1" x14ac:dyDescent="0.35">
      <c r="A19" s="34"/>
      <c r="B19" s="40" t="s">
        <v>44</v>
      </c>
      <c r="C19" s="42">
        <f>IF(C18&gt;$K$13,"no match",INDEX($K$6:$K$13,MATCH(MAX($K$6,C18),$K$6:$K$13)+ISNA(MATCH(MAX($K$6,C18),$K$6:$K$13,0))))</f>
        <v>20</v>
      </c>
      <c r="D19" s="5" t="s">
        <v>42</v>
      </c>
      <c r="E19" s="12"/>
      <c r="P19">
        <v>5</v>
      </c>
      <c r="Q19" t="str">
        <f t="shared" si="2"/>
        <v>85</v>
      </c>
      <c r="R19" s="59">
        <v>8</v>
      </c>
      <c r="S19" s="58">
        <v>2.266E-2</v>
      </c>
      <c r="T19" s="57">
        <v>18.290341638843</v>
      </c>
      <c r="U19" s="59">
        <v>5</v>
      </c>
      <c r="V19">
        <f t="shared" si="3"/>
        <v>8.9828291805784999E-2</v>
      </c>
    </row>
    <row r="20" spans="1:22" hidden="1" x14ac:dyDescent="0.35">
      <c r="A20" s="34"/>
      <c r="B20" s="40" t="s">
        <v>45</v>
      </c>
      <c r="C20" s="43">
        <f>VLOOKUP(CONCATENATE($C$3,$C$19),$Q$3:$V$126,3,FALSE)*1000</f>
        <v>59.832599999999999</v>
      </c>
      <c r="D20" s="5" t="s">
        <v>42</v>
      </c>
      <c r="E20" s="12"/>
      <c r="P20">
        <v>5</v>
      </c>
      <c r="Q20" t="str">
        <f t="shared" si="2"/>
        <v>95</v>
      </c>
      <c r="R20" s="59">
        <v>9</v>
      </c>
      <c r="S20" s="58">
        <v>2.1659999999999999E-2</v>
      </c>
      <c r="T20" s="57">
        <v>19.3142308912125</v>
      </c>
      <c r="U20" s="59">
        <v>5</v>
      </c>
      <c r="V20">
        <f t="shared" si="3"/>
        <v>9.8368845543937503E-2</v>
      </c>
    </row>
    <row r="21" spans="1:22" hidden="1" x14ac:dyDescent="0.35">
      <c r="A21" s="34"/>
      <c r="B21" s="40" t="s">
        <v>46</v>
      </c>
      <c r="C21" s="42">
        <f>(($F$6)*$E$4*$E$5)*10^3</f>
        <v>9.0000000000000018</v>
      </c>
      <c r="D21" s="5" t="s">
        <v>42</v>
      </c>
      <c r="E21" s="12">
        <f>C21*10^-3</f>
        <v>9.0000000000000028E-3</v>
      </c>
      <c r="P21">
        <v>5</v>
      </c>
      <c r="Q21" t="str">
        <f t="shared" si="2"/>
        <v>105</v>
      </c>
      <c r="R21" s="59">
        <v>10</v>
      </c>
      <c r="S21" s="58">
        <v>2.0969999999999999E-2</v>
      </c>
      <c r="T21" s="57">
        <v>20.337060719071701</v>
      </c>
      <c r="U21" s="59">
        <v>5</v>
      </c>
      <c r="V21">
        <f t="shared" si="3"/>
        <v>0.10801469640464149</v>
      </c>
    </row>
    <row r="22" spans="1:22" hidden="1" x14ac:dyDescent="0.35">
      <c r="A22" s="34"/>
      <c r="B22" s="40" t="s">
        <v>47</v>
      </c>
      <c r="C22" s="42">
        <f>(($G$6)*$E$4*$E$5)*10^3</f>
        <v>9.0000000000000018</v>
      </c>
      <c r="D22" s="5" t="s">
        <v>42</v>
      </c>
      <c r="E22" s="12"/>
      <c r="P22">
        <v>5</v>
      </c>
      <c r="Q22" t="str">
        <f t="shared" si="2"/>
        <v>115</v>
      </c>
      <c r="R22" s="59">
        <v>11</v>
      </c>
      <c r="S22" s="58">
        <v>2.0719999999999999E-2</v>
      </c>
      <c r="T22" s="57">
        <v>21.3184269997504</v>
      </c>
      <c r="U22" s="59">
        <v>5</v>
      </c>
      <c r="V22">
        <f t="shared" si="3"/>
        <v>0.12132786500124798</v>
      </c>
    </row>
    <row r="23" spans="1:22" hidden="1" x14ac:dyDescent="0.35">
      <c r="A23" s="34"/>
      <c r="B23" s="40" t="s">
        <v>48</v>
      </c>
      <c r="C23" s="42">
        <f>(($F$9)*$E$4*$E$5)*10^3</f>
        <v>9.0000000000000018</v>
      </c>
      <c r="D23" s="5" t="s">
        <v>42</v>
      </c>
      <c r="E23" s="12">
        <f>C23*10^-3</f>
        <v>9.0000000000000028E-3</v>
      </c>
      <c r="O23" s="15"/>
      <c r="P23">
        <v>5</v>
      </c>
      <c r="Q23" t="str">
        <f t="shared" si="2"/>
        <v>125</v>
      </c>
      <c r="R23" s="59">
        <v>12</v>
      </c>
      <c r="S23" s="58">
        <v>2.0629999999999999E-2</v>
      </c>
      <c r="T23" s="57">
        <v>22.350883489463001</v>
      </c>
      <c r="U23" s="59">
        <v>5</v>
      </c>
      <c r="V23">
        <f t="shared" si="3"/>
        <v>0.13580558255268499</v>
      </c>
    </row>
    <row r="24" spans="1:22" hidden="1" x14ac:dyDescent="0.35">
      <c r="A24" s="34"/>
      <c r="B24" s="40" t="s">
        <v>49</v>
      </c>
      <c r="C24" s="42">
        <f>(($G$9)*$E$4*$E$5)*10^3</f>
        <v>9.0000000000000018</v>
      </c>
      <c r="D24" s="5" t="s">
        <v>42</v>
      </c>
      <c r="E24" s="15"/>
      <c r="P24">
        <v>5</v>
      </c>
      <c r="Q24" t="str">
        <f t="shared" si="2"/>
        <v>135</v>
      </c>
      <c r="R24" s="59">
        <v>13</v>
      </c>
      <c r="S24" s="58">
        <v>2.0570000000000001E-2</v>
      </c>
      <c r="T24" s="57">
        <v>23.3828173413076</v>
      </c>
      <c r="U24" s="59">
        <v>5</v>
      </c>
      <c r="V24">
        <f t="shared" si="3"/>
        <v>0.15049591329346201</v>
      </c>
    </row>
    <row r="25" spans="1:22" x14ac:dyDescent="0.35">
      <c r="A25" s="34"/>
      <c r="B25" s="40" t="s">
        <v>50</v>
      </c>
      <c r="C25" s="36">
        <v>10</v>
      </c>
      <c r="D25" s="5" t="s">
        <v>51</v>
      </c>
      <c r="E25" s="12">
        <f>C25/100</f>
        <v>0.1</v>
      </c>
      <c r="P25">
        <v>5</v>
      </c>
      <c r="Q25" t="str">
        <f t="shared" si="2"/>
        <v>145</v>
      </c>
      <c r="R25" s="59">
        <v>14</v>
      </c>
      <c r="S25" s="58">
        <v>2.0320000000000001E-2</v>
      </c>
      <c r="T25" s="57">
        <v>24.4169314534658</v>
      </c>
      <c r="U25" s="59">
        <v>5</v>
      </c>
      <c r="V25">
        <f t="shared" si="3"/>
        <v>0.16239534273267103</v>
      </c>
    </row>
    <row r="26" spans="1:22" hidden="1" x14ac:dyDescent="0.35">
      <c r="A26" s="34"/>
      <c r="B26" s="38"/>
      <c r="C26" s="38"/>
      <c r="D26" s="5"/>
      <c r="E26" s="15"/>
      <c r="P26">
        <v>5</v>
      </c>
      <c r="Q26" t="str">
        <f t="shared" si="2"/>
        <v>155</v>
      </c>
      <c r="R26" s="59">
        <v>15</v>
      </c>
      <c r="S26" s="58">
        <v>2.0379999999999999E-2</v>
      </c>
      <c r="T26" s="57">
        <v>25.3977824105277</v>
      </c>
      <c r="U26" s="59">
        <v>5</v>
      </c>
      <c r="V26">
        <f t="shared" si="3"/>
        <v>0.17871108794736149</v>
      </c>
    </row>
    <row r="27" spans="1:22" hidden="1" x14ac:dyDescent="0.35">
      <c r="A27" s="34"/>
      <c r="B27" s="39" t="s">
        <v>52</v>
      </c>
      <c r="C27" s="38"/>
      <c r="D27" s="5"/>
      <c r="E27" s="15"/>
      <c r="P27">
        <v>5</v>
      </c>
      <c r="Q27" t="str">
        <f t="shared" si="2"/>
        <v>165</v>
      </c>
      <c r="R27" s="59">
        <v>16</v>
      </c>
      <c r="S27" s="58">
        <v>2.0410000000000001E-2</v>
      </c>
      <c r="T27" s="57">
        <v>26.387469337833299</v>
      </c>
      <c r="U27" s="59">
        <v>5</v>
      </c>
      <c r="V27">
        <f t="shared" si="3"/>
        <v>0.1946226533108335</v>
      </c>
    </row>
    <row r="28" spans="1:22" hidden="1" x14ac:dyDescent="0.35">
      <c r="A28" s="34"/>
      <c r="B28" s="44"/>
      <c r="C28" s="15"/>
      <c r="E28" s="12"/>
      <c r="P28">
        <v>5</v>
      </c>
      <c r="Q28" t="str">
        <f t="shared" si="2"/>
        <v>175</v>
      </c>
      <c r="R28" s="59">
        <v>17</v>
      </c>
      <c r="S28" s="58">
        <v>2.0469999999999999E-2</v>
      </c>
      <c r="T28" s="57">
        <v>27.360032161286099</v>
      </c>
      <c r="U28" s="59">
        <v>5</v>
      </c>
      <c r="V28">
        <f t="shared" si="3"/>
        <v>0.21118983919356948</v>
      </c>
    </row>
    <row r="29" spans="1:22" hidden="1" x14ac:dyDescent="0.35">
      <c r="A29" s="34"/>
      <c r="B29" s="40" t="s">
        <v>53</v>
      </c>
      <c r="C29" s="42">
        <v>3.7</v>
      </c>
      <c r="D29" s="5" t="s">
        <v>42</v>
      </c>
      <c r="E29" s="12">
        <f>C29*10^-3</f>
        <v>3.7000000000000002E-3</v>
      </c>
      <c r="P29">
        <v>5</v>
      </c>
      <c r="Q29" t="str">
        <f t="shared" si="2"/>
        <v>185</v>
      </c>
      <c r="R29" s="59">
        <v>18</v>
      </c>
      <c r="S29" s="58">
        <v>2.0469999999999999E-2</v>
      </c>
      <c r="T29" s="57">
        <v>28.3589178322277</v>
      </c>
      <c r="U29" s="59">
        <v>5</v>
      </c>
      <c r="V29">
        <f t="shared" si="3"/>
        <v>0.22666541083886144</v>
      </c>
    </row>
    <row r="30" spans="1:22" hidden="1" x14ac:dyDescent="0.35">
      <c r="A30" s="45"/>
      <c r="B30" s="40" t="s">
        <v>54</v>
      </c>
      <c r="C30" s="42">
        <v>5.0999999999999996</v>
      </c>
      <c r="D30" s="5" t="s">
        <v>42</v>
      </c>
      <c r="E30" s="12">
        <f>C30*10^-3</f>
        <v>5.0999999999999995E-3</v>
      </c>
      <c r="P30"/>
      <c r="Q30" t="s">
        <v>39</v>
      </c>
      <c r="R30" s="59"/>
      <c r="S30" s="58"/>
      <c r="T30" s="57"/>
      <c r="U30" s="59"/>
      <c r="V30"/>
    </row>
    <row r="31" spans="1:22" x14ac:dyDescent="0.35">
      <c r="A31" s="34"/>
      <c r="B31" s="46"/>
      <c r="C31" s="46"/>
      <c r="D31" s="7"/>
      <c r="E31" s="12"/>
      <c r="P31">
        <v>10</v>
      </c>
      <c r="Q31" t="str">
        <f t="shared" ref="Q31:Q43" si="4">CONCATENATE(R31,U31)</f>
        <v>610</v>
      </c>
      <c r="R31" s="59">
        <v>6</v>
      </c>
      <c r="S31" s="58">
        <v>4.8295248367905899E-2</v>
      </c>
      <c r="T31" s="57">
        <v>15.428745739263499</v>
      </c>
      <c r="U31" s="59">
        <v>10</v>
      </c>
      <c r="V31">
        <f t="shared" ref="V31:V43" si="5">(R31*S31)-(T31*U31*10^-3)</f>
        <v>0.13548403281480043</v>
      </c>
    </row>
    <row r="32" spans="1:22" x14ac:dyDescent="0.35">
      <c r="A32" s="34"/>
      <c r="B32" s="47" t="s">
        <v>55</v>
      </c>
      <c r="C32" s="48">
        <v>3.3</v>
      </c>
      <c r="D32" s="4" t="s">
        <v>14</v>
      </c>
      <c r="E32" s="12">
        <f>C33*10^-3</f>
        <v>4.0999999999999995E-3</v>
      </c>
      <c r="P32">
        <v>10</v>
      </c>
      <c r="Q32" t="str">
        <f t="shared" si="4"/>
        <v>710</v>
      </c>
      <c r="R32" s="59">
        <v>7</v>
      </c>
      <c r="S32" s="58">
        <v>5.0259999999999999E-2</v>
      </c>
      <c r="T32" s="57">
        <v>17.295657352776502</v>
      </c>
      <c r="U32" s="59">
        <v>10</v>
      </c>
      <c r="V32">
        <f t="shared" si="5"/>
        <v>0.17886342647223499</v>
      </c>
    </row>
    <row r="33" spans="1:22" hidden="1" x14ac:dyDescent="0.35">
      <c r="A33" s="34"/>
      <c r="B33" s="40" t="s">
        <v>56</v>
      </c>
      <c r="C33" s="42">
        <v>4.0999999999999996</v>
      </c>
      <c r="D33" s="4" t="s">
        <v>42</v>
      </c>
      <c r="E33" s="15"/>
      <c r="P33">
        <v>10</v>
      </c>
      <c r="Q33" t="str">
        <f t="shared" si="4"/>
        <v>810</v>
      </c>
      <c r="R33" s="59">
        <v>8</v>
      </c>
      <c r="S33" s="58">
        <f>S19*2</f>
        <v>4.5319999999999999E-2</v>
      </c>
      <c r="T33" s="57">
        <v>18.290341638843</v>
      </c>
      <c r="U33" s="59">
        <v>10</v>
      </c>
      <c r="V33">
        <f t="shared" si="5"/>
        <v>0.17965658361157</v>
      </c>
    </row>
    <row r="34" spans="1:22" x14ac:dyDescent="0.35">
      <c r="A34" s="34"/>
      <c r="B34" s="34"/>
      <c r="C34" s="34"/>
      <c r="D34" s="4"/>
      <c r="E34" s="15"/>
      <c r="P34">
        <v>10</v>
      </c>
      <c r="Q34" t="str">
        <f t="shared" si="4"/>
        <v>910</v>
      </c>
      <c r="R34" s="59">
        <v>9</v>
      </c>
      <c r="S34" s="58">
        <f t="shared" ref="S34:S43" si="6">S20*2</f>
        <v>4.3319999999999997E-2</v>
      </c>
      <c r="T34" s="57">
        <v>19.3142308912125</v>
      </c>
      <c r="U34" s="59">
        <v>10</v>
      </c>
      <c r="V34">
        <f t="shared" si="5"/>
        <v>0.19673769108787501</v>
      </c>
    </row>
    <row r="35" spans="1:22" x14ac:dyDescent="0.35">
      <c r="A35" s="37"/>
      <c r="B35" s="37"/>
      <c r="C35" s="37"/>
      <c r="D35" s="6"/>
      <c r="E35" s="15"/>
      <c r="P35">
        <v>10</v>
      </c>
      <c r="Q35" t="str">
        <f t="shared" si="4"/>
        <v>1010</v>
      </c>
      <c r="R35" s="59">
        <v>10</v>
      </c>
      <c r="S35" s="58">
        <f t="shared" si="6"/>
        <v>4.1939999999999998E-2</v>
      </c>
      <c r="T35" s="57">
        <v>20.337060719071701</v>
      </c>
      <c r="U35" s="59">
        <v>10</v>
      </c>
      <c r="V35">
        <f t="shared" si="5"/>
        <v>0.21602939280928299</v>
      </c>
    </row>
    <row r="36" spans="1:22" ht="15" thickBot="1" x14ac:dyDescent="0.4">
      <c r="A36" s="37"/>
      <c r="B36" s="37"/>
      <c r="C36" s="37"/>
      <c r="D36" s="6"/>
      <c r="E36" s="15"/>
      <c r="P36">
        <v>10</v>
      </c>
      <c r="Q36" t="str">
        <f t="shared" si="4"/>
        <v>1110</v>
      </c>
      <c r="R36" s="59">
        <v>11</v>
      </c>
      <c r="S36" s="58">
        <f t="shared" si="6"/>
        <v>4.1439999999999998E-2</v>
      </c>
      <c r="T36" s="57">
        <v>21.3184269997504</v>
      </c>
      <c r="U36" s="59">
        <v>10</v>
      </c>
      <c r="V36">
        <f t="shared" si="5"/>
        <v>0.24265573000249596</v>
      </c>
    </row>
    <row r="37" spans="1:22" ht="15.5" x14ac:dyDescent="0.35">
      <c r="A37" s="49"/>
      <c r="B37" s="50" t="s">
        <v>57</v>
      </c>
      <c r="C37" s="50" t="s">
        <v>58</v>
      </c>
      <c r="D37" s="8"/>
      <c r="E37" s="10"/>
      <c r="H37" s="17"/>
      <c r="I37" s="18" t="s">
        <v>59</v>
      </c>
      <c r="J37" s="19" t="s">
        <v>60</v>
      </c>
      <c r="K37" s="20" t="s">
        <v>61</v>
      </c>
      <c r="L37" s="20" t="s">
        <v>62</v>
      </c>
      <c r="M37" s="20" t="s">
        <v>63</v>
      </c>
      <c r="N37" s="21" t="s">
        <v>64</v>
      </c>
      <c r="P37">
        <v>10</v>
      </c>
      <c r="Q37" t="str">
        <f t="shared" si="4"/>
        <v>1210</v>
      </c>
      <c r="R37" s="59">
        <v>12</v>
      </c>
      <c r="S37" s="58">
        <f t="shared" si="6"/>
        <v>4.1259999999999998E-2</v>
      </c>
      <c r="T37" s="57">
        <v>22.350883489463001</v>
      </c>
      <c r="U37" s="59">
        <v>10</v>
      </c>
      <c r="V37">
        <f t="shared" si="5"/>
        <v>0.27161116510536998</v>
      </c>
    </row>
    <row r="38" spans="1:22" x14ac:dyDescent="0.35">
      <c r="A38" s="24"/>
      <c r="B38" s="24"/>
      <c r="C38" s="24"/>
      <c r="D38" s="2"/>
      <c r="E38" s="15"/>
      <c r="H38" s="22" t="s">
        <v>65</v>
      </c>
      <c r="I38" s="23" t="s">
        <v>66</v>
      </c>
      <c r="J38" s="23">
        <v>0</v>
      </c>
      <c r="K38" s="24">
        <v>0</v>
      </c>
      <c r="L38" s="24" t="s">
        <v>67</v>
      </c>
      <c r="M38" s="24">
        <v>1</v>
      </c>
      <c r="N38" s="25">
        <v>1</v>
      </c>
      <c r="P38">
        <v>10</v>
      </c>
      <c r="Q38" t="str">
        <f t="shared" si="4"/>
        <v>1310</v>
      </c>
      <c r="R38" s="59">
        <v>13</v>
      </c>
      <c r="S38" s="58">
        <f t="shared" si="6"/>
        <v>4.1140000000000003E-2</v>
      </c>
      <c r="T38" s="57">
        <v>23.3828173413076</v>
      </c>
      <c r="U38" s="59">
        <v>10</v>
      </c>
      <c r="V38">
        <f t="shared" si="5"/>
        <v>0.30099182658692403</v>
      </c>
    </row>
    <row r="39" spans="1:22" hidden="1" x14ac:dyDescent="0.35">
      <c r="A39" s="51" t="s">
        <v>68</v>
      </c>
      <c r="B39" s="52"/>
      <c r="C39" s="24"/>
      <c r="D39" s="2"/>
      <c r="E39" s="15"/>
      <c r="H39" s="22" t="s">
        <v>69</v>
      </c>
      <c r="I39" s="23">
        <v>1</v>
      </c>
      <c r="J39" s="23">
        <v>1</v>
      </c>
      <c r="K39" s="24" t="s">
        <v>67</v>
      </c>
      <c r="L39" s="24">
        <v>0</v>
      </c>
      <c r="M39" s="24">
        <v>0</v>
      </c>
      <c r="N39" s="25" t="s">
        <v>67</v>
      </c>
      <c r="P39">
        <v>10</v>
      </c>
      <c r="Q39" t="str">
        <f t="shared" si="4"/>
        <v>1410</v>
      </c>
      <c r="R39" s="59">
        <v>14</v>
      </c>
      <c r="S39" s="58">
        <f t="shared" si="6"/>
        <v>4.0640000000000003E-2</v>
      </c>
      <c r="T39" s="57">
        <v>24.4169314534658</v>
      </c>
      <c r="U39" s="59">
        <v>10</v>
      </c>
      <c r="V39">
        <f t="shared" si="5"/>
        <v>0.32479068546534207</v>
      </c>
    </row>
    <row r="40" spans="1:22" hidden="1" x14ac:dyDescent="0.35">
      <c r="A40" s="24" t="s">
        <v>70</v>
      </c>
      <c r="B40" s="43">
        <f>0.5*($C$21*$C$16)+0.5*($C$16*$C$22)</f>
        <v>92.699999999999989</v>
      </c>
      <c r="C40" s="42">
        <f>$C$21+$C$22</f>
        <v>18.000000000000004</v>
      </c>
      <c r="D40" s="2"/>
      <c r="E40" s="15"/>
      <c r="H40" s="22" t="s">
        <v>71</v>
      </c>
      <c r="I40" s="23">
        <v>1</v>
      </c>
      <c r="J40" s="23" t="s">
        <v>67</v>
      </c>
      <c r="K40" s="24">
        <v>1</v>
      </c>
      <c r="L40" s="24">
        <v>1</v>
      </c>
      <c r="M40" s="24" t="s">
        <v>67</v>
      </c>
      <c r="N40" s="25">
        <v>0</v>
      </c>
      <c r="P40">
        <v>10</v>
      </c>
      <c r="Q40" t="str">
        <f t="shared" si="4"/>
        <v>1510</v>
      </c>
      <c r="R40" s="59">
        <v>15</v>
      </c>
      <c r="S40" s="58">
        <f t="shared" si="6"/>
        <v>4.0759999999999998E-2</v>
      </c>
      <c r="T40" s="57">
        <v>25.3977824105277</v>
      </c>
      <c r="U40" s="59">
        <v>10</v>
      </c>
      <c r="V40">
        <f t="shared" si="5"/>
        <v>0.35742217589472297</v>
      </c>
    </row>
    <row r="41" spans="1:22" hidden="1" x14ac:dyDescent="0.35">
      <c r="A41" s="24" t="s">
        <v>72</v>
      </c>
      <c r="B41" s="43">
        <f>0.5*($C$23*$C$17)+0.5*($C$17*$C$24)</f>
        <v>94.500000000000014</v>
      </c>
      <c r="C41" s="42">
        <f>$C$23+$C$24</f>
        <v>18.000000000000004</v>
      </c>
      <c r="D41" s="2"/>
      <c r="E41" s="15"/>
      <c r="H41" s="22" t="s">
        <v>23</v>
      </c>
      <c r="I41" s="23" t="s">
        <v>26</v>
      </c>
      <c r="J41" s="23" t="s">
        <v>73</v>
      </c>
      <c r="K41" s="26"/>
      <c r="L41" s="26"/>
      <c r="M41" s="26"/>
      <c r="N41" s="27"/>
      <c r="P41">
        <v>10</v>
      </c>
      <c r="Q41" t="str">
        <f t="shared" si="4"/>
        <v>1610</v>
      </c>
      <c r="R41" s="59">
        <v>16</v>
      </c>
      <c r="S41" s="58">
        <f t="shared" si="6"/>
        <v>4.0820000000000002E-2</v>
      </c>
      <c r="T41" s="57">
        <v>26.387469337833299</v>
      </c>
      <c r="U41" s="59">
        <v>10</v>
      </c>
      <c r="V41">
        <f t="shared" si="5"/>
        <v>0.38924530662166701</v>
      </c>
    </row>
    <row r="42" spans="1:22" hidden="1" x14ac:dyDescent="0.35">
      <c r="A42" s="24" t="s">
        <v>74</v>
      </c>
      <c r="B42" s="53">
        <f>(B40+B41)*E25</f>
        <v>18.72</v>
      </c>
      <c r="C42" s="42">
        <f>($C$40+$C$41)*E25</f>
        <v>3.600000000000001</v>
      </c>
      <c r="D42" s="2"/>
      <c r="E42" s="15"/>
      <c r="H42" s="22" t="s">
        <v>25</v>
      </c>
      <c r="I42" s="23" t="s">
        <v>21</v>
      </c>
      <c r="J42" s="23" t="s">
        <v>75</v>
      </c>
      <c r="K42" s="26"/>
      <c r="L42" s="26"/>
      <c r="M42" s="26"/>
      <c r="N42" s="27"/>
      <c r="P42">
        <v>10</v>
      </c>
      <c r="Q42" t="str">
        <f t="shared" si="4"/>
        <v>1710</v>
      </c>
      <c r="R42" s="59">
        <v>17</v>
      </c>
      <c r="S42" s="58">
        <f t="shared" si="6"/>
        <v>4.0939999999999997E-2</v>
      </c>
      <c r="T42" s="57">
        <v>27.360032161286099</v>
      </c>
      <c r="U42" s="59">
        <v>10</v>
      </c>
      <c r="V42">
        <f t="shared" si="5"/>
        <v>0.42237967838713897</v>
      </c>
    </row>
    <row r="43" spans="1:22" hidden="1" x14ac:dyDescent="0.35">
      <c r="A43" s="24"/>
      <c r="B43" s="24"/>
      <c r="C43" s="24"/>
      <c r="D43" s="2"/>
      <c r="E43" s="15"/>
      <c r="H43" s="22" t="s">
        <v>27</v>
      </c>
      <c r="I43" s="23" t="s">
        <v>21</v>
      </c>
      <c r="J43" s="23" t="s">
        <v>73</v>
      </c>
      <c r="K43" s="26"/>
      <c r="L43" s="26"/>
      <c r="M43" s="26"/>
      <c r="N43" s="27"/>
      <c r="P43">
        <v>10</v>
      </c>
      <c r="Q43" t="str">
        <f t="shared" si="4"/>
        <v>1810</v>
      </c>
      <c r="R43" s="59">
        <v>18</v>
      </c>
      <c r="S43" s="58">
        <f t="shared" si="6"/>
        <v>4.0939999999999997E-2</v>
      </c>
      <c r="T43" s="57">
        <v>28.3589178322277</v>
      </c>
      <c r="U43" s="59">
        <v>10</v>
      </c>
      <c r="V43">
        <f t="shared" si="5"/>
        <v>0.45333082167772287</v>
      </c>
    </row>
    <row r="44" spans="1:22" hidden="1" x14ac:dyDescent="0.35">
      <c r="A44" s="51" t="s">
        <v>76</v>
      </c>
      <c r="B44" s="43">
        <f>VLOOKUP(CONCATENATE($C$3,$C$19),$Q$3:$V$126,6,FALSE)*1000</f>
        <v>869.48019999999997</v>
      </c>
      <c r="C44" s="43">
        <f>$C$20</f>
        <v>59.832599999999999</v>
      </c>
      <c r="D44" s="2"/>
      <c r="E44" s="15"/>
      <c r="H44" s="22" t="s">
        <v>30</v>
      </c>
      <c r="I44" s="23" t="s">
        <v>24</v>
      </c>
      <c r="J44" s="23" t="s">
        <v>75</v>
      </c>
      <c r="K44" s="26"/>
      <c r="L44" s="26"/>
      <c r="M44" s="26"/>
      <c r="N44" s="27"/>
      <c r="P44"/>
      <c r="Q44" t="s">
        <v>39</v>
      </c>
      <c r="R44" s="59"/>
      <c r="S44" s="58"/>
      <c r="T44" s="57"/>
      <c r="U44" s="59"/>
      <c r="V44"/>
    </row>
    <row r="45" spans="1:22" hidden="1" x14ac:dyDescent="0.35">
      <c r="A45" s="51" t="s">
        <v>77</v>
      </c>
      <c r="B45" s="43">
        <f>($C$15-$C$17)*$C$23</f>
        <v>241.20000000000002</v>
      </c>
      <c r="C45" s="42"/>
      <c r="D45" s="2"/>
      <c r="E45" s="15"/>
      <c r="H45" s="22" t="s">
        <v>31</v>
      </c>
      <c r="I45" s="23" t="s">
        <v>78</v>
      </c>
      <c r="J45" s="23" t="s">
        <v>73</v>
      </c>
      <c r="K45" s="26"/>
      <c r="L45" s="26"/>
      <c r="M45" s="26"/>
      <c r="N45" s="27"/>
      <c r="P45">
        <v>15</v>
      </c>
      <c r="Q45" t="str">
        <f t="shared" ref="Q45:Q66" si="7">CONCATENATE(R45,U45)</f>
        <v>615</v>
      </c>
      <c r="R45" s="59">
        <v>6</v>
      </c>
      <c r="S45" s="58">
        <f>(S31/U31)*U45</f>
        <v>7.2442872551858856E-2</v>
      </c>
      <c r="T45" s="57">
        <v>15.428745739263499</v>
      </c>
      <c r="U45" s="59">
        <v>15</v>
      </c>
      <c r="V45">
        <f t="shared" ref="V45:V66" si="8">(R45*S45)-(T45*U45*10^-3)</f>
        <v>0.20322604922220064</v>
      </c>
    </row>
    <row r="46" spans="1:22" ht="15" hidden="1" thickBot="1" x14ac:dyDescent="0.4">
      <c r="A46" s="24"/>
      <c r="B46" s="43"/>
      <c r="C46" s="42"/>
      <c r="D46" s="2"/>
      <c r="E46" s="15"/>
      <c r="H46" s="28" t="s">
        <v>32</v>
      </c>
      <c r="I46" s="29" t="s">
        <v>78</v>
      </c>
      <c r="J46" s="29" t="s">
        <v>79</v>
      </c>
      <c r="K46" s="30"/>
      <c r="L46" s="30"/>
      <c r="M46" s="30"/>
      <c r="N46" s="31"/>
      <c r="P46">
        <v>15</v>
      </c>
      <c r="Q46" t="str">
        <f t="shared" si="7"/>
        <v>715</v>
      </c>
      <c r="R46" s="59">
        <v>7</v>
      </c>
      <c r="S46" s="58">
        <f>(S32/U32)*U46</f>
        <v>7.5389999999999999E-2</v>
      </c>
      <c r="T46" s="57">
        <v>17.295657352776502</v>
      </c>
      <c r="U46" s="59">
        <v>15</v>
      </c>
      <c r="V46">
        <f t="shared" si="8"/>
        <v>0.2682951397083525</v>
      </c>
    </row>
    <row r="47" spans="1:22" hidden="1" x14ac:dyDescent="0.35">
      <c r="A47" s="51" t="s">
        <v>52</v>
      </c>
      <c r="B47" s="43">
        <f>C3*(E29+E30)*1000</f>
        <v>237.59999999999997</v>
      </c>
      <c r="C47" s="42">
        <f>$C$29+$C$30</f>
        <v>8.8000000000000007</v>
      </c>
      <c r="D47" s="2"/>
      <c r="E47" s="15"/>
      <c r="P47">
        <v>15</v>
      </c>
      <c r="Q47" t="str">
        <f t="shared" si="7"/>
        <v>815</v>
      </c>
      <c r="R47" s="59">
        <v>8</v>
      </c>
      <c r="S47" s="58">
        <f t="shared" ref="S47:S57" si="9">S116/2</f>
        <v>6.6250000000000003E-2</v>
      </c>
      <c r="T47" s="57">
        <v>18.290341638843</v>
      </c>
      <c r="U47" s="59">
        <v>15</v>
      </c>
      <c r="V47">
        <f t="shared" si="8"/>
        <v>0.25564487541735503</v>
      </c>
    </row>
    <row r="48" spans="1:22" hidden="1" x14ac:dyDescent="0.35">
      <c r="A48" s="24"/>
      <c r="B48" s="42"/>
      <c r="C48" s="42"/>
      <c r="D48" s="2"/>
      <c r="E48" s="15"/>
      <c r="P48">
        <v>15</v>
      </c>
      <c r="Q48" t="str">
        <f t="shared" si="7"/>
        <v>915</v>
      </c>
      <c r="R48" s="59">
        <v>9</v>
      </c>
      <c r="S48" s="58">
        <f t="shared" si="9"/>
        <v>6.3149999999999998E-2</v>
      </c>
      <c r="T48" s="57">
        <v>19.3142308912125</v>
      </c>
      <c r="U48" s="59">
        <v>15</v>
      </c>
      <c r="V48">
        <f t="shared" si="8"/>
        <v>0.27863653663181254</v>
      </c>
    </row>
    <row r="49" spans="1:22" hidden="1" x14ac:dyDescent="0.35">
      <c r="A49" s="51" t="s">
        <v>80</v>
      </c>
      <c r="B49" s="43">
        <f>(C3-C32)*C33</f>
        <v>97.169999999999987</v>
      </c>
      <c r="C49" s="42">
        <f>$C$33</f>
        <v>4.0999999999999996</v>
      </c>
      <c r="D49" s="2"/>
      <c r="E49" s="15"/>
      <c r="P49">
        <v>15</v>
      </c>
      <c r="Q49" t="str">
        <f t="shared" si="7"/>
        <v>1015</v>
      </c>
      <c r="R49" s="59">
        <v>10</v>
      </c>
      <c r="S49" s="58">
        <f t="shared" si="9"/>
        <v>6.1449999999999998E-2</v>
      </c>
      <c r="T49" s="57">
        <v>20.337060719071701</v>
      </c>
      <c r="U49" s="59">
        <v>15</v>
      </c>
      <c r="V49">
        <f t="shared" si="8"/>
        <v>0.30944408921392441</v>
      </c>
    </row>
    <row r="50" spans="1:22" ht="15.5" x14ac:dyDescent="0.35">
      <c r="A50" s="50" t="s">
        <v>81</v>
      </c>
      <c r="B50" s="54">
        <f>SUM(B39:B49)</f>
        <v>1651.3702000000001</v>
      </c>
      <c r="C50" s="54">
        <f>SUM(C44:C49)</f>
        <v>72.732599999999991</v>
      </c>
      <c r="D50" s="9"/>
      <c r="E50" s="15"/>
      <c r="P50">
        <v>15</v>
      </c>
      <c r="Q50" t="str">
        <f t="shared" si="7"/>
        <v>1115</v>
      </c>
      <c r="R50" s="59">
        <v>11</v>
      </c>
      <c r="S50" s="58">
        <f t="shared" si="9"/>
        <v>6.08E-2</v>
      </c>
      <c r="T50" s="57">
        <v>21.3184269997504</v>
      </c>
      <c r="U50" s="59">
        <v>15</v>
      </c>
      <c r="V50">
        <f t="shared" si="8"/>
        <v>0.34902359500374391</v>
      </c>
    </row>
    <row r="51" spans="1:22" x14ac:dyDescent="0.35">
      <c r="P51">
        <v>15</v>
      </c>
      <c r="Q51" t="str">
        <f t="shared" si="7"/>
        <v>1215</v>
      </c>
      <c r="R51" s="59">
        <v>12</v>
      </c>
      <c r="S51" s="58">
        <f t="shared" si="9"/>
        <v>6.0499999999999998E-2</v>
      </c>
      <c r="T51" s="57">
        <v>22.350883489463001</v>
      </c>
      <c r="U51" s="59">
        <v>15</v>
      </c>
      <c r="V51">
        <f t="shared" si="8"/>
        <v>0.39073674765805494</v>
      </c>
    </row>
    <row r="52" spans="1:22" x14ac:dyDescent="0.35">
      <c r="P52">
        <v>15</v>
      </c>
      <c r="Q52" t="str">
        <f t="shared" si="7"/>
        <v>1315</v>
      </c>
      <c r="R52" s="59">
        <v>13</v>
      </c>
      <c r="S52" s="58">
        <f t="shared" si="9"/>
        <v>6.0199999999999997E-2</v>
      </c>
      <c r="T52" s="57">
        <v>23.3828173413076</v>
      </c>
      <c r="U52" s="59">
        <v>15</v>
      </c>
      <c r="V52">
        <f t="shared" si="8"/>
        <v>0.43185773988038595</v>
      </c>
    </row>
    <row r="53" spans="1:22" x14ac:dyDescent="0.35">
      <c r="P53">
        <v>15</v>
      </c>
      <c r="Q53" t="str">
        <f t="shared" si="7"/>
        <v>1415</v>
      </c>
      <c r="R53" s="59">
        <v>14</v>
      </c>
      <c r="S53" s="58">
        <f t="shared" si="9"/>
        <v>5.9950000000000003E-2</v>
      </c>
      <c r="T53" s="57">
        <v>24.4169314534658</v>
      </c>
      <c r="U53" s="59">
        <v>15</v>
      </c>
      <c r="V53">
        <f t="shared" si="8"/>
        <v>0.47304602819801306</v>
      </c>
    </row>
    <row r="54" spans="1:22" x14ac:dyDescent="0.35">
      <c r="P54">
        <v>15</v>
      </c>
      <c r="Q54" t="str">
        <f t="shared" si="7"/>
        <v>1515</v>
      </c>
      <c r="R54" s="59">
        <v>15</v>
      </c>
      <c r="S54" s="58">
        <f t="shared" si="9"/>
        <v>5.9650000000000002E-2</v>
      </c>
      <c r="T54" s="57">
        <v>25.3977824105277</v>
      </c>
      <c r="U54" s="59">
        <v>15</v>
      </c>
      <c r="V54">
        <f t="shared" si="8"/>
        <v>0.5137832638420845</v>
      </c>
    </row>
    <row r="55" spans="1:22" x14ac:dyDescent="0.35">
      <c r="P55">
        <v>15</v>
      </c>
      <c r="Q55" t="str">
        <f t="shared" si="7"/>
        <v>1615</v>
      </c>
      <c r="R55" s="59">
        <v>16</v>
      </c>
      <c r="S55" s="58">
        <f t="shared" si="9"/>
        <v>5.9450000000000003E-2</v>
      </c>
      <c r="T55" s="57">
        <v>26.387469337833299</v>
      </c>
      <c r="U55" s="59">
        <v>15</v>
      </c>
      <c r="V55">
        <f t="shared" si="8"/>
        <v>0.55538795993250056</v>
      </c>
    </row>
    <row r="56" spans="1:22" x14ac:dyDescent="0.35">
      <c r="P56">
        <v>15</v>
      </c>
      <c r="Q56" t="str">
        <f t="shared" si="7"/>
        <v>1715</v>
      </c>
      <c r="R56" s="59">
        <v>17</v>
      </c>
      <c r="S56" s="58">
        <f t="shared" si="9"/>
        <v>5.9700000000000003E-2</v>
      </c>
      <c r="T56" s="57">
        <v>27.360032161286099</v>
      </c>
      <c r="U56" s="59">
        <v>15</v>
      </c>
      <c r="V56">
        <f t="shared" si="8"/>
        <v>0.60449951758070863</v>
      </c>
    </row>
    <row r="57" spans="1:22" x14ac:dyDescent="0.35">
      <c r="P57">
        <v>15</v>
      </c>
      <c r="Q57" t="str">
        <f t="shared" si="7"/>
        <v>1815</v>
      </c>
      <c r="R57" s="59">
        <v>18</v>
      </c>
      <c r="S57" s="58">
        <f t="shared" si="9"/>
        <v>5.985E-2</v>
      </c>
      <c r="T57" s="57">
        <v>28.3589178322277</v>
      </c>
      <c r="U57" s="59">
        <v>15</v>
      </c>
      <c r="V57">
        <f t="shared" si="8"/>
        <v>0.65191623251658437</v>
      </c>
    </row>
    <row r="58" spans="1:22" x14ac:dyDescent="0.35">
      <c r="P58">
        <v>15</v>
      </c>
      <c r="Q58" t="str">
        <f t="shared" si="7"/>
        <v>1915</v>
      </c>
      <c r="R58" s="55">
        <v>19</v>
      </c>
      <c r="S58" s="58">
        <v>4.8800000000000003E-2</v>
      </c>
      <c r="T58" s="57">
        <f>R58+10.3</f>
        <v>29.3</v>
      </c>
      <c r="U58" s="55">
        <v>15</v>
      </c>
      <c r="V58">
        <f t="shared" si="8"/>
        <v>0.48770000000000002</v>
      </c>
    </row>
    <row r="59" spans="1:22" x14ac:dyDescent="0.35">
      <c r="P59">
        <v>15</v>
      </c>
      <c r="Q59" t="str">
        <f t="shared" si="7"/>
        <v>2015</v>
      </c>
      <c r="R59" s="55">
        <v>20</v>
      </c>
      <c r="S59" s="58">
        <v>4.8570000000000002E-2</v>
      </c>
      <c r="T59" s="57">
        <f t="shared" ref="T59:T66" si="10">R59+10.3</f>
        <v>30.3</v>
      </c>
      <c r="U59" s="55">
        <v>15</v>
      </c>
      <c r="V59">
        <f t="shared" si="8"/>
        <v>0.51690000000000003</v>
      </c>
    </row>
    <row r="60" spans="1:22" x14ac:dyDescent="0.35">
      <c r="P60">
        <v>15</v>
      </c>
      <c r="Q60" t="str">
        <f t="shared" si="7"/>
        <v>2115</v>
      </c>
      <c r="R60" s="55">
        <v>21</v>
      </c>
      <c r="S60" s="58">
        <v>4.8509999999999998E-2</v>
      </c>
      <c r="T60" s="57">
        <f t="shared" si="10"/>
        <v>31.3</v>
      </c>
      <c r="U60" s="55">
        <v>15</v>
      </c>
      <c r="V60">
        <f t="shared" si="8"/>
        <v>0.54920999999999998</v>
      </c>
    </row>
    <row r="61" spans="1:22" x14ac:dyDescent="0.35">
      <c r="P61">
        <v>15</v>
      </c>
      <c r="Q61" t="str">
        <f t="shared" si="7"/>
        <v>2215</v>
      </c>
      <c r="R61" s="55">
        <v>22</v>
      </c>
      <c r="S61" s="58">
        <v>4.8328999999999997E-2</v>
      </c>
      <c r="T61" s="57">
        <f t="shared" si="10"/>
        <v>32.299999999999997</v>
      </c>
      <c r="U61" s="55">
        <v>15</v>
      </c>
      <c r="V61">
        <f t="shared" si="8"/>
        <v>0.57873799999999997</v>
      </c>
    </row>
    <row r="62" spans="1:22" x14ac:dyDescent="0.35">
      <c r="P62">
        <v>15</v>
      </c>
      <c r="Q62" t="str">
        <f t="shared" si="7"/>
        <v>2315</v>
      </c>
      <c r="R62" s="55">
        <v>23</v>
      </c>
      <c r="S62" s="58">
        <v>4.8169900000000002E-2</v>
      </c>
      <c r="T62" s="57">
        <f t="shared" si="10"/>
        <v>33.299999999999997</v>
      </c>
      <c r="U62" s="55">
        <v>15</v>
      </c>
      <c r="V62">
        <f t="shared" si="8"/>
        <v>0.6084077</v>
      </c>
    </row>
    <row r="63" spans="1:22" x14ac:dyDescent="0.35">
      <c r="P63">
        <v>15</v>
      </c>
      <c r="Q63" t="str">
        <f t="shared" si="7"/>
        <v>2415</v>
      </c>
      <c r="R63" s="55">
        <v>24</v>
      </c>
      <c r="S63" s="58">
        <v>4.8101999999999999E-2</v>
      </c>
      <c r="T63" s="57">
        <f t="shared" si="10"/>
        <v>34.299999999999997</v>
      </c>
      <c r="U63" s="55">
        <v>15</v>
      </c>
      <c r="V63">
        <f t="shared" si="8"/>
        <v>0.63994799999999996</v>
      </c>
    </row>
    <row r="64" spans="1:22" x14ac:dyDescent="0.35">
      <c r="P64">
        <v>15</v>
      </c>
      <c r="Q64" t="str">
        <f t="shared" si="7"/>
        <v>2515</v>
      </c>
      <c r="R64" s="55">
        <v>25</v>
      </c>
      <c r="S64" s="58">
        <v>4.7716700000000001E-2</v>
      </c>
      <c r="T64" s="57">
        <f t="shared" si="10"/>
        <v>35.299999999999997</v>
      </c>
      <c r="U64" s="55">
        <v>15</v>
      </c>
      <c r="V64">
        <f t="shared" si="8"/>
        <v>0.6634175000000001</v>
      </c>
    </row>
    <row r="65" spans="16:22" x14ac:dyDescent="0.35">
      <c r="P65">
        <v>15</v>
      </c>
      <c r="Q65" t="str">
        <f t="shared" si="7"/>
        <v>2615</v>
      </c>
      <c r="R65" s="55">
        <v>26</v>
      </c>
      <c r="S65" s="58">
        <v>4.8043700000000002E-2</v>
      </c>
      <c r="T65" s="57">
        <f t="shared" si="10"/>
        <v>36.299999999999997</v>
      </c>
      <c r="U65" s="55">
        <v>15</v>
      </c>
      <c r="V65">
        <f t="shared" si="8"/>
        <v>0.70463620000000016</v>
      </c>
    </row>
    <row r="66" spans="16:22" x14ac:dyDescent="0.35">
      <c r="P66">
        <v>15</v>
      </c>
      <c r="Q66" t="str">
        <f t="shared" si="7"/>
        <v>2715</v>
      </c>
      <c r="R66" s="55">
        <v>27</v>
      </c>
      <c r="S66" s="58">
        <v>4.8044299999999998E-2</v>
      </c>
      <c r="T66" s="57">
        <f t="shared" si="10"/>
        <v>37.299999999999997</v>
      </c>
      <c r="U66" s="55">
        <v>15</v>
      </c>
      <c r="V66">
        <f t="shared" si="8"/>
        <v>0.73769609999999985</v>
      </c>
    </row>
    <row r="67" spans="16:22" x14ac:dyDescent="0.35">
      <c r="P67"/>
      <c r="Q67"/>
      <c r="R67" s="59"/>
      <c r="S67" s="58"/>
      <c r="T67" s="57"/>
      <c r="U67" s="59"/>
      <c r="V67"/>
    </row>
    <row r="68" spans="16:22" x14ac:dyDescent="0.35">
      <c r="P68">
        <v>20</v>
      </c>
      <c r="Q68" t="str">
        <f t="shared" ref="Q68:Q89" si="11">CONCATENATE(R68,U68)</f>
        <v>620</v>
      </c>
      <c r="R68" s="59">
        <v>6</v>
      </c>
      <c r="S68" s="58">
        <f t="shared" ref="S68:S80" si="12">S114-S31</f>
        <v>9.6590496735811812E-2</v>
      </c>
      <c r="T68" s="57">
        <v>15.428745739263499</v>
      </c>
      <c r="U68" s="59">
        <v>20</v>
      </c>
      <c r="V68">
        <f t="shared" ref="V68:V89" si="13">(R68*S68)-(T68*U68*10^-3)</f>
        <v>0.27096806562960085</v>
      </c>
    </row>
    <row r="69" spans="16:22" x14ac:dyDescent="0.35">
      <c r="P69">
        <v>20</v>
      </c>
      <c r="Q69" t="str">
        <f t="shared" si="11"/>
        <v>720</v>
      </c>
      <c r="R69" s="59">
        <v>7</v>
      </c>
      <c r="S69" s="58">
        <f t="shared" si="12"/>
        <v>0.10052</v>
      </c>
      <c r="T69" s="57">
        <v>17.295657352776502</v>
      </c>
      <c r="U69" s="59">
        <v>20</v>
      </c>
      <c r="V69">
        <f t="shared" si="13"/>
        <v>0.35772685294446999</v>
      </c>
    </row>
    <row r="70" spans="16:22" x14ac:dyDescent="0.35">
      <c r="P70">
        <v>20</v>
      </c>
      <c r="Q70" t="str">
        <f t="shared" si="11"/>
        <v>820</v>
      </c>
      <c r="R70" s="59">
        <v>8</v>
      </c>
      <c r="S70" s="58">
        <f t="shared" si="12"/>
        <v>8.7180000000000007E-2</v>
      </c>
      <c r="T70" s="57">
        <v>18.2838724842772</v>
      </c>
      <c r="U70" s="59">
        <v>20</v>
      </c>
      <c r="V70">
        <f t="shared" si="13"/>
        <v>0.33176255031445606</v>
      </c>
    </row>
    <row r="71" spans="16:22" x14ac:dyDescent="0.35">
      <c r="P71">
        <v>20</v>
      </c>
      <c r="Q71" t="str">
        <f t="shared" si="11"/>
        <v>920</v>
      </c>
      <c r="R71" s="59">
        <v>9</v>
      </c>
      <c r="S71" s="58">
        <f t="shared" si="12"/>
        <v>8.2979999999999998E-2</v>
      </c>
      <c r="T71" s="57">
        <v>19.291123826874799</v>
      </c>
      <c r="U71" s="59">
        <v>20</v>
      </c>
      <c r="V71">
        <f t="shared" si="13"/>
        <v>0.36099752346250408</v>
      </c>
    </row>
    <row r="72" spans="16:22" x14ac:dyDescent="0.35">
      <c r="P72">
        <v>20</v>
      </c>
      <c r="Q72" t="str">
        <f t="shared" si="11"/>
        <v>1020</v>
      </c>
      <c r="R72" s="59">
        <v>10</v>
      </c>
      <c r="S72" s="58">
        <f t="shared" si="12"/>
        <v>8.0960000000000004E-2</v>
      </c>
      <c r="T72" s="57">
        <v>20.3229919832924</v>
      </c>
      <c r="U72" s="59">
        <v>20</v>
      </c>
      <c r="V72">
        <f t="shared" si="13"/>
        <v>0.40314016033415212</v>
      </c>
    </row>
    <row r="73" spans="16:22" x14ac:dyDescent="0.35">
      <c r="P73">
        <v>20</v>
      </c>
      <c r="Q73" t="str">
        <f t="shared" si="11"/>
        <v>1120</v>
      </c>
      <c r="R73" s="59">
        <v>11</v>
      </c>
      <c r="S73" s="58">
        <f t="shared" si="12"/>
        <v>8.0160000000000009E-2</v>
      </c>
      <c r="T73" s="57">
        <v>21.332772554121501</v>
      </c>
      <c r="U73" s="59">
        <v>20</v>
      </c>
      <c r="V73">
        <f t="shared" si="13"/>
        <v>0.45510454891757007</v>
      </c>
    </row>
    <row r="74" spans="16:22" x14ac:dyDescent="0.35">
      <c r="P74">
        <v>20</v>
      </c>
      <c r="Q74" t="str">
        <f t="shared" si="11"/>
        <v>1220</v>
      </c>
      <c r="R74" s="59">
        <v>12</v>
      </c>
      <c r="S74" s="58">
        <f t="shared" si="12"/>
        <v>7.9740000000000005E-2</v>
      </c>
      <c r="T74" s="57">
        <v>22.340230874620701</v>
      </c>
      <c r="U74" s="59">
        <v>20</v>
      </c>
      <c r="V74">
        <f t="shared" si="13"/>
        <v>0.51007538250758611</v>
      </c>
    </row>
    <row r="75" spans="16:22" x14ac:dyDescent="0.35">
      <c r="P75">
        <v>20</v>
      </c>
      <c r="Q75" t="str">
        <f t="shared" si="11"/>
        <v>1320</v>
      </c>
      <c r="R75" s="59">
        <v>13</v>
      </c>
      <c r="S75" s="58">
        <f t="shared" si="12"/>
        <v>7.9259999999999997E-2</v>
      </c>
      <c r="T75" s="57">
        <v>23.358841693063901</v>
      </c>
      <c r="U75" s="59">
        <v>20</v>
      </c>
      <c r="V75">
        <f t="shared" si="13"/>
        <v>0.56320316613872201</v>
      </c>
    </row>
    <row r="76" spans="16:22" x14ac:dyDescent="0.35">
      <c r="P76">
        <v>20</v>
      </c>
      <c r="Q76" t="str">
        <f t="shared" si="11"/>
        <v>1420</v>
      </c>
      <c r="R76" s="59">
        <v>14</v>
      </c>
      <c r="S76" s="58">
        <f t="shared" si="12"/>
        <v>7.9259999999999997E-2</v>
      </c>
      <c r="T76" s="57">
        <v>24.337700715551499</v>
      </c>
      <c r="U76" s="59">
        <v>20</v>
      </c>
      <c r="V76">
        <f t="shared" si="13"/>
        <v>0.62288598568896991</v>
      </c>
    </row>
    <row r="77" spans="16:22" x14ac:dyDescent="0.35">
      <c r="P77">
        <v>20</v>
      </c>
      <c r="Q77" t="str">
        <f t="shared" si="11"/>
        <v>1520</v>
      </c>
      <c r="R77" s="59">
        <v>15</v>
      </c>
      <c r="S77" s="58">
        <f t="shared" si="12"/>
        <v>7.8539999999999999E-2</v>
      </c>
      <c r="T77" s="57">
        <v>25.395730920905699</v>
      </c>
      <c r="U77" s="59">
        <v>20</v>
      </c>
      <c r="V77">
        <f t="shared" si="13"/>
        <v>0.67018538158188601</v>
      </c>
    </row>
    <row r="78" spans="16:22" x14ac:dyDescent="0.35">
      <c r="P78">
        <v>20</v>
      </c>
      <c r="Q78" t="str">
        <f t="shared" si="11"/>
        <v>1620</v>
      </c>
      <c r="R78" s="59">
        <v>16</v>
      </c>
      <c r="S78" s="58">
        <f t="shared" si="12"/>
        <v>7.8080000000000011E-2</v>
      </c>
      <c r="T78" s="57">
        <v>26.410480734089301</v>
      </c>
      <c r="U78" s="59">
        <v>20</v>
      </c>
      <c r="V78">
        <f t="shared" si="13"/>
        <v>0.72107038531821421</v>
      </c>
    </row>
    <row r="79" spans="16:22" x14ac:dyDescent="0.35">
      <c r="P79">
        <v>20</v>
      </c>
      <c r="Q79" t="str">
        <f t="shared" si="11"/>
        <v>1720</v>
      </c>
      <c r="R79" s="59">
        <v>17</v>
      </c>
      <c r="S79" s="58">
        <f t="shared" si="12"/>
        <v>7.8460000000000002E-2</v>
      </c>
      <c r="T79" s="57">
        <v>27.4261856465534</v>
      </c>
      <c r="U79" s="59">
        <v>20</v>
      </c>
      <c r="V79">
        <f t="shared" si="13"/>
        <v>0.78529628706893206</v>
      </c>
    </row>
    <row r="80" spans="16:22" x14ac:dyDescent="0.35">
      <c r="P80">
        <v>20</v>
      </c>
      <c r="Q80" t="str">
        <f t="shared" si="11"/>
        <v>1820</v>
      </c>
      <c r="R80" s="59">
        <v>18</v>
      </c>
      <c r="S80" s="58">
        <f t="shared" si="12"/>
        <v>7.8759999999999997E-2</v>
      </c>
      <c r="T80" s="57">
        <v>28.338284708564402</v>
      </c>
      <c r="U80" s="59">
        <v>20</v>
      </c>
      <c r="V80">
        <f t="shared" si="13"/>
        <v>0.85091430582871175</v>
      </c>
    </row>
    <row r="81" spans="16:22" x14ac:dyDescent="0.35">
      <c r="P81">
        <v>20</v>
      </c>
      <c r="Q81" t="str">
        <f t="shared" si="11"/>
        <v>1920</v>
      </c>
      <c r="R81" s="59">
        <v>19</v>
      </c>
      <c r="S81" s="58">
        <f>(S104+S58)/2</f>
        <v>6.0985049999999999E-2</v>
      </c>
      <c r="T81" s="57">
        <f>R81+10.3</f>
        <v>29.3</v>
      </c>
      <c r="U81" s="59">
        <v>20</v>
      </c>
      <c r="V81">
        <f t="shared" si="13"/>
        <v>0.57271594999999997</v>
      </c>
    </row>
    <row r="82" spans="16:22" x14ac:dyDescent="0.35">
      <c r="P82">
        <v>20</v>
      </c>
      <c r="Q82" t="str">
        <f t="shared" si="11"/>
        <v>2020</v>
      </c>
      <c r="R82" s="59">
        <v>20</v>
      </c>
      <c r="S82" s="58">
        <f t="shared" ref="S82:S89" si="14">(S105+S59)/2</f>
        <v>6.0652400000000002E-2</v>
      </c>
      <c r="T82" s="57">
        <f t="shared" ref="T82:T89" si="15">R82+10.3</f>
        <v>30.3</v>
      </c>
      <c r="U82" s="59">
        <v>20</v>
      </c>
      <c r="V82">
        <f t="shared" si="13"/>
        <v>0.60704800000000014</v>
      </c>
    </row>
    <row r="83" spans="16:22" x14ac:dyDescent="0.35">
      <c r="P83">
        <v>20</v>
      </c>
      <c r="Q83" t="str">
        <f t="shared" si="11"/>
        <v>2120</v>
      </c>
      <c r="R83" s="59">
        <v>21</v>
      </c>
      <c r="S83" s="58">
        <f t="shared" si="14"/>
        <v>6.0495699999999999E-2</v>
      </c>
      <c r="T83" s="57">
        <f t="shared" si="15"/>
        <v>31.3</v>
      </c>
      <c r="U83" s="59">
        <v>20</v>
      </c>
      <c r="V83">
        <f t="shared" si="13"/>
        <v>0.64440970000000009</v>
      </c>
    </row>
    <row r="84" spans="16:22" x14ac:dyDescent="0.35">
      <c r="P84">
        <v>20</v>
      </c>
      <c r="Q84" t="str">
        <f t="shared" si="11"/>
        <v>2220</v>
      </c>
      <c r="R84" s="59">
        <v>22</v>
      </c>
      <c r="S84" s="58">
        <f t="shared" si="14"/>
        <v>6.0274049999999996E-2</v>
      </c>
      <c r="T84" s="57">
        <f t="shared" si="15"/>
        <v>32.299999999999997</v>
      </c>
      <c r="U84" s="59">
        <v>20</v>
      </c>
      <c r="V84">
        <f t="shared" si="13"/>
        <v>0.68002909999999994</v>
      </c>
    </row>
    <row r="85" spans="16:22" x14ac:dyDescent="0.35">
      <c r="P85">
        <v>20</v>
      </c>
      <c r="Q85" t="str">
        <f t="shared" si="11"/>
        <v>2320</v>
      </c>
      <c r="R85" s="59">
        <v>23</v>
      </c>
      <c r="S85" s="58">
        <f t="shared" si="14"/>
        <v>6.0121800000000003E-2</v>
      </c>
      <c r="T85" s="57">
        <f t="shared" si="15"/>
        <v>33.299999999999997</v>
      </c>
      <c r="U85" s="59">
        <v>20</v>
      </c>
      <c r="V85">
        <f t="shared" si="13"/>
        <v>0.71680139999999992</v>
      </c>
    </row>
    <row r="86" spans="16:22" x14ac:dyDescent="0.35">
      <c r="P86">
        <v>20</v>
      </c>
      <c r="Q86" t="str">
        <f t="shared" si="11"/>
        <v>2420</v>
      </c>
      <c r="R86" s="59">
        <v>24</v>
      </c>
      <c r="S86" s="58">
        <f t="shared" si="14"/>
        <v>5.9992450000000003E-2</v>
      </c>
      <c r="T86" s="57">
        <f t="shared" si="15"/>
        <v>34.299999999999997</v>
      </c>
      <c r="U86" s="59">
        <v>20</v>
      </c>
      <c r="V86">
        <f t="shared" si="13"/>
        <v>0.75381880000000001</v>
      </c>
    </row>
    <row r="87" spans="16:22" x14ac:dyDescent="0.35">
      <c r="P87">
        <v>20</v>
      </c>
      <c r="Q87" t="str">
        <f t="shared" si="11"/>
        <v>2520</v>
      </c>
      <c r="R87" s="59">
        <v>25</v>
      </c>
      <c r="S87" s="58">
        <f t="shared" si="14"/>
        <v>5.9494400000000003E-2</v>
      </c>
      <c r="T87" s="57">
        <f t="shared" si="15"/>
        <v>35.299999999999997</v>
      </c>
      <c r="U87" s="59">
        <v>20</v>
      </c>
      <c r="V87">
        <f t="shared" si="13"/>
        <v>0.78136000000000005</v>
      </c>
    </row>
    <row r="88" spans="16:22" x14ac:dyDescent="0.35">
      <c r="P88">
        <v>20</v>
      </c>
      <c r="Q88" t="str">
        <f t="shared" si="11"/>
        <v>2620</v>
      </c>
      <c r="R88" s="59">
        <v>26</v>
      </c>
      <c r="S88" s="58">
        <f t="shared" si="14"/>
        <v>5.9889800000000007E-2</v>
      </c>
      <c r="T88" s="57">
        <f t="shared" si="15"/>
        <v>36.299999999999997</v>
      </c>
      <c r="U88" s="59">
        <v>20</v>
      </c>
      <c r="V88">
        <f t="shared" si="13"/>
        <v>0.83113480000000028</v>
      </c>
    </row>
    <row r="89" spans="16:22" x14ac:dyDescent="0.35">
      <c r="P89">
        <v>20</v>
      </c>
      <c r="Q89" t="str">
        <f t="shared" si="11"/>
        <v>2720</v>
      </c>
      <c r="R89" s="59">
        <v>27</v>
      </c>
      <c r="S89" s="58">
        <f t="shared" si="14"/>
        <v>5.98326E-2</v>
      </c>
      <c r="T89" s="57">
        <f t="shared" si="15"/>
        <v>37.299999999999997</v>
      </c>
      <c r="U89" s="59">
        <v>20</v>
      </c>
      <c r="V89">
        <f t="shared" si="13"/>
        <v>0.86948019999999993</v>
      </c>
    </row>
    <row r="90" spans="16:22" x14ac:dyDescent="0.35">
      <c r="P90"/>
      <c r="Q90"/>
      <c r="R90" s="59"/>
      <c r="S90" s="58"/>
      <c r="T90" s="57"/>
      <c r="U90" s="59"/>
      <c r="V90"/>
    </row>
    <row r="91" spans="16:22" x14ac:dyDescent="0.35">
      <c r="P91">
        <v>25</v>
      </c>
      <c r="Q91" t="str">
        <f t="shared" ref="Q91:Q112" si="16">CONCATENATE(R91,U91)</f>
        <v>625</v>
      </c>
      <c r="R91" s="59">
        <v>6</v>
      </c>
      <c r="S91" s="58">
        <f t="shared" ref="S91:S103" si="17">(S68+S114)/2</f>
        <v>0.12073812091976477</v>
      </c>
      <c r="T91" s="57">
        <v>15.428745739263499</v>
      </c>
      <c r="U91" s="59">
        <v>25</v>
      </c>
      <c r="V91">
        <f t="shared" ref="V91:V112" si="18">(R91*S91)-(T91*U91*10^-3)</f>
        <v>0.33871008203700109</v>
      </c>
    </row>
    <row r="92" spans="16:22" x14ac:dyDescent="0.35">
      <c r="P92">
        <v>25</v>
      </c>
      <c r="Q92" t="str">
        <f t="shared" si="16"/>
        <v>725</v>
      </c>
      <c r="R92" s="59">
        <v>7</v>
      </c>
      <c r="S92" s="58">
        <f t="shared" si="17"/>
        <v>0.12564999999999998</v>
      </c>
      <c r="T92" s="57">
        <v>17.295657352776502</v>
      </c>
      <c r="U92" s="59">
        <v>25</v>
      </c>
      <c r="V92">
        <f t="shared" si="18"/>
        <v>0.44715856618058725</v>
      </c>
    </row>
    <row r="93" spans="16:22" x14ac:dyDescent="0.35">
      <c r="P93">
        <v>25</v>
      </c>
      <c r="Q93" t="str">
        <f t="shared" si="16"/>
        <v>825</v>
      </c>
      <c r="R93" s="59">
        <v>8</v>
      </c>
      <c r="S93" s="58">
        <f t="shared" si="17"/>
        <v>0.10984000000000001</v>
      </c>
      <c r="T93" s="57">
        <v>18.2838724842772</v>
      </c>
      <c r="U93" s="59">
        <v>25</v>
      </c>
      <c r="V93">
        <f t="shared" si="18"/>
        <v>0.42162318789307002</v>
      </c>
    </row>
    <row r="94" spans="16:22" x14ac:dyDescent="0.35">
      <c r="P94">
        <v>25</v>
      </c>
      <c r="Q94" t="str">
        <f t="shared" si="16"/>
        <v>925</v>
      </c>
      <c r="R94" s="59">
        <v>9</v>
      </c>
      <c r="S94" s="58">
        <f t="shared" si="17"/>
        <v>0.10464</v>
      </c>
      <c r="T94" s="57">
        <v>19.291123826874799</v>
      </c>
      <c r="U94" s="59">
        <v>25</v>
      </c>
      <c r="V94">
        <f t="shared" si="18"/>
        <v>0.45948190432812996</v>
      </c>
    </row>
    <row r="95" spans="16:22" x14ac:dyDescent="0.35">
      <c r="P95">
        <v>25</v>
      </c>
      <c r="Q95" t="str">
        <f t="shared" si="16"/>
        <v>1025</v>
      </c>
      <c r="R95" s="59">
        <v>10</v>
      </c>
      <c r="S95" s="58">
        <f t="shared" si="17"/>
        <v>0.10192999999999999</v>
      </c>
      <c r="T95" s="57">
        <v>20.3229919832924</v>
      </c>
      <c r="U95" s="59">
        <v>25</v>
      </c>
      <c r="V95">
        <f t="shared" si="18"/>
        <v>0.51122520041768982</v>
      </c>
    </row>
    <row r="96" spans="16:22" x14ac:dyDescent="0.35">
      <c r="P96">
        <v>25</v>
      </c>
      <c r="Q96" t="str">
        <f t="shared" si="16"/>
        <v>1125</v>
      </c>
      <c r="R96" s="59">
        <v>11</v>
      </c>
      <c r="S96" s="58">
        <f t="shared" si="17"/>
        <v>0.10088</v>
      </c>
      <c r="T96" s="57">
        <v>21.332772554121501</v>
      </c>
      <c r="U96" s="59">
        <v>25</v>
      </c>
      <c r="V96">
        <f t="shared" si="18"/>
        <v>0.57636068614696245</v>
      </c>
    </row>
    <row r="97" spans="16:22" x14ac:dyDescent="0.35">
      <c r="P97">
        <v>25</v>
      </c>
      <c r="Q97" t="str">
        <f t="shared" si="16"/>
        <v>1225</v>
      </c>
      <c r="R97" s="59">
        <v>12</v>
      </c>
      <c r="S97" s="58">
        <f t="shared" si="17"/>
        <v>0.10037</v>
      </c>
      <c r="T97" s="57">
        <v>22.340230874620701</v>
      </c>
      <c r="U97" s="59">
        <v>25</v>
      </c>
      <c r="V97">
        <f t="shared" si="18"/>
        <v>0.64593422813448242</v>
      </c>
    </row>
    <row r="98" spans="16:22" x14ac:dyDescent="0.35">
      <c r="P98">
        <v>25</v>
      </c>
      <c r="Q98" t="str">
        <f t="shared" si="16"/>
        <v>1325</v>
      </c>
      <c r="R98" s="59">
        <v>13</v>
      </c>
      <c r="S98" s="58">
        <f t="shared" si="17"/>
        <v>9.9830000000000002E-2</v>
      </c>
      <c r="T98" s="57">
        <v>23.358841693063901</v>
      </c>
      <c r="U98" s="59">
        <v>25</v>
      </c>
      <c r="V98">
        <f t="shared" si="18"/>
        <v>0.71381895767340242</v>
      </c>
    </row>
    <row r="99" spans="16:22" x14ac:dyDescent="0.35">
      <c r="P99">
        <v>25</v>
      </c>
      <c r="Q99" t="str">
        <f t="shared" si="16"/>
        <v>1425</v>
      </c>
      <c r="R99" s="59">
        <v>14</v>
      </c>
      <c r="S99" s="58">
        <f t="shared" si="17"/>
        <v>9.9580000000000002E-2</v>
      </c>
      <c r="T99" s="57">
        <v>24.337700715551499</v>
      </c>
      <c r="U99" s="59">
        <v>25</v>
      </c>
      <c r="V99">
        <f t="shared" si="18"/>
        <v>0.78567748211121247</v>
      </c>
    </row>
    <row r="100" spans="16:22" x14ac:dyDescent="0.35">
      <c r="P100">
        <v>25</v>
      </c>
      <c r="Q100" t="str">
        <f t="shared" si="16"/>
        <v>1525</v>
      </c>
      <c r="R100" s="59">
        <v>15</v>
      </c>
      <c r="S100" s="58">
        <f t="shared" si="17"/>
        <v>9.8920000000000008E-2</v>
      </c>
      <c r="T100" s="57">
        <v>25.395730920905699</v>
      </c>
      <c r="U100" s="59">
        <v>25</v>
      </c>
      <c r="V100">
        <f t="shared" si="18"/>
        <v>0.84890672697735758</v>
      </c>
    </row>
    <row r="101" spans="16:22" x14ac:dyDescent="0.35">
      <c r="P101">
        <v>25</v>
      </c>
      <c r="Q101" t="str">
        <f t="shared" si="16"/>
        <v>1625</v>
      </c>
      <c r="R101" s="59">
        <v>16</v>
      </c>
      <c r="S101" s="58">
        <f t="shared" si="17"/>
        <v>9.8490000000000008E-2</v>
      </c>
      <c r="T101" s="57">
        <v>26.410480734089301</v>
      </c>
      <c r="U101" s="59">
        <v>25</v>
      </c>
      <c r="V101">
        <f t="shared" si="18"/>
        <v>0.9155779816477676</v>
      </c>
    </row>
    <row r="102" spans="16:22" x14ac:dyDescent="0.35">
      <c r="P102">
        <v>25</v>
      </c>
      <c r="Q102" t="str">
        <f t="shared" si="16"/>
        <v>1725</v>
      </c>
      <c r="R102" s="59">
        <v>17</v>
      </c>
      <c r="S102" s="58">
        <f t="shared" si="17"/>
        <v>9.8930000000000004E-2</v>
      </c>
      <c r="T102" s="57">
        <v>27.4261856465534</v>
      </c>
      <c r="U102" s="59">
        <v>25</v>
      </c>
      <c r="V102">
        <f t="shared" si="18"/>
        <v>0.99615535883616502</v>
      </c>
    </row>
    <row r="103" spans="16:22" x14ac:dyDescent="0.35">
      <c r="P103">
        <v>25</v>
      </c>
      <c r="Q103" t="str">
        <f t="shared" si="16"/>
        <v>1825</v>
      </c>
      <c r="R103" s="59">
        <v>18</v>
      </c>
      <c r="S103" s="58">
        <f t="shared" si="17"/>
        <v>9.9229999999999999E-2</v>
      </c>
      <c r="T103" s="57">
        <v>28.338284708564402</v>
      </c>
      <c r="U103" s="59">
        <v>25</v>
      </c>
      <c r="V103">
        <f t="shared" si="18"/>
        <v>1.0776828822858899</v>
      </c>
    </row>
    <row r="104" spans="16:22" x14ac:dyDescent="0.35">
      <c r="P104">
        <v>25</v>
      </c>
      <c r="Q104" t="str">
        <f t="shared" si="16"/>
        <v>1925</v>
      </c>
      <c r="R104" s="59">
        <v>19</v>
      </c>
      <c r="S104" s="58">
        <v>7.3170100000000002E-2</v>
      </c>
      <c r="T104" s="57">
        <f>R104+10.3</f>
        <v>29.3</v>
      </c>
      <c r="U104" s="59">
        <v>25</v>
      </c>
      <c r="V104">
        <f t="shared" si="18"/>
        <v>0.65773190000000004</v>
      </c>
    </row>
    <row r="105" spans="16:22" x14ac:dyDescent="0.35">
      <c r="P105">
        <v>25</v>
      </c>
      <c r="Q105" t="str">
        <f t="shared" si="16"/>
        <v>2025</v>
      </c>
      <c r="R105" s="59">
        <v>20</v>
      </c>
      <c r="S105" s="58">
        <v>7.2734800000000002E-2</v>
      </c>
      <c r="T105" s="57">
        <f t="shared" ref="T105:T112" si="19">R105+10.3</f>
        <v>30.3</v>
      </c>
      <c r="U105" s="59">
        <v>25</v>
      </c>
      <c r="V105">
        <f t="shared" si="18"/>
        <v>0.69719599999999993</v>
      </c>
    </row>
    <row r="106" spans="16:22" x14ac:dyDescent="0.35">
      <c r="P106">
        <v>25</v>
      </c>
      <c r="Q106" t="str">
        <f t="shared" si="16"/>
        <v>2125</v>
      </c>
      <c r="R106" s="59">
        <v>21</v>
      </c>
      <c r="S106" s="58">
        <v>7.2481400000000001E-2</v>
      </c>
      <c r="T106" s="57">
        <f t="shared" si="19"/>
        <v>31.3</v>
      </c>
      <c r="U106" s="59">
        <v>25</v>
      </c>
      <c r="V106">
        <f t="shared" si="18"/>
        <v>0.73960939999999997</v>
      </c>
    </row>
    <row r="107" spans="16:22" x14ac:dyDescent="0.35">
      <c r="P107">
        <v>25</v>
      </c>
      <c r="Q107" t="str">
        <f t="shared" si="16"/>
        <v>2225</v>
      </c>
      <c r="R107" s="59">
        <v>22</v>
      </c>
      <c r="S107" s="58">
        <v>7.2219099999999994E-2</v>
      </c>
      <c r="T107" s="57">
        <f t="shared" si="19"/>
        <v>32.299999999999997</v>
      </c>
      <c r="U107" s="59">
        <v>25</v>
      </c>
      <c r="V107">
        <f t="shared" si="18"/>
        <v>0.78132019999999991</v>
      </c>
    </row>
    <row r="108" spans="16:22" x14ac:dyDescent="0.35">
      <c r="P108">
        <v>25</v>
      </c>
      <c r="Q108" t="str">
        <f t="shared" si="16"/>
        <v>2325</v>
      </c>
      <c r="R108" s="59">
        <v>23</v>
      </c>
      <c r="S108" s="58">
        <v>7.2073700000000004E-2</v>
      </c>
      <c r="T108" s="57">
        <f t="shared" si="19"/>
        <v>33.299999999999997</v>
      </c>
      <c r="U108" s="59">
        <v>25</v>
      </c>
      <c r="V108">
        <f t="shared" si="18"/>
        <v>0.82519510000000029</v>
      </c>
    </row>
    <row r="109" spans="16:22" x14ac:dyDescent="0.35">
      <c r="P109">
        <v>25</v>
      </c>
      <c r="Q109" t="str">
        <f t="shared" si="16"/>
        <v>2425</v>
      </c>
      <c r="R109" s="59">
        <v>24</v>
      </c>
      <c r="S109" s="58">
        <v>7.18829E-2</v>
      </c>
      <c r="T109" s="57">
        <f t="shared" si="19"/>
        <v>34.299999999999997</v>
      </c>
      <c r="U109" s="59">
        <v>25</v>
      </c>
      <c r="V109">
        <f t="shared" si="18"/>
        <v>0.86768960000000006</v>
      </c>
    </row>
    <row r="110" spans="16:22" x14ac:dyDescent="0.35">
      <c r="P110">
        <v>25</v>
      </c>
      <c r="Q110" t="str">
        <f t="shared" si="16"/>
        <v>2525</v>
      </c>
      <c r="R110" s="59">
        <v>25</v>
      </c>
      <c r="S110" s="58">
        <v>7.1272100000000005E-2</v>
      </c>
      <c r="T110" s="57">
        <f t="shared" si="19"/>
        <v>35.299999999999997</v>
      </c>
      <c r="U110" s="59">
        <v>25</v>
      </c>
      <c r="V110">
        <f t="shared" si="18"/>
        <v>0.89930250000000023</v>
      </c>
    </row>
    <row r="111" spans="16:22" x14ac:dyDescent="0.35">
      <c r="P111">
        <v>25</v>
      </c>
      <c r="Q111" t="str">
        <f t="shared" si="16"/>
        <v>2625</v>
      </c>
      <c r="R111" s="59">
        <v>26</v>
      </c>
      <c r="S111" s="58">
        <v>7.1735900000000005E-2</v>
      </c>
      <c r="T111" s="57">
        <f t="shared" si="19"/>
        <v>36.299999999999997</v>
      </c>
      <c r="U111" s="59">
        <v>25</v>
      </c>
      <c r="V111">
        <f t="shared" si="18"/>
        <v>0.9576334000000003</v>
      </c>
    </row>
    <row r="112" spans="16:22" x14ac:dyDescent="0.35">
      <c r="P112">
        <v>25</v>
      </c>
      <c r="Q112" t="str">
        <f t="shared" si="16"/>
        <v>2725</v>
      </c>
      <c r="R112" s="59">
        <v>27</v>
      </c>
      <c r="S112" s="58">
        <v>7.1620900000000001E-2</v>
      </c>
      <c r="T112" s="57">
        <f t="shared" si="19"/>
        <v>37.299999999999997</v>
      </c>
      <c r="U112" s="59">
        <v>25</v>
      </c>
      <c r="V112">
        <f t="shared" si="18"/>
        <v>1.0012643000000001</v>
      </c>
    </row>
    <row r="113" spans="16:22" x14ac:dyDescent="0.35">
      <c r="P113"/>
      <c r="Q113"/>
      <c r="R113" s="59"/>
      <c r="S113" s="58"/>
      <c r="T113" s="57"/>
      <c r="U113" s="59"/>
      <c r="V113"/>
    </row>
    <row r="114" spans="16:22" x14ac:dyDescent="0.35">
      <c r="P114">
        <v>30</v>
      </c>
      <c r="Q114" t="str">
        <f t="shared" ref="Q114:Q126" si="20">CONCATENATE(R114,U114)</f>
        <v>630</v>
      </c>
      <c r="R114" s="59">
        <v>6</v>
      </c>
      <c r="S114" s="58">
        <f>S45*2</f>
        <v>0.14488574510371771</v>
      </c>
      <c r="T114" s="57">
        <v>15.428745739263499</v>
      </c>
      <c r="U114" s="59">
        <v>30</v>
      </c>
      <c r="V114">
        <f t="shared" ref="V114:V126" si="21">(R114*S114)-(T114*U114*10^-3)</f>
        <v>0.40645209844440128</v>
      </c>
    </row>
    <row r="115" spans="16:22" x14ac:dyDescent="0.35">
      <c r="P115">
        <v>30</v>
      </c>
      <c r="Q115" t="str">
        <f t="shared" si="20"/>
        <v>730</v>
      </c>
      <c r="R115" s="59">
        <v>7</v>
      </c>
      <c r="S115" s="58">
        <f>S46*2</f>
        <v>0.15078</v>
      </c>
      <c r="T115" s="57">
        <v>17.295657352776502</v>
      </c>
      <c r="U115" s="59">
        <v>30</v>
      </c>
      <c r="V115">
        <f t="shared" si="21"/>
        <v>0.53659027941670501</v>
      </c>
    </row>
    <row r="116" spans="16:22" x14ac:dyDescent="0.35">
      <c r="P116">
        <v>30</v>
      </c>
      <c r="Q116" t="str">
        <f t="shared" si="20"/>
        <v>830</v>
      </c>
      <c r="R116" s="59">
        <v>8</v>
      </c>
      <c r="S116" s="58">
        <v>0.13250000000000001</v>
      </c>
      <c r="T116" s="57">
        <v>18.2838724842772</v>
      </c>
      <c r="U116" s="59">
        <v>30</v>
      </c>
      <c r="V116">
        <f t="shared" si="21"/>
        <v>0.51148382547168403</v>
      </c>
    </row>
    <row r="117" spans="16:22" x14ac:dyDescent="0.35">
      <c r="P117">
        <v>30</v>
      </c>
      <c r="Q117" t="str">
        <f t="shared" si="20"/>
        <v>930</v>
      </c>
      <c r="R117" s="59">
        <v>9</v>
      </c>
      <c r="S117" s="58">
        <v>0.1263</v>
      </c>
      <c r="T117" s="57">
        <v>19.291123826874799</v>
      </c>
      <c r="U117" s="59">
        <v>30</v>
      </c>
      <c r="V117">
        <f t="shared" si="21"/>
        <v>0.55796628519375613</v>
      </c>
    </row>
    <row r="118" spans="16:22" x14ac:dyDescent="0.35">
      <c r="P118">
        <v>30</v>
      </c>
      <c r="Q118" t="str">
        <f t="shared" si="20"/>
        <v>1030</v>
      </c>
      <c r="R118" s="59">
        <v>10</v>
      </c>
      <c r="S118" s="58">
        <v>0.1229</v>
      </c>
      <c r="T118" s="57">
        <v>20.3229919832924</v>
      </c>
      <c r="U118" s="59">
        <v>30</v>
      </c>
      <c r="V118">
        <f t="shared" si="21"/>
        <v>0.61931024050122785</v>
      </c>
    </row>
    <row r="119" spans="16:22" x14ac:dyDescent="0.35">
      <c r="P119">
        <v>30</v>
      </c>
      <c r="Q119" t="str">
        <f t="shared" si="20"/>
        <v>1130</v>
      </c>
      <c r="R119" s="59">
        <v>11</v>
      </c>
      <c r="S119" s="58">
        <v>0.1216</v>
      </c>
      <c r="T119" s="57">
        <v>21.332772554121501</v>
      </c>
      <c r="U119" s="59">
        <v>30</v>
      </c>
      <c r="V119">
        <f t="shared" si="21"/>
        <v>0.69761682337635489</v>
      </c>
    </row>
    <row r="120" spans="16:22" x14ac:dyDescent="0.35">
      <c r="P120">
        <v>30</v>
      </c>
      <c r="Q120" t="str">
        <f t="shared" si="20"/>
        <v>1230</v>
      </c>
      <c r="R120" s="59">
        <v>12</v>
      </c>
      <c r="S120" s="58">
        <v>0.121</v>
      </c>
      <c r="T120" s="57">
        <v>22.340230874620701</v>
      </c>
      <c r="U120" s="59">
        <v>30</v>
      </c>
      <c r="V120">
        <f t="shared" si="21"/>
        <v>0.78179307376137896</v>
      </c>
    </row>
    <row r="121" spans="16:22" x14ac:dyDescent="0.35">
      <c r="P121">
        <v>30</v>
      </c>
      <c r="Q121" t="str">
        <f t="shared" si="20"/>
        <v>1330</v>
      </c>
      <c r="R121" s="59">
        <v>13</v>
      </c>
      <c r="S121" s="58">
        <v>0.12039999999999999</v>
      </c>
      <c r="T121" s="57">
        <v>23.358841693063901</v>
      </c>
      <c r="U121" s="59">
        <v>30</v>
      </c>
      <c r="V121">
        <f t="shared" si="21"/>
        <v>0.86443474920808283</v>
      </c>
    </row>
    <row r="122" spans="16:22" x14ac:dyDescent="0.35">
      <c r="P122">
        <v>30</v>
      </c>
      <c r="Q122" t="str">
        <f t="shared" si="20"/>
        <v>1430</v>
      </c>
      <c r="R122" s="59">
        <v>14</v>
      </c>
      <c r="S122" s="58">
        <v>0.11990000000000001</v>
      </c>
      <c r="T122" s="57">
        <v>24.337700715551499</v>
      </c>
      <c r="U122" s="59">
        <v>30</v>
      </c>
      <c r="V122">
        <f t="shared" si="21"/>
        <v>0.94846897853345502</v>
      </c>
    </row>
    <row r="123" spans="16:22" x14ac:dyDescent="0.35">
      <c r="P123">
        <v>30</v>
      </c>
      <c r="Q123" t="str">
        <f t="shared" si="20"/>
        <v>1530</v>
      </c>
      <c r="R123" s="59">
        <v>15</v>
      </c>
      <c r="S123" s="58">
        <v>0.1193</v>
      </c>
      <c r="T123" s="57">
        <v>25.395730920905699</v>
      </c>
      <c r="U123" s="59">
        <v>30</v>
      </c>
      <c r="V123">
        <f t="shared" si="21"/>
        <v>1.027628072372829</v>
      </c>
    </row>
    <row r="124" spans="16:22" x14ac:dyDescent="0.35">
      <c r="P124">
        <v>30</v>
      </c>
      <c r="Q124" t="str">
        <f t="shared" si="20"/>
        <v>1630</v>
      </c>
      <c r="R124" s="59">
        <v>16</v>
      </c>
      <c r="S124" s="58">
        <v>0.11890000000000001</v>
      </c>
      <c r="T124" s="57">
        <v>26.410480734089301</v>
      </c>
      <c r="U124" s="59">
        <v>30</v>
      </c>
      <c r="V124">
        <f t="shared" si="21"/>
        <v>1.1100855779773209</v>
      </c>
    </row>
    <row r="125" spans="16:22" x14ac:dyDescent="0.35">
      <c r="P125">
        <v>30</v>
      </c>
      <c r="Q125" t="str">
        <f t="shared" si="20"/>
        <v>1730</v>
      </c>
      <c r="R125" s="59">
        <v>17</v>
      </c>
      <c r="S125" s="58">
        <v>0.11940000000000001</v>
      </c>
      <c r="T125" s="57">
        <v>27.4261856465534</v>
      </c>
      <c r="U125" s="59">
        <v>30</v>
      </c>
      <c r="V125">
        <f t="shared" si="21"/>
        <v>1.2070144306033983</v>
      </c>
    </row>
    <row r="126" spans="16:22" x14ac:dyDescent="0.35">
      <c r="P126">
        <v>30</v>
      </c>
      <c r="Q126" t="str">
        <f t="shared" si="20"/>
        <v>1830</v>
      </c>
      <c r="R126" s="59">
        <v>18</v>
      </c>
      <c r="S126" s="58">
        <v>0.1197</v>
      </c>
      <c r="T126" s="57">
        <v>28.338284708564402</v>
      </c>
      <c r="U126" s="59">
        <v>30</v>
      </c>
      <c r="V126">
        <f t="shared" si="21"/>
        <v>1.3044514587430678</v>
      </c>
    </row>
  </sheetData>
  <sheetProtection password="AA46" sheet="1" objects="1" scenarios="1" selectLockedCells="1"/>
  <dataValidations count="1">
    <dataValidation type="list" allowBlank="1" showInputMessage="1" showErrorMessage="1" sqref="C6:C11" xr:uid="{00000000-0002-0000-0000-000000000000}">
      <formula1>$I$5:$I$7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'C:\Users\a0869351\AppData\Local\Microsoft\Windows\Temporary Internet Files\Content.Outlook\Z4C1QNT3\[DRV3245A_Models_Master.xlsx]3245_LookUpTables'!#REF!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D4800042503B4DA0752A466F252CF3" ma:contentTypeVersion="1" ma:contentTypeDescription="Create a new document." ma:contentTypeScope="" ma:versionID="b427bd1755ba9aec29d98f29cba27b95">
  <xsd:schema xmlns:xsd="http://www.w3.org/2001/XMLSchema" xmlns:xs="http://www.w3.org/2001/XMLSchema" xmlns:p="http://schemas.microsoft.com/office/2006/metadata/properties" xmlns:ns2="6f2f0605-bfee-4698-a78a-575fc242f63d" targetNamespace="http://schemas.microsoft.com/office/2006/metadata/properties" ma:root="true" ma:fieldsID="01c1cfcc41adb9e6a219c3097cf89b4e" ns2:_="">
    <xsd:import namespace="6f2f0605-bfee-4698-a78a-575fc242f63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f0605-bfee-4698-a78a-575fc242f6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EB734-8616-4504-92C4-CDF44E5E8EF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6f2f0605-bfee-4698-a78a-575fc242f63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A4A864-4136-4F35-94C4-1156158E9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45CBA6-F14B-40A6-820B-DECDD4905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f0605-bfee-4698-a78a-575fc242f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New_Power_Diss_3245</vt:lpstr>
      <vt:lpstr>PWM</vt:lpstr>
    </vt:vector>
  </TitlesOfParts>
  <Manager/>
  <Company>Texas Instruments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Anuj Narain</dc:creator>
  <cp:keywords/>
  <dc:description/>
  <cp:lastModifiedBy>Lodi, Anthony</cp:lastModifiedBy>
  <cp:revision/>
  <dcterms:created xsi:type="dcterms:W3CDTF">2018-09-04T14:05:26Z</dcterms:created>
  <dcterms:modified xsi:type="dcterms:W3CDTF">2022-10-21T05:44:20Z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0x010100FDD4800042503B4DA0752A466F252CF3</vt:lpwstr>
  </property>
</Properties>
</file>