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8_{CE7A2F67-A428-42F8-B1DE-53CA0903D27F}" xr6:coauthVersionLast="36" xr6:coauthVersionMax="36" xr10:uidLastSave="{00000000-0000-0000-0000-000000000000}"/>
  <bookViews>
    <workbookView xWindow="240" yWindow="108" windowWidth="10704" windowHeight="6528" xr2:uid="{00000000-000D-0000-FFFF-FFFF00000000}"/>
  </bookViews>
  <sheets>
    <sheet name="DRV8316_FOC_Calculator" sheetId="5" r:id="rId1"/>
    <sheet name="DRV8316_Trap_Calculator" sheetId="7" state="hidden" r:id="rId2"/>
  </sheets>
  <calcPr calcId="191029"/>
</workbook>
</file>

<file path=xl/calcChain.xml><?xml version="1.0" encoding="utf-8"?>
<calcChain xmlns="http://schemas.openxmlformats.org/spreadsheetml/2006/main">
  <c r="X59" i="5" l="1"/>
  <c r="Z5" i="5" s="1"/>
  <c r="Z6" i="5" s="1"/>
  <c r="N83" i="7" l="1"/>
  <c r="N82" i="7"/>
  <c r="N81" i="7"/>
  <c r="N80" i="7"/>
  <c r="U79" i="7"/>
  <c r="N79" i="7"/>
  <c r="N78" i="7"/>
  <c r="U77" i="7"/>
  <c r="N77" i="7"/>
  <c r="N76" i="7"/>
  <c r="N75" i="7"/>
  <c r="U74" i="7"/>
  <c r="N74" i="7"/>
  <c r="N73" i="7"/>
  <c r="N72" i="7"/>
  <c r="U71" i="7"/>
  <c r="U78" i="7" s="1"/>
  <c r="N71" i="7"/>
  <c r="U70" i="7"/>
  <c r="N70" i="7"/>
  <c r="N69" i="7"/>
  <c r="N68" i="7"/>
  <c r="U67" i="7"/>
  <c r="U68" i="7" s="1"/>
  <c r="N67" i="7"/>
  <c r="N66" i="7"/>
  <c r="N65" i="7"/>
  <c r="V64" i="7"/>
  <c r="T64" i="7"/>
  <c r="N64" i="7"/>
  <c r="P61" i="7"/>
  <c r="O61" i="7"/>
  <c r="R58" i="7"/>
  <c r="Q58" i="7"/>
  <c r="P58" i="7"/>
  <c r="O58" i="7"/>
  <c r="B7" i="7"/>
  <c r="U81" i="7" s="1"/>
  <c r="R61" i="7" l="1"/>
  <c r="U65" i="7" s="1"/>
  <c r="U80" i="7"/>
  <c r="E2" i="7"/>
  <c r="U67" i="5"/>
  <c r="U68" i="5" s="1"/>
  <c r="U70" i="5"/>
  <c r="U71" i="5"/>
  <c r="U78" i="5" s="1"/>
  <c r="U74" i="5"/>
  <c r="U77" i="5"/>
  <c r="U79" i="5"/>
  <c r="E3" i="7" l="1"/>
  <c r="U84" i="7"/>
  <c r="U80" i="5"/>
  <c r="T6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P61" i="5"/>
  <c r="R58" i="5"/>
  <c r="Q58" i="5"/>
  <c r="P58" i="5"/>
  <c r="O58" i="5"/>
  <c r="B7" i="5"/>
  <c r="U81" i="5" s="1"/>
  <c r="X60" i="5" s="1"/>
  <c r="Z7" i="5" s="1"/>
  <c r="V64" i="5"/>
  <c r="O61" i="5" l="1"/>
  <c r="R61" i="5" l="1"/>
  <c r="U65" i="5" l="1"/>
  <c r="Z8" i="5" s="1"/>
  <c r="AB5" i="5" s="1"/>
  <c r="AB6" i="5" s="1"/>
  <c r="AB7" i="5" s="1"/>
  <c r="AB8" i="5" s="1"/>
  <c r="AD5" i="5" s="1"/>
  <c r="AD6" i="5" s="1"/>
  <c r="AD7" i="5" s="1"/>
  <c r="E2" i="5" s="1"/>
  <c r="U84" i="5" s="1"/>
  <c r="AD8" i="5" l="1"/>
  <c r="E3" i="5" s="1"/>
</calcChain>
</file>

<file path=xl/sharedStrings.xml><?xml version="1.0" encoding="utf-8"?>
<sst xmlns="http://schemas.openxmlformats.org/spreadsheetml/2006/main" count="281" uniqueCount="114">
  <si>
    <t>V</t>
  </si>
  <si>
    <t>Value</t>
  </si>
  <si>
    <t>Unit</t>
  </si>
  <si>
    <t>Parameter Name</t>
  </si>
  <si>
    <t>mA</t>
  </si>
  <si>
    <t>mohms</t>
  </si>
  <si>
    <t>Ambient Temperature</t>
  </si>
  <si>
    <t>C</t>
  </si>
  <si>
    <t>Slew Rate</t>
  </si>
  <si>
    <t>V/us</t>
  </si>
  <si>
    <t>C/W</t>
  </si>
  <si>
    <t>PWM Frequency</t>
  </si>
  <si>
    <t>kHz</t>
  </si>
  <si>
    <t>W</t>
  </si>
  <si>
    <t>A</t>
  </si>
  <si>
    <t>Rise/Fall Time</t>
  </si>
  <si>
    <t>us</t>
  </si>
  <si>
    <t>FET Conduction Losses</t>
  </si>
  <si>
    <t>FET Switching Losses</t>
  </si>
  <si>
    <t>Standby Power</t>
  </si>
  <si>
    <t>Total Standby Power</t>
  </si>
  <si>
    <t>Driver (FOC)</t>
  </si>
  <si>
    <t>Total FET Losses (FOC)</t>
  </si>
  <si>
    <t xml:space="preserve">Theta JA </t>
  </si>
  <si>
    <t>Output Power (FOC)</t>
  </si>
  <si>
    <t>RMS Voltage (FOC) per phase</t>
  </si>
  <si>
    <t xml:space="preserve"> Peak Voltage (FOC)</t>
  </si>
  <si>
    <t xml:space="preserve">Peak Current per phase </t>
  </si>
  <si>
    <t>Junction Temperature</t>
  </si>
  <si>
    <t xml:space="preserve">Supply Current </t>
  </si>
  <si>
    <t>Active Current @ 25C</t>
  </si>
  <si>
    <t>Active Current @ 125C</t>
  </si>
  <si>
    <t>Rdson @ 25C per FET</t>
  </si>
  <si>
    <t>Rdson @ 125C per FET</t>
  </si>
  <si>
    <t>Gate Charge</t>
  </si>
  <si>
    <t>nC</t>
  </si>
  <si>
    <t>FET gate charge</t>
  </si>
  <si>
    <t>Modulation Index</t>
  </si>
  <si>
    <t>Diode loss in dead time</t>
  </si>
  <si>
    <t>LDO Power Loss</t>
  </si>
  <si>
    <t>Total Buck power loss</t>
  </si>
  <si>
    <t>Dead time</t>
  </si>
  <si>
    <t>#</t>
  </si>
  <si>
    <t>oz</t>
  </si>
  <si>
    <t>PCB Layers</t>
  </si>
  <si>
    <t>PCB Thickness - Top/Bottom</t>
  </si>
  <si>
    <t>PCB Thickness - Internal</t>
  </si>
  <si>
    <t>PCB Area</t>
  </si>
  <si>
    <r>
      <t>cm</t>
    </r>
    <r>
      <rPr>
        <sz val="11"/>
        <color theme="1"/>
        <rFont val="Calibri"/>
        <family val="2"/>
      </rPr>
      <t>²</t>
    </r>
  </si>
  <si>
    <t>PCB Theta JA lookup</t>
  </si>
  <si>
    <t>PCB area</t>
  </si>
  <si>
    <t>Notation</t>
  </si>
  <si>
    <t>1,1</t>
  </si>
  <si>
    <t>2,2</t>
  </si>
  <si>
    <t>User inputs</t>
  </si>
  <si>
    <t>Top</t>
  </si>
  <si>
    <t>Internal</t>
  </si>
  <si>
    <t xml:space="preserve">Internal  </t>
  </si>
  <si>
    <t>Bottom</t>
  </si>
  <si>
    <t>User Thicknesses</t>
  </si>
  <si>
    <t>1,1,1,1</t>
  </si>
  <si>
    <t>2,1,1,2</t>
  </si>
  <si>
    <t>Theta JA (°C/W)(</t>
  </si>
  <si>
    <t>63.8 °</t>
  </si>
  <si>
    <t>PCB area (cm2)</t>
  </si>
  <si>
    <t>User Outputs</t>
  </si>
  <si>
    <t>Theta JA (°C/W)</t>
  </si>
  <si>
    <t>Algorithm</t>
  </si>
  <si>
    <t>helper</t>
  </si>
  <si>
    <t>DRV8316</t>
  </si>
  <si>
    <t>Top/Bottom Layers Cu Thickness (if PCB more than 2 layers, internal layers assume 1 oz Cu thickness)</t>
  </si>
  <si>
    <t>Electrical Parameters</t>
  </si>
  <si>
    <t>Estimated Results</t>
  </si>
  <si>
    <t>DC Input Voltage</t>
  </si>
  <si>
    <t>Total Losses</t>
  </si>
  <si>
    <t>PWM Modulation</t>
  </si>
  <si>
    <t>Switching Slew Rate</t>
  </si>
  <si>
    <t>PCB Specification</t>
  </si>
  <si>
    <t>Motor Winding RMS Current</t>
  </si>
  <si>
    <r>
      <rPr>
        <sz val="11"/>
        <color theme="1"/>
        <rFont val="Calibri"/>
        <family val="2"/>
      </rPr>
      <t>°</t>
    </r>
    <r>
      <rPr>
        <sz val="9.35"/>
        <color theme="1"/>
        <rFont val="Calibri"/>
        <family val="2"/>
      </rPr>
      <t>C</t>
    </r>
  </si>
  <si>
    <t>PWM Mod?</t>
  </si>
  <si>
    <t>Continuous</t>
  </si>
  <si>
    <t>Discontinuous</t>
  </si>
  <si>
    <t>Ambient T</t>
  </si>
  <si>
    <t>Measuure P_LOSS_1 @ RDS_ON T_amb</t>
  </si>
  <si>
    <t>Calculate TJ1 using P_LOSS_1</t>
  </si>
  <si>
    <t>Recalculate RDS_ON @ TJ1</t>
  </si>
  <si>
    <t>P_LOSS using RDS_ON @ TJ1</t>
  </si>
  <si>
    <t>Final TJ</t>
  </si>
  <si>
    <t>Iter 1</t>
  </si>
  <si>
    <t>Iter 2</t>
  </si>
  <si>
    <t>Iter 3</t>
  </si>
  <si>
    <t>TJ_2</t>
  </si>
  <si>
    <t>Recalculate RDS_ON @ TJ2</t>
  </si>
  <si>
    <t>P_LOSS using RDS_ON @ TJ2</t>
  </si>
  <si>
    <t>Add error condition for 2,2</t>
  </si>
  <si>
    <t>PWM Freq</t>
  </si>
  <si>
    <t>Rdson/temp</t>
  </si>
  <si>
    <t>Iteration 1</t>
  </si>
  <si>
    <t>Iteration 2</t>
  </si>
  <si>
    <t>Iteration 3</t>
  </si>
  <si>
    <t>RDS_ON @ TA</t>
  </si>
  <si>
    <t>RDS_ON @ TJ1</t>
  </si>
  <si>
    <t>RDS_ON @ TJ2</t>
  </si>
  <si>
    <t>Pcond @ ITR1</t>
  </si>
  <si>
    <t>Pcond @ ITR2</t>
  </si>
  <si>
    <t>Pcond @ ITR3</t>
  </si>
  <si>
    <t>Ploss @ITR1</t>
  </si>
  <si>
    <t>Ploss @ITR2</t>
  </si>
  <si>
    <t>Ploss @ITR3</t>
  </si>
  <si>
    <t>TJ1 @ ITR1</t>
  </si>
  <si>
    <t>TJ2 @ ITR2</t>
  </si>
  <si>
    <t>TJ3 @ ITR3</t>
  </si>
  <si>
    <t>Ploss others (P_STBY+P_FET_SW+P_FET_GC+P_DIODE+P_LDO+P_BUCK)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</si>
</sst>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name val="Arial"/>
      <family val="2"/>
    </font>
    <font>
      <sz val="11"/>
      <color theme="1"/>
      <name val="Calibri"/>
      <family val="2"/>
    </font>
    <font>
      <sz val="9.35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1" xfId="0" applyBorder="1"/>
    <xf numFmtId="0" fontId="0" fillId="6" borderId="0" xfId="0" applyFill="1" applyBorder="1" applyAlignment="1">
      <alignment horizontal="center" wrapText="1"/>
    </xf>
    <xf numFmtId="0" fontId="0" fillId="0" borderId="0" xfId="0" applyFill="1"/>
    <xf numFmtId="0" fontId="0" fillId="0" borderId="0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 wrapText="1" readingOrder="1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 readingOrder="1"/>
    </xf>
    <xf numFmtId="0" fontId="1" fillId="7" borderId="7" xfId="0" applyFont="1" applyFill="1" applyBorder="1" applyAlignment="1">
      <alignment horizontal="left"/>
    </xf>
    <xf numFmtId="0" fontId="1" fillId="7" borderId="5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left"/>
    </xf>
    <xf numFmtId="0" fontId="1" fillId="8" borderId="7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left"/>
    </xf>
    <xf numFmtId="0" fontId="1" fillId="9" borderId="7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left"/>
    </xf>
    <xf numFmtId="0" fontId="1" fillId="9" borderId="5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left"/>
    </xf>
    <xf numFmtId="0" fontId="1" fillId="10" borderId="5" xfId="0" applyFont="1" applyFill="1" applyBorder="1" applyAlignment="1">
      <alignment horizontal="left"/>
    </xf>
    <xf numFmtId="0" fontId="1" fillId="10" borderId="18" xfId="0" applyFont="1" applyFill="1" applyBorder="1" applyAlignment="1"/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right" wrapText="1"/>
    </xf>
    <xf numFmtId="0" fontId="0" fillId="0" borderId="3" xfId="0" applyBorder="1" applyAlignment="1">
      <alignment horizontal="right" vertical="center" wrapText="1"/>
    </xf>
    <xf numFmtId="0" fontId="1" fillId="0" borderId="4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 wrapText="1"/>
    </xf>
    <xf numFmtId="0" fontId="1" fillId="0" borderId="20" xfId="0" applyFont="1" applyBorder="1" applyAlignment="1">
      <alignment horizontal="center" wrapText="1"/>
    </xf>
    <xf numFmtId="0" fontId="0" fillId="0" borderId="6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0" fontId="0" fillId="0" borderId="7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wrapText="1"/>
    </xf>
    <xf numFmtId="0" fontId="0" fillId="2" borderId="23" xfId="0" applyFont="1" applyFill="1" applyBorder="1" applyAlignment="1">
      <alignment horizontal="center" wrapText="1"/>
    </xf>
    <xf numFmtId="0" fontId="0" fillId="2" borderId="18" xfId="0" applyFont="1" applyFill="1" applyBorder="1" applyAlignment="1">
      <alignment horizontal="center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horizontal="center" vertical="center" wrapText="1"/>
    </xf>
    <xf numFmtId="0" fontId="0" fillId="0" borderId="4" xfId="0" applyBorder="1"/>
    <xf numFmtId="0" fontId="0" fillId="0" borderId="25" xfId="0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0" fillId="0" borderId="25" xfId="0" applyFont="1" applyBorder="1" applyAlignment="1">
      <alignment horizont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18" xfId="0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3" fillId="0" borderId="25" xfId="0" applyFont="1" applyBorder="1" applyAlignment="1">
      <alignment horizontal="center" wrapText="1"/>
    </xf>
    <xf numFmtId="0" fontId="0" fillId="0" borderId="21" xfId="0" applyBorder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" fillId="0" borderId="28" xfId="0" applyFont="1" applyBorder="1" applyAlignment="1">
      <alignment horizontal="center" wrapText="1"/>
    </xf>
    <xf numFmtId="0" fontId="0" fillId="0" borderId="28" xfId="0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9" xfId="0" applyFont="1" applyFill="1" applyBorder="1" applyAlignment="1">
      <alignment horizontal="left" wrapText="1"/>
    </xf>
    <xf numFmtId="0" fontId="0" fillId="2" borderId="24" xfId="0" applyFont="1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0" fontId="0" fillId="0" borderId="30" xfId="0" applyFill="1" applyBorder="1" applyAlignment="1">
      <alignment horizontal="left" wrapText="1"/>
    </xf>
    <xf numFmtId="0" fontId="0" fillId="0" borderId="31" xfId="0" applyBorder="1" applyAlignment="1">
      <alignment horizontal="center" wrapText="1"/>
    </xf>
    <xf numFmtId="0" fontId="0" fillId="0" borderId="32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0" fillId="0" borderId="8" xfId="0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6" borderId="1" xfId="0" applyFill="1" applyBorder="1"/>
    <xf numFmtId="0" fontId="1" fillId="0" borderId="4" xfId="0" applyFont="1" applyFill="1" applyBorder="1" applyAlignment="1">
      <alignment horizontal="center" wrapText="1"/>
    </xf>
    <xf numFmtId="0" fontId="0" fillId="0" borderId="28" xfId="0" applyBorder="1" applyAlignment="1">
      <alignment wrapText="1"/>
    </xf>
    <xf numFmtId="0" fontId="1" fillId="9" borderId="15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202639</xdr:colOff>
      <xdr:row>2</xdr:row>
      <xdr:rowOff>182357</xdr:rowOff>
    </xdr:from>
    <xdr:to>
      <xdr:col>21</xdr:col>
      <xdr:colOff>457375</xdr:colOff>
      <xdr:row>22</xdr:row>
      <xdr:rowOff>72672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99DD0A-0DC7-438B-A538-8978A71CD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77599" y="558277"/>
          <a:ext cx="7616926" cy="3953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95D2-4E08-4465-8D39-8008ECD4E6F4}">
  <dimension ref="A1:AL88"/>
  <sheetViews>
    <sheetView tabSelected="1" zoomScale="55" zoomScaleNormal="55" workbookViewId="0">
      <selection activeCell="M13" sqref="M13"/>
    </sheetView>
  </sheetViews>
  <sheetFormatPr defaultRowHeight="14.4" x14ac:dyDescent="0.3"/>
  <cols>
    <col min="1" max="1" width="56.33203125" style="4" customWidth="1"/>
    <col min="2" max="2" width="13.44140625" style="5" customWidth="1"/>
    <col min="3" max="3" width="7.33203125" style="78" bestFit="1" customWidth="1"/>
    <col min="4" max="4" width="20.88671875" style="74" customWidth="1"/>
    <col min="5" max="5" width="24.88671875" style="11" bestFit="1" customWidth="1"/>
    <col min="6" max="6" width="21.21875" bestFit="1" customWidth="1"/>
    <col min="7" max="7" width="8.6640625" bestFit="1" customWidth="1"/>
    <col min="8" max="8" width="9" bestFit="1" customWidth="1"/>
    <col min="9" max="9" width="9.44140625" bestFit="1" customWidth="1"/>
    <col min="10" max="12" width="8.77734375" customWidth="1"/>
    <col min="13" max="13" width="14.77734375" customWidth="1"/>
    <col min="14" max="14" width="9.21875" bestFit="1" customWidth="1"/>
    <col min="15" max="15" width="13.88671875" bestFit="1" customWidth="1"/>
    <col min="16" max="16" width="8.77734375" bestFit="1" customWidth="1"/>
    <col min="17" max="17" width="15.44140625" bestFit="1" customWidth="1"/>
    <col min="18" max="18" width="14.77734375" bestFit="1" customWidth="1"/>
    <col min="20" max="20" width="24.21875" customWidth="1"/>
    <col min="23" max="23" width="18" customWidth="1"/>
    <col min="25" max="30" width="32" hidden="1" customWidth="1"/>
    <col min="32" max="32" width="13.109375" customWidth="1"/>
    <col min="33" max="33" width="8.6640625" bestFit="1" customWidth="1"/>
    <col min="34" max="34" width="18.109375" style="26" bestFit="1" customWidth="1"/>
    <col min="35" max="35" width="10.21875" style="26" bestFit="1" customWidth="1"/>
    <col min="36" max="36" width="16.88671875" style="26" bestFit="1" customWidth="1"/>
    <col min="37" max="37" width="16.6640625" style="26" bestFit="1" customWidth="1"/>
  </cols>
  <sheetData>
    <row r="1" spans="1:37" ht="15" thickBot="1" x14ac:dyDescent="0.35">
      <c r="A1" s="104" t="s">
        <v>71</v>
      </c>
      <c r="B1" s="99" t="s">
        <v>69</v>
      </c>
      <c r="C1" s="68" t="s">
        <v>2</v>
      </c>
      <c r="D1" s="86" t="s">
        <v>72</v>
      </c>
      <c r="E1" s="2" t="s">
        <v>1</v>
      </c>
      <c r="F1" s="2" t="s">
        <v>2</v>
      </c>
    </row>
    <row r="2" spans="1:37" ht="14.4" customHeight="1" thickBot="1" x14ac:dyDescent="0.35">
      <c r="A2" s="95" t="s">
        <v>73</v>
      </c>
      <c r="B2" s="92">
        <v>12</v>
      </c>
      <c r="C2" s="67" t="s">
        <v>0</v>
      </c>
      <c r="D2" s="87" t="s">
        <v>74</v>
      </c>
      <c r="E2" s="20">
        <f>IF(R61=-1,"n/a",$AD$7)</f>
        <v>1.1861249999999999</v>
      </c>
      <c r="F2" s="67" t="s">
        <v>13</v>
      </c>
    </row>
    <row r="3" spans="1:37" ht="14.4" customHeight="1" thickBot="1" x14ac:dyDescent="0.35">
      <c r="A3" s="93" t="s">
        <v>78</v>
      </c>
      <c r="B3" s="64">
        <v>2</v>
      </c>
      <c r="C3" s="97" t="s">
        <v>14</v>
      </c>
      <c r="D3" s="87" t="s">
        <v>28</v>
      </c>
      <c r="E3" s="7">
        <f>IF(R61=-1,"n/a",$AD$8)</f>
        <v>51.979862499999996</v>
      </c>
      <c r="F3" s="71" t="s">
        <v>7</v>
      </c>
      <c r="X3" s="21"/>
      <c r="Y3" s="21"/>
      <c r="Z3" s="21"/>
      <c r="AA3" s="21"/>
      <c r="AB3" s="21"/>
      <c r="AC3" s="21"/>
      <c r="AD3" s="21"/>
    </row>
    <row r="4" spans="1:37" ht="14.4" customHeight="1" thickBot="1" x14ac:dyDescent="0.35">
      <c r="A4" s="96" t="s">
        <v>75</v>
      </c>
      <c r="B4" s="64" t="s">
        <v>81</v>
      </c>
      <c r="C4" s="97"/>
      <c r="D4" s="82"/>
      <c r="E4" s="82"/>
      <c r="F4" s="82"/>
      <c r="G4" s="73"/>
      <c r="X4" s="21"/>
      <c r="Y4" s="113" t="s">
        <v>98</v>
      </c>
      <c r="Z4" s="114"/>
      <c r="AA4" s="113" t="s">
        <v>99</v>
      </c>
      <c r="AB4" s="114"/>
      <c r="AC4" s="113" t="s">
        <v>100</v>
      </c>
      <c r="AD4" s="114"/>
    </row>
    <row r="5" spans="1:37" ht="14.4" customHeight="1" thickBot="1" x14ac:dyDescent="0.35">
      <c r="A5" s="95" t="s">
        <v>11</v>
      </c>
      <c r="B5" s="92">
        <v>20</v>
      </c>
      <c r="C5" s="67" t="s">
        <v>12</v>
      </c>
      <c r="E5" s="74"/>
      <c r="F5" s="73"/>
      <c r="X5" s="21"/>
      <c r="Y5" s="108" t="s">
        <v>101</v>
      </c>
      <c r="Z5" s="21">
        <f>$U$60+($X$59*(B8-25))</f>
        <v>50.125</v>
      </c>
      <c r="AA5" s="108" t="s">
        <v>102</v>
      </c>
      <c r="AB5" s="21">
        <f>$U$60+($X$59*(Z8-25))</f>
        <v>52.177288437499996</v>
      </c>
      <c r="AC5" s="108" t="s">
        <v>103</v>
      </c>
      <c r="AD5" s="21">
        <f>$U$60+($X$59*(AB8-25))</f>
        <v>52.219708437499996</v>
      </c>
    </row>
    <row r="6" spans="1:37" ht="14.4" customHeight="1" thickBot="1" x14ac:dyDescent="0.35">
      <c r="A6" s="59" t="s">
        <v>76</v>
      </c>
      <c r="B6" s="64">
        <v>200</v>
      </c>
      <c r="C6" s="97" t="s">
        <v>9</v>
      </c>
      <c r="X6" s="21"/>
      <c r="Y6" s="109" t="s">
        <v>104</v>
      </c>
      <c r="Z6" s="19">
        <f>ROUND(3*$B$3*$B$3*Z5/(1000),3)</f>
        <v>0.60199999999999998</v>
      </c>
      <c r="AA6" s="109" t="s">
        <v>105</v>
      </c>
      <c r="AB6" s="19">
        <f>ROUND(3*$B$3*$B$3*AB5/(1000),3)</f>
        <v>0.626</v>
      </c>
      <c r="AC6" s="109" t="s">
        <v>106</v>
      </c>
      <c r="AD6" s="19">
        <f>ROUND(3*$B$3*$B$3*AD5/(1000),3)</f>
        <v>0.627</v>
      </c>
    </row>
    <row r="7" spans="1:37" ht="14.4" customHeight="1" thickBot="1" x14ac:dyDescent="0.35">
      <c r="A7" s="80" t="s">
        <v>41</v>
      </c>
      <c r="B7" s="107">
        <f>VLOOKUP(B6,H57:I60,2,FALSE)</f>
        <v>0.5</v>
      </c>
      <c r="C7" s="94" t="s">
        <v>16</v>
      </c>
      <c r="X7" s="21"/>
      <c r="Y7" s="109" t="s">
        <v>107</v>
      </c>
      <c r="Z7" s="19">
        <f>Z6+$X$60</f>
        <v>1.1611249999999997</v>
      </c>
      <c r="AA7" s="109" t="s">
        <v>108</v>
      </c>
      <c r="AB7" s="19">
        <f>AB6+$X$60</f>
        <v>1.1851249999999998</v>
      </c>
      <c r="AC7" s="110" t="s">
        <v>109</v>
      </c>
      <c r="AD7" s="112">
        <f>AD6+$X$60</f>
        <v>1.1861249999999999</v>
      </c>
    </row>
    <row r="8" spans="1:37" ht="14.4" customHeight="1" thickBot="1" x14ac:dyDescent="0.35">
      <c r="A8" s="61" t="s">
        <v>6</v>
      </c>
      <c r="B8" s="98">
        <v>40</v>
      </c>
      <c r="C8" s="81" t="s">
        <v>79</v>
      </c>
      <c r="X8" s="21"/>
      <c r="Y8" s="109" t="s">
        <v>110</v>
      </c>
      <c r="Z8" s="19">
        <f>$B$8+(Z7*$U$65)</f>
        <v>51.727362499999998</v>
      </c>
      <c r="AA8" s="109" t="s">
        <v>111</v>
      </c>
      <c r="AB8" s="19">
        <f>$B$8+(AB7*$U$65)</f>
        <v>51.969762499999995</v>
      </c>
      <c r="AC8" s="110" t="s">
        <v>112</v>
      </c>
      <c r="AD8" s="112">
        <f>$B$8+(AD7*$U$65)</f>
        <v>51.979862499999996</v>
      </c>
    </row>
    <row r="9" spans="1:37" ht="14.4" customHeight="1" thickBot="1" x14ac:dyDescent="0.35">
      <c r="A9" s="56" t="s">
        <v>77</v>
      </c>
      <c r="B9" s="99"/>
      <c r="C9" s="68"/>
      <c r="X9" s="21"/>
      <c r="Y9" s="79"/>
      <c r="Z9" s="72"/>
      <c r="AA9" s="72"/>
      <c r="AB9" s="15"/>
      <c r="AC9" s="15"/>
      <c r="AD9" s="21"/>
    </row>
    <row r="10" spans="1:37" ht="14.4" customHeight="1" x14ac:dyDescent="0.3">
      <c r="A10" s="57" t="s">
        <v>44</v>
      </c>
      <c r="B10" s="62">
        <v>4</v>
      </c>
      <c r="C10" s="69" t="s">
        <v>42</v>
      </c>
      <c r="X10" s="21"/>
      <c r="Z10" s="21"/>
      <c r="AA10" s="21"/>
      <c r="AB10" s="21"/>
      <c r="AC10" s="21"/>
      <c r="AD10" s="21"/>
    </row>
    <row r="11" spans="1:37" ht="34.200000000000003" customHeight="1" x14ac:dyDescent="0.3">
      <c r="A11" s="58" t="s">
        <v>70</v>
      </c>
      <c r="B11" s="63">
        <v>2</v>
      </c>
      <c r="C11" s="105" t="s">
        <v>43</v>
      </c>
      <c r="X11" s="21"/>
      <c r="Y11" s="21"/>
      <c r="Z11" s="21"/>
      <c r="AA11" s="21"/>
      <c r="AB11" s="21"/>
      <c r="AC11" s="21"/>
      <c r="AD11" s="21"/>
    </row>
    <row r="12" spans="1:37" ht="14.4" customHeight="1" thickBot="1" x14ac:dyDescent="0.35">
      <c r="A12" s="90" t="s">
        <v>47</v>
      </c>
      <c r="B12" s="91">
        <v>8</v>
      </c>
      <c r="C12" s="106" t="s">
        <v>48</v>
      </c>
    </row>
    <row r="13" spans="1:37" s="1" customFormat="1" ht="25.5" customHeight="1" x14ac:dyDescent="0.3">
      <c r="C13" s="83"/>
      <c r="D13" s="83"/>
      <c r="AH13" s="27"/>
      <c r="AI13" s="27"/>
      <c r="AJ13" s="27"/>
      <c r="AK13" s="27"/>
    </row>
    <row r="19" spans="1:37" x14ac:dyDescent="0.3">
      <c r="A19" s="78"/>
      <c r="B19" s="78"/>
    </row>
    <row r="20" spans="1:37" x14ac:dyDescent="0.3">
      <c r="A20" s="78"/>
      <c r="B20" s="78"/>
    </row>
    <row r="21" spans="1:37" x14ac:dyDescent="0.3">
      <c r="A21" s="78"/>
      <c r="B21" s="78"/>
    </row>
    <row r="22" spans="1:37" x14ac:dyDescent="0.3">
      <c r="A22" s="77"/>
      <c r="B22" s="77"/>
      <c r="C22" s="77"/>
    </row>
    <row r="23" spans="1:37" x14ac:dyDescent="0.3">
      <c r="A23" s="78"/>
      <c r="B23" s="78"/>
    </row>
    <row r="24" spans="1:37" x14ac:dyDescent="0.3">
      <c r="A24" s="53"/>
      <c r="B24" s="7"/>
    </row>
    <row r="25" spans="1:37" x14ac:dyDescent="0.3">
      <c r="A25" s="78"/>
      <c r="B25" s="78"/>
    </row>
    <row r="26" spans="1:37" x14ac:dyDescent="0.3">
      <c r="A26" s="78"/>
      <c r="B26" s="78"/>
    </row>
    <row r="27" spans="1:37" s="1" customFormat="1" x14ac:dyDescent="0.3">
      <c r="A27" s="83"/>
      <c r="B27" s="83"/>
      <c r="C27" s="83"/>
      <c r="D27" s="88"/>
      <c r="E27" s="12"/>
      <c r="AH27" s="27"/>
      <c r="AI27" s="27"/>
      <c r="AJ27" s="27"/>
      <c r="AK27" s="27"/>
    </row>
    <row r="28" spans="1:37" x14ac:dyDescent="0.3">
      <c r="A28" s="78"/>
      <c r="B28" s="78"/>
    </row>
    <row r="29" spans="1:37" x14ac:dyDescent="0.3">
      <c r="A29" s="78"/>
      <c r="B29" s="78"/>
    </row>
    <row r="30" spans="1:37" x14ac:dyDescent="0.3">
      <c r="A30" s="78"/>
      <c r="B30" s="78"/>
    </row>
    <row r="31" spans="1:37" x14ac:dyDescent="0.3">
      <c r="A31" s="78"/>
      <c r="B31" s="78"/>
    </row>
    <row r="32" spans="1:37" x14ac:dyDescent="0.3">
      <c r="A32" s="78"/>
      <c r="B32" s="78"/>
    </row>
    <row r="33" spans="1:7" x14ac:dyDescent="0.3">
      <c r="A33" s="78"/>
      <c r="B33" s="78"/>
    </row>
    <row r="34" spans="1:7" x14ac:dyDescent="0.3">
      <c r="A34" s="78"/>
      <c r="B34" s="78"/>
    </row>
    <row r="35" spans="1:7" x14ac:dyDescent="0.3">
      <c r="A35" s="78"/>
      <c r="B35" s="78"/>
    </row>
    <row r="36" spans="1:7" x14ac:dyDescent="0.3">
      <c r="A36" s="78"/>
      <c r="B36" s="78"/>
    </row>
    <row r="37" spans="1:7" x14ac:dyDescent="0.3">
      <c r="A37" s="78"/>
      <c r="B37" s="78"/>
    </row>
    <row r="38" spans="1:7" x14ac:dyDescent="0.3">
      <c r="A38" s="78"/>
      <c r="B38" s="78"/>
    </row>
    <row r="39" spans="1:7" x14ac:dyDescent="0.3">
      <c r="A39" s="78"/>
      <c r="B39" s="78"/>
    </row>
    <row r="40" spans="1:7" x14ac:dyDescent="0.3">
      <c r="A40" s="78"/>
      <c r="B40" s="78"/>
    </row>
    <row r="41" spans="1:7" x14ac:dyDescent="0.3">
      <c r="A41" s="78"/>
      <c r="B41" s="78"/>
    </row>
    <row r="42" spans="1:7" x14ac:dyDescent="0.3">
      <c r="A42" s="78"/>
      <c r="B42" s="78"/>
    </row>
    <row r="43" spans="1:7" x14ac:dyDescent="0.3">
      <c r="A43" s="77"/>
      <c r="B43" s="77"/>
      <c r="C43" s="77"/>
      <c r="F43" s="11"/>
      <c r="G43" s="11"/>
    </row>
    <row r="44" spans="1:7" x14ac:dyDescent="0.3">
      <c r="A44" s="84"/>
      <c r="B44" s="78"/>
      <c r="D44" s="25"/>
      <c r="E44" s="15"/>
      <c r="F44" s="15"/>
      <c r="G44" s="16"/>
    </row>
    <row r="45" spans="1:7" x14ac:dyDescent="0.3">
      <c r="A45" s="78"/>
      <c r="B45" s="78"/>
      <c r="F45" s="14"/>
      <c r="G45" s="14"/>
    </row>
    <row r="46" spans="1:7" x14ac:dyDescent="0.3">
      <c r="A46" s="53"/>
      <c r="B46" s="7"/>
    </row>
    <row r="47" spans="1:7" x14ac:dyDescent="0.3">
      <c r="A47" s="77"/>
      <c r="B47" s="77"/>
      <c r="C47" s="77"/>
    </row>
    <row r="48" spans="1:7" s="10" customFormat="1" x14ac:dyDescent="0.3">
      <c r="A48" s="85"/>
      <c r="B48" s="75"/>
      <c r="C48" s="75"/>
      <c r="D48" s="89"/>
      <c r="E48" s="13"/>
    </row>
    <row r="49" spans="1:38" s="10" customFormat="1" x14ac:dyDescent="0.3">
      <c r="A49" s="77"/>
      <c r="B49" s="77"/>
      <c r="C49" s="77"/>
      <c r="D49" s="89"/>
      <c r="E49" s="13"/>
    </row>
    <row r="50" spans="1:38" x14ac:dyDescent="0.3">
      <c r="A50" s="77"/>
      <c r="B50" s="78"/>
    </row>
    <row r="51" spans="1:38" x14ac:dyDescent="0.3">
      <c r="A51" s="78"/>
      <c r="B51" s="78"/>
    </row>
    <row r="52" spans="1:38" x14ac:dyDescent="0.3">
      <c r="A52" s="78"/>
      <c r="B52" s="78"/>
    </row>
    <row r="53" spans="1:38" x14ac:dyDescent="0.3">
      <c r="A53" s="78"/>
      <c r="B53" s="78"/>
    </row>
    <row r="54" spans="1:38" hidden="1" x14ac:dyDescent="0.3">
      <c r="A54" s="78"/>
      <c r="B54" s="78"/>
    </row>
    <row r="55" spans="1:38" ht="15" hidden="1" thickBot="1" x14ac:dyDescent="0.35">
      <c r="A55" s="78"/>
      <c r="B55" s="78"/>
    </row>
    <row r="56" spans="1:38" ht="28.8" hidden="1" x14ac:dyDescent="0.3">
      <c r="A56" s="78"/>
      <c r="B56" s="78"/>
      <c r="D56" s="101" t="s">
        <v>44</v>
      </c>
      <c r="E56" s="102" t="s">
        <v>45</v>
      </c>
      <c r="F56" s="102" t="s">
        <v>46</v>
      </c>
      <c r="G56" s="103" t="s">
        <v>47</v>
      </c>
      <c r="H56" s="103" t="s">
        <v>8</v>
      </c>
      <c r="I56" s="103" t="s">
        <v>41</v>
      </c>
      <c r="J56" s="100" t="s">
        <v>96</v>
      </c>
      <c r="K56" s="100"/>
      <c r="L56" s="100"/>
      <c r="M56" s="100"/>
      <c r="N56" s="100" t="s">
        <v>80</v>
      </c>
      <c r="O56" s="118" t="s">
        <v>59</v>
      </c>
      <c r="P56" s="119"/>
      <c r="Q56" s="119"/>
      <c r="R56" s="120"/>
      <c r="T56" s="59" t="s">
        <v>29</v>
      </c>
      <c r="U56" s="76">
        <v>1.4829000000000001</v>
      </c>
      <c r="V56" s="67" t="s">
        <v>14</v>
      </c>
    </row>
    <row r="57" spans="1:38" ht="28.8" hidden="1" x14ac:dyDescent="0.3">
      <c r="A57" s="78"/>
      <c r="B57" s="78"/>
      <c r="D57" s="101">
        <v>2</v>
      </c>
      <c r="E57" s="101">
        <v>1</v>
      </c>
      <c r="F57" s="101">
        <v>1</v>
      </c>
      <c r="G57" s="24">
        <v>4</v>
      </c>
      <c r="H57" s="103">
        <v>25</v>
      </c>
      <c r="I57" s="101">
        <v>2.5</v>
      </c>
      <c r="J57" s="100">
        <v>10</v>
      </c>
      <c r="K57" s="100"/>
      <c r="L57" s="100"/>
      <c r="M57" s="100"/>
      <c r="N57" s="100" t="s">
        <v>81</v>
      </c>
      <c r="O57" s="38" t="s">
        <v>55</v>
      </c>
      <c r="P57" s="39" t="s">
        <v>56</v>
      </c>
      <c r="Q57" s="39" t="s">
        <v>57</v>
      </c>
      <c r="R57" s="40" t="s">
        <v>58</v>
      </c>
      <c r="T57" s="59" t="s">
        <v>37</v>
      </c>
      <c r="U57" s="76">
        <v>0.99</v>
      </c>
      <c r="V57" s="67"/>
      <c r="AL57" s="26"/>
    </row>
    <row r="58" spans="1:38" ht="28.8" hidden="1" x14ac:dyDescent="0.3">
      <c r="A58" s="78"/>
      <c r="B58" s="78"/>
      <c r="D58" s="101">
        <v>4</v>
      </c>
      <c r="E58" s="101">
        <v>2</v>
      </c>
      <c r="F58" s="101">
        <v>2</v>
      </c>
      <c r="G58" s="24">
        <v>8</v>
      </c>
      <c r="H58" s="103">
        <v>50</v>
      </c>
      <c r="I58" s="101">
        <v>1.2</v>
      </c>
      <c r="J58" s="100">
        <v>15</v>
      </c>
      <c r="K58" s="100"/>
      <c r="L58" s="100"/>
      <c r="M58" s="100"/>
      <c r="N58" s="100" t="s">
        <v>82</v>
      </c>
      <c r="O58" s="30">
        <f>B11</f>
        <v>2</v>
      </c>
      <c r="P58" s="28">
        <f>IF(B10&gt;2,U64,"")</f>
        <v>1</v>
      </c>
      <c r="Q58" s="28">
        <f>IF(B10&gt;2,U64,"")</f>
        <v>1</v>
      </c>
      <c r="R58" s="31">
        <f>B11</f>
        <v>2</v>
      </c>
      <c r="T58" s="59" t="s">
        <v>30</v>
      </c>
      <c r="U58" s="76">
        <v>20</v>
      </c>
      <c r="V58" s="67" t="s">
        <v>4</v>
      </c>
      <c r="AL58" s="26"/>
    </row>
    <row r="59" spans="1:38" ht="43.5" hidden="1" customHeight="1" thickBot="1" x14ac:dyDescent="0.35">
      <c r="A59" s="78"/>
      <c r="B59" s="78"/>
      <c r="D59" s="101"/>
      <c r="E59" s="101"/>
      <c r="F59" s="101"/>
      <c r="G59" s="24">
        <v>16</v>
      </c>
      <c r="H59" s="101">
        <v>125</v>
      </c>
      <c r="I59" s="101">
        <v>0.75</v>
      </c>
      <c r="J59" s="100">
        <v>20</v>
      </c>
      <c r="K59" s="100"/>
      <c r="L59" s="100"/>
      <c r="M59" s="100"/>
      <c r="N59" s="100"/>
      <c r="O59" s="121" t="s">
        <v>54</v>
      </c>
      <c r="P59" s="122"/>
      <c r="Q59" s="123"/>
      <c r="R59" s="48" t="s">
        <v>65</v>
      </c>
      <c r="T59" s="59" t="s">
        <v>31</v>
      </c>
      <c r="U59" s="64">
        <v>30</v>
      </c>
      <c r="V59" s="67" t="s">
        <v>4</v>
      </c>
      <c r="W59" t="s">
        <v>97</v>
      </c>
      <c r="X59">
        <f>(U61-U60)/(125-25)</f>
        <v>0.17499999999999999</v>
      </c>
    </row>
    <row r="60" spans="1:38" ht="58.2" hidden="1" thickBot="1" x14ac:dyDescent="0.35">
      <c r="A60" s="78"/>
      <c r="B60" s="78"/>
      <c r="D60" s="101"/>
      <c r="E60" s="101"/>
      <c r="F60" s="101"/>
      <c r="G60" s="24">
        <v>32</v>
      </c>
      <c r="H60" s="103">
        <v>200</v>
      </c>
      <c r="I60" s="101">
        <v>0.5</v>
      </c>
      <c r="J60" s="100">
        <v>25</v>
      </c>
      <c r="K60" s="100"/>
      <c r="L60" s="100"/>
      <c r="M60" s="100"/>
      <c r="N60" s="100"/>
      <c r="O60" s="41" t="s">
        <v>51</v>
      </c>
      <c r="P60" s="42" t="s">
        <v>50</v>
      </c>
      <c r="Q60" s="42" t="s">
        <v>67</v>
      </c>
      <c r="R60" s="47" t="s">
        <v>66</v>
      </c>
      <c r="T60" s="59" t="s">
        <v>32</v>
      </c>
      <c r="U60" s="64">
        <v>47.5</v>
      </c>
      <c r="V60" s="67" t="s">
        <v>5</v>
      </c>
      <c r="W60" s="111" t="s">
        <v>113</v>
      </c>
      <c r="X60">
        <f>U74+U78+U79+U81+U82+U83</f>
        <v>0.55912499999999987</v>
      </c>
    </row>
    <row r="61" spans="1:38" hidden="1" x14ac:dyDescent="0.3">
      <c r="A61" s="78"/>
      <c r="B61" s="78"/>
      <c r="D61" s="101"/>
      <c r="E61" s="101"/>
      <c r="F61" s="101"/>
      <c r="G61" s="24">
        <v>64</v>
      </c>
      <c r="H61" s="101"/>
      <c r="I61" s="101"/>
      <c r="J61" s="100">
        <v>30</v>
      </c>
      <c r="K61" s="100"/>
      <c r="L61" s="100"/>
      <c r="M61" s="100"/>
      <c r="N61" s="100"/>
      <c r="O61" s="30" t="str">
        <f>_xlfn.TEXTJOIN(",",TRUE,O58:R58)</f>
        <v>2,1,1,2</v>
      </c>
      <c r="P61" s="28">
        <f>B12</f>
        <v>8</v>
      </c>
      <c r="Q61" s="28"/>
      <c r="R61" s="31">
        <f>VLOOKUP(P61&amp;O61,N64:Q83,4,FALSE)</f>
        <v>10.1</v>
      </c>
      <c r="T61" s="60" t="s">
        <v>33</v>
      </c>
      <c r="U61" s="65">
        <v>65</v>
      </c>
      <c r="V61" s="70" t="s">
        <v>5</v>
      </c>
    </row>
    <row r="62" spans="1:38" hidden="1" x14ac:dyDescent="0.3">
      <c r="A62" s="78"/>
      <c r="B62" s="78"/>
      <c r="J62" s="100">
        <v>35</v>
      </c>
      <c r="O62" s="115" t="s">
        <v>49</v>
      </c>
      <c r="P62" s="116"/>
      <c r="Q62" s="116"/>
      <c r="R62" s="117"/>
      <c r="T62" s="59" t="s">
        <v>6</v>
      </c>
      <c r="U62" s="64">
        <v>25</v>
      </c>
      <c r="V62" s="67" t="s">
        <v>7</v>
      </c>
    </row>
    <row r="63" spans="1:38" hidden="1" x14ac:dyDescent="0.3">
      <c r="A63" s="78"/>
      <c r="B63" s="78"/>
      <c r="J63" s="100">
        <v>40</v>
      </c>
      <c r="N63" s="10" t="s">
        <v>68</v>
      </c>
      <c r="O63" s="43" t="s">
        <v>64</v>
      </c>
      <c r="P63" s="44" t="s">
        <v>51</v>
      </c>
      <c r="Q63" s="45" t="s">
        <v>62</v>
      </c>
      <c r="R63" s="46"/>
      <c r="T63" s="59" t="s">
        <v>34</v>
      </c>
      <c r="U63" s="64">
        <v>1.25</v>
      </c>
      <c r="V63" s="67" t="s">
        <v>35</v>
      </c>
    </row>
    <row r="64" spans="1:38" hidden="1" x14ac:dyDescent="0.3">
      <c r="A64" s="78"/>
      <c r="B64" s="78"/>
      <c r="J64" s="100">
        <v>45</v>
      </c>
      <c r="N64" s="10" t="str">
        <f t="shared" ref="N64:N83" si="0">O64&amp;P64</f>
        <v>41,1</v>
      </c>
      <c r="O64" s="30">
        <v>4</v>
      </c>
      <c r="P64" s="28" t="s">
        <v>52</v>
      </c>
      <c r="Q64" s="23" t="s">
        <v>63</v>
      </c>
      <c r="R64" s="29"/>
      <c r="T64" s="58" t="str">
        <f>IF(B10&gt;2,"Internal Layers Cu Thickness","")</f>
        <v>Internal Layers Cu Thickness</v>
      </c>
      <c r="U64" s="63">
        <v>1</v>
      </c>
      <c r="V64" s="69" t="str">
        <f>IF(B10&gt;2,"oz","")</f>
        <v>oz</v>
      </c>
    </row>
    <row r="65" spans="1:33" ht="15" hidden="1" thickBot="1" x14ac:dyDescent="0.35">
      <c r="A65" s="78"/>
      <c r="B65" s="78"/>
      <c r="J65" s="100">
        <v>50</v>
      </c>
      <c r="N65" s="10" t="str">
        <f t="shared" si="0"/>
        <v>42,2</v>
      </c>
      <c r="O65" s="30">
        <v>4</v>
      </c>
      <c r="P65" s="28" t="s">
        <v>53</v>
      </c>
      <c r="Q65" s="36">
        <v>-1</v>
      </c>
      <c r="R65" s="31"/>
      <c r="T65" s="49" t="s">
        <v>23</v>
      </c>
      <c r="U65" s="6">
        <f>R61</f>
        <v>10.1</v>
      </c>
      <c r="V65" s="67" t="s">
        <v>10</v>
      </c>
    </row>
    <row r="66" spans="1:33" ht="15" hidden="1" thickBot="1" x14ac:dyDescent="0.35">
      <c r="A66" s="78"/>
      <c r="B66" s="78"/>
      <c r="J66" s="100">
        <v>55</v>
      </c>
      <c r="N66" s="10" t="str">
        <f t="shared" si="0"/>
        <v>41,1,1,1</v>
      </c>
      <c r="O66" s="30">
        <v>4</v>
      </c>
      <c r="P66" s="28" t="s">
        <v>60</v>
      </c>
      <c r="Q66" s="23">
        <v>54.2</v>
      </c>
      <c r="R66" s="31"/>
      <c r="T66" s="9" t="s">
        <v>3</v>
      </c>
      <c r="U66" s="3" t="s">
        <v>1</v>
      </c>
      <c r="V66" s="68" t="s">
        <v>2</v>
      </c>
    </row>
    <row r="67" spans="1:33" hidden="1" x14ac:dyDescent="0.3">
      <c r="A67" s="78"/>
      <c r="B67" s="78"/>
      <c r="J67" s="100">
        <v>60</v>
      </c>
      <c r="N67" s="10" t="str">
        <f t="shared" si="0"/>
        <v>42,1,1,2</v>
      </c>
      <c r="O67" s="30">
        <v>4</v>
      </c>
      <c r="P67" s="28" t="s">
        <v>61</v>
      </c>
      <c r="Q67" s="23">
        <v>10.4</v>
      </c>
      <c r="R67" s="31"/>
      <c r="T67" s="50" t="s">
        <v>26</v>
      </c>
      <c r="U67" s="15">
        <f>ROUND((B2/SQRT(3))*U57,2)</f>
        <v>6.86</v>
      </c>
      <c r="V67" s="69" t="s">
        <v>0</v>
      </c>
    </row>
    <row r="68" spans="1:33" ht="28.8" hidden="1" x14ac:dyDescent="0.3">
      <c r="A68" s="78"/>
      <c r="B68" s="78"/>
      <c r="J68" s="100">
        <v>65</v>
      </c>
      <c r="N68" s="10" t="str">
        <f t="shared" si="0"/>
        <v>81,1</v>
      </c>
      <c r="O68" s="30">
        <v>8</v>
      </c>
      <c r="P68" s="28" t="s">
        <v>52</v>
      </c>
      <c r="Q68" s="23">
        <v>52.7</v>
      </c>
      <c r="R68" s="31"/>
      <c r="T68" s="50" t="s">
        <v>25</v>
      </c>
      <c r="U68" s="15">
        <f>ROUND(U67/1.41,2)</f>
        <v>4.87</v>
      </c>
      <c r="V68" s="69" t="s">
        <v>0</v>
      </c>
    </row>
    <row r="69" spans="1:33" hidden="1" x14ac:dyDescent="0.3">
      <c r="A69" s="78"/>
      <c r="B69" s="78"/>
      <c r="J69" s="100">
        <v>70</v>
      </c>
      <c r="N69" s="10" t="str">
        <f t="shared" si="0"/>
        <v>82,2</v>
      </c>
      <c r="O69" s="30">
        <v>8</v>
      </c>
      <c r="P69" s="28" t="s">
        <v>53</v>
      </c>
      <c r="Q69" s="36">
        <v>-1</v>
      </c>
      <c r="R69" s="31"/>
      <c r="T69" s="4"/>
      <c r="U69" s="5"/>
      <c r="V69" s="67"/>
    </row>
    <row r="70" spans="1:33" hidden="1" x14ac:dyDescent="0.3">
      <c r="A70" s="78"/>
      <c r="B70" s="78"/>
      <c r="J70" s="100">
        <v>75</v>
      </c>
      <c r="N70" s="10" t="str">
        <f t="shared" si="0"/>
        <v>81,1,1,1</v>
      </c>
      <c r="O70" s="30">
        <v>8</v>
      </c>
      <c r="P70" s="28" t="s">
        <v>60</v>
      </c>
      <c r="Q70" s="23">
        <v>42.5</v>
      </c>
      <c r="R70" s="31"/>
      <c r="T70" s="50" t="s">
        <v>27</v>
      </c>
      <c r="U70" s="7">
        <f>B3*1.414</f>
        <v>2.8279999999999998</v>
      </c>
      <c r="V70" s="67" t="s">
        <v>14</v>
      </c>
    </row>
    <row r="71" spans="1:33" hidden="1" x14ac:dyDescent="0.3">
      <c r="A71" s="78"/>
      <c r="B71" s="78"/>
      <c r="N71" s="10" t="str">
        <f t="shared" si="0"/>
        <v>82,1,1,2</v>
      </c>
      <c r="O71" s="30">
        <v>8</v>
      </c>
      <c r="P71" s="28" t="s">
        <v>61</v>
      </c>
      <c r="Q71" s="23">
        <v>10.1</v>
      </c>
      <c r="R71" s="31"/>
      <c r="T71" s="51" t="s">
        <v>15</v>
      </c>
      <c r="U71" s="17">
        <f>B2/B6</f>
        <v>0.06</v>
      </c>
      <c r="V71" s="70" t="s">
        <v>16</v>
      </c>
    </row>
    <row r="72" spans="1:33" ht="15" hidden="1" thickBot="1" x14ac:dyDescent="0.35">
      <c r="A72" s="78"/>
      <c r="B72" s="78"/>
      <c r="N72" s="10" t="str">
        <f t="shared" si="0"/>
        <v>161,1</v>
      </c>
      <c r="O72" s="30">
        <v>16</v>
      </c>
      <c r="P72" s="28" t="s">
        <v>52</v>
      </c>
      <c r="Q72" s="23">
        <v>45.9</v>
      </c>
      <c r="R72" s="31"/>
      <c r="T72" s="50"/>
      <c r="U72" s="7"/>
      <c r="V72" s="67"/>
    </row>
    <row r="73" spans="1:33" ht="15" hidden="1" thickBot="1" x14ac:dyDescent="0.35">
      <c r="A73" s="78"/>
      <c r="B73" s="78"/>
      <c r="N73" s="10" t="str">
        <f t="shared" si="0"/>
        <v>162,2</v>
      </c>
      <c r="O73" s="30">
        <v>16</v>
      </c>
      <c r="P73" s="28" t="s">
        <v>53</v>
      </c>
      <c r="Q73" s="36">
        <v>-1</v>
      </c>
      <c r="R73" s="32"/>
      <c r="T73" s="52" t="s">
        <v>19</v>
      </c>
      <c r="U73" s="18" t="s">
        <v>1</v>
      </c>
      <c r="V73" s="68" t="s">
        <v>2</v>
      </c>
    </row>
    <row r="74" spans="1:33" hidden="1" x14ac:dyDescent="0.3">
      <c r="A74" s="78"/>
      <c r="B74" s="78"/>
      <c r="N74" s="10" t="str">
        <f t="shared" si="0"/>
        <v>161,1,1,1</v>
      </c>
      <c r="O74" s="30">
        <v>16</v>
      </c>
      <c r="P74" s="28" t="s">
        <v>60</v>
      </c>
      <c r="Q74" s="23">
        <v>42.1</v>
      </c>
      <c r="R74" s="31"/>
      <c r="T74" s="50" t="s">
        <v>20</v>
      </c>
      <c r="U74" s="7">
        <f>B2*U59/1000</f>
        <v>0.36</v>
      </c>
      <c r="V74" s="67"/>
    </row>
    <row r="75" spans="1:33" ht="15" hidden="1" thickBot="1" x14ac:dyDescent="0.35">
      <c r="A75" s="78"/>
      <c r="B75" s="78"/>
      <c r="N75" s="10" t="str">
        <f t="shared" si="0"/>
        <v>162,1,1,2</v>
      </c>
      <c r="O75" s="30">
        <v>16</v>
      </c>
      <c r="P75" s="28" t="s">
        <v>61</v>
      </c>
      <c r="Q75" s="23">
        <v>9.9</v>
      </c>
      <c r="R75" s="31"/>
      <c r="T75" s="50"/>
      <c r="U75" s="7"/>
      <c r="V75" s="67"/>
    </row>
    <row r="76" spans="1:33" ht="15" hidden="1" thickBot="1" x14ac:dyDescent="0.35">
      <c r="A76" s="78"/>
      <c r="B76" s="78"/>
      <c r="N76" s="10" t="str">
        <f t="shared" si="0"/>
        <v>321,1</v>
      </c>
      <c r="O76" s="30">
        <v>32</v>
      </c>
      <c r="P76" s="28" t="s">
        <v>52</v>
      </c>
      <c r="Q76" s="23">
        <v>42.1</v>
      </c>
      <c r="R76" s="31"/>
      <c r="T76" s="52" t="s">
        <v>21</v>
      </c>
      <c r="U76" s="18" t="s">
        <v>1</v>
      </c>
      <c r="V76" s="68" t="s">
        <v>2</v>
      </c>
    </row>
    <row r="77" spans="1:33" hidden="1" x14ac:dyDescent="0.3">
      <c r="A77" s="78"/>
      <c r="B77" s="78"/>
      <c r="N77" s="10" t="str">
        <f t="shared" si="0"/>
        <v>322,2</v>
      </c>
      <c r="O77" s="30">
        <v>32</v>
      </c>
      <c r="P77" s="28" t="s">
        <v>53</v>
      </c>
      <c r="Q77" s="36">
        <v>-1</v>
      </c>
      <c r="R77" s="31"/>
      <c r="T77" s="50" t="s">
        <v>17</v>
      </c>
      <c r="U77" s="7">
        <f>ROUND(3*B3*B3*U61/(1000),3)</f>
        <v>0.78</v>
      </c>
      <c r="V77" s="67" t="s">
        <v>13</v>
      </c>
      <c r="AG77" s="22"/>
    </row>
    <row r="78" spans="1:33" hidden="1" x14ac:dyDescent="0.3">
      <c r="A78" s="78"/>
      <c r="B78" s="78"/>
      <c r="N78" s="10" t="str">
        <f t="shared" si="0"/>
        <v>321,1,1,1</v>
      </c>
      <c r="O78" s="30">
        <v>32</v>
      </c>
      <c r="P78" s="28" t="s">
        <v>60</v>
      </c>
      <c r="Q78" s="23">
        <v>29.5</v>
      </c>
      <c r="R78" s="31"/>
      <c r="T78" s="50" t="s">
        <v>18</v>
      </c>
      <c r="U78" s="7">
        <f>ROUND(3*B2*B3*U71*B5/(1000),3)</f>
        <v>8.5999999999999993E-2</v>
      </c>
      <c r="V78" s="67" t="s">
        <v>13</v>
      </c>
      <c r="AG78" s="24"/>
    </row>
    <row r="79" spans="1:33" hidden="1" x14ac:dyDescent="0.3">
      <c r="A79" s="78"/>
      <c r="B79" s="78"/>
      <c r="N79" s="10" t="str">
        <f t="shared" si="0"/>
        <v>322,1,1,2</v>
      </c>
      <c r="O79" s="30">
        <v>32</v>
      </c>
      <c r="P79" s="28" t="s">
        <v>61</v>
      </c>
      <c r="Q79" s="23">
        <v>9.8000000000000007</v>
      </c>
      <c r="R79" s="31"/>
      <c r="T79" s="50" t="s">
        <v>36</v>
      </c>
      <c r="U79" s="7">
        <f>U63*5*B5*0.000000001*1000</f>
        <v>1.2500000000000003E-4</v>
      </c>
      <c r="V79" s="67" t="s">
        <v>13</v>
      </c>
      <c r="AG79" s="24"/>
    </row>
    <row r="80" spans="1:33" ht="15" hidden="1" thickBot="1" x14ac:dyDescent="0.35">
      <c r="A80" s="78"/>
      <c r="B80" s="78"/>
      <c r="N80" s="10" t="str">
        <f t="shared" si="0"/>
        <v>641,1</v>
      </c>
      <c r="O80" s="30">
        <v>64</v>
      </c>
      <c r="P80" s="28" t="s">
        <v>52</v>
      </c>
      <c r="Q80" s="23">
        <v>40.200000000000003</v>
      </c>
      <c r="R80" s="31"/>
      <c r="T80" s="50" t="s">
        <v>22</v>
      </c>
      <c r="U80" s="7">
        <f>U77+U78+U79</f>
        <v>0.86612500000000003</v>
      </c>
      <c r="V80" s="67" t="s">
        <v>13</v>
      </c>
      <c r="AG80" s="25"/>
    </row>
    <row r="81" spans="1:33" ht="15" hidden="1" thickBot="1" x14ac:dyDescent="0.35">
      <c r="A81" s="78"/>
      <c r="B81" s="78"/>
      <c r="N81" s="10" t="str">
        <f t="shared" si="0"/>
        <v>642,2</v>
      </c>
      <c r="O81" s="30">
        <v>64</v>
      </c>
      <c r="P81" s="28" t="s">
        <v>53</v>
      </c>
      <c r="Q81" s="36">
        <v>-1</v>
      </c>
      <c r="R81" s="31"/>
      <c r="T81" s="54" t="s">
        <v>38</v>
      </c>
      <c r="U81" s="66">
        <f>3*B3*B7*B5*0.7/1000</f>
        <v>4.2000000000000003E-2</v>
      </c>
      <c r="V81" s="67"/>
      <c r="AG81" s="25"/>
    </row>
    <row r="82" spans="1:33" ht="15" hidden="1" thickBot="1" x14ac:dyDescent="0.35">
      <c r="A82" s="78"/>
      <c r="B82" s="78"/>
      <c r="N82" s="10" t="str">
        <f t="shared" si="0"/>
        <v>641,1,1,1</v>
      </c>
      <c r="O82" s="30">
        <v>64</v>
      </c>
      <c r="P82" s="28" t="s">
        <v>60</v>
      </c>
      <c r="Q82" s="23">
        <v>26.6</v>
      </c>
      <c r="R82" s="31"/>
      <c r="T82" s="55" t="s">
        <v>39</v>
      </c>
      <c r="U82" s="66">
        <v>8.5000000000000006E-3</v>
      </c>
      <c r="V82" s="67"/>
      <c r="AG82" s="25"/>
    </row>
    <row r="83" spans="1:33" ht="15" hidden="1" thickBot="1" x14ac:dyDescent="0.35">
      <c r="A83" s="78"/>
      <c r="B83" s="78"/>
      <c r="N83" s="10" t="str">
        <f t="shared" si="0"/>
        <v>642,1,1,2</v>
      </c>
      <c r="O83" s="33">
        <v>64</v>
      </c>
      <c r="P83" s="34" t="s">
        <v>61</v>
      </c>
      <c r="Q83" s="37">
        <v>9.8000000000000007</v>
      </c>
      <c r="R83" s="35"/>
      <c r="T83" s="54" t="s">
        <v>40</v>
      </c>
      <c r="U83" s="66">
        <v>6.25E-2</v>
      </c>
      <c r="V83" s="67"/>
      <c r="AG83" s="25"/>
    </row>
    <row r="84" spans="1:33" hidden="1" x14ac:dyDescent="0.3">
      <c r="A84" s="78"/>
      <c r="B84" s="78"/>
      <c r="T84" s="49" t="s">
        <v>24</v>
      </c>
      <c r="U84" s="8">
        <f>ROUND((3*U68*B3)-E2,2)</f>
        <v>28.03</v>
      </c>
      <c r="V84" s="67" t="s">
        <v>13</v>
      </c>
      <c r="AG84" s="25"/>
    </row>
    <row r="85" spans="1:33" hidden="1" x14ac:dyDescent="0.3">
      <c r="AG85" s="25"/>
    </row>
    <row r="86" spans="1:33" hidden="1" x14ac:dyDescent="0.3">
      <c r="AG86" s="25"/>
    </row>
    <row r="87" spans="1:33" hidden="1" x14ac:dyDescent="0.3">
      <c r="AG87" s="25"/>
    </row>
    <row r="88" spans="1:33" hidden="1" x14ac:dyDescent="0.3"/>
  </sheetData>
  <mergeCells count="6">
    <mergeCell ref="AC4:AD4"/>
    <mergeCell ref="O62:R62"/>
    <mergeCell ref="O56:R56"/>
    <mergeCell ref="O59:Q59"/>
    <mergeCell ref="Y4:Z4"/>
    <mergeCell ref="AA4:AB4"/>
  </mergeCells>
  <conditionalFormatting sqref="E3">
    <cfRule type="cellIs" dxfId="3" priority="1" operator="lessThan">
      <formula>125</formula>
    </cfRule>
    <cfRule type="cellIs" dxfId="2" priority="2" operator="greaterThan">
      <formula>125</formula>
    </cfRule>
  </conditionalFormatting>
  <dataValidations count="11">
    <dataValidation type="list" allowBlank="1" showInputMessage="1" showErrorMessage="1" prompt="Select an output slew rate setting (V/us)" sqref="B6" xr:uid="{9BB9235A-691E-4EBC-B812-4D6BFC40AD26}">
      <formula1>$H$57:$H$60</formula1>
    </dataValidation>
    <dataValidation allowBlank="1" showInputMessage="1" showErrorMessage="1" prompt="Enter the operating ambient temperature" sqref="U62" xr:uid="{7839BA59-CC85-49DD-8F5C-6C66A545BCCC}"/>
    <dataValidation type="decimal" allowBlank="1" showInputMessage="1" showErrorMessage="1" error="This voltage is outside the operating range of the DRV8316" prompt="Enter a motor supply voltage between 4.5 to 35 volts" sqref="B2" xr:uid="{487D5C5F-417E-4135-8C63-3717D50B8E9F}">
      <formula1>4.5</formula1>
      <formula2>35</formula2>
    </dataValidation>
    <dataValidation type="list" allowBlank="1" showInputMessage="1" showErrorMessage="1" prompt="Select PCB area (cm2)" sqref="B12" xr:uid="{3A17580B-A763-4D0A-B3DD-08075F7EF512}">
      <formula1>$G$57:$G$61</formula1>
    </dataValidation>
    <dataValidation type="list" allowBlank="1" showInputMessage="1" showErrorMessage="1" prompt="Select copper thickness of internal layers if more than 2 layer PCB (oz)" sqref="U64" xr:uid="{3A00E329-8D84-4F35-ABAD-284E615AB225}">
      <formula1>$F$57:$F$58</formula1>
    </dataValidation>
    <dataValidation type="list" allowBlank="1" showInputMessage="1" showErrorMessage="1" prompt="Select # of PCB Layers" sqref="B10" xr:uid="{FE3D5C4C-E325-4B6F-9A35-90BAD5DDF92E}">
      <formula1>$D$57:$D$58</formula1>
    </dataValidation>
    <dataValidation type="list" allowBlank="1" showInputMessage="1" showErrorMessage="1" prompt="Select copper thickness of top/bottom layers (oz)" sqref="B11:B12 AB4 U64 AB9" xr:uid="{52FE9F05-1537-4E84-AD2B-188ACF91C500}">
      <formula1>$E$57:$E$58</formula1>
    </dataValidation>
    <dataValidation type="decimal" allowBlank="1" showInputMessage="1" showErrorMessage="1" error="This current is outside the operating range of the DRV8316" prompt="Enter an RMS current between 0 and 5.657 amps" sqref="B3" xr:uid="{80511F84-2E67-4739-BC67-17C96FB4608C}">
      <formula1>0</formula1>
      <formula2>5.657</formula2>
    </dataValidation>
    <dataValidation type="list" allowBlank="1" showInputMessage="1" showErrorMessage="1" prompt="Select PWM modulation type" sqref="B4" xr:uid="{55DE2D2C-768C-4244-A0E9-631BF668CA7B}">
      <formula1>$N$57:$N$58</formula1>
    </dataValidation>
    <dataValidation type="list" allowBlank="1" showInputMessage="1" showErrorMessage="1" error="This PWM frequency is outside of the operating range of the DRV8316" prompt="Select a PWM frequency between 10kHz and 75kHz" sqref="B5" xr:uid="{5D94F724-275C-48EA-8C36-0E574DDE308D}">
      <formula1>$J$57:$J$70</formula1>
    </dataValidation>
    <dataValidation type="decimal" allowBlank="1" showInputMessage="1" showErrorMessage="1" error="This ambient temperature is outside the operating range of the DRV8316" prompt="Enter the ambient temperature of the DRV8316 for normal operation" sqref="B8" xr:uid="{E381539B-EEC1-409C-B7A1-1DCA9A322409}">
      <formula1>-40</formula1>
      <formula2>125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4415C-16F4-4699-99CA-C505EE56252D}">
  <dimension ref="A1:AL87"/>
  <sheetViews>
    <sheetView zoomScale="55" zoomScaleNormal="55" workbookViewId="0">
      <selection activeCell="C15" sqref="C15"/>
    </sheetView>
  </sheetViews>
  <sheetFormatPr defaultRowHeight="14.4" x14ac:dyDescent="0.3"/>
  <cols>
    <col min="1" max="1" width="56.33203125" style="4" customWidth="1"/>
    <col min="2" max="2" width="13.44140625" style="78" customWidth="1"/>
    <col min="3" max="3" width="7.33203125" style="78" bestFit="1" customWidth="1"/>
    <col min="4" max="4" width="20.88671875" style="74" customWidth="1"/>
    <col min="5" max="5" width="24.88671875" style="11" bestFit="1" customWidth="1"/>
    <col min="6" max="6" width="21.21875" bestFit="1" customWidth="1"/>
    <col min="7" max="7" width="8.6640625" bestFit="1" customWidth="1"/>
    <col min="8" max="8" width="9" bestFit="1" customWidth="1"/>
    <col min="9" max="9" width="9.44140625" bestFit="1" customWidth="1"/>
    <col min="10" max="12" width="8.77734375" hidden="1" customWidth="1"/>
    <col min="13" max="13" width="14.77734375" hidden="1" customWidth="1"/>
    <col min="14" max="14" width="9.21875" bestFit="1" customWidth="1"/>
    <col min="15" max="15" width="13.88671875" bestFit="1" customWidth="1"/>
    <col min="16" max="16" width="8.77734375" bestFit="1" customWidth="1"/>
    <col min="17" max="17" width="15.44140625" bestFit="1" customWidth="1"/>
    <col min="18" max="18" width="14.77734375" bestFit="1" customWidth="1"/>
    <col min="25" max="25" width="28.44140625" customWidth="1"/>
    <col min="26" max="27" width="22.6640625" customWidth="1"/>
    <col min="32" max="32" width="13.109375" customWidth="1"/>
    <col min="33" max="33" width="8.6640625" bestFit="1" customWidth="1"/>
    <col min="34" max="34" width="18.109375" style="26" bestFit="1" customWidth="1"/>
    <col min="35" max="35" width="10.21875" style="26" bestFit="1" customWidth="1"/>
    <col min="36" max="36" width="16.88671875" style="26" bestFit="1" customWidth="1"/>
    <col min="37" max="37" width="16.6640625" style="26" bestFit="1" customWidth="1"/>
  </cols>
  <sheetData>
    <row r="1" spans="1:37" ht="15" thickBot="1" x14ac:dyDescent="0.35">
      <c r="A1" s="104" t="s">
        <v>71</v>
      </c>
      <c r="B1" s="99" t="s">
        <v>69</v>
      </c>
      <c r="C1" s="68" t="s">
        <v>2</v>
      </c>
      <c r="D1" s="86" t="s">
        <v>72</v>
      </c>
      <c r="E1" s="2" t="s">
        <v>1</v>
      </c>
      <c r="F1" s="2" t="s">
        <v>2</v>
      </c>
    </row>
    <row r="2" spans="1:37" ht="14.4" customHeight="1" thickBot="1" x14ac:dyDescent="0.35">
      <c r="A2" s="95" t="s">
        <v>73</v>
      </c>
      <c r="B2" s="92">
        <v>5</v>
      </c>
      <c r="C2" s="67" t="s">
        <v>0</v>
      </c>
      <c r="D2" s="87" t="s">
        <v>74</v>
      </c>
      <c r="E2" s="20">
        <f>U74+SUM(U80:U83)</f>
        <v>2.4657150000000003</v>
      </c>
      <c r="F2" s="67" t="s">
        <v>13</v>
      </c>
    </row>
    <row r="3" spans="1:37" ht="14.4" customHeight="1" thickBot="1" x14ac:dyDescent="0.35">
      <c r="A3" s="93" t="s">
        <v>78</v>
      </c>
      <c r="B3" s="64">
        <v>3.18</v>
      </c>
      <c r="C3" s="97" t="s">
        <v>14</v>
      </c>
      <c r="D3" s="87" t="s">
        <v>28</v>
      </c>
      <c r="E3" s="7">
        <f>$U$62+ROUND($E$2*U65,2)</f>
        <v>25</v>
      </c>
      <c r="F3" s="71" t="s">
        <v>7</v>
      </c>
      <c r="X3" s="21"/>
      <c r="Y3" s="21"/>
      <c r="Z3" s="21"/>
      <c r="AA3" s="21"/>
      <c r="AB3" s="21"/>
      <c r="AC3" s="21"/>
      <c r="AD3" s="21"/>
    </row>
    <row r="4" spans="1:37" ht="14.4" customHeight="1" x14ac:dyDescent="0.3">
      <c r="A4" s="96" t="s">
        <v>75</v>
      </c>
      <c r="B4" s="64" t="s">
        <v>81</v>
      </c>
      <c r="C4" s="97"/>
      <c r="D4" s="82"/>
      <c r="E4" s="82"/>
      <c r="F4" s="82"/>
      <c r="G4" s="73"/>
      <c r="X4" s="21"/>
      <c r="Y4" s="79" t="s">
        <v>89</v>
      </c>
      <c r="Z4" s="72" t="s">
        <v>90</v>
      </c>
      <c r="AA4" s="72" t="s">
        <v>91</v>
      </c>
      <c r="AB4" s="15"/>
      <c r="AC4" s="15"/>
      <c r="AD4" s="21"/>
    </row>
    <row r="5" spans="1:37" ht="14.4" customHeight="1" x14ac:dyDescent="0.3">
      <c r="A5" s="95" t="s">
        <v>11</v>
      </c>
      <c r="B5" s="92">
        <v>60</v>
      </c>
      <c r="C5" s="67" t="s">
        <v>12</v>
      </c>
      <c r="E5" s="74"/>
      <c r="F5" s="73"/>
      <c r="X5" s="21"/>
      <c r="Y5" s="21" t="s">
        <v>83</v>
      </c>
      <c r="Z5" s="21" t="s">
        <v>86</v>
      </c>
      <c r="AA5" s="21" t="s">
        <v>93</v>
      </c>
      <c r="AB5" s="21"/>
      <c r="AC5" s="21"/>
      <c r="AD5" s="21"/>
    </row>
    <row r="6" spans="1:37" ht="14.4" customHeight="1" x14ac:dyDescent="0.3">
      <c r="A6" s="59" t="s">
        <v>76</v>
      </c>
      <c r="B6" s="64">
        <v>200</v>
      </c>
      <c r="C6" s="97" t="s">
        <v>9</v>
      </c>
      <c r="X6" s="21"/>
      <c r="Y6" s="21" t="s">
        <v>84</v>
      </c>
      <c r="Z6" s="21" t="s">
        <v>87</v>
      </c>
      <c r="AA6" s="21" t="s">
        <v>94</v>
      </c>
      <c r="AB6" s="21"/>
      <c r="AC6" s="21"/>
      <c r="AD6" s="21"/>
    </row>
    <row r="7" spans="1:37" ht="14.4" customHeight="1" x14ac:dyDescent="0.3">
      <c r="A7" s="80" t="s">
        <v>41</v>
      </c>
      <c r="B7" s="107">
        <f>VLOOKUP(B6,H57:I60,2,FALSE)</f>
        <v>0.5</v>
      </c>
      <c r="C7" s="94" t="s">
        <v>16</v>
      </c>
      <c r="X7" s="21"/>
      <c r="Y7" s="79" t="s">
        <v>85</v>
      </c>
      <c r="Z7" s="72" t="s">
        <v>92</v>
      </c>
      <c r="AA7" s="72" t="s">
        <v>88</v>
      </c>
      <c r="AB7" s="72"/>
      <c r="AC7" s="15"/>
      <c r="AD7" s="21"/>
    </row>
    <row r="8" spans="1:37" ht="14.4" customHeight="1" thickBot="1" x14ac:dyDescent="0.35">
      <c r="A8" s="61" t="s">
        <v>6</v>
      </c>
      <c r="B8" s="98">
        <v>27</v>
      </c>
      <c r="C8" s="81" t="s">
        <v>79</v>
      </c>
      <c r="X8" s="21"/>
      <c r="Y8" s="79"/>
      <c r="Z8" s="72"/>
      <c r="AA8" s="72"/>
      <c r="AB8" s="15"/>
      <c r="AC8" s="15"/>
      <c r="AD8" s="21"/>
    </row>
    <row r="9" spans="1:37" ht="14.4" customHeight="1" thickBot="1" x14ac:dyDescent="0.35">
      <c r="A9" s="56" t="s">
        <v>77</v>
      </c>
      <c r="B9" s="99"/>
      <c r="C9" s="68"/>
      <c r="X9" s="21"/>
      <c r="Y9" s="79"/>
      <c r="Z9" s="72"/>
      <c r="AA9" s="72"/>
      <c r="AB9" s="15"/>
      <c r="AC9" s="15"/>
      <c r="AD9" s="21"/>
    </row>
    <row r="10" spans="1:37" ht="14.4" customHeight="1" x14ac:dyDescent="0.3">
      <c r="A10" s="57" t="s">
        <v>44</v>
      </c>
      <c r="B10" s="62">
        <v>2</v>
      </c>
      <c r="C10" s="69" t="s">
        <v>42</v>
      </c>
      <c r="X10" s="21"/>
      <c r="Y10" s="21"/>
      <c r="Z10" s="21"/>
      <c r="AA10" s="21"/>
      <c r="AB10" s="21"/>
      <c r="AC10" s="21"/>
      <c r="AD10" s="21"/>
    </row>
    <row r="11" spans="1:37" ht="34.200000000000003" customHeight="1" x14ac:dyDescent="0.3">
      <c r="A11" s="58" t="s">
        <v>70</v>
      </c>
      <c r="B11" s="63">
        <v>2</v>
      </c>
      <c r="C11" s="105" t="s">
        <v>43</v>
      </c>
      <c r="X11" s="21"/>
      <c r="Y11" s="21"/>
      <c r="Z11" s="21"/>
      <c r="AA11" s="21"/>
      <c r="AB11" s="21"/>
      <c r="AC11" s="21"/>
      <c r="AD11" s="21"/>
    </row>
    <row r="12" spans="1:37" ht="14.4" customHeight="1" thickBot="1" x14ac:dyDescent="0.35">
      <c r="A12" s="90" t="s">
        <v>47</v>
      </c>
      <c r="B12" s="91">
        <v>64</v>
      </c>
      <c r="C12" s="106" t="s">
        <v>48</v>
      </c>
    </row>
    <row r="13" spans="1:37" s="1" customFormat="1" ht="25.5" customHeight="1" x14ac:dyDescent="0.3">
      <c r="C13" s="83"/>
      <c r="D13" s="83"/>
      <c r="AH13" s="27"/>
      <c r="AI13" s="27"/>
      <c r="AJ13" s="27"/>
      <c r="AK13" s="27"/>
    </row>
    <row r="19" spans="1:37" x14ac:dyDescent="0.3">
      <c r="A19" s="78"/>
    </row>
    <row r="20" spans="1:37" x14ac:dyDescent="0.3">
      <c r="A20" s="78"/>
    </row>
    <row r="21" spans="1:37" x14ac:dyDescent="0.3">
      <c r="A21" s="78"/>
    </row>
    <row r="22" spans="1:37" x14ac:dyDescent="0.3">
      <c r="A22" s="77"/>
      <c r="B22" s="77"/>
      <c r="C22" s="77"/>
    </row>
    <row r="23" spans="1:37" x14ac:dyDescent="0.3">
      <c r="A23" s="78"/>
    </row>
    <row r="24" spans="1:37" x14ac:dyDescent="0.3">
      <c r="A24" s="53"/>
      <c r="B24" s="7"/>
    </row>
    <row r="25" spans="1:37" x14ac:dyDescent="0.3">
      <c r="A25" s="78"/>
      <c r="H25" t="s">
        <v>95</v>
      </c>
    </row>
    <row r="26" spans="1:37" x14ac:dyDescent="0.3">
      <c r="A26" s="78"/>
    </row>
    <row r="27" spans="1:37" s="1" customFormat="1" x14ac:dyDescent="0.3">
      <c r="A27" s="83"/>
      <c r="B27" s="83"/>
      <c r="C27" s="83"/>
      <c r="D27" s="88"/>
      <c r="E27" s="12"/>
      <c r="AH27" s="27"/>
      <c r="AI27" s="27"/>
      <c r="AJ27" s="27"/>
      <c r="AK27" s="27"/>
    </row>
    <row r="28" spans="1:37" x14ac:dyDescent="0.3">
      <c r="A28" s="78"/>
    </row>
    <row r="29" spans="1:37" x14ac:dyDescent="0.3">
      <c r="A29" s="78"/>
    </row>
    <row r="30" spans="1:37" x14ac:dyDescent="0.3">
      <c r="A30" s="78"/>
    </row>
    <row r="31" spans="1:37" x14ac:dyDescent="0.3">
      <c r="A31" s="78"/>
    </row>
    <row r="32" spans="1:37" x14ac:dyDescent="0.3">
      <c r="A32" s="78"/>
    </row>
    <row r="33" spans="1:7" x14ac:dyDescent="0.3">
      <c r="A33" s="78"/>
    </row>
    <row r="34" spans="1:7" x14ac:dyDescent="0.3">
      <c r="A34" s="78"/>
    </row>
    <row r="35" spans="1:7" x14ac:dyDescent="0.3">
      <c r="A35" s="78"/>
    </row>
    <row r="36" spans="1:7" x14ac:dyDescent="0.3">
      <c r="A36" s="78"/>
    </row>
    <row r="37" spans="1:7" x14ac:dyDescent="0.3">
      <c r="A37" s="78"/>
    </row>
    <row r="38" spans="1:7" x14ac:dyDescent="0.3">
      <c r="A38" s="78"/>
    </row>
    <row r="39" spans="1:7" x14ac:dyDescent="0.3">
      <c r="A39" s="78"/>
    </row>
    <row r="40" spans="1:7" x14ac:dyDescent="0.3">
      <c r="A40" s="78"/>
    </row>
    <row r="41" spans="1:7" x14ac:dyDescent="0.3">
      <c r="A41" s="78"/>
    </row>
    <row r="42" spans="1:7" x14ac:dyDescent="0.3">
      <c r="A42" s="78"/>
    </row>
    <row r="43" spans="1:7" x14ac:dyDescent="0.3">
      <c r="A43" s="77"/>
      <c r="B43" s="77"/>
      <c r="C43" s="77"/>
      <c r="F43" s="11"/>
      <c r="G43" s="11"/>
    </row>
    <row r="44" spans="1:7" x14ac:dyDescent="0.3">
      <c r="A44" s="84"/>
      <c r="D44" s="25"/>
      <c r="E44" s="15"/>
      <c r="F44" s="15"/>
      <c r="G44" s="16"/>
    </row>
    <row r="45" spans="1:7" x14ac:dyDescent="0.3">
      <c r="A45" s="78"/>
      <c r="F45" s="14"/>
      <c r="G45" s="14"/>
    </row>
    <row r="46" spans="1:7" x14ac:dyDescent="0.3">
      <c r="A46" s="53"/>
      <c r="B46" s="7"/>
    </row>
    <row r="47" spans="1:7" x14ac:dyDescent="0.3">
      <c r="A47" s="77"/>
      <c r="B47" s="77"/>
      <c r="C47" s="77"/>
    </row>
    <row r="48" spans="1:7" s="10" customFormat="1" x14ac:dyDescent="0.3">
      <c r="A48" s="85"/>
      <c r="B48" s="75"/>
      <c r="C48" s="75"/>
      <c r="D48" s="89"/>
      <c r="E48" s="13"/>
    </row>
    <row r="49" spans="1:38" s="10" customFormat="1" x14ac:dyDescent="0.3">
      <c r="A49" s="77"/>
      <c r="B49" s="77"/>
      <c r="C49" s="77"/>
      <c r="D49" s="89"/>
      <c r="E49" s="13"/>
    </row>
    <row r="50" spans="1:38" x14ac:dyDescent="0.3">
      <c r="A50" s="77"/>
    </row>
    <row r="51" spans="1:38" x14ac:dyDescent="0.3">
      <c r="A51" s="78"/>
    </row>
    <row r="52" spans="1:38" x14ac:dyDescent="0.3">
      <c r="A52" s="78"/>
    </row>
    <row r="53" spans="1:38" x14ac:dyDescent="0.3">
      <c r="A53" s="78"/>
    </row>
    <row r="54" spans="1:38" x14ac:dyDescent="0.3">
      <c r="A54" s="78"/>
    </row>
    <row r="55" spans="1:38" ht="15" thickBot="1" x14ac:dyDescent="0.35">
      <c r="A55" s="78"/>
    </row>
    <row r="56" spans="1:38" ht="28.8" x14ac:dyDescent="0.3">
      <c r="A56" s="78"/>
      <c r="D56" s="101" t="s">
        <v>44</v>
      </c>
      <c r="E56" s="102" t="s">
        <v>45</v>
      </c>
      <c r="F56" s="102" t="s">
        <v>46</v>
      </c>
      <c r="G56" s="103" t="s">
        <v>47</v>
      </c>
      <c r="H56" s="103" t="s">
        <v>8</v>
      </c>
      <c r="I56" s="103" t="s">
        <v>41</v>
      </c>
      <c r="J56" s="100"/>
      <c r="K56" s="100"/>
      <c r="L56" s="100"/>
      <c r="M56" s="100"/>
      <c r="N56" s="100" t="s">
        <v>80</v>
      </c>
      <c r="O56" s="118" t="s">
        <v>59</v>
      </c>
      <c r="P56" s="119"/>
      <c r="Q56" s="119"/>
      <c r="R56" s="120"/>
      <c r="T56" s="59" t="s">
        <v>29</v>
      </c>
      <c r="U56" s="76">
        <v>1.4829000000000001</v>
      </c>
      <c r="V56" s="67" t="s">
        <v>14</v>
      </c>
    </row>
    <row r="57" spans="1:38" ht="28.8" x14ac:dyDescent="0.3">
      <c r="A57" s="78"/>
      <c r="D57" s="101">
        <v>2</v>
      </c>
      <c r="E57" s="101">
        <v>1</v>
      </c>
      <c r="F57" s="101">
        <v>1</v>
      </c>
      <c r="G57" s="24">
        <v>4</v>
      </c>
      <c r="H57" s="103">
        <v>25</v>
      </c>
      <c r="I57" s="101">
        <v>2.5</v>
      </c>
      <c r="J57" s="100"/>
      <c r="K57" s="100"/>
      <c r="L57" s="100"/>
      <c r="M57" s="100"/>
      <c r="N57" s="100" t="s">
        <v>81</v>
      </c>
      <c r="O57" s="38" t="s">
        <v>55</v>
      </c>
      <c r="P57" s="39" t="s">
        <v>56</v>
      </c>
      <c r="Q57" s="39" t="s">
        <v>57</v>
      </c>
      <c r="R57" s="40" t="s">
        <v>58</v>
      </c>
      <c r="T57" s="59" t="s">
        <v>37</v>
      </c>
      <c r="U57" s="76">
        <v>0.99</v>
      </c>
      <c r="V57" s="67"/>
      <c r="AL57" s="26"/>
    </row>
    <row r="58" spans="1:38" ht="43.2" x14ac:dyDescent="0.3">
      <c r="A58" s="78"/>
      <c r="D58" s="101">
        <v>4</v>
      </c>
      <c r="E58" s="101">
        <v>2</v>
      </c>
      <c r="F58" s="101">
        <v>2</v>
      </c>
      <c r="G58" s="24">
        <v>8</v>
      </c>
      <c r="H58" s="103">
        <v>50</v>
      </c>
      <c r="I58" s="101">
        <v>1.2</v>
      </c>
      <c r="J58" s="100"/>
      <c r="K58" s="100"/>
      <c r="L58" s="100"/>
      <c r="M58" s="100"/>
      <c r="N58" s="100" t="s">
        <v>82</v>
      </c>
      <c r="O58" s="30">
        <f>B11</f>
        <v>2</v>
      </c>
      <c r="P58" s="28" t="str">
        <f>IF(B10&gt;2,U64,"")</f>
        <v/>
      </c>
      <c r="Q58" s="28" t="str">
        <f>IF(B10&gt;2,U64,"")</f>
        <v/>
      </c>
      <c r="R58" s="31">
        <f>B11</f>
        <v>2</v>
      </c>
      <c r="T58" s="59" t="s">
        <v>30</v>
      </c>
      <c r="U58" s="76">
        <v>20</v>
      </c>
      <c r="V58" s="67" t="s">
        <v>4</v>
      </c>
      <c r="AL58" s="26"/>
    </row>
    <row r="59" spans="1:38" ht="43.2" x14ac:dyDescent="0.3">
      <c r="A59" s="78"/>
      <c r="D59" s="101"/>
      <c r="E59" s="101"/>
      <c r="F59" s="101"/>
      <c r="G59" s="24">
        <v>16</v>
      </c>
      <c r="H59" s="101">
        <v>125</v>
      </c>
      <c r="I59" s="101">
        <v>0.75</v>
      </c>
      <c r="J59" s="100"/>
      <c r="K59" s="100"/>
      <c r="L59" s="100"/>
      <c r="M59" s="100"/>
      <c r="N59" s="100"/>
      <c r="O59" s="121" t="s">
        <v>54</v>
      </c>
      <c r="P59" s="122"/>
      <c r="Q59" s="123"/>
      <c r="R59" s="48" t="s">
        <v>65</v>
      </c>
      <c r="T59" s="59" t="s">
        <v>31</v>
      </c>
      <c r="U59" s="64">
        <v>30</v>
      </c>
      <c r="V59" s="67" t="s">
        <v>4</v>
      </c>
    </row>
    <row r="60" spans="1:38" ht="43.2" x14ac:dyDescent="0.3">
      <c r="A60" s="78"/>
      <c r="D60" s="101"/>
      <c r="E60" s="101"/>
      <c r="F60" s="101"/>
      <c r="G60" s="24">
        <v>32</v>
      </c>
      <c r="H60" s="103">
        <v>200</v>
      </c>
      <c r="I60" s="101">
        <v>0.5</v>
      </c>
      <c r="J60" s="100"/>
      <c r="K60" s="100"/>
      <c r="L60" s="100"/>
      <c r="M60" s="100"/>
      <c r="N60" s="100"/>
      <c r="O60" s="41" t="s">
        <v>51</v>
      </c>
      <c r="P60" s="42" t="s">
        <v>50</v>
      </c>
      <c r="Q60" s="42" t="s">
        <v>67</v>
      </c>
      <c r="R60" s="47" t="s">
        <v>66</v>
      </c>
      <c r="T60" s="59" t="s">
        <v>32</v>
      </c>
      <c r="U60" s="64">
        <v>47.5</v>
      </c>
      <c r="V60" s="67" t="s">
        <v>5</v>
      </c>
    </row>
    <row r="61" spans="1:38" ht="43.2" x14ac:dyDescent="0.3">
      <c r="A61" s="78"/>
      <c r="D61" s="101"/>
      <c r="E61" s="101"/>
      <c r="F61" s="101"/>
      <c r="G61" s="24">
        <v>64</v>
      </c>
      <c r="H61" s="101"/>
      <c r="I61" s="101"/>
      <c r="J61" s="100"/>
      <c r="K61" s="100"/>
      <c r="L61" s="100"/>
      <c r="M61" s="100"/>
      <c r="N61" s="100"/>
      <c r="O61" s="30" t="str">
        <f>_xlfn.TEXTJOIN(",",TRUE,O58:R58)</f>
        <v>2,2</v>
      </c>
      <c r="P61" s="28">
        <f>B12</f>
        <v>64</v>
      </c>
      <c r="Q61" s="28"/>
      <c r="R61" s="31">
        <f>VLOOKUP(P61&amp;O61,N64:Q83,4,FALSE)</f>
        <v>0</v>
      </c>
      <c r="T61" s="60" t="s">
        <v>33</v>
      </c>
      <c r="U61" s="65">
        <v>65</v>
      </c>
      <c r="V61" s="70" t="s">
        <v>5</v>
      </c>
    </row>
    <row r="62" spans="1:38" ht="43.2" x14ac:dyDescent="0.3">
      <c r="A62" s="78"/>
      <c r="O62" s="115" t="s">
        <v>49</v>
      </c>
      <c r="P62" s="116"/>
      <c r="Q62" s="116"/>
      <c r="R62" s="117"/>
      <c r="T62" s="59" t="s">
        <v>6</v>
      </c>
      <c r="U62" s="64">
        <v>25</v>
      </c>
      <c r="V62" s="67" t="s">
        <v>7</v>
      </c>
    </row>
    <row r="63" spans="1:38" ht="28.8" x14ac:dyDescent="0.3">
      <c r="A63" s="78"/>
      <c r="N63" s="10" t="s">
        <v>68</v>
      </c>
      <c r="O63" s="43" t="s">
        <v>64</v>
      </c>
      <c r="P63" s="44" t="s">
        <v>51</v>
      </c>
      <c r="Q63" s="45" t="s">
        <v>62</v>
      </c>
      <c r="R63" s="46"/>
      <c r="T63" s="59" t="s">
        <v>34</v>
      </c>
      <c r="U63" s="64">
        <v>1.25</v>
      </c>
      <c r="V63" s="67" t="s">
        <v>35</v>
      </c>
    </row>
    <row r="64" spans="1:38" x14ac:dyDescent="0.3">
      <c r="A64" s="78"/>
      <c r="N64" s="10" t="str">
        <f t="shared" ref="N64:N83" si="0">O64&amp;P64</f>
        <v>41,1</v>
      </c>
      <c r="O64" s="30">
        <v>4</v>
      </c>
      <c r="P64" s="28" t="s">
        <v>52</v>
      </c>
      <c r="Q64" s="23" t="s">
        <v>63</v>
      </c>
      <c r="R64" s="29"/>
      <c r="T64" s="58" t="str">
        <f>IF(B10&gt;2,"Internal Layers Cu Thickness","")</f>
        <v/>
      </c>
      <c r="U64" s="63">
        <v>1</v>
      </c>
      <c r="V64" s="69" t="str">
        <f>IF(B10&gt;2,"oz","")</f>
        <v/>
      </c>
    </row>
    <row r="65" spans="1:33" ht="15" thickBot="1" x14ac:dyDescent="0.35">
      <c r="A65" s="78"/>
      <c r="N65" s="10" t="str">
        <f t="shared" si="0"/>
        <v>42,2</v>
      </c>
      <c r="O65" s="30">
        <v>4</v>
      </c>
      <c r="P65" s="28" t="s">
        <v>53</v>
      </c>
      <c r="Q65" s="36"/>
      <c r="R65" s="31"/>
      <c r="T65" s="49" t="s">
        <v>23</v>
      </c>
      <c r="U65" s="6">
        <f>R61</f>
        <v>0</v>
      </c>
      <c r="V65" s="67" t="s">
        <v>10</v>
      </c>
    </row>
    <row r="66" spans="1:33" ht="29.4" thickBot="1" x14ac:dyDescent="0.35">
      <c r="A66" s="78"/>
      <c r="N66" s="10" t="str">
        <f t="shared" si="0"/>
        <v>41,1,1,1</v>
      </c>
      <c r="O66" s="30">
        <v>4</v>
      </c>
      <c r="P66" s="28" t="s">
        <v>60</v>
      </c>
      <c r="Q66" s="23">
        <v>54.2</v>
      </c>
      <c r="R66" s="31"/>
      <c r="T66" s="9" t="s">
        <v>3</v>
      </c>
      <c r="U66" s="3" t="s">
        <v>1</v>
      </c>
      <c r="V66" s="68" t="s">
        <v>2</v>
      </c>
    </row>
    <row r="67" spans="1:33" ht="43.2" x14ac:dyDescent="0.3">
      <c r="A67" s="78"/>
      <c r="N67" s="10" t="str">
        <f t="shared" si="0"/>
        <v>42,1,1,2</v>
      </c>
      <c r="O67" s="30">
        <v>4</v>
      </c>
      <c r="P67" s="28" t="s">
        <v>61</v>
      </c>
      <c r="Q67" s="23">
        <v>10.4</v>
      </c>
      <c r="R67" s="31"/>
      <c r="T67" s="50" t="s">
        <v>26</v>
      </c>
      <c r="U67" s="15">
        <f>ROUND((B2/SQRT(3))*U57,2)</f>
        <v>2.86</v>
      </c>
      <c r="V67" s="69" t="s">
        <v>0</v>
      </c>
    </row>
    <row r="68" spans="1:33" ht="57.6" x14ac:dyDescent="0.3">
      <c r="A68" s="78"/>
      <c r="N68" s="10" t="str">
        <f t="shared" si="0"/>
        <v>81,1</v>
      </c>
      <c r="O68" s="30">
        <v>8</v>
      </c>
      <c r="P68" s="28" t="s">
        <v>52</v>
      </c>
      <c r="Q68" s="23">
        <v>52.7</v>
      </c>
      <c r="R68" s="31"/>
      <c r="T68" s="50" t="s">
        <v>25</v>
      </c>
      <c r="U68" s="15">
        <f>ROUND(U67/1.41,2)</f>
        <v>2.0299999999999998</v>
      </c>
      <c r="V68" s="69" t="s">
        <v>0</v>
      </c>
    </row>
    <row r="69" spans="1:33" x14ac:dyDescent="0.3">
      <c r="A69" s="78"/>
      <c r="N69" s="10" t="str">
        <f t="shared" si="0"/>
        <v>82,2</v>
      </c>
      <c r="O69" s="30">
        <v>8</v>
      </c>
      <c r="P69" s="28" t="s">
        <v>53</v>
      </c>
      <c r="Q69" s="36"/>
      <c r="R69" s="31"/>
      <c r="T69" s="4"/>
      <c r="U69" s="78"/>
      <c r="V69" s="67"/>
    </row>
    <row r="70" spans="1:33" ht="43.2" x14ac:dyDescent="0.3">
      <c r="A70" s="78"/>
      <c r="N70" s="10" t="str">
        <f t="shared" si="0"/>
        <v>81,1,1,1</v>
      </c>
      <c r="O70" s="30">
        <v>8</v>
      </c>
      <c r="P70" s="28" t="s">
        <v>60</v>
      </c>
      <c r="Q70" s="23">
        <v>42.5</v>
      </c>
      <c r="R70" s="31"/>
      <c r="T70" s="50" t="s">
        <v>27</v>
      </c>
      <c r="U70" s="7">
        <f>B3*1.414</f>
        <v>4.4965200000000003</v>
      </c>
      <c r="V70" s="67" t="s">
        <v>14</v>
      </c>
    </row>
    <row r="71" spans="1:33" ht="28.8" x14ac:dyDescent="0.3">
      <c r="A71" s="78"/>
      <c r="N71" s="10" t="str">
        <f t="shared" si="0"/>
        <v>82,1,1,2</v>
      </c>
      <c r="O71" s="30">
        <v>8</v>
      </c>
      <c r="P71" s="28" t="s">
        <v>61</v>
      </c>
      <c r="Q71" s="23">
        <v>10.1</v>
      </c>
      <c r="R71" s="31"/>
      <c r="T71" s="51" t="s">
        <v>15</v>
      </c>
      <c r="U71" s="17">
        <f>B2/B6</f>
        <v>2.5000000000000001E-2</v>
      </c>
      <c r="V71" s="70" t="s">
        <v>16</v>
      </c>
    </row>
    <row r="72" spans="1:33" ht="15" thickBot="1" x14ac:dyDescent="0.35">
      <c r="A72" s="78"/>
      <c r="N72" s="10" t="str">
        <f t="shared" si="0"/>
        <v>161,1</v>
      </c>
      <c r="O72" s="30">
        <v>16</v>
      </c>
      <c r="P72" s="28" t="s">
        <v>52</v>
      </c>
      <c r="Q72" s="23">
        <v>45.9</v>
      </c>
      <c r="R72" s="31"/>
      <c r="T72" s="50"/>
      <c r="U72" s="7"/>
      <c r="V72" s="67"/>
    </row>
    <row r="73" spans="1:33" ht="29.4" thickBot="1" x14ac:dyDescent="0.35">
      <c r="A73" s="78"/>
      <c r="N73" s="10" t="str">
        <f t="shared" si="0"/>
        <v>162,2</v>
      </c>
      <c r="O73" s="30">
        <v>16</v>
      </c>
      <c r="P73" s="28" t="s">
        <v>53</v>
      </c>
      <c r="Q73" s="36"/>
      <c r="R73" s="32"/>
      <c r="T73" s="52" t="s">
        <v>19</v>
      </c>
      <c r="U73" s="18" t="s">
        <v>1</v>
      </c>
      <c r="V73" s="68" t="s">
        <v>2</v>
      </c>
    </row>
    <row r="74" spans="1:33" ht="43.2" x14ac:dyDescent="0.3">
      <c r="A74" s="78"/>
      <c r="N74" s="10" t="str">
        <f t="shared" si="0"/>
        <v>161,1,1,1</v>
      </c>
      <c r="O74" s="30">
        <v>16</v>
      </c>
      <c r="P74" s="28" t="s">
        <v>60</v>
      </c>
      <c r="Q74" s="23">
        <v>42.1</v>
      </c>
      <c r="R74" s="31"/>
      <c r="T74" s="50" t="s">
        <v>20</v>
      </c>
      <c r="U74" s="7">
        <f>B2*U59/1000</f>
        <v>0.15</v>
      </c>
      <c r="V74" s="67"/>
    </row>
    <row r="75" spans="1:33" ht="15" thickBot="1" x14ac:dyDescent="0.35">
      <c r="A75" s="78"/>
      <c r="N75" s="10" t="str">
        <f t="shared" si="0"/>
        <v>162,1,1,2</v>
      </c>
      <c r="O75" s="30">
        <v>16</v>
      </c>
      <c r="P75" s="28" t="s">
        <v>61</v>
      </c>
      <c r="Q75" s="23">
        <v>9.9</v>
      </c>
      <c r="R75" s="31"/>
      <c r="T75" s="50"/>
      <c r="U75" s="7"/>
      <c r="V75" s="67"/>
    </row>
    <row r="76" spans="1:33" ht="29.4" thickBot="1" x14ac:dyDescent="0.35">
      <c r="A76" s="78"/>
      <c r="N76" s="10" t="str">
        <f t="shared" si="0"/>
        <v>321,1</v>
      </c>
      <c r="O76" s="30">
        <v>32</v>
      </c>
      <c r="P76" s="28" t="s">
        <v>52</v>
      </c>
      <c r="Q76" s="23">
        <v>42.1</v>
      </c>
      <c r="R76" s="31"/>
      <c r="T76" s="52" t="s">
        <v>21</v>
      </c>
      <c r="U76" s="18" t="s">
        <v>1</v>
      </c>
      <c r="V76" s="68" t="s">
        <v>2</v>
      </c>
    </row>
    <row r="77" spans="1:33" ht="43.2" x14ac:dyDescent="0.3">
      <c r="A77" s="78"/>
      <c r="N77" s="10" t="str">
        <f t="shared" si="0"/>
        <v>322,2</v>
      </c>
      <c r="O77" s="30">
        <v>32</v>
      </c>
      <c r="P77" s="28" t="s">
        <v>53</v>
      </c>
      <c r="Q77" s="36"/>
      <c r="R77" s="31"/>
      <c r="T77" s="50" t="s">
        <v>17</v>
      </c>
      <c r="U77" s="7">
        <f>ROUND(3*B3*B3*U61/(1000),3)</f>
        <v>1.972</v>
      </c>
      <c r="V77" s="67" t="s">
        <v>13</v>
      </c>
      <c r="AG77" s="22"/>
    </row>
    <row r="78" spans="1:33" ht="43.2" x14ac:dyDescent="0.3">
      <c r="A78" s="78"/>
      <c r="N78" s="10" t="str">
        <f t="shared" si="0"/>
        <v>321,1,1,1</v>
      </c>
      <c r="O78" s="30">
        <v>32</v>
      </c>
      <c r="P78" s="28" t="s">
        <v>60</v>
      </c>
      <c r="Q78" s="23">
        <v>29.5</v>
      </c>
      <c r="R78" s="31"/>
      <c r="T78" s="50" t="s">
        <v>18</v>
      </c>
      <c r="U78" s="7">
        <f>ROUND(3*B2*B3*U71*B5/(1000),3)</f>
        <v>7.1999999999999995E-2</v>
      </c>
      <c r="V78" s="67" t="s">
        <v>13</v>
      </c>
      <c r="AG78" s="24"/>
    </row>
    <row r="79" spans="1:33" ht="28.8" x14ac:dyDescent="0.3">
      <c r="A79" s="78"/>
      <c r="N79" s="10" t="str">
        <f t="shared" si="0"/>
        <v>322,1,1,2</v>
      </c>
      <c r="O79" s="30">
        <v>32</v>
      </c>
      <c r="P79" s="28" t="s">
        <v>61</v>
      </c>
      <c r="Q79" s="23">
        <v>9.8000000000000007</v>
      </c>
      <c r="R79" s="31"/>
      <c r="T79" s="50" t="s">
        <v>36</v>
      </c>
      <c r="U79" s="7">
        <f>U63*5*B5*0.000000001*1000</f>
        <v>3.7500000000000001E-4</v>
      </c>
      <c r="V79" s="67" t="s">
        <v>13</v>
      </c>
      <c r="AG79" s="24"/>
    </row>
    <row r="80" spans="1:33" ht="43.8" thickBot="1" x14ac:dyDescent="0.35">
      <c r="A80" s="78"/>
      <c r="N80" s="10" t="str">
        <f t="shared" si="0"/>
        <v>641,1</v>
      </c>
      <c r="O80" s="30">
        <v>64</v>
      </c>
      <c r="P80" s="28" t="s">
        <v>52</v>
      </c>
      <c r="Q80" s="23">
        <v>40.200000000000003</v>
      </c>
      <c r="R80" s="31"/>
      <c r="T80" s="50" t="s">
        <v>22</v>
      </c>
      <c r="U80" s="7">
        <f>U77+U78+U79</f>
        <v>2.0443750000000001</v>
      </c>
      <c r="V80" s="67" t="s">
        <v>13</v>
      </c>
      <c r="AG80" s="25"/>
    </row>
    <row r="81" spans="1:33" ht="15" thickBot="1" x14ac:dyDescent="0.35">
      <c r="A81" s="78"/>
      <c r="N81" s="10" t="str">
        <f t="shared" si="0"/>
        <v>642,2</v>
      </c>
      <c r="O81" s="30">
        <v>64</v>
      </c>
      <c r="P81" s="28" t="s">
        <v>53</v>
      </c>
      <c r="Q81" s="36"/>
      <c r="R81" s="31"/>
      <c r="T81" s="54" t="s">
        <v>38</v>
      </c>
      <c r="U81" s="66">
        <f>3*B3*B7*B5*0.7/1000</f>
        <v>0.20034000000000002</v>
      </c>
      <c r="V81" s="67"/>
      <c r="AG81" s="25"/>
    </row>
    <row r="82" spans="1:33" ht="43.8" thickBot="1" x14ac:dyDescent="0.35">
      <c r="A82" s="78"/>
      <c r="N82" s="10" t="str">
        <f t="shared" si="0"/>
        <v>641,1,1,1</v>
      </c>
      <c r="O82" s="30">
        <v>64</v>
      </c>
      <c r="P82" s="28" t="s">
        <v>60</v>
      </c>
      <c r="Q82" s="23">
        <v>26.6</v>
      </c>
      <c r="R82" s="31"/>
      <c r="T82" s="55" t="s">
        <v>39</v>
      </c>
      <c r="U82" s="66">
        <v>8.5000000000000006E-3</v>
      </c>
      <c r="V82" s="67"/>
      <c r="AG82" s="25"/>
    </row>
    <row r="83" spans="1:33" ht="15" thickBot="1" x14ac:dyDescent="0.35">
      <c r="A83" s="78"/>
      <c r="N83" s="10" t="str">
        <f t="shared" si="0"/>
        <v>642,1,1,2</v>
      </c>
      <c r="O83" s="33">
        <v>64</v>
      </c>
      <c r="P83" s="34" t="s">
        <v>61</v>
      </c>
      <c r="Q83" s="37">
        <v>9.8000000000000007</v>
      </c>
      <c r="R83" s="35"/>
      <c r="T83" s="54" t="s">
        <v>40</v>
      </c>
      <c r="U83" s="66">
        <v>6.25E-2</v>
      </c>
      <c r="V83" s="67"/>
      <c r="AG83" s="25"/>
    </row>
    <row r="84" spans="1:33" ht="43.2" x14ac:dyDescent="0.3">
      <c r="A84" s="78"/>
      <c r="T84" s="49" t="s">
        <v>24</v>
      </c>
      <c r="U84" s="8">
        <f>ROUND((3*U68*B3)-E2,2)</f>
        <v>16.899999999999999</v>
      </c>
      <c r="V84" s="67" t="s">
        <v>13</v>
      </c>
      <c r="AG84" s="25"/>
    </row>
    <row r="85" spans="1:33" x14ac:dyDescent="0.3">
      <c r="AG85" s="25"/>
    </row>
    <row r="86" spans="1:33" x14ac:dyDescent="0.3">
      <c r="AG86" s="25"/>
    </row>
    <row r="87" spans="1:33" x14ac:dyDescent="0.3">
      <c r="AG87" s="25"/>
    </row>
  </sheetData>
  <mergeCells count="3">
    <mergeCell ref="O56:R56"/>
    <mergeCell ref="O59:Q59"/>
    <mergeCell ref="O62:R62"/>
  </mergeCells>
  <conditionalFormatting sqref="E3">
    <cfRule type="cellIs" dxfId="1" priority="1" operator="lessThan">
      <formula>125</formula>
    </cfRule>
    <cfRule type="cellIs" dxfId="0" priority="2" operator="greaterThan">
      <formula>125</formula>
    </cfRule>
  </conditionalFormatting>
  <dataValidations count="11">
    <dataValidation type="decimal" allowBlank="1" showInputMessage="1" showErrorMessage="1" error="This ambient temperature is outside the operating range of the DRV8316" prompt="Enter the ambient temperature of the DRV8316 for normal operation" sqref="B8" xr:uid="{698C5A87-FD5C-42FC-A5A9-A04DF535FDEE}">
      <formula1>-40</formula1>
      <formula2>125</formula2>
    </dataValidation>
    <dataValidation type="decimal" allowBlank="1" showInputMessage="1" showErrorMessage="1" error="This PWM frequency is outside of the operating range of the DRV8316" prompt="Enter a PWM frequency between 5kHz and 200kHz" sqref="B5" xr:uid="{3D74CDBB-8C98-48D9-BFB1-8C61C951C828}">
      <formula1>5</formula1>
      <formula2>200</formula2>
    </dataValidation>
    <dataValidation type="list" allowBlank="1" showInputMessage="1" showErrorMessage="1" prompt="Select PWM modulation type" sqref="B4" xr:uid="{0216A136-FD22-49F9-9C8E-7CA89A0F4EF1}">
      <formula1>$N$57:$N$58</formula1>
    </dataValidation>
    <dataValidation type="decimal" allowBlank="1" showInputMessage="1" showErrorMessage="1" error="This current is outside the operating range of the DRV8316" prompt="Enter an RMS current between 0 and 5.657 amps" sqref="B3" xr:uid="{E80E5BCB-C865-4568-8AB4-38F7D910B1A9}">
      <formula1>0</formula1>
      <formula2>5.657</formula2>
    </dataValidation>
    <dataValidation type="list" allowBlank="1" showInputMessage="1" showErrorMessage="1" prompt="Select copper thickness of top/bottom layers (oz)" sqref="B11:B12 AB4 U64 AB8:AB9" xr:uid="{AB8B5E7C-0AC6-4BB2-8572-272F9409BB66}">
      <formula1>$E$57:$E$58</formula1>
    </dataValidation>
    <dataValidation type="list" allowBlank="1" showInputMessage="1" showErrorMessage="1" prompt="Select # of PCB Layers" sqref="B10" xr:uid="{0C896E24-0D9A-423A-9652-F3378A1582E1}">
      <formula1>$D$57:$D$58</formula1>
    </dataValidation>
    <dataValidation type="list" allowBlank="1" showInputMessage="1" showErrorMessage="1" prompt="Select copper thickness of internal layers if more than 2 layer PCB (oz)" sqref="U64" xr:uid="{82BC5270-4A4A-48BD-B697-E4459A83AA50}">
      <formula1>$F$57:$F$58</formula1>
    </dataValidation>
    <dataValidation type="list" allowBlank="1" showInputMessage="1" showErrorMessage="1" prompt="Select PCB area (cm2)" sqref="B12" xr:uid="{E6C89DB7-1CC0-4E15-B38D-5037B6E3809C}">
      <formula1>$G$57:$G$61</formula1>
    </dataValidation>
    <dataValidation type="decimal" allowBlank="1" showInputMessage="1" showErrorMessage="1" error="This voltage is outside the operating range of the DRV8316" prompt="Enter a motor supply voltage between 4.5 to 35 volts" sqref="B2" xr:uid="{68C45621-7287-4004-B2A7-C96F9723442D}">
      <formula1>4.5</formula1>
      <formula2>35</formula2>
    </dataValidation>
    <dataValidation allowBlank="1" showInputMessage="1" showErrorMessage="1" prompt="Enter the operating ambient temperature" sqref="U62" xr:uid="{7F443A76-363F-4A85-B60F-37B927531964}"/>
    <dataValidation type="list" allowBlank="1" showInputMessage="1" showErrorMessage="1" prompt="Select an output slew rate setting (V/us)" sqref="B6" xr:uid="{7F94F9EC-CDB5-49CC-B8FC-AD0F4C3A39D9}">
      <formula1>$H$57:$H$60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08A0F8D698B141B9993AF2DF55C4F7" ma:contentTypeVersion="4" ma:contentTypeDescription="Create a new document." ma:contentTypeScope="" ma:versionID="4bdd9cddd219278efcf89083269ac41a">
  <xsd:schema xmlns:xsd="http://www.w3.org/2001/XMLSchema" xmlns:xs="http://www.w3.org/2001/XMLSchema" xmlns:p="http://schemas.microsoft.com/office/2006/metadata/properties" xmlns:ns2="6f2f0605-bfee-4698-a78a-575fc242f63d" targetNamespace="http://schemas.microsoft.com/office/2006/metadata/properties" ma:root="true" ma:fieldsID="466cf61841b38c7c5cda7ad14bc2bd24" ns2:_="">
    <xsd:import namespace="6f2f0605-bfee-4698-a78a-575fc242f63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f0605-bfee-4698-a78a-575fc242f6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10BF63F8-CEA6-4456-BCF3-351222CF8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2f0605-bfee-4698-a78a-575fc242f6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7D38FC-285B-4D91-A2F6-66B0401DBE6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f2f0605-bfee-4698-a78a-575fc242f63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57F820-D125-4EAD-A1D3-79A8BB5DC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DRV8316_FOC_Calculator</vt:lpstr>
      <vt:lpstr>DRV8316_Trap_Calculator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2021-08-09T13:42:38Z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0x0101006D08A0F8D698B141B9993AF2DF55C4F7</vt:lpwstr>
  </property>
</Properties>
</file>