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a0501163\Desktop\BLDC Tasks\"/>
    </mc:Choice>
  </mc:AlternateContent>
  <xr:revisionPtr revIDLastSave="0" documentId="8_{AD580663-EE3E-46F3-B967-808D8D8822C4}" xr6:coauthVersionLast="36" xr6:coauthVersionMax="36" xr10:uidLastSave="{00000000-0000-0000-0000-000000000000}"/>
  <bookViews>
    <workbookView xWindow="0" yWindow="0" windowWidth="23040" windowHeight="9780" xr2:uid="{F1257BE4-A9BB-49AE-B21C-42C2619091D0}"/>
  </bookViews>
  <sheets>
    <sheet name="Sheet1" sheetId="1" r:id="rId1"/>
  </sheets>
  <definedNames>
    <definedName name="actual_gate_current_A">actual_gate_current_mA/1000</definedName>
    <definedName name="actual_gate_current_mA">IF(Sheet1!$E$26&gt;Sheet1!$E$12,Sheet1!$E$12,Sheet1!$E$26)</definedName>
    <definedName name="Calculated_Rgate_per_FET">Sheet1!$E$23</definedName>
    <definedName name="Driver_voltage_architecture">Sheet1!$E$9</definedName>
    <definedName name="gate_current_mA">Sheet1!$E$17</definedName>
    <definedName name="IDRIVE_A">IDRIVE_mA/1000</definedName>
    <definedName name="IDRIVE_mA">Sheet1!$E$12</definedName>
    <definedName name="Nominal_voltage">Sheet1!$E$10</definedName>
    <definedName name="Number_of_Parallel_FETs">IF(Sheet1!$E$3="Yes",Sheet1!$E$4,1)</definedName>
    <definedName name="Qgd_total_nC">Sheet1!$E$16</definedName>
    <definedName name="RDRIVE">Sheet1!$C$14</definedName>
    <definedName name="Rgate_total">Sheet1!$E$21</definedName>
    <definedName name="Rgate_user">Sheet1!$E$25</definedName>
    <definedName name="Rgate_user_total">Rgate_user/Number_of_Parallel_FETs</definedName>
    <definedName name="rise_time_ns">Sheet1!$E$6</definedName>
    <definedName name="Vgate">Sheet1!$E$8</definedName>
    <definedName name="VGLx">Sheet1!$E$18</definedName>
    <definedName name="Vplateau">Sheet1!$E$7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1" l="1"/>
  <c r="F14" i="1"/>
  <c r="D14" i="1"/>
  <c r="D30" i="1" l="1"/>
  <c r="D10" i="1"/>
  <c r="F31" i="1"/>
  <c r="F30" i="1"/>
  <c r="D22" i="1" l="1"/>
  <c r="M41" i="1" l="1"/>
  <c r="O44" i="1"/>
  <c r="O43" i="1"/>
  <c r="O37" i="1"/>
  <c r="O36" i="1"/>
  <c r="E16" i="1"/>
  <c r="E17" i="1" s="1"/>
  <c r="D4" i="1"/>
  <c r="O42" i="1" l="1"/>
  <c r="O35" i="1"/>
  <c r="M42" i="1"/>
  <c r="M35" i="1"/>
  <c r="E26" i="1"/>
  <c r="E27" i="1" s="1"/>
  <c r="E30" i="1"/>
  <c r="G30" i="1" s="1"/>
  <c r="E20" i="1"/>
  <c r="E21" i="1" s="1"/>
  <c r="E18" i="1"/>
  <c r="M36" i="1" s="1"/>
  <c r="D21" i="1" l="1"/>
  <c r="E22" i="1"/>
  <c r="E23" i="1"/>
  <c r="E28" i="1"/>
  <c r="M43" i="1"/>
  <c r="E19" i="1"/>
  <c r="F42" i="1"/>
  <c r="H43" i="1" l="1"/>
  <c r="I42" i="1"/>
  <c r="E31" i="1"/>
  <c r="G31" i="1" s="1"/>
  <c r="D31" i="1"/>
  <c r="H44" i="1" l="1"/>
  <c r="I43" i="1"/>
  <c r="H45" i="1" l="1"/>
  <c r="I44" i="1"/>
  <c r="H46" i="1" l="1"/>
  <c r="I45" i="1"/>
  <c r="I46" i="1" l="1"/>
  <c r="H47" i="1"/>
  <c r="I47" i="1" l="1"/>
  <c r="H48" i="1"/>
  <c r="H49" i="1" l="1"/>
  <c r="I48" i="1"/>
  <c r="I49" i="1" l="1"/>
  <c r="H50" i="1"/>
  <c r="I50" i="1" l="1"/>
  <c r="H51" i="1"/>
  <c r="I51" i="1" l="1"/>
  <c r="H52" i="1"/>
  <c r="H53" i="1" l="1"/>
  <c r="I52" i="1"/>
  <c r="I53" i="1" l="1"/>
  <c r="H54" i="1"/>
  <c r="H55" i="1" l="1"/>
  <c r="I54" i="1"/>
  <c r="H56" i="1" l="1"/>
  <c r="I56" i="1" s="1"/>
  <c r="I55" i="1"/>
</calcChain>
</file>

<file path=xl/sharedStrings.xml><?xml version="1.0" encoding="utf-8"?>
<sst xmlns="http://schemas.openxmlformats.org/spreadsheetml/2006/main" count="67" uniqueCount="42">
  <si>
    <t>VDS slew rate control is related to how fast the Qgd charge is supplied to the gate</t>
  </si>
  <si>
    <t>The Qgd capacitor is charged during the miller plateau, so the gate current that occurs during the miller plateau will determine the VDS slew rate</t>
  </si>
  <si>
    <t>Step 1: Calculate the gate voltage at which the miller plateau occurs (this is important, since we want to know the gate current during the miller plateau)</t>
  </si>
  <si>
    <t>a. Can be found directly by looking at the Vplateau specification in the datasheet</t>
  </si>
  <si>
    <t>nC</t>
  </si>
  <si>
    <t>ns</t>
  </si>
  <si>
    <t xml:space="preserve">Parallel FETs? </t>
  </si>
  <si>
    <t>V</t>
  </si>
  <si>
    <t>mA</t>
  </si>
  <si>
    <t>Step 2: Calculate the VGLx voltage needed to force the internal predriver FET into linear operation</t>
  </si>
  <si>
    <t>IDRIVE setting</t>
  </si>
  <si>
    <t>Ω</t>
  </si>
  <si>
    <t>VGLx voltage needed for linear operation</t>
  </si>
  <si>
    <t>gate resistance = (VGLx-Vplateau)/IDRIVE</t>
  </si>
  <si>
    <t>Plot IDRIVE vs predriver VDS</t>
  </si>
  <si>
    <t>Predriver VDS</t>
  </si>
  <si>
    <t>IDRIVE (mA)</t>
  </si>
  <si>
    <t>VGLx voltage needed for target Igate current</t>
  </si>
  <si>
    <t>Rgate needed for each parallel FET</t>
  </si>
  <si>
    <t>VGS voltage</t>
  </si>
  <si>
    <t>VGLx voltage</t>
  </si>
  <si>
    <t>gate current = (Vgate-Vplateau)/(RDRIVE + Rgate)</t>
  </si>
  <si>
    <t>gate current calculated from actual gate resistance</t>
  </si>
  <si>
    <t>FET VGS plateau voltage</t>
  </si>
  <si>
    <t>minimum total gate resistance to enter linear region during miller plateau</t>
  </si>
  <si>
    <t>(VGLx - Vgs voltage)/Igate = Rgs</t>
  </si>
  <si>
    <t>VGLx - Vgs voltage = Rgs * Igate</t>
  </si>
  <si>
    <t xml:space="preserve">Vgs voltage = VGLx-Rgs*Igate </t>
  </si>
  <si>
    <t>Gate Resistor Calculator (General)</t>
  </si>
  <si>
    <t>Gate current needed to achieve target rise time</t>
  </si>
  <si>
    <t>Total effective Qgd</t>
  </si>
  <si>
    <t>Actual chosen gate resistance per FET</t>
  </si>
  <si>
    <t>Actual calculated gate current</t>
  </si>
  <si>
    <t>Calculated rise time</t>
  </si>
  <si>
    <t>FET Qgd</t>
  </si>
  <si>
    <t>Target FET VDS fall time (turning on FET)</t>
  </si>
  <si>
    <t>Vgs voltage of FET when on</t>
  </si>
  <si>
    <t>Driver high side gate voltage architecture</t>
  </si>
  <si>
    <t>No</t>
  </si>
  <si>
    <t>Note: If Vplateau is not directly specified in the datasheet electrical characteristics, refer to the plateau voltage that is shown in the gate charge (Qg) vs Vgs voltage plot in the datasheet. Vplateau is the same as the miller voltage</t>
  </si>
  <si>
    <t xml:space="preserve">RDRIVE provided in datasheet? </t>
  </si>
  <si>
    <t>Bootstrap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</si>
</sst>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sz val="11"/>
      <color rgb="FF3F3F76"/>
      <name val="Calibri"/>
      <family val="2"/>
      <scheme val="minor"/>
    </font>
    <font>
      <b/>
      <sz val="11"/>
      <color rgb="FFFA7D00"/>
      <name val="Calibri"/>
      <family val="2"/>
      <scheme val="minor"/>
    </font>
    <font>
      <sz val="11"/>
      <color theme="1"/>
      <name val="Calibri"/>
      <family val="2"/>
      <scheme val="minor"/>
    </font>
    <font>
      <sz val="11"/>
      <color theme="0"/>
      <name val="Calibri"/>
      <family val="2"/>
      <scheme val="minor"/>
    </font>
    <font>
      <b/>
      <sz val="14"/>
      <color theme="1"/>
      <name val="Calibri"/>
      <family val="2"/>
      <scheme val="minor"/>
    </font>
  </fonts>
  <fills count="7">
    <fill>
      <patternFill patternType="none"/>
    </fill>
    <fill>
      <patternFill patternType="gray125"/>
    </fill>
    <fill>
      <patternFill patternType="solid">
        <fgColor rgb="FFFFCC99"/>
      </patternFill>
    </fill>
    <fill>
      <patternFill patternType="solid">
        <fgColor rgb="FFF2F2F2"/>
      </patternFill>
    </fill>
    <fill>
      <patternFill patternType="solid">
        <fgColor theme="4"/>
      </patternFill>
    </fill>
    <fill>
      <patternFill patternType="solid">
        <fgColor theme="4" tint="0.59999389629810485"/>
        <bgColor indexed="65"/>
      </patternFill>
    </fill>
    <fill>
      <patternFill patternType="solid">
        <fgColor theme="5"/>
      </patternFill>
    </fill>
  </fills>
  <borders count="23">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rgb="FF7F7F7F"/>
      </bottom>
      <diagonal/>
    </border>
    <border>
      <left/>
      <right/>
      <top style="thin">
        <color rgb="FF7F7F7F"/>
      </top>
      <bottom style="thin">
        <color rgb="FF7F7F7F"/>
      </bottom>
      <diagonal/>
    </border>
    <border>
      <left/>
      <right/>
      <top style="thin">
        <color rgb="FF7F7F7F"/>
      </top>
      <bottom style="thin">
        <color indexed="64"/>
      </bottom>
      <diagonal/>
    </border>
    <border>
      <left/>
      <right/>
      <top style="thin">
        <color indexed="64"/>
      </top>
      <bottom style="thin">
        <color rgb="FF7F7F7F"/>
      </bottom>
      <diagonal/>
    </border>
    <border>
      <left/>
      <right/>
      <top style="thin">
        <color rgb="FF7F7F7F"/>
      </top>
      <bottom style="medium">
        <color indexed="64"/>
      </bottom>
      <diagonal/>
    </border>
    <border>
      <left style="medium">
        <color indexed="64"/>
      </left>
      <right/>
      <top/>
      <bottom style="medium">
        <color indexed="64"/>
      </bottom>
      <diagonal/>
    </border>
    <border>
      <left style="medium">
        <color indexed="64"/>
      </left>
      <right style="thin">
        <color rgb="FF7F7F7F"/>
      </right>
      <top style="medium">
        <color indexed="64"/>
      </top>
      <bottom style="thin">
        <color rgb="FF7F7F7F"/>
      </bottom>
      <diagonal/>
    </border>
    <border>
      <left style="medium">
        <color indexed="64"/>
      </left>
      <right/>
      <top style="thin">
        <color rgb="FF7F7F7F"/>
      </top>
      <bottom style="medium">
        <color indexed="64"/>
      </bottom>
      <diagonal/>
    </border>
  </borders>
  <cellStyleXfs count="6">
    <xf numFmtId="0" fontId="0" fillId="0" borderId="0"/>
    <xf numFmtId="0" fontId="1" fillId="2" borderId="1" applyNumberFormat="0" applyAlignment="0" applyProtection="0"/>
    <xf numFmtId="0" fontId="2" fillId="3" borderId="1" applyNumberFormat="0" applyAlignment="0" applyProtection="0"/>
    <xf numFmtId="0" fontId="4" fillId="4" borderId="0" applyNumberFormat="0" applyBorder="0" applyAlignment="0" applyProtection="0"/>
    <xf numFmtId="0" fontId="3" fillId="5" borderId="0" applyNumberFormat="0" applyBorder="0" applyAlignment="0" applyProtection="0"/>
    <xf numFmtId="0" fontId="4" fillId="6" borderId="0" applyNumberFormat="0" applyBorder="0" applyAlignment="0" applyProtection="0"/>
  </cellStyleXfs>
  <cellXfs count="48">
    <xf numFmtId="0" fontId="0" fillId="0" borderId="0" xfId="0"/>
    <xf numFmtId="0" fontId="0" fillId="0" borderId="0" xfId="0" applyProtection="1">
      <protection hidden="1"/>
    </xf>
    <xf numFmtId="1" fontId="0" fillId="0" borderId="0" xfId="0" applyNumberFormat="1" applyProtection="1">
      <protection hidden="1"/>
    </xf>
    <xf numFmtId="0" fontId="0" fillId="0" borderId="4" xfId="0" applyBorder="1"/>
    <xf numFmtId="0" fontId="0" fillId="0" borderId="6" xfId="0" applyBorder="1"/>
    <xf numFmtId="0" fontId="0" fillId="0" borderId="3" xfId="0" applyBorder="1"/>
    <xf numFmtId="0" fontId="0" fillId="0" borderId="7" xfId="0" applyBorder="1"/>
    <xf numFmtId="0" fontId="0" fillId="0" borderId="0" xfId="0" applyBorder="1"/>
    <xf numFmtId="0" fontId="3" fillId="5" borderId="8" xfId="4" applyBorder="1"/>
    <xf numFmtId="0" fontId="4" fillId="4" borderId="7" xfId="3" applyBorder="1"/>
    <xf numFmtId="0" fontId="3" fillId="5" borderId="7" xfId="4" applyBorder="1"/>
    <xf numFmtId="0" fontId="4" fillId="4" borderId="9" xfId="3" applyBorder="1"/>
    <xf numFmtId="0" fontId="3" fillId="5" borderId="10" xfId="4" applyBorder="1"/>
    <xf numFmtId="0" fontId="0" fillId="0" borderId="7" xfId="0" applyBorder="1" applyAlignment="1">
      <alignment wrapText="1"/>
    </xf>
    <xf numFmtId="0" fontId="0" fillId="0" borderId="12" xfId="0" applyBorder="1"/>
    <xf numFmtId="0" fontId="0" fillId="0" borderId="13" xfId="0" applyBorder="1"/>
    <xf numFmtId="2" fontId="2" fillId="3" borderId="0" xfId="2" applyNumberFormat="1" applyBorder="1"/>
    <xf numFmtId="0" fontId="2" fillId="3" borderId="14" xfId="2" applyBorder="1"/>
    <xf numFmtId="2" fontId="0" fillId="0" borderId="0" xfId="0" applyNumberFormat="1" applyBorder="1"/>
    <xf numFmtId="0" fontId="4" fillId="4" borderId="9" xfId="3" applyBorder="1" applyAlignment="1">
      <alignment wrapText="1"/>
    </xf>
    <xf numFmtId="0" fontId="0" fillId="5" borderId="10" xfId="4" applyFont="1" applyBorder="1"/>
    <xf numFmtId="0" fontId="0" fillId="5" borderId="10" xfId="4" applyFont="1" applyBorder="1" applyAlignment="1">
      <alignment wrapText="1"/>
    </xf>
    <xf numFmtId="0" fontId="0" fillId="5" borderId="11" xfId="4" applyFont="1" applyBorder="1" applyAlignment="1">
      <alignment wrapText="1"/>
    </xf>
    <xf numFmtId="164" fontId="2" fillId="3" borderId="16" xfId="2" applyNumberFormat="1" applyBorder="1"/>
    <xf numFmtId="0" fontId="0" fillId="5" borderId="7" xfId="4" applyFont="1" applyBorder="1"/>
    <xf numFmtId="0" fontId="1" fillId="2" borderId="15" xfId="1" applyBorder="1" applyAlignment="1" applyProtection="1">
      <alignment horizontal="center" vertical="center"/>
      <protection locked="0"/>
    </xf>
    <xf numFmtId="0" fontId="1" fillId="2" borderId="16" xfId="1" applyBorder="1" applyProtection="1">
      <protection locked="0"/>
    </xf>
    <xf numFmtId="0" fontId="1" fillId="2" borderId="18" xfId="1" applyBorder="1" applyProtection="1">
      <protection locked="0"/>
    </xf>
    <xf numFmtId="0" fontId="1" fillId="2" borderId="0" xfId="1" applyBorder="1" applyProtection="1">
      <protection locked="0"/>
    </xf>
    <xf numFmtId="0" fontId="0" fillId="0" borderId="0" xfId="0" applyAlignment="1">
      <alignment wrapText="1"/>
    </xf>
    <xf numFmtId="0" fontId="0" fillId="0" borderId="0" xfId="4" applyFont="1" applyFill="1" applyBorder="1" applyAlignment="1">
      <alignment wrapText="1"/>
    </xf>
    <xf numFmtId="0" fontId="4" fillId="6" borderId="16" xfId="5" applyBorder="1" applyAlignment="1" applyProtection="1">
      <alignment horizontal="center"/>
      <protection locked="0"/>
    </xf>
    <xf numFmtId="164" fontId="4" fillId="6" borderId="16" xfId="5" applyNumberFormat="1" applyBorder="1" applyProtection="1">
      <protection locked="0"/>
    </xf>
    <xf numFmtId="0" fontId="4" fillId="6" borderId="17" xfId="5" applyBorder="1" applyProtection="1">
      <protection locked="0"/>
    </xf>
    <xf numFmtId="0" fontId="4" fillId="6" borderId="0" xfId="5" applyBorder="1" applyProtection="1">
      <protection locked="0"/>
    </xf>
    <xf numFmtId="164" fontId="2" fillId="3" borderId="21" xfId="2" applyNumberFormat="1" applyBorder="1"/>
    <xf numFmtId="0" fontId="3" fillId="5" borderId="20" xfId="4" applyBorder="1" applyAlignment="1">
      <alignment wrapText="1"/>
    </xf>
    <xf numFmtId="164" fontId="2" fillId="3" borderId="22" xfId="2" applyNumberFormat="1" applyBorder="1"/>
    <xf numFmtId="0" fontId="4" fillId="4" borderId="2" xfId="3" applyBorder="1" applyAlignment="1">
      <alignment horizontal="center" wrapText="1"/>
    </xf>
    <xf numFmtId="2" fontId="2" fillId="3" borderId="19" xfId="2" applyNumberFormat="1" applyBorder="1"/>
    <xf numFmtId="1" fontId="2" fillId="3" borderId="16" xfId="2" applyNumberFormat="1" applyBorder="1"/>
    <xf numFmtId="1" fontId="2" fillId="3" borderId="17" xfId="2" applyNumberFormat="1" applyBorder="1"/>
    <xf numFmtId="0" fontId="0" fillId="0" borderId="0" xfId="0" applyAlignment="1">
      <alignment horizontal="left" vertical="center" wrapText="1"/>
    </xf>
    <xf numFmtId="0" fontId="1" fillId="2" borderId="1" xfId="1" applyProtection="1">
      <protection locked="0"/>
    </xf>
    <xf numFmtId="0" fontId="3" fillId="5" borderId="9" xfId="4" applyBorder="1"/>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cellXfs>
  <cellStyles count="6">
    <cellStyle name="40% - Accent1" xfId="4" builtinId="31"/>
    <cellStyle name="Accent1" xfId="3" builtinId="29"/>
    <cellStyle name="Accent2" xfId="5" builtinId="33"/>
    <cellStyle name="Calculation" xfId="2" builtinId="22"/>
    <cellStyle name="Input" xfId="1" builtinId="20"/>
    <cellStyle name="Normal" xfId="0" builtinId="0"/>
  </cellStyles>
  <dxfs count="6">
    <dxf>
      <font>
        <color theme="0"/>
      </font>
      <fill>
        <patternFill>
          <bgColor theme="0"/>
        </patternFill>
      </fill>
    </dxf>
    <dxf>
      <font>
        <color theme="0"/>
      </font>
      <fill>
        <patternFill>
          <bgColor theme="0"/>
        </patternFill>
      </fill>
    </dxf>
    <dxf>
      <font>
        <color rgb="FF9C0006"/>
      </font>
      <fill>
        <patternFill>
          <bgColor rgb="FFFFC7CE"/>
        </patternFill>
      </fill>
    </dxf>
    <dxf>
      <font>
        <color rgb="FF9C0006"/>
      </font>
      <fill>
        <patternFill>
          <bgColor rgb="FFFFC7CE"/>
        </patternFill>
      </fill>
    </dxf>
    <dxf>
      <font>
        <color theme="0"/>
      </font>
      <fill>
        <patternFill patternType="none">
          <bgColor auto="1"/>
        </patternFill>
      </fill>
      <border>
        <left/>
        <right/>
        <top/>
        <bottom/>
      </border>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Predriver</a:t>
            </a:r>
            <a:r>
              <a:rPr lang="en-US" baseline="0"/>
              <a:t> FET Vds vs Igate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Sheet1!$M$34:$M$37</c:f>
            </c:numRef>
          </c:xVal>
          <c:yVal>
            <c:numRef>
              <c:f>Sheet1!$O$34:$O$37</c:f>
            </c:numRef>
          </c:yVal>
          <c:smooth val="0"/>
          <c:extLst>
            <c:ext xmlns:c16="http://schemas.microsoft.com/office/drawing/2014/chart" uri="{C3380CC4-5D6E-409C-BE32-E72D297353CC}">
              <c16:uniqueId val="{00000000-4AF1-417C-B59F-45532733A6E1}"/>
            </c:ext>
          </c:extLst>
        </c:ser>
        <c:dLbls>
          <c:showLegendKey val="0"/>
          <c:showVal val="0"/>
          <c:showCatName val="0"/>
          <c:showSerName val="0"/>
          <c:showPercent val="0"/>
          <c:showBubbleSize val="0"/>
        </c:dLbls>
        <c:axId val="1054653184"/>
        <c:axId val="383229072"/>
      </c:scatterChart>
      <c:valAx>
        <c:axId val="10546531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3229072"/>
        <c:crosses val="autoZero"/>
        <c:crossBetween val="midCat"/>
      </c:valAx>
      <c:valAx>
        <c:axId val="3832290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6531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VGLx voltage vs</a:t>
            </a:r>
            <a:r>
              <a:rPr lang="en-US" baseline="0"/>
              <a:t> current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Sheet1!$M$41:$M$44</c:f>
            </c:numRef>
          </c:xVal>
          <c:yVal>
            <c:numRef>
              <c:f>Sheet1!$O$41:$O$44</c:f>
            </c:numRef>
          </c:yVal>
          <c:smooth val="0"/>
          <c:extLst>
            <c:ext xmlns:c16="http://schemas.microsoft.com/office/drawing/2014/chart" uri="{C3380CC4-5D6E-409C-BE32-E72D297353CC}">
              <c16:uniqueId val="{00000000-FD39-4876-9434-E1FA2462C34F}"/>
            </c:ext>
          </c:extLst>
        </c:ser>
        <c:dLbls>
          <c:showLegendKey val="0"/>
          <c:showVal val="0"/>
          <c:showCatName val="0"/>
          <c:showSerName val="0"/>
          <c:showPercent val="0"/>
          <c:showBubbleSize val="0"/>
        </c:dLbls>
        <c:axId val="1113890736"/>
        <c:axId val="1436546304"/>
      </c:scatterChart>
      <c:valAx>
        <c:axId val="11138907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6546304"/>
        <c:crosses val="autoZero"/>
        <c:crossBetween val="midCat"/>
      </c:valAx>
      <c:valAx>
        <c:axId val="14365463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38907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MOSFET VGS voltage vs gate current</a:t>
            </a:r>
            <a:r>
              <a:rPr lang="en-US" b="1" baseline="0"/>
              <a:t> </a:t>
            </a:r>
            <a:br>
              <a:rPr lang="en-US" baseline="0"/>
            </a:br>
            <a:r>
              <a:rPr lang="en-US" sz="1200"/>
              <a:t>for actual chosen gate resistance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640534548614377"/>
          <c:y val="0.16080338368014044"/>
          <c:w val="0.83404705478330787"/>
          <c:h val="0.70510428887673793"/>
        </c:manualLayout>
      </c:layout>
      <c:scatterChart>
        <c:scatterStyle val="lineMarker"/>
        <c:varyColors val="0"/>
        <c:ser>
          <c:idx val="0"/>
          <c:order val="0"/>
          <c:spPr>
            <a:ln w="19050" cap="rnd">
              <a:solidFill>
                <a:schemeClr val="accent1"/>
              </a:solidFill>
              <a:round/>
            </a:ln>
            <a:effectLst/>
          </c:spPr>
          <c:marker>
            <c:symbol val="none"/>
          </c:marker>
          <c:xVal>
            <c:numRef>
              <c:f>Sheet1!$H$42:$H$56</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12</c:v>
                </c:pt>
                <c:pt idx="14">
                  <c:v>12</c:v>
                </c:pt>
              </c:numCache>
            </c:numRef>
          </c:xVal>
          <c:yVal>
            <c:numRef>
              <c:f>Sheet1!$I$42:$I$56</c:f>
              <c:numCache>
                <c:formatCode>0</c:formatCode>
                <c:ptCount val="15"/>
                <c:pt idx="0">
                  <c:v>11.970074812967582</c:v>
                </c:pt>
                <c:pt idx="1">
                  <c:v>10.972568578553616</c:v>
                </c:pt>
                <c:pt idx="2">
                  <c:v>9.9750623441396513</c:v>
                </c:pt>
                <c:pt idx="3">
                  <c:v>8.9775561097256862</c:v>
                </c:pt>
                <c:pt idx="4">
                  <c:v>7.9800498753117211</c:v>
                </c:pt>
                <c:pt idx="5">
                  <c:v>6.9825436408977559</c:v>
                </c:pt>
                <c:pt idx="6">
                  <c:v>5.9850374064837908</c:v>
                </c:pt>
                <c:pt idx="7">
                  <c:v>4.9875311720698257</c:v>
                </c:pt>
                <c:pt idx="8">
                  <c:v>3.9900249376558605</c:v>
                </c:pt>
                <c:pt idx="9">
                  <c:v>2.9925187032418954</c:v>
                </c:pt>
                <c:pt idx="10">
                  <c:v>1.9950124688279303</c:v>
                </c:pt>
                <c:pt idx="11">
                  <c:v>0.99750623441396513</c:v>
                </c:pt>
                <c:pt idx="12">
                  <c:v>0</c:v>
                </c:pt>
                <c:pt idx="13">
                  <c:v>0</c:v>
                </c:pt>
                <c:pt idx="14">
                  <c:v>0</c:v>
                </c:pt>
              </c:numCache>
            </c:numRef>
          </c:yVal>
          <c:smooth val="0"/>
          <c:extLst>
            <c:ext xmlns:c16="http://schemas.microsoft.com/office/drawing/2014/chart" uri="{C3380CC4-5D6E-409C-BE32-E72D297353CC}">
              <c16:uniqueId val="{00000000-1633-45C1-B456-1935A3032CC5}"/>
            </c:ext>
          </c:extLst>
        </c:ser>
        <c:ser>
          <c:idx val="1"/>
          <c:order val="1"/>
          <c:tx>
            <c:v>Calculated gate current at plateau voltage</c:v>
          </c:tx>
          <c:spPr>
            <a:ln w="19050" cap="rnd">
              <a:solidFill>
                <a:schemeClr val="accent2"/>
              </a:solidFill>
              <a:prstDash val="dash"/>
              <a:round/>
            </a:ln>
            <a:effectLst/>
          </c:spPr>
          <c:marker>
            <c:symbol val="none"/>
          </c:marker>
          <c:xVal>
            <c:numRef>
              <c:f>(Sheet1!$H$42,Sheet1!$E$7)</c:f>
              <c:numCache>
                <c:formatCode>General</c:formatCode>
                <c:ptCount val="2"/>
                <c:pt idx="0">
                  <c:v>0</c:v>
                </c:pt>
                <c:pt idx="1">
                  <c:v>4.2</c:v>
                </c:pt>
              </c:numCache>
            </c:numRef>
          </c:xVal>
          <c:yVal>
            <c:numRef>
              <c:f>(Sheet1!$E$27,Sheet1!$E$27)</c:f>
              <c:numCache>
                <c:formatCode>0.0</c:formatCode>
                <c:ptCount val="2"/>
                <c:pt idx="0">
                  <c:v>7.780548628428928</c:v>
                </c:pt>
                <c:pt idx="1">
                  <c:v>7.780548628428928</c:v>
                </c:pt>
              </c:numCache>
            </c:numRef>
          </c:yVal>
          <c:smooth val="0"/>
          <c:extLst>
            <c:ext xmlns:c16="http://schemas.microsoft.com/office/drawing/2014/chart" uri="{C3380CC4-5D6E-409C-BE32-E72D297353CC}">
              <c16:uniqueId val="{00000001-6884-4378-8A4F-CA419464FAEC}"/>
            </c:ext>
          </c:extLst>
        </c:ser>
        <c:ser>
          <c:idx val="2"/>
          <c:order val="2"/>
          <c:spPr>
            <a:ln w="19050" cap="rnd">
              <a:solidFill>
                <a:schemeClr val="accent2"/>
              </a:solidFill>
              <a:prstDash val="dash"/>
              <a:round/>
            </a:ln>
            <a:effectLst/>
          </c:spPr>
          <c:marker>
            <c:symbol val="none"/>
          </c:marker>
          <c:xVal>
            <c:numRef>
              <c:f>(Sheet1!$E$7,Sheet1!$E$7)</c:f>
              <c:numCache>
                <c:formatCode>General</c:formatCode>
                <c:ptCount val="2"/>
                <c:pt idx="0">
                  <c:v>4.2</c:v>
                </c:pt>
                <c:pt idx="1">
                  <c:v>4.2</c:v>
                </c:pt>
              </c:numCache>
            </c:numRef>
          </c:xVal>
          <c:yVal>
            <c:numRef>
              <c:f>(Sheet1!$H$42,Sheet1!$E$27)</c:f>
              <c:numCache>
                <c:formatCode>0.0</c:formatCode>
                <c:ptCount val="2"/>
                <c:pt idx="0" formatCode="General">
                  <c:v>0</c:v>
                </c:pt>
                <c:pt idx="1">
                  <c:v>7.780548628428928</c:v>
                </c:pt>
              </c:numCache>
            </c:numRef>
          </c:yVal>
          <c:smooth val="0"/>
          <c:extLst>
            <c:ext xmlns:c16="http://schemas.microsoft.com/office/drawing/2014/chart" uri="{C3380CC4-5D6E-409C-BE32-E72D297353CC}">
              <c16:uniqueId val="{00000003-6884-4378-8A4F-CA419464FAEC}"/>
            </c:ext>
          </c:extLst>
        </c:ser>
        <c:ser>
          <c:idx val="3"/>
          <c:order val="3"/>
          <c:spPr>
            <a:ln w="19050" cap="rnd">
              <a:solidFill>
                <a:schemeClr val="accent2">
                  <a:alpha val="93000"/>
                </a:schemeClr>
              </a:solidFill>
              <a:round/>
            </a:ln>
            <a:effectLst/>
          </c:spPr>
          <c:marker>
            <c:symbol val="diamond"/>
            <c:size val="5"/>
            <c:spPr>
              <a:solidFill>
                <a:schemeClr val="accent2"/>
              </a:solidFill>
              <a:ln w="9525" cap="rnd">
                <a:solidFill>
                  <a:schemeClr val="accent2"/>
                </a:solidFill>
              </a:ln>
              <a:effectLst/>
            </c:spPr>
          </c:marker>
          <c:dLbls>
            <c:dLbl>
              <c:idx val="0"/>
              <c:layout>
                <c:manualLayout>
                  <c:x val="5.3820414273903334E-2"/>
                  <c:y val="-5.7307122646267208E-2"/>
                </c:manualLayout>
              </c:layout>
              <c:tx>
                <c:rich>
                  <a:bodyPr/>
                  <a:lstStyle/>
                  <a:p>
                    <a:fld id="{1AA8CFB3-B362-4968-A8AE-25A5C758D7B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manualLayout>
                      <c:w val="0.38063196688027845"/>
                      <c:h val="8.4174050145723073E-2"/>
                    </c:manualLayout>
                  </c15:layout>
                  <c15:dlblFieldTable/>
                  <c15:showDataLabelsRange val="1"/>
                </c:ext>
                <c:ext xmlns:c16="http://schemas.microsoft.com/office/drawing/2014/chart" uri="{C3380CC4-5D6E-409C-BE32-E72D297353CC}">
                  <c16:uniqueId val="{00000005-6884-4378-8A4F-CA419464F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Sheet1!$E$7</c:f>
              <c:numCache>
                <c:formatCode>General</c:formatCode>
                <c:ptCount val="1"/>
                <c:pt idx="0">
                  <c:v>4.2</c:v>
                </c:pt>
              </c:numCache>
            </c:numRef>
          </c:xVal>
          <c:yVal>
            <c:numRef>
              <c:f>Sheet1!$E$27</c:f>
              <c:numCache>
                <c:formatCode>0.0</c:formatCode>
                <c:ptCount val="1"/>
                <c:pt idx="0">
                  <c:v>7.780548628428928</c:v>
                </c:pt>
              </c:numCache>
            </c:numRef>
          </c:yVal>
          <c:smooth val="0"/>
          <c:extLst>
            <c:ext xmlns:c15="http://schemas.microsoft.com/office/drawing/2012/chart" uri="{02D57815-91ED-43cb-92C2-25804820EDAC}">
              <c15:datalabelsRange>
                <c15:f>{"Gate current at FET plateau voltage"}</c15:f>
                <c15:dlblRangeCache>
                  <c:ptCount val="1"/>
                  <c:pt idx="0">
                    <c:v>Gate current at FET plateau voltage</c:v>
                  </c:pt>
                </c15:dlblRangeCache>
              </c15:datalabelsRange>
            </c:ext>
            <c:ext xmlns:c16="http://schemas.microsoft.com/office/drawing/2014/chart" uri="{C3380CC4-5D6E-409C-BE32-E72D297353CC}">
              <c16:uniqueId val="{00000004-6884-4378-8A4F-CA419464FAEC}"/>
            </c:ext>
          </c:extLst>
        </c:ser>
        <c:dLbls>
          <c:showLegendKey val="0"/>
          <c:showVal val="0"/>
          <c:showCatName val="0"/>
          <c:showSerName val="0"/>
          <c:showPercent val="0"/>
          <c:showBubbleSize val="0"/>
        </c:dLbls>
        <c:axId val="1364388944"/>
        <c:axId val="558749424"/>
      </c:scatterChart>
      <c:valAx>
        <c:axId val="136438894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VGS voltage (V)</a:t>
                </a:r>
              </a:p>
            </c:rich>
          </c:tx>
          <c:layout>
            <c:manualLayout>
              <c:xMode val="edge"/>
              <c:yMode val="edge"/>
              <c:x val="0.45934678237713983"/>
              <c:y val="0.9455499035652654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749424"/>
        <c:crosses val="autoZero"/>
        <c:crossBetween val="midCat"/>
      </c:valAx>
      <c:valAx>
        <c:axId val="558749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gate current (mA)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4388944"/>
        <c:crosses val="autoZero"/>
        <c:crossBetween val="midCat"/>
      </c:valAx>
      <c:spPr>
        <a:noFill/>
        <a:ln>
          <a:solidFill>
            <a:schemeClr val="tx1"/>
          </a:solidFill>
          <a:prstDash val="solid"/>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22</xdr:col>
      <xdr:colOff>402963</xdr:colOff>
      <xdr:row>36</xdr:row>
      <xdr:rowOff>71717</xdr:rowOff>
    </xdr:from>
    <xdr:to>
      <xdr:col>28</xdr:col>
      <xdr:colOff>97827</xdr:colOff>
      <xdr:row>46</xdr:row>
      <xdr:rowOff>151223</xdr:rowOff>
    </xdr:to>
    <xdr:graphicFrame macro="">
      <xdr:nvGraphicFramePr>
        <xdr:cNvPr id="6" name="Chart 5">
          <a:extLst>
            <a:ext uri="{FF2B5EF4-FFF2-40B4-BE49-F238E27FC236}">
              <a16:creationId xmlns:a16="http://schemas.microsoft.com/office/drawing/2014/main" id="{C0BD52BD-CA27-4C89-B9E4-8A04D7890D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313147</xdr:colOff>
      <xdr:row>36</xdr:row>
      <xdr:rowOff>86006</xdr:rowOff>
    </xdr:from>
    <xdr:to>
      <xdr:col>20</xdr:col>
      <xdr:colOff>560012</xdr:colOff>
      <xdr:row>51</xdr:row>
      <xdr:rowOff>120296</xdr:rowOff>
    </xdr:to>
    <xdr:graphicFrame macro="">
      <xdr:nvGraphicFramePr>
        <xdr:cNvPr id="7" name="Chart 6">
          <a:extLst>
            <a:ext uri="{FF2B5EF4-FFF2-40B4-BE49-F238E27FC236}">
              <a16:creationId xmlns:a16="http://schemas.microsoft.com/office/drawing/2014/main" id="{59486C48-E4CF-4487-A48E-E1C5089EB3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49148</xdr:colOff>
      <xdr:row>14</xdr:row>
      <xdr:rowOff>76871</xdr:rowOff>
    </xdr:from>
    <xdr:to>
      <xdr:col>12</xdr:col>
      <xdr:colOff>777240</xdr:colOff>
      <xdr:row>28</xdr:row>
      <xdr:rowOff>22698</xdr:rowOff>
    </xdr:to>
    <xdr:pic>
      <xdr:nvPicPr>
        <xdr:cNvPr id="5" name="Picture 4">
          <a:extLst>
            <a:ext uri="{FF2B5EF4-FFF2-40B4-BE49-F238E27FC236}">
              <a16:creationId xmlns:a16="http://schemas.microsoft.com/office/drawing/2014/main" id="{A8982102-914C-4B2E-A2EB-6DBE2CA997A6}"/>
            </a:ext>
          </a:extLst>
        </xdr:cNvPr>
        <xdr:cNvPicPr>
          <a:picLocks noChangeAspect="1"/>
        </xdr:cNvPicPr>
      </xdr:nvPicPr>
      <xdr:blipFill>
        <a:blip xmlns:r="http://schemas.openxmlformats.org/officeDocument/2006/relationships" r:embed="rId3"/>
        <a:stretch>
          <a:fillRect/>
        </a:stretch>
      </xdr:blipFill>
      <xdr:spPr>
        <a:xfrm>
          <a:off x="9069883" y="2116342"/>
          <a:ext cx="4638945" cy="1813622"/>
        </a:xfrm>
        <a:prstGeom prst="rect">
          <a:avLst/>
        </a:prstGeom>
      </xdr:spPr>
    </xdr:pic>
    <xdr:clientData/>
  </xdr:twoCellAnchor>
  <xdr:twoCellAnchor>
    <xdr:from>
      <xdr:col>3</xdr:col>
      <xdr:colOff>332368</xdr:colOff>
      <xdr:row>61</xdr:row>
      <xdr:rowOff>62077</xdr:rowOff>
    </xdr:from>
    <xdr:to>
      <xdr:col>4</xdr:col>
      <xdr:colOff>122704</xdr:colOff>
      <xdr:row>81</xdr:row>
      <xdr:rowOff>176268</xdr:rowOff>
    </xdr:to>
    <xdr:graphicFrame macro="">
      <xdr:nvGraphicFramePr>
        <xdr:cNvPr id="8" name="Chart 7">
          <a:extLst>
            <a:ext uri="{FF2B5EF4-FFF2-40B4-BE49-F238E27FC236}">
              <a16:creationId xmlns:a16="http://schemas.microsoft.com/office/drawing/2014/main" id="{44BB4128-66B8-4EFE-B9DB-C555A74DAA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007B9-8DD2-4DFC-8185-B498E9975350}">
  <dimension ref="C1:S60"/>
  <sheetViews>
    <sheetView tabSelected="1" topLeftCell="A10" zoomScaleNormal="100" workbookViewId="0">
      <selection activeCell="E3" sqref="E3"/>
    </sheetView>
  </sheetViews>
  <sheetFormatPr defaultRowHeight="14.5" x14ac:dyDescent="0.35"/>
  <cols>
    <col min="3" max="3" width="0" hidden="1" customWidth="1"/>
    <col min="4" max="4" width="78.26953125" customWidth="1"/>
    <col min="5" max="5" width="12.7265625" bestFit="1" customWidth="1"/>
    <col min="6" max="6" width="5.453125" customWidth="1"/>
    <col min="7" max="7" width="56" customWidth="1"/>
    <col min="12" max="12" width="21.7265625" customWidth="1"/>
    <col min="13" max="13" width="25.7265625" bestFit="1" customWidth="1"/>
    <col min="14" max="14" width="9.54296875" customWidth="1"/>
    <col min="15" max="15" width="8.7265625" customWidth="1"/>
    <col min="18" max="19" width="8.81640625" hidden="1" customWidth="1"/>
  </cols>
  <sheetData>
    <row r="1" spans="3:19" ht="15" thickBot="1" x14ac:dyDescent="0.4"/>
    <row r="2" spans="3:19" ht="19" thickBot="1" x14ac:dyDescent="0.4">
      <c r="D2" s="45" t="s">
        <v>28</v>
      </c>
      <c r="E2" s="46"/>
      <c r="F2" s="47"/>
    </row>
    <row r="3" spans="3:19" x14ac:dyDescent="0.35">
      <c r="D3" s="8" t="s">
        <v>6</v>
      </c>
      <c r="E3" s="25" t="s">
        <v>38</v>
      </c>
      <c r="F3" s="5"/>
    </row>
    <row r="4" spans="3:19" x14ac:dyDescent="0.35">
      <c r="D4" s="9" t="str">
        <f>IF(E3="Yes", "Number of Parallel FETs","")</f>
        <v/>
      </c>
      <c r="E4" s="31">
        <v>2</v>
      </c>
      <c r="F4" s="3"/>
      <c r="R4" t="s">
        <v>0</v>
      </c>
    </row>
    <row r="5" spans="3:19" x14ac:dyDescent="0.35">
      <c r="D5" s="24" t="s">
        <v>34</v>
      </c>
      <c r="E5" s="26">
        <v>3.2</v>
      </c>
      <c r="F5" s="3" t="s">
        <v>4</v>
      </c>
      <c r="R5" t="s">
        <v>1</v>
      </c>
    </row>
    <row r="6" spans="3:19" x14ac:dyDescent="0.35">
      <c r="D6" s="9" t="s">
        <v>35</v>
      </c>
      <c r="E6" s="32">
        <v>200</v>
      </c>
      <c r="F6" s="3" t="s">
        <v>5</v>
      </c>
      <c r="R6" t="s">
        <v>2</v>
      </c>
    </row>
    <row r="7" spans="3:19" ht="58" x14ac:dyDescent="0.35">
      <c r="D7" s="24" t="s">
        <v>23</v>
      </c>
      <c r="E7" s="26">
        <v>4.2</v>
      </c>
      <c r="F7" s="3" t="s">
        <v>7</v>
      </c>
      <c r="G7" s="42" t="s">
        <v>39</v>
      </c>
      <c r="S7" t="s">
        <v>3</v>
      </c>
    </row>
    <row r="8" spans="3:19" x14ac:dyDescent="0.35">
      <c r="D8" s="11" t="s">
        <v>36</v>
      </c>
      <c r="E8" s="33">
        <v>12</v>
      </c>
      <c r="F8" s="14" t="s">
        <v>7</v>
      </c>
    </row>
    <row r="9" spans="3:19" x14ac:dyDescent="0.35">
      <c r="D9" s="24" t="s">
        <v>37</v>
      </c>
      <c r="E9" s="28" t="s">
        <v>41</v>
      </c>
      <c r="F9" s="3"/>
    </row>
    <row r="10" spans="3:19" x14ac:dyDescent="0.35">
      <c r="D10" s="9" t="str">
        <f>IF(Driver_voltage_architecture="Charge Pump","Nominal drain voltage","")</f>
        <v/>
      </c>
      <c r="E10" s="34">
        <v>12</v>
      </c>
      <c r="F10" s="3"/>
    </row>
    <row r="11" spans="3:19" x14ac:dyDescent="0.35">
      <c r="D11" s="6"/>
      <c r="E11" s="7"/>
      <c r="F11" s="3"/>
    </row>
    <row r="12" spans="3:19" x14ac:dyDescent="0.35">
      <c r="D12" s="12" t="s">
        <v>10</v>
      </c>
      <c r="E12" s="27">
        <v>1000</v>
      </c>
      <c r="F12" s="15" t="s">
        <v>8</v>
      </c>
    </row>
    <row r="13" spans="3:19" x14ac:dyDescent="0.35">
      <c r="D13" s="9" t="s">
        <v>40</v>
      </c>
      <c r="E13" s="34" t="s">
        <v>38</v>
      </c>
      <c r="F13" s="3"/>
    </row>
    <row r="14" spans="3:19" x14ac:dyDescent="0.35">
      <c r="C14">
        <f>IF(E13="Yes",E14,2.5/IDRIVE_A)</f>
        <v>2.5</v>
      </c>
      <c r="D14" s="44" t="str">
        <f>IF(E13="Yes","RDRIVE setting","")</f>
        <v/>
      </c>
      <c r="E14" s="43">
        <v>10.6</v>
      </c>
      <c r="F14" s="14" t="str">
        <f>IF(E13="Yes","Ω","")</f>
        <v/>
      </c>
      <c r="R14" t="s">
        <v>9</v>
      </c>
    </row>
    <row r="15" spans="3:19" x14ac:dyDescent="0.35">
      <c r="D15" s="6"/>
      <c r="E15" s="7"/>
      <c r="F15" s="3"/>
    </row>
    <row r="16" spans="3:19" x14ac:dyDescent="0.35">
      <c r="D16" s="20" t="s">
        <v>30</v>
      </c>
      <c r="E16" s="17">
        <f>E5*Number_of_Parallel_FETs</f>
        <v>3.2</v>
      </c>
      <c r="F16" s="15" t="s">
        <v>4</v>
      </c>
    </row>
    <row r="17" spans="4:13" x14ac:dyDescent="0.35">
      <c r="D17" s="9" t="s">
        <v>29</v>
      </c>
      <c r="E17" s="16">
        <f>1000*Qgd_total_nC/rise_time_ns</f>
        <v>16</v>
      </c>
      <c r="F17" s="3" t="s">
        <v>8</v>
      </c>
    </row>
    <row r="18" spans="4:13" hidden="1" x14ac:dyDescent="0.35">
      <c r="D18" s="13" t="s">
        <v>12</v>
      </c>
      <c r="E18" s="7">
        <f>Vgate-IDRIVE_A*RDRIVE</f>
        <v>9.5</v>
      </c>
      <c r="F18" s="3" t="s">
        <v>7</v>
      </c>
    </row>
    <row r="19" spans="4:13" hidden="1" x14ac:dyDescent="0.35">
      <c r="D19" s="13" t="s">
        <v>24</v>
      </c>
      <c r="E19" s="7">
        <f>(VGLx-Vplateau)/IDRIVE_A</f>
        <v>5.3</v>
      </c>
      <c r="F19" s="3" t="s">
        <v>11</v>
      </c>
      <c r="H19" t="s">
        <v>13</v>
      </c>
    </row>
    <row r="20" spans="4:13" hidden="1" x14ac:dyDescent="0.35">
      <c r="D20" s="13" t="s">
        <v>17</v>
      </c>
      <c r="E20" s="18">
        <f>Vgate-(gate_current_mA/1000*RDRIVE)</f>
        <v>11.96</v>
      </c>
      <c r="F20" s="3" t="s">
        <v>7</v>
      </c>
    </row>
    <row r="21" spans="4:13" ht="14.5" hidden="1" customHeight="1" x14ac:dyDescent="0.35">
      <c r="D21" s="6" t="str">
        <f>_xlfn.CONCAT("total Rgate needed to reach VGLx voltage of ",E20,"V")</f>
        <v>total Rgate needed to reach VGLx voltage of 11.96V</v>
      </c>
      <c r="E21" s="18">
        <f>(E20-Vplateau)*1000/gate_current_mA</f>
        <v>485.00000000000006</v>
      </c>
      <c r="F21" s="3" t="s">
        <v>11</v>
      </c>
    </row>
    <row r="22" spans="4:13" ht="32.5" customHeight="1" x14ac:dyDescent="0.35">
      <c r="D22" s="10" t="str">
        <f>_xlfn.CONCAT("Total Rgate needed per channel to achieve a theoretical MOSFET rise time of ",rise_time_ns,"ns")</f>
        <v>Total Rgate needed per channel to achieve a theoretical MOSFET rise time of 200ns</v>
      </c>
      <c r="E22" s="40">
        <f>Rgate_total</f>
        <v>485.00000000000006</v>
      </c>
      <c r="F22" s="3" t="s">
        <v>11</v>
      </c>
    </row>
    <row r="23" spans="4:13" x14ac:dyDescent="0.35">
      <c r="D23" s="19" t="s">
        <v>18</v>
      </c>
      <c r="E23" s="41">
        <f>Rgate_total*Number_of_Parallel_FETs</f>
        <v>485.00000000000006</v>
      </c>
      <c r="F23" s="14" t="s">
        <v>11</v>
      </c>
    </row>
    <row r="24" spans="4:13" x14ac:dyDescent="0.35">
      <c r="D24" s="6"/>
      <c r="E24" s="7"/>
      <c r="F24" s="3"/>
    </row>
    <row r="25" spans="4:13" x14ac:dyDescent="0.35">
      <c r="D25" s="21" t="s">
        <v>31</v>
      </c>
      <c r="E25" s="27">
        <v>1000</v>
      </c>
      <c r="F25" s="15" t="s">
        <v>11</v>
      </c>
    </row>
    <row r="26" spans="4:13" hidden="1" x14ac:dyDescent="0.35">
      <c r="D26" s="6" t="s">
        <v>22</v>
      </c>
      <c r="E26" s="7">
        <f>(Vgate-Vplateau)*1000/(RDRIVE+Rgate_user_total)</f>
        <v>7.780548628428928</v>
      </c>
      <c r="F26" s="3" t="s">
        <v>8</v>
      </c>
      <c r="G26" t="s">
        <v>21</v>
      </c>
    </row>
    <row r="27" spans="4:13" x14ac:dyDescent="0.35">
      <c r="D27" s="9" t="s">
        <v>32</v>
      </c>
      <c r="E27" s="23">
        <f>actual_gate_current_mA</f>
        <v>7.780548628428928</v>
      </c>
      <c r="F27" s="3" t="s">
        <v>8</v>
      </c>
    </row>
    <row r="28" spans="4:13" ht="15" thickBot="1" x14ac:dyDescent="0.4">
      <c r="D28" s="22" t="s">
        <v>33</v>
      </c>
      <c r="E28" s="39">
        <f>Qgd_total_nC/actual_gate_current_A</f>
        <v>411.28205128205127</v>
      </c>
      <c r="F28" s="4" t="s">
        <v>5</v>
      </c>
    </row>
    <row r="29" spans="4:13" ht="15" thickBot="1" x14ac:dyDescent="0.4">
      <c r="D29" s="30"/>
      <c r="E29" s="7"/>
      <c r="F29" s="7"/>
    </row>
    <row r="30" spans="4:13" x14ac:dyDescent="0.35">
      <c r="D30" s="38" t="str">
        <f>IF(Driver_voltage_architecture="Charge Pump","Calculated worst case voltage spike on GHx with respect to SHx (assuming 1.5x nominal drain voltage) with actual chosen gate resistance","")</f>
        <v/>
      </c>
      <c r="E30" s="35">
        <f>IF(Driver_voltage_architecture="Charge Pump",IF((Vplateau+IDRIVE_A*Rgate_user/Number_of_Parallel_FETs)&gt;(Nominal_voltage+VGLx),IF((Vplateau+IDRIVE_A*Rgate_user/Number_of_Parallel_FETs) &gt; (Nominal_voltage * 1.5 + VGLx),Vplateau+(Nominal_voltage*1.5+Vgate-Vplateau)*(Rgate_user/Number_of_Parallel_FETs)/(Rgate_user/Number_of_Parallel_FETs+RDRIVE),(Vplateau+IDRIVE_A*Rgate_user/(Number_of_Parallel_FETs))),Vplateau + IDRIVE_A*Rgate_user/Number_of_Parallel_FETs),)</f>
        <v>0</v>
      </c>
      <c r="F30" s="5" t="str">
        <f>IF(Driver_voltage_architecture="Charge Pump","V","")</f>
        <v/>
      </c>
      <c r="G30" s="29" t="str">
        <f>IF(E30&gt;15,"Possible GHx-SHx driver abs max violation transients possible due to the initial voltage drop across the gate resistor. Recommend decreasing gate resistance to avoid violation and add external Cgd to reduce MOSFET VDS slew","")</f>
        <v/>
      </c>
    </row>
    <row r="31" spans="4:13" ht="15" thickBot="1" x14ac:dyDescent="0.4">
      <c r="D31" s="36" t="b">
        <f>IF(Driver_voltage_architecture="Charge Pump",_xlfn.CONCAT("Calculated worst case voltage spike on GHx with respect to SHx (assuming 1.5x nominal drain voltage) with calculated gate resistance of ",ROUND(Calculated_Rgate_per_FET,0),"Ω",""))</f>
        <v>0</v>
      </c>
      <c r="E31" s="37">
        <f>IF(Driver_voltage_architecture="Charge Pump",IF((Vplateau+IDRIVE_A*Calculated_Rgate_per_FET/Number_of_Parallel_FETs)&gt;(Nominal_voltage+VGLx),IF((Vplateau+IDRIVE_A*Calculated_Rgate_per_FET/Number_of_Parallel_FETs) &gt; (Nominal_voltage * 1.5 + VGLx),Vplateau+(Nominal_voltage*1.5+Vgate-Vplateau)*(Calculated_Rgate_per_FET/Number_of_Parallel_FETs)/(Calculated_Rgate_per_FET/Number_of_Parallel_FETs+RDRIVE),(Vplateau+IDRIVE_A*Calculated_Rgate_per_FET/(Number_of_Parallel_FETs))),Vplateau + IDRIVE_A*Calculated_Rgate_per_FET/Number_of_Parallel_FETs),)</f>
        <v>0</v>
      </c>
      <c r="F31" s="4" t="str">
        <f>IF(Driver_voltage_architecture="Charge Pump","V","")</f>
        <v/>
      </c>
      <c r="G31" s="29" t="str">
        <f>IF(E31&gt;15,"Possible GHx-SHx abs max driver violation transients possible due to the initial voltage drop across the gate resistor. Recommend decreasing gate resistance to avoid violation and add external Cgd to reduce MOSFET VDS slew","")</f>
        <v/>
      </c>
    </row>
    <row r="32" spans="4:13" s="1" customFormat="1" hidden="1" x14ac:dyDescent="0.35">
      <c r="M32" s="1" t="s">
        <v>14</v>
      </c>
    </row>
    <row r="33" spans="6:16" s="1" customFormat="1" hidden="1" x14ac:dyDescent="0.35">
      <c r="M33" s="1" t="s">
        <v>15</v>
      </c>
      <c r="O33" s="1" t="s">
        <v>16</v>
      </c>
    </row>
    <row r="34" spans="6:16" s="1" customFormat="1" hidden="1" x14ac:dyDescent="0.35">
      <c r="M34" s="1">
        <v>0</v>
      </c>
      <c r="N34" s="1" t="s">
        <v>7</v>
      </c>
      <c r="O34" s="1">
        <v>0</v>
      </c>
      <c r="P34" s="1" t="s">
        <v>8</v>
      </c>
    </row>
    <row r="35" spans="6:16" s="1" customFormat="1" hidden="1" x14ac:dyDescent="0.35">
      <c r="M35" s="1">
        <f>gate_current_mA/1000*RDRIVE</f>
        <v>0.04</v>
      </c>
      <c r="N35" s="1" t="s">
        <v>7</v>
      </c>
      <c r="O35" s="1">
        <f>gate_current_mA</f>
        <v>16</v>
      </c>
      <c r="P35" s="1" t="s">
        <v>8</v>
      </c>
    </row>
    <row r="36" spans="6:16" s="1" customFormat="1" hidden="1" x14ac:dyDescent="0.35">
      <c r="M36" s="1">
        <f>Vgate-VGLx</f>
        <v>2.5</v>
      </c>
      <c r="N36" s="1" t="s">
        <v>7</v>
      </c>
      <c r="O36" s="1">
        <f>IDRIVE_mA</f>
        <v>1000</v>
      </c>
      <c r="P36" s="1" t="s">
        <v>8</v>
      </c>
    </row>
    <row r="37" spans="6:16" s="1" customFormat="1" hidden="1" x14ac:dyDescent="0.35">
      <c r="M37" s="1">
        <v>12</v>
      </c>
      <c r="N37" s="1" t="s">
        <v>7</v>
      </c>
      <c r="O37" s="1">
        <f>IDRIVE_mA</f>
        <v>1000</v>
      </c>
      <c r="P37" s="1" t="s">
        <v>8</v>
      </c>
    </row>
    <row r="38" spans="6:16" s="1" customFormat="1" hidden="1" x14ac:dyDescent="0.35"/>
    <row r="39" spans="6:16" s="1" customFormat="1" hidden="1" x14ac:dyDescent="0.35"/>
    <row r="40" spans="6:16" s="1" customFormat="1" hidden="1" x14ac:dyDescent="0.35">
      <c r="M40" s="1" t="s">
        <v>20</v>
      </c>
    </row>
    <row r="41" spans="6:16" s="1" customFormat="1" hidden="1" x14ac:dyDescent="0.35">
      <c r="H41" s="1" t="s">
        <v>19</v>
      </c>
      <c r="M41" s="1">
        <f>Vgate</f>
        <v>12</v>
      </c>
      <c r="N41" s="1" t="s">
        <v>7</v>
      </c>
      <c r="O41" s="1">
        <v>0</v>
      </c>
    </row>
    <row r="42" spans="6:16" s="1" customFormat="1" hidden="1" x14ac:dyDescent="0.35">
      <c r="F42" s="1">
        <f>VGLx-(Rgate_user/Number_of_Parallel_FETs*IDRIVE_A)</f>
        <v>-990.5</v>
      </c>
      <c r="H42" s="1">
        <v>0</v>
      </c>
      <c r="I42" s="2">
        <f>IF(F42&gt;0,IDRIVE_mA,(Vgate-H42)*1000/(RDRIVE+Rgate_user_total))</f>
        <v>11.970074812967582</v>
      </c>
      <c r="M42" s="1">
        <f>Vgate-gate_current_mA/1000*RDRIVE</f>
        <v>11.96</v>
      </c>
      <c r="N42" s="1" t="s">
        <v>7</v>
      </c>
      <c r="O42" s="1">
        <f>gate_current_mA</f>
        <v>16</v>
      </c>
    </row>
    <row r="43" spans="6:16" s="1" customFormat="1" hidden="1" x14ac:dyDescent="0.35">
      <c r="H43" s="1">
        <f>IF(F42&gt;0,F42,1)</f>
        <v>1</v>
      </c>
      <c r="I43" s="2">
        <f>(Vgate-H43)*1000/(RDRIVE+Rgate_user_total)</f>
        <v>10.972568578553616</v>
      </c>
      <c r="J43" s="1" t="s">
        <v>25</v>
      </c>
      <c r="M43" s="1">
        <f>VGLx</f>
        <v>9.5</v>
      </c>
      <c r="N43" s="1" t="s">
        <v>7</v>
      </c>
      <c r="O43" s="1">
        <f>IDRIVE_mA</f>
        <v>1000</v>
      </c>
    </row>
    <row r="44" spans="6:16" s="1" customFormat="1" hidden="1" x14ac:dyDescent="0.35">
      <c r="H44" s="1">
        <f t="shared" ref="H44:H56" si="0">IF(AND(H43&lt;Vgate,H43+1&lt;Vgate),H43+1,Vgate)</f>
        <v>2</v>
      </c>
      <c r="I44" s="2">
        <f>(Vgate-H44)*1000/(RDRIVE+Rgate_user_total)</f>
        <v>9.9750623441396513</v>
      </c>
      <c r="J44" s="1" t="s">
        <v>26</v>
      </c>
      <c r="M44" s="1">
        <v>0</v>
      </c>
      <c r="N44" s="1" t="s">
        <v>7</v>
      </c>
      <c r="O44" s="1">
        <f>IDRIVE_mA</f>
        <v>1000</v>
      </c>
    </row>
    <row r="45" spans="6:16" s="1" customFormat="1" hidden="1" x14ac:dyDescent="0.35">
      <c r="H45" s="1">
        <f t="shared" si="0"/>
        <v>3</v>
      </c>
      <c r="I45" s="2">
        <f>(Vgate-H45)*1000/(RDRIVE+Rgate_user_total)</f>
        <v>8.9775561097256862</v>
      </c>
      <c r="J45" s="1" t="s">
        <v>27</v>
      </c>
    </row>
    <row r="46" spans="6:16" s="1" customFormat="1" hidden="1" x14ac:dyDescent="0.35">
      <c r="H46" s="1">
        <f t="shared" si="0"/>
        <v>4</v>
      </c>
      <c r="I46" s="2">
        <f>(Vgate-H46)*1000/(RDRIVE+Rgate_user_total)</f>
        <v>7.9800498753117211</v>
      </c>
    </row>
    <row r="47" spans="6:16" s="1" customFormat="1" hidden="1" x14ac:dyDescent="0.35">
      <c r="H47" s="1">
        <f t="shared" si="0"/>
        <v>5</v>
      </c>
      <c r="I47" s="2">
        <f>(Vgate-H47)*1000/(RDRIVE+Rgate_user_total)</f>
        <v>6.9825436408977559</v>
      </c>
    </row>
    <row r="48" spans="6:16" s="1" customFormat="1" hidden="1" x14ac:dyDescent="0.35">
      <c r="H48" s="1">
        <f t="shared" si="0"/>
        <v>6</v>
      </c>
      <c r="I48" s="2">
        <f>(Vgate-H48)*1000/(RDRIVE+Rgate_user_total)</f>
        <v>5.9850374064837908</v>
      </c>
    </row>
    <row r="49" spans="4:9" s="1" customFormat="1" hidden="1" x14ac:dyDescent="0.35">
      <c r="H49" s="1">
        <f t="shared" si="0"/>
        <v>7</v>
      </c>
      <c r="I49" s="2">
        <f>(Vgate-H49)*1000/(RDRIVE+Rgate_user_total)</f>
        <v>4.9875311720698257</v>
      </c>
    </row>
    <row r="50" spans="4:9" s="1" customFormat="1" hidden="1" x14ac:dyDescent="0.35">
      <c r="H50" s="1">
        <f t="shared" si="0"/>
        <v>8</v>
      </c>
      <c r="I50" s="2">
        <f>(Vgate-H50)*1000/(RDRIVE+Rgate_user_total)</f>
        <v>3.9900249376558605</v>
      </c>
    </row>
    <row r="51" spans="4:9" s="1" customFormat="1" hidden="1" x14ac:dyDescent="0.35">
      <c r="H51" s="1">
        <f t="shared" si="0"/>
        <v>9</v>
      </c>
      <c r="I51" s="2">
        <f>(Vgate-H51)*1000/(RDRIVE+Rgate_user_total)</f>
        <v>2.9925187032418954</v>
      </c>
    </row>
    <row r="52" spans="4:9" s="1" customFormat="1" hidden="1" x14ac:dyDescent="0.35">
      <c r="H52" s="1">
        <f t="shared" si="0"/>
        <v>10</v>
      </c>
      <c r="I52" s="2">
        <f>(Vgate-H52)*1000/(RDRIVE+Rgate_user_total)</f>
        <v>1.9950124688279303</v>
      </c>
    </row>
    <row r="53" spans="4:9" s="1" customFormat="1" hidden="1" x14ac:dyDescent="0.35">
      <c r="H53" s="1">
        <f t="shared" si="0"/>
        <v>11</v>
      </c>
      <c r="I53" s="2">
        <f>(Vgate-H53)*1000/(RDRIVE+Rgate_user_total)</f>
        <v>0.99750623441396513</v>
      </c>
    </row>
    <row r="54" spans="4:9" s="1" customFormat="1" hidden="1" x14ac:dyDescent="0.35">
      <c r="H54" s="1">
        <f t="shared" si="0"/>
        <v>12</v>
      </c>
      <c r="I54" s="2">
        <f>(Vgate-H54)*1000/(RDRIVE+Rgate_user_total)</f>
        <v>0</v>
      </c>
    </row>
    <row r="55" spans="4:9" s="1" customFormat="1" hidden="1" x14ac:dyDescent="0.35">
      <c r="H55" s="1">
        <f t="shared" si="0"/>
        <v>12</v>
      </c>
      <c r="I55" s="2">
        <f>(Vgate-H55)*1000/(RDRIVE+Rgate_user_total)</f>
        <v>0</v>
      </c>
    </row>
    <row r="56" spans="4:9" s="1" customFormat="1" hidden="1" x14ac:dyDescent="0.35">
      <c r="H56" s="1">
        <f t="shared" si="0"/>
        <v>12</v>
      </c>
      <c r="I56" s="2">
        <f>(Vgate-H56)*1000/(RDRIVE+Rgate_user_total)</f>
        <v>0</v>
      </c>
    </row>
    <row r="57" spans="4:9" hidden="1" x14ac:dyDescent="0.35"/>
    <row r="58" spans="4:9" hidden="1" x14ac:dyDescent="0.35"/>
    <row r="59" spans="4:9" hidden="1" x14ac:dyDescent="0.35"/>
    <row r="60" spans="4:9" x14ac:dyDescent="0.35">
      <c r="D60" s="29"/>
    </row>
  </sheetData>
  <sheetProtection algorithmName="SHA-512" hashValue="OJAKT4I0dvhW+UWQtWm9v5Wp5sb60k46Z/KgC6tuZPgp4t1BfU0gE1lNT27VXAfI854plat7ZU/5oCVc5MKeyg==" saltValue="6kU/u3Ro/sDPE3/uRFi24Q==" spinCount="100000" sheet="1" objects="1" selectLockedCells="1"/>
  <mergeCells count="1">
    <mergeCell ref="D2:F2"/>
  </mergeCells>
  <conditionalFormatting sqref="D4:F4 D16:F16 D23:F23">
    <cfRule type="expression" dxfId="5" priority="6">
      <formula>$E$3="No"</formula>
    </cfRule>
  </conditionalFormatting>
  <conditionalFormatting sqref="D10:E10 D30:F31">
    <cfRule type="expression" dxfId="4" priority="5">
      <formula>$E$9="Bootstrap"</formula>
    </cfRule>
  </conditionalFormatting>
  <conditionalFormatting sqref="E30">
    <cfRule type="cellIs" dxfId="3" priority="4" operator="greaterThan">
      <formula>15</formula>
    </cfRule>
  </conditionalFormatting>
  <conditionalFormatting sqref="E31">
    <cfRule type="cellIs" dxfId="2" priority="3" operator="greaterThan">
      <formula>15</formula>
    </cfRule>
  </conditionalFormatting>
  <conditionalFormatting sqref="E14">
    <cfRule type="expression" dxfId="1" priority="2">
      <formula>NOT(E$13="Yes")</formula>
    </cfRule>
  </conditionalFormatting>
  <conditionalFormatting sqref="D14">
    <cfRule type="expression" dxfId="0" priority="1">
      <formula>NOT($E$13="Yes")</formula>
    </cfRule>
  </conditionalFormatting>
  <dataValidations count="2">
    <dataValidation type="list" allowBlank="1" showInputMessage="1" showErrorMessage="1" sqref="E3 E13" xr:uid="{5068B541-41EC-44BA-B85E-AD79E36D9832}">
      <formula1>"Yes, No"</formula1>
    </dataValidation>
    <dataValidation type="list" allowBlank="1" showInputMessage="1" showErrorMessage="1" sqref="E9" xr:uid="{F4A1F049-39DC-4CAC-9EC6-A858075C6445}">
      <formula1>"Charge Pump, Bootstrap"</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890CF5D1712414994CF73E5254FE8C3" ma:contentTypeVersion="1" ma:contentTypeDescription="Create a new document." ma:contentTypeScope="" ma:versionID="ac4f493a9480fb403711dc4be70bc4e3">
  <xsd:schema xmlns:xsd="http://www.w3.org/2001/XMLSchema" xmlns:xs="http://www.w3.org/2001/XMLSchema" xmlns:p="http://schemas.microsoft.com/office/2006/metadata/properties" xmlns:ns2="6f2f0605-bfee-4698-a78a-575fc242f63d" targetNamespace="http://schemas.microsoft.com/office/2006/metadata/properties" ma:root="true" ma:fieldsID="a99885eb63a62de0bdef9ae51f933929" ns2:_="">
    <xsd:import namespace="6f2f0605-bfee-4698-a78a-575fc242f63d"/>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2f0605-bfee-4698-a78a-575fc242f63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B21048-8594-425E-B5F5-DCB396651FF2}">
  <ds:schemaRefs>
    <ds:schemaRef ds:uri="http://schemas.microsoft.com/sharepoint/v3/contenttype/forms"/>
  </ds:schemaRefs>
</ds:datastoreItem>
</file>

<file path=customXml/itemProps2.xml><?xml version="1.0" encoding="utf-8"?>
<ds:datastoreItem xmlns:ds="http://schemas.openxmlformats.org/officeDocument/2006/customXml" ds:itemID="{CA8BEE7A-3E64-4638-A86C-9C1715E04B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2f0605-bfee-4698-a78a-575fc242f6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90B9F3-7833-49CC-B5CC-8BD607CBA41B}">
  <ds:schemaRefs>
    <ds:schemaRef ds:uri="6f2f0605-bfee-4698-a78a-575fc242f63d"/>
    <ds:schemaRef ds:uri="http://purl.org/dc/dcmitype/"/>
    <ds:schemaRef ds:uri="http://purl.org/dc/terms/"/>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13</vt:i4>
      </vt:variant>
    </vt:vector>
  </HeadingPairs>
  <TitlesOfParts>
    <vt:vector size="14" baseType="lpstr">
      <vt:lpstr>Sheet1</vt:lpstr>
      <vt:lpstr>Calculated_Rgate_per_FET</vt:lpstr>
      <vt:lpstr>Driver_voltage_architecture</vt:lpstr>
      <vt:lpstr>gate_current_mA</vt:lpstr>
      <vt:lpstr>IDRIVE_mA</vt:lpstr>
      <vt:lpstr>Nominal_voltage</vt:lpstr>
      <vt:lpstr>Qgd_total_nC</vt:lpstr>
      <vt:lpstr>RDRIVE</vt:lpstr>
      <vt:lpstr>Rgate_total</vt:lpstr>
      <vt:lpstr>Rgate_user</vt:lpstr>
      <vt:lpstr>rise_time_ns</vt:lpstr>
      <vt:lpstr>Vgate</vt:lpstr>
      <vt:lpstr>VGLx</vt:lpstr>
      <vt:lpstr>Vplateau</vt:lpstr>
    </vt:vector>
  </TitlesOfParts>
  <Company>Texas Instruments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Lodi, Anthony</dc:creator>
  <cp:lastModifiedBy>Rajeev Menon, Akshay</cp:lastModifiedBy>
  <dcterms:created xsi:type="dcterms:W3CDTF">2024-01-26T21:23:16Z</dcterms:created>
  <dcterms:modified xsi:type="dcterms:W3CDTF">2025-01-13T19:09:14Z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0x010100A890CF5D1712414994CF73E5254FE8C3</vt:lpwstr>
  </property>
</Properties>
</file>