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MC555" sheetId="2" r:id="rId1"/>
  </sheets>
  <calcPr calcId="145621"/>
</workbook>
</file>

<file path=xl/calcChain.xml><?xml version="1.0" encoding="utf-8"?>
<calcChain xmlns="http://schemas.openxmlformats.org/spreadsheetml/2006/main">
  <c r="C43" i="2" l="1"/>
  <c r="A43" i="2" l="1"/>
  <c r="A36" i="2"/>
  <c r="F16" i="2"/>
  <c r="E18" i="2" s="1"/>
  <c r="E19" i="2" s="1"/>
  <c r="E20" i="2" s="1"/>
  <c r="E21" i="2" s="1"/>
  <c r="G21" i="2" s="1"/>
  <c r="D27" i="2"/>
  <c r="C27" i="2"/>
  <c r="B27" i="2"/>
  <c r="D24" i="2"/>
  <c r="B24" i="2"/>
  <c r="A45" i="2" l="1"/>
  <c r="A46" i="2" s="1"/>
  <c r="C24" i="2"/>
  <c r="A24" i="2" s="1"/>
  <c r="C36" i="2"/>
  <c r="A38" i="2" s="1"/>
  <c r="A27" i="2"/>
  <c r="A30" i="2" l="1"/>
  <c r="B30" i="2" s="1"/>
</calcChain>
</file>

<file path=xl/sharedStrings.xml><?xml version="1.0" encoding="utf-8"?>
<sst xmlns="http://schemas.openxmlformats.org/spreadsheetml/2006/main" count="57" uniqueCount="44">
  <si>
    <t>C</t>
  </si>
  <si>
    <t>V=</t>
  </si>
  <si>
    <r>
      <t>Vs * (1 - e</t>
    </r>
    <r>
      <rPr>
        <vertAlign val="superscript"/>
        <sz val="11"/>
        <color theme="1"/>
        <rFont val="Calibri"/>
        <family val="2"/>
        <scheme val="minor"/>
      </rPr>
      <t>-t/rc</t>
    </r>
    <r>
      <rPr>
        <sz val="11"/>
        <color theme="1"/>
        <rFont val="Calibri"/>
        <family val="2"/>
        <scheme val="minor"/>
      </rPr>
      <t>)</t>
    </r>
  </si>
  <si>
    <t>VOH</t>
  </si>
  <si>
    <r>
      <t>(1 - e</t>
    </r>
    <r>
      <rPr>
        <vertAlign val="superscript"/>
        <sz val="11"/>
        <color theme="1"/>
        <rFont val="Calibri"/>
        <family val="2"/>
        <scheme val="minor"/>
      </rPr>
      <t>-t/rc</t>
    </r>
    <r>
      <rPr>
        <sz val="11"/>
        <color theme="1"/>
        <rFont val="Calibri"/>
        <family val="2"/>
        <scheme val="minor"/>
      </rPr>
      <t>)</t>
    </r>
  </si>
  <si>
    <r>
      <t>e</t>
    </r>
    <r>
      <rPr>
        <vertAlign val="superscript"/>
        <sz val="11"/>
        <color theme="1"/>
        <rFont val="Calibri"/>
        <family val="2"/>
        <scheme val="minor"/>
      </rPr>
      <t>-t/rc</t>
    </r>
  </si>
  <si>
    <t>-t/rc</t>
  </si>
  <si>
    <t>t/rc</t>
  </si>
  <si>
    <t>Tplh</t>
  </si>
  <si>
    <t>Tphl</t>
  </si>
  <si>
    <t>RA</t>
  </si>
  <si>
    <t>RB</t>
  </si>
  <si>
    <t>Tc(H)</t>
  </si>
  <si>
    <t>Ct(Ra)</t>
  </si>
  <si>
    <t>ln[stuff]</t>
  </si>
  <si>
    <t>tPHL</t>
  </si>
  <si>
    <t>Ron</t>
  </si>
  <si>
    <t>Ohms</t>
  </si>
  <si>
    <t>F</t>
  </si>
  <si>
    <t>s</t>
  </si>
  <si>
    <t>Ct(Rb)</t>
  </si>
  <si>
    <t>tPLH</t>
  </si>
  <si>
    <t>Period (s)</t>
  </si>
  <si>
    <t>Freq (Hz)</t>
  </si>
  <si>
    <t>750 kHz was observed, maybe cap is higher than symbolized</t>
  </si>
  <si>
    <t>Maybe formulas are only approximate (they are)</t>
  </si>
  <si>
    <t>Circuit board</t>
  </si>
  <si>
    <t>Desired</t>
  </si>
  <si>
    <t>&lt;-- minus diode drop</t>
  </si>
  <si>
    <t>Charge%</t>
  </si>
  <si>
    <t>Constant used</t>
  </si>
  <si>
    <t>Tc(H) -tPHL =</t>
  </si>
  <si>
    <t>ln [stuff]</t>
  </si>
  <si>
    <t>Ra * C *</t>
  </si>
  <si>
    <t>RB guess</t>
  </si>
  <si>
    <t>Tc(H) -tPHL / (Ln[stuff] * C)</t>
  </si>
  <si>
    <t>Ra</t>
  </si>
  <si>
    <t>Tc(L)</t>
  </si>
  <si>
    <t>Tc(L) -tPLH =</t>
  </si>
  <si>
    <t>RA guess</t>
  </si>
  <si>
    <t>Rb</t>
  </si>
  <si>
    <t>Rb * C *</t>
  </si>
  <si>
    <t>Rb + ron</t>
  </si>
  <si>
    <t>C pick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</si>
</sst>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quotePrefix="1"/>
    <xf numFmtId="0" fontId="0" fillId="0" borderId="0" xfId="0" applyNumberFormat="1"/>
    <xf numFmtId="0" fontId="3" fillId="2" borderId="0" xfId="0" applyFont="1" applyFill="1"/>
    <xf numFmtId="0" fontId="0" fillId="2" borderId="0" xfId="0" applyFill="1"/>
    <xf numFmtId="10" fontId="0" fillId="0" borderId="0" xfId="0" applyNumberFormat="1"/>
    <xf numFmtId="2" fontId="2" fillId="0" borderId="0" xfId="0" applyNumberFormat="1" applyFont="1"/>
    <xf numFmtId="0" fontId="0" fillId="0" borderId="0" xfId="0" applyAlignment="1">
      <alignment wrapText="1"/>
    </xf>
    <xf numFmtId="11" fontId="0" fillId="2" borderId="0" xfId="0" applyNumberFormat="1" applyFill="1"/>
    <xf numFmtId="164" fontId="0" fillId="2" borderId="0" xfId="1" applyNumberFormat="1" applyFont="1" applyFill="1"/>
    <xf numFmtId="0" fontId="0" fillId="3" borderId="0" xfId="0" applyFill="1"/>
    <xf numFmtId="11" fontId="0" fillId="3" borderId="0" xfId="0" applyNumberFormat="1" applyFill="1"/>
    <xf numFmtId="0" fontId="0" fillId="4" borderId="0" xfId="0" applyFill="1"/>
    <xf numFmtId="1" fontId="0" fillId="4" borderId="0" xfId="0" applyNumberFormat="1" applyFill="1"/>
    <xf numFmtId="0" fontId="0" fillId="5" borderId="0" xfId="0" applyFill="1"/>
    <xf numFmtId="1" fontId="0" fillId="5" borderId="0" xfId="0" applyNumberFormat="1" applyFill="1"/>
    <xf numFmtId="0" fontId="5" fillId="0" borderId="0" xfId="0" applyFont="1"/>
    <xf numFmtId="11" fontId="0" fillId="0" borderId="0" xfId="0" applyNumberFormat="1" applyFill="1"/>
    <xf numFmtId="11" fontId="5" fillId="3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9</xdr:col>
      <xdr:colOff>647700</xdr:colOff>
      <xdr:row>12</xdr:row>
      <xdr:rowOff>123825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57150"/>
          <a:ext cx="7381875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I46"/>
  <sheetViews>
    <sheetView tabSelected="1" workbookViewId="0">
      <selection activeCell="L32" sqref="L32"/>
    </sheetView>
  </sheetViews>
  <sheetFormatPr defaultRowHeight="15" x14ac:dyDescent="0.25"/>
  <cols>
    <col min="1" max="1" width="24.85546875" bestFit="1" customWidth="1"/>
    <col min="2" max="2" width="13.42578125" customWidth="1"/>
    <col min="10" max="10" width="14.42578125" customWidth="1"/>
    <col min="11" max="11" width="11.5703125" bestFit="1" customWidth="1"/>
  </cols>
  <sheetData>
    <row r="14" spans="1:7" x14ac:dyDescent="0.25">
      <c r="A14" s="6" t="s">
        <v>26</v>
      </c>
      <c r="B14" s="7"/>
    </row>
    <row r="15" spans="1:7" x14ac:dyDescent="0.25">
      <c r="A15" t="s">
        <v>8</v>
      </c>
      <c r="B15" s="1">
        <v>8.0000000000000002E-8</v>
      </c>
      <c r="C15" t="s">
        <v>19</v>
      </c>
      <c r="E15" t="s">
        <v>3</v>
      </c>
      <c r="F15" s="19">
        <v>4</v>
      </c>
      <c r="G15" t="s">
        <v>28</v>
      </c>
    </row>
    <row r="16" spans="1:7" x14ac:dyDescent="0.25">
      <c r="A16" t="s">
        <v>9</v>
      </c>
      <c r="B16" s="1">
        <v>8.0000000000000002E-8</v>
      </c>
      <c r="C16" t="s">
        <v>19</v>
      </c>
      <c r="E16" t="s">
        <v>29</v>
      </c>
      <c r="F16" s="8">
        <f>1.67/(F15-1.67)</f>
        <v>0.71673819742489264</v>
      </c>
    </row>
    <row r="17" spans="1:7" ht="17.25" x14ac:dyDescent="0.25">
      <c r="A17" t="s">
        <v>10</v>
      </c>
      <c r="B17">
        <v>1200</v>
      </c>
      <c r="C17" t="s">
        <v>17</v>
      </c>
      <c r="E17" s="2" t="s">
        <v>1</v>
      </c>
      <c r="F17" t="s">
        <v>2</v>
      </c>
    </row>
    <row r="18" spans="1:7" ht="17.25" x14ac:dyDescent="0.25">
      <c r="A18" t="s">
        <v>11</v>
      </c>
      <c r="B18">
        <v>4220</v>
      </c>
      <c r="C18" t="s">
        <v>17</v>
      </c>
      <c r="E18">
        <f>F16</f>
        <v>0.71673819742489264</v>
      </c>
      <c r="F18" t="s">
        <v>4</v>
      </c>
    </row>
    <row r="19" spans="1:7" ht="17.25" x14ac:dyDescent="0.25">
      <c r="A19" t="s">
        <v>0</v>
      </c>
      <c r="B19" s="1">
        <v>2.1999999999999999E-10</v>
      </c>
      <c r="C19" t="s">
        <v>18</v>
      </c>
      <c r="E19">
        <f>1-E18</f>
        <v>0.28326180257510736</v>
      </c>
      <c r="F19" t="s">
        <v>5</v>
      </c>
    </row>
    <row r="20" spans="1:7" x14ac:dyDescent="0.25">
      <c r="A20" t="s">
        <v>16</v>
      </c>
      <c r="B20" s="5">
        <v>15</v>
      </c>
      <c r="C20" t="s">
        <v>17</v>
      </c>
      <c r="E20">
        <f>LN(E19)</f>
        <v>-1.2613837115392748</v>
      </c>
      <c r="F20" s="4" t="s">
        <v>6</v>
      </c>
      <c r="G20" t="s">
        <v>30</v>
      </c>
    </row>
    <row r="21" spans="1:7" x14ac:dyDescent="0.25">
      <c r="E21">
        <f>-1*E20</f>
        <v>1.2613837115392748</v>
      </c>
      <c r="F21" t="s">
        <v>7</v>
      </c>
      <c r="G21" s="9">
        <f>1+EXP(E21)</f>
        <v>4.5303030303030294</v>
      </c>
    </row>
    <row r="23" spans="1:7" x14ac:dyDescent="0.25">
      <c r="A23" t="s">
        <v>12</v>
      </c>
      <c r="B23" t="s">
        <v>13</v>
      </c>
      <c r="C23" t="s">
        <v>14</v>
      </c>
      <c r="D23" t="s">
        <v>15</v>
      </c>
    </row>
    <row r="24" spans="1:7" x14ac:dyDescent="0.25">
      <c r="A24" s="1">
        <f>B24*C24+D24</f>
        <v>4.1300529984778115E-7</v>
      </c>
      <c r="B24" s="1">
        <f>B19*B17</f>
        <v>2.6399999999999998E-7</v>
      </c>
      <c r="C24">
        <f>LN(G21-EXP(-B15/(B18+B20)))</f>
        <v>1.2613837115446256</v>
      </c>
      <c r="D24" s="1">
        <f>B16</f>
        <v>8.0000000000000002E-8</v>
      </c>
    </row>
    <row r="26" spans="1:7" x14ac:dyDescent="0.25">
      <c r="A26" t="s">
        <v>12</v>
      </c>
      <c r="B26" t="s">
        <v>20</v>
      </c>
      <c r="C26" t="s">
        <v>14</v>
      </c>
      <c r="D26" t="s">
        <v>21</v>
      </c>
    </row>
    <row r="27" spans="1:7" x14ac:dyDescent="0.25">
      <c r="A27" s="1">
        <f>B27*C27+D27</f>
        <v>7.258052281587576E-7</v>
      </c>
      <c r="B27" s="1">
        <f>B19*(B18+B20)</f>
        <v>9.3169999999999991E-7</v>
      </c>
      <c r="C27">
        <f>LN(3-EXP(-B16/(B17)))</f>
        <v>0.69314718059327862</v>
      </c>
      <c r="D27" s="1">
        <f>B15</f>
        <v>8.0000000000000002E-8</v>
      </c>
    </row>
    <row r="29" spans="1:7" x14ac:dyDescent="0.25">
      <c r="A29" s="7" t="s">
        <v>22</v>
      </c>
      <c r="B29" s="7" t="s">
        <v>23</v>
      </c>
    </row>
    <row r="30" spans="1:7" x14ac:dyDescent="0.25">
      <c r="A30" s="11">
        <f>A27+A24</f>
        <v>1.1388105280065388E-6</v>
      </c>
      <c r="B30" s="12">
        <f>1/A30</f>
        <v>878109.19850774179</v>
      </c>
      <c r="D30" t="s">
        <v>24</v>
      </c>
    </row>
    <row r="31" spans="1:7" x14ac:dyDescent="0.25">
      <c r="D31" t="s">
        <v>25</v>
      </c>
    </row>
    <row r="33" spans="1:9" x14ac:dyDescent="0.25">
      <c r="A33" s="13" t="s">
        <v>27</v>
      </c>
      <c r="B33" s="13"/>
    </row>
    <row r="34" spans="1:9" x14ac:dyDescent="0.25">
      <c r="A34" s="13" t="s">
        <v>12</v>
      </c>
      <c r="B34" s="14">
        <v>1.8300000000000001E-7</v>
      </c>
    </row>
    <row r="35" spans="1:9" x14ac:dyDescent="0.25">
      <c r="A35" t="s">
        <v>31</v>
      </c>
      <c r="B35" t="s">
        <v>33</v>
      </c>
      <c r="C35" t="s">
        <v>32</v>
      </c>
      <c r="D35" s="1"/>
    </row>
    <row r="36" spans="1:9" x14ac:dyDescent="0.25">
      <c r="A36" s="1">
        <f>B34-B16</f>
        <v>1.0300000000000001E-7</v>
      </c>
      <c r="B36" t="s">
        <v>33</v>
      </c>
      <c r="C36">
        <f>LN(G21-EXP(-B15/I38/(F36+B20)))</f>
        <v>1.2971434584952077</v>
      </c>
      <c r="E36" t="s">
        <v>34</v>
      </c>
      <c r="F36" s="15">
        <v>7254</v>
      </c>
    </row>
    <row r="37" spans="1:9" ht="60" x14ac:dyDescent="0.25">
      <c r="A37" s="10" t="s">
        <v>35</v>
      </c>
      <c r="B37" t="s">
        <v>36</v>
      </c>
    </row>
    <row r="38" spans="1:9" x14ac:dyDescent="0.25">
      <c r="A38" s="18">
        <f>A36/C36/I38</f>
        <v>992.56561914408849</v>
      </c>
      <c r="B38" s="14" t="s">
        <v>36</v>
      </c>
      <c r="D38" s="1"/>
      <c r="H38" t="s">
        <v>43</v>
      </c>
      <c r="I38" s="21">
        <v>7.9999999999999995E-11</v>
      </c>
    </row>
    <row r="40" spans="1:9" x14ac:dyDescent="0.25">
      <c r="A40" s="13" t="s">
        <v>27</v>
      </c>
      <c r="B40" s="13"/>
    </row>
    <row r="41" spans="1:9" x14ac:dyDescent="0.25">
      <c r="A41" s="13" t="s">
        <v>37</v>
      </c>
      <c r="B41" s="14">
        <v>6.4338119999999994E-7</v>
      </c>
    </row>
    <row r="42" spans="1:9" x14ac:dyDescent="0.25">
      <c r="A42" t="s">
        <v>38</v>
      </c>
      <c r="B42" t="s">
        <v>41</v>
      </c>
      <c r="C42" t="s">
        <v>32</v>
      </c>
      <c r="D42" s="1"/>
    </row>
    <row r="43" spans="1:9" x14ac:dyDescent="0.25">
      <c r="A43" s="1">
        <f>B41-B15</f>
        <v>5.6338119999999997E-7</v>
      </c>
      <c r="B43" t="s">
        <v>41</v>
      </c>
      <c r="C43">
        <f>LN(3-EXP(-B16/I38/F43))</f>
        <v>0.96877112598310966</v>
      </c>
      <c r="E43" t="s">
        <v>39</v>
      </c>
      <c r="F43" s="17">
        <v>993</v>
      </c>
      <c r="I43" s="20"/>
    </row>
    <row r="44" spans="1:9" x14ac:dyDescent="0.25">
      <c r="A44" s="10" t="s">
        <v>35</v>
      </c>
      <c r="B44" t="s">
        <v>40</v>
      </c>
    </row>
    <row r="45" spans="1:9" x14ac:dyDescent="0.25">
      <c r="A45" s="3">
        <f>A43/C43/I38</f>
        <v>7269.2763142104432</v>
      </c>
      <c r="B45" s="1" t="s">
        <v>42</v>
      </c>
      <c r="D45" s="1"/>
    </row>
    <row r="46" spans="1:9" x14ac:dyDescent="0.25">
      <c r="A46" s="16">
        <f>A45-B20</f>
        <v>7254.2763142104432</v>
      </c>
      <c r="B46" s="13" t="s">
        <v>40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LMC555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Michallick, Ronald</dc:creator>
  <cp:lastModifiedBy>Michallick, Ronald</cp:lastModifiedBy>
  <dcterms:created xsi:type="dcterms:W3CDTF">2017-07-10T11:58:57Z</dcterms:created>
  <dcterms:modified xsi:type="dcterms:W3CDTF">2017-07-10T22:09:29Z</dcterms:modified>
</cp:coreProperties>
</file>