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DATA\HSC\DAC39RF10\"/>
    </mc:Choice>
  </mc:AlternateContent>
  <xr:revisionPtr revIDLastSave="0" documentId="8_{9092B0AC-DBF5-4263-A845-A1F9C021EAAC}" xr6:coauthVersionLast="36" xr6:coauthVersionMax="36" xr10:uidLastSave="{00000000-0000-0000-0000-000000000000}"/>
  <bookViews>
    <workbookView xWindow="0" yWindow="0" windowWidth="23040" windowHeight="11376" xr2:uid="{1A7E322D-B78C-4CB7-8916-97E592243283}"/>
  </bookViews>
  <sheets>
    <sheet name="Calculator Interface" sheetId="5" r:id="rId1"/>
    <sheet name="Latency" sheetId="3" r:id="rId2"/>
    <sheet name="8b10b_data" sheetId="1" r:id="rId3"/>
    <sheet name="64b66b_data" sheetId="4" r:id="rId4"/>
  </sheets>
  <definedNames>
    <definedName name="A" localSheetId="1">Latency!$D$105</definedName>
    <definedName name="A">#REF!</definedName>
    <definedName name="DES2X" localSheetId="1">Latency!$D$102</definedName>
    <definedName name="DES2X">#REF!</definedName>
    <definedName name="ID" localSheetId="1">Latency!$D$103</definedName>
    <definedName name="ID">#REF!</definedName>
    <definedName name="JENC" localSheetId="1">Latency!$D$99</definedName>
    <definedName name="JENC">#REF!</definedName>
    <definedName name="JMODE" localSheetId="1">Latency!$D$97</definedName>
    <definedName name="JMODE">#REF!</definedName>
    <definedName name="LT" localSheetId="1">Latency!$D$98</definedName>
    <definedName name="LT">#REF!</definedName>
    <definedName name="M" localSheetId="1">Latency!$D$107</definedName>
    <definedName name="M">#REF!</definedName>
    <definedName name="N" localSheetId="1">Latency!$D$108</definedName>
    <definedName name="N">#REF!</definedName>
    <definedName name="NCO_EN" localSheetId="1">Latency!$D$101</definedName>
    <definedName name="NCO_EN">#REF!</definedName>
    <definedName name="RBD" localSheetId="1">Latency!$D$100</definedName>
    <definedName name="RBD">#REF!</definedName>
    <definedName name="RD" localSheetId="1">Latency!$D$104</definedName>
    <definedName name="RD">#REF!</definedName>
    <definedName name="TDAC_LAT0_BASE_MAX">Latency!$D$110</definedName>
    <definedName name="TDAC_LAT0_BASE_MIN">Latency!$D$109</definedName>
    <definedName name="TDES2X_LAT" localSheetId="1">Latency!$N$93</definedName>
    <definedName name="TDES2X_LAT">#REF!</definedName>
    <definedName name="TLENACLK" localSheetId="1">Latency!$N$86</definedName>
    <definedName name="TLENACLK">#REF!</definedName>
    <definedName name="TNCO_LAT" localSheetId="1">Latency!$N$92</definedName>
    <definedName name="TNCO_LAT">#REF!</definedName>
    <definedName name="TSRPROC" localSheetId="1">Latency!$N$85</definedName>
    <definedName name="W" localSheetId="1">Latency!$D$106</definedName>
    <definedName name="W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8" i="3" l="1"/>
  <c r="D99" i="3"/>
  <c r="D100" i="3"/>
  <c r="D101" i="3"/>
  <c r="D102" i="3"/>
  <c r="D97" i="3"/>
  <c r="D103" i="3" l="1"/>
  <c r="AB73" i="3"/>
  <c r="U73" i="3"/>
  <c r="O73" i="3"/>
  <c r="N73" i="3" s="1"/>
  <c r="G73" i="3"/>
  <c r="F73" i="3"/>
  <c r="L73" i="3" s="1"/>
  <c r="C73" i="3"/>
  <c r="Z73" i="3" s="1"/>
  <c r="AA72" i="3"/>
  <c r="W72" i="3"/>
  <c r="O72" i="3"/>
  <c r="N72" i="3"/>
  <c r="G72" i="3"/>
  <c r="F72" i="3"/>
  <c r="C72" i="3"/>
  <c r="I72" i="1" s="1"/>
  <c r="W71" i="3"/>
  <c r="V71" i="3"/>
  <c r="N71" i="3"/>
  <c r="L71" i="3"/>
  <c r="G71" i="3"/>
  <c r="O71" i="3" s="1"/>
  <c r="F71" i="3"/>
  <c r="E71" i="3"/>
  <c r="C71" i="3"/>
  <c r="Z70" i="3"/>
  <c r="O70" i="3"/>
  <c r="N70" i="3" s="1"/>
  <c r="L70" i="3"/>
  <c r="G70" i="3"/>
  <c r="F70" i="3"/>
  <c r="E70" i="3"/>
  <c r="C70" i="3"/>
  <c r="V69" i="3"/>
  <c r="U69" i="3"/>
  <c r="L69" i="3"/>
  <c r="G69" i="3"/>
  <c r="O69" i="3" s="1"/>
  <c r="N69" i="3" s="1"/>
  <c r="F69" i="3"/>
  <c r="E69" i="3" s="1"/>
  <c r="C69" i="3"/>
  <c r="AB68" i="3"/>
  <c r="U68" i="3"/>
  <c r="G68" i="3"/>
  <c r="O68" i="3" s="1"/>
  <c r="N68" i="3" s="1"/>
  <c r="F68" i="3"/>
  <c r="C68" i="3"/>
  <c r="I68" i="1" s="1"/>
  <c r="AB67" i="3"/>
  <c r="AA67" i="3"/>
  <c r="W67" i="3"/>
  <c r="O67" i="3"/>
  <c r="N67" i="3" s="1"/>
  <c r="G67" i="3"/>
  <c r="F67" i="3"/>
  <c r="C67" i="3"/>
  <c r="I67" i="1" s="1"/>
  <c r="W66" i="3"/>
  <c r="V66" i="3"/>
  <c r="L66" i="3"/>
  <c r="G66" i="3"/>
  <c r="O66" i="3" s="1"/>
  <c r="N66" i="3" s="1"/>
  <c r="F66" i="3"/>
  <c r="E66" i="3"/>
  <c r="C66" i="3"/>
  <c r="L65" i="3"/>
  <c r="G65" i="3"/>
  <c r="O65" i="3" s="1"/>
  <c r="N65" i="3" s="1"/>
  <c r="F65" i="3"/>
  <c r="E65" i="3" s="1"/>
  <c r="C65" i="3"/>
  <c r="AB64" i="3"/>
  <c r="AA64" i="3"/>
  <c r="W64" i="3"/>
  <c r="U64" i="3"/>
  <c r="Y64" i="3" s="1"/>
  <c r="O64" i="3"/>
  <c r="N64" i="3" s="1"/>
  <c r="G64" i="3"/>
  <c r="F64" i="3"/>
  <c r="C64" i="3"/>
  <c r="I64" i="1" s="1"/>
  <c r="AB63" i="3"/>
  <c r="AA63" i="3"/>
  <c r="W63" i="3"/>
  <c r="O63" i="3"/>
  <c r="N63" i="3"/>
  <c r="G63" i="3"/>
  <c r="F63" i="3"/>
  <c r="L63" i="3" s="1"/>
  <c r="E63" i="3"/>
  <c r="C63" i="3"/>
  <c r="I63" i="1" s="1"/>
  <c r="AA62" i="3"/>
  <c r="Z62" i="3"/>
  <c r="L62" i="3"/>
  <c r="G62" i="3"/>
  <c r="O62" i="3" s="1"/>
  <c r="N62" i="3" s="1"/>
  <c r="F62" i="3"/>
  <c r="E62" i="3"/>
  <c r="C62" i="3"/>
  <c r="Z61" i="3"/>
  <c r="L61" i="3"/>
  <c r="G61" i="3"/>
  <c r="O61" i="3" s="1"/>
  <c r="N61" i="3" s="1"/>
  <c r="F61" i="3"/>
  <c r="E61" i="3" s="1"/>
  <c r="C61" i="3"/>
  <c r="AB60" i="3"/>
  <c r="U60" i="3"/>
  <c r="O60" i="3"/>
  <c r="N60" i="3" s="1"/>
  <c r="G60" i="3"/>
  <c r="F60" i="3"/>
  <c r="C60" i="3"/>
  <c r="AB59" i="3"/>
  <c r="AA59" i="3"/>
  <c r="W59" i="3"/>
  <c r="U59" i="3"/>
  <c r="O59" i="3"/>
  <c r="N59" i="3"/>
  <c r="G59" i="3"/>
  <c r="F59" i="3"/>
  <c r="L59" i="3" s="1"/>
  <c r="E59" i="3"/>
  <c r="C59" i="3"/>
  <c r="AA58" i="3"/>
  <c r="V58" i="3"/>
  <c r="O58" i="3"/>
  <c r="N58" i="3"/>
  <c r="L58" i="3"/>
  <c r="G58" i="3"/>
  <c r="F58" i="3"/>
  <c r="E58" i="3"/>
  <c r="C58" i="3"/>
  <c r="U57" i="3"/>
  <c r="N57" i="3"/>
  <c r="L57" i="3"/>
  <c r="G57" i="3"/>
  <c r="O57" i="3" s="1"/>
  <c r="F57" i="3"/>
  <c r="E57" i="3"/>
  <c r="C57" i="3"/>
  <c r="AB56" i="3"/>
  <c r="AD56" i="3" s="1"/>
  <c r="Z56" i="3"/>
  <c r="U56" i="3"/>
  <c r="O56" i="3"/>
  <c r="N56" i="3" s="1"/>
  <c r="G56" i="3"/>
  <c r="F56" i="3"/>
  <c r="E56" i="3" s="1"/>
  <c r="C56" i="3"/>
  <c r="AB55" i="3"/>
  <c r="AA55" i="3"/>
  <c r="Z55" i="3"/>
  <c r="W55" i="3"/>
  <c r="O55" i="3"/>
  <c r="N55" i="3"/>
  <c r="L55" i="3"/>
  <c r="K55" i="3"/>
  <c r="S55" i="3" s="1"/>
  <c r="J55" i="3"/>
  <c r="R55" i="3" s="1"/>
  <c r="G55" i="3"/>
  <c r="F55" i="3"/>
  <c r="E55" i="3"/>
  <c r="C55" i="3"/>
  <c r="AB54" i="3"/>
  <c r="AA54" i="3"/>
  <c r="Z54" i="3"/>
  <c r="L54" i="3"/>
  <c r="K54" i="3"/>
  <c r="S54" i="3" s="1"/>
  <c r="J54" i="3"/>
  <c r="R54" i="3" s="1"/>
  <c r="G54" i="3"/>
  <c r="O54" i="3" s="1"/>
  <c r="N54" i="3" s="1"/>
  <c r="F54" i="3"/>
  <c r="E54" i="3"/>
  <c r="C54" i="3"/>
  <c r="U54" i="3" s="1"/>
  <c r="AB53" i="3"/>
  <c r="U53" i="3"/>
  <c r="G53" i="3"/>
  <c r="O53" i="3" s="1"/>
  <c r="N53" i="3" s="1"/>
  <c r="F53" i="3"/>
  <c r="C53" i="3"/>
  <c r="AB52" i="3"/>
  <c r="AA52" i="3"/>
  <c r="W52" i="3"/>
  <c r="U52" i="3"/>
  <c r="O52" i="3"/>
  <c r="N52" i="3" s="1"/>
  <c r="G52" i="3"/>
  <c r="F52" i="3"/>
  <c r="L52" i="3" s="1"/>
  <c r="E52" i="3"/>
  <c r="C52" i="3"/>
  <c r="AA51" i="3"/>
  <c r="Z51" i="3"/>
  <c r="O51" i="3"/>
  <c r="N51" i="3"/>
  <c r="L51" i="3"/>
  <c r="G51" i="3"/>
  <c r="F51" i="3"/>
  <c r="E51" i="3"/>
  <c r="C51" i="3"/>
  <c r="V51" i="3" s="1"/>
  <c r="L50" i="3"/>
  <c r="G50" i="3"/>
  <c r="O50" i="3" s="1"/>
  <c r="N50" i="3" s="1"/>
  <c r="F50" i="3"/>
  <c r="E50" i="3"/>
  <c r="C50" i="3"/>
  <c r="AB49" i="3"/>
  <c r="G49" i="3"/>
  <c r="O49" i="3" s="1"/>
  <c r="N49" i="3" s="1"/>
  <c r="F49" i="3"/>
  <c r="C49" i="3"/>
  <c r="AB48" i="3"/>
  <c r="AA48" i="3"/>
  <c r="W48" i="3"/>
  <c r="U48" i="3"/>
  <c r="G48" i="3"/>
  <c r="O48" i="3" s="1"/>
  <c r="N48" i="3" s="1"/>
  <c r="Y48" i="3" s="1"/>
  <c r="F48" i="3"/>
  <c r="L48" i="3" s="1"/>
  <c r="C48" i="3"/>
  <c r="AB47" i="3"/>
  <c r="AA47" i="3"/>
  <c r="W47" i="3"/>
  <c r="V47" i="3"/>
  <c r="O47" i="3"/>
  <c r="N47" i="3" s="1"/>
  <c r="G47" i="3"/>
  <c r="F47" i="3"/>
  <c r="L47" i="3" s="1"/>
  <c r="E47" i="3"/>
  <c r="C47" i="3"/>
  <c r="AB46" i="3"/>
  <c r="AA46" i="3"/>
  <c r="Z46" i="3"/>
  <c r="N46" i="3"/>
  <c r="L46" i="3"/>
  <c r="K46" i="3"/>
  <c r="S46" i="3" s="1"/>
  <c r="J46" i="3"/>
  <c r="R46" i="3" s="1"/>
  <c r="G46" i="3"/>
  <c r="O46" i="3" s="1"/>
  <c r="F46" i="3"/>
  <c r="E46" i="3"/>
  <c r="C46" i="3"/>
  <c r="AB45" i="3"/>
  <c r="AA45" i="3"/>
  <c r="Z45" i="3"/>
  <c r="K45" i="3"/>
  <c r="S45" i="3" s="1"/>
  <c r="J45" i="3"/>
  <c r="R45" i="3" s="1"/>
  <c r="G45" i="3"/>
  <c r="O45" i="3" s="1"/>
  <c r="N45" i="3" s="1"/>
  <c r="F45" i="3"/>
  <c r="C45" i="3"/>
  <c r="U45" i="3" s="1"/>
  <c r="AB44" i="3"/>
  <c r="AA44" i="3"/>
  <c r="W44" i="3"/>
  <c r="U44" i="3"/>
  <c r="G44" i="3"/>
  <c r="O44" i="3" s="1"/>
  <c r="N44" i="3" s="1"/>
  <c r="Y44" i="3" s="1"/>
  <c r="F44" i="3"/>
  <c r="C44" i="3"/>
  <c r="Z43" i="3"/>
  <c r="O43" i="3"/>
  <c r="N43" i="3"/>
  <c r="L43" i="3"/>
  <c r="G43" i="3"/>
  <c r="F43" i="3"/>
  <c r="E43" i="3"/>
  <c r="C43" i="3"/>
  <c r="AA42" i="3"/>
  <c r="W42" i="3"/>
  <c r="V42" i="3"/>
  <c r="N42" i="3"/>
  <c r="L42" i="3"/>
  <c r="G42" i="3"/>
  <c r="O42" i="3" s="1"/>
  <c r="F42" i="3"/>
  <c r="E42" i="3"/>
  <c r="C42" i="3"/>
  <c r="L41" i="3"/>
  <c r="G41" i="3"/>
  <c r="O41" i="3" s="1"/>
  <c r="N41" i="3" s="1"/>
  <c r="F41" i="3"/>
  <c r="E41" i="3" s="1"/>
  <c r="C41" i="3"/>
  <c r="Z41" i="3" s="1"/>
  <c r="AB40" i="3"/>
  <c r="AA40" i="3"/>
  <c r="W40" i="3"/>
  <c r="U40" i="3"/>
  <c r="N40" i="3"/>
  <c r="Y40" i="3" s="1"/>
  <c r="G40" i="3"/>
  <c r="O40" i="3" s="1"/>
  <c r="F40" i="3"/>
  <c r="C40" i="3"/>
  <c r="AA39" i="3"/>
  <c r="O39" i="3"/>
  <c r="N39" i="3" s="1"/>
  <c r="L39" i="3"/>
  <c r="G39" i="3"/>
  <c r="F39" i="3"/>
  <c r="E39" i="3"/>
  <c r="C39" i="3"/>
  <c r="AA38" i="3"/>
  <c r="W38" i="3"/>
  <c r="V38" i="3"/>
  <c r="N38" i="3"/>
  <c r="L38" i="3"/>
  <c r="G38" i="3"/>
  <c r="O38" i="3" s="1"/>
  <c r="F38" i="3"/>
  <c r="E38" i="3"/>
  <c r="C38" i="3"/>
  <c r="AB37" i="3"/>
  <c r="AA37" i="3"/>
  <c r="Z37" i="3"/>
  <c r="U37" i="3"/>
  <c r="L37" i="3"/>
  <c r="K37" i="3"/>
  <c r="S37" i="3" s="1"/>
  <c r="J37" i="3"/>
  <c r="R37" i="3" s="1"/>
  <c r="G37" i="3"/>
  <c r="O37" i="3" s="1"/>
  <c r="N37" i="3" s="1"/>
  <c r="F37" i="3"/>
  <c r="E37" i="3" s="1"/>
  <c r="C37" i="3"/>
  <c r="AB36" i="3"/>
  <c r="AA36" i="3"/>
  <c r="Z36" i="3"/>
  <c r="W36" i="3"/>
  <c r="Y36" i="3" s="1"/>
  <c r="U36" i="3"/>
  <c r="O36" i="3"/>
  <c r="N36" i="3" s="1"/>
  <c r="K36" i="3"/>
  <c r="S36" i="3" s="1"/>
  <c r="J36" i="3"/>
  <c r="R36" i="3" s="1"/>
  <c r="G36" i="3"/>
  <c r="F36" i="3"/>
  <c r="L36" i="3" s="1"/>
  <c r="E36" i="3"/>
  <c r="C36" i="3"/>
  <c r="AB35" i="3"/>
  <c r="AA35" i="3"/>
  <c r="W35" i="3"/>
  <c r="V35" i="3"/>
  <c r="O35" i="3"/>
  <c r="N35" i="3" s="1"/>
  <c r="G35" i="3"/>
  <c r="F35" i="3"/>
  <c r="C35" i="3"/>
  <c r="Z34" i="3"/>
  <c r="U34" i="3"/>
  <c r="O34" i="3"/>
  <c r="N34" i="3" s="1"/>
  <c r="G34" i="3"/>
  <c r="F34" i="3"/>
  <c r="L34" i="3" s="1"/>
  <c r="E34" i="3"/>
  <c r="C34" i="3"/>
  <c r="AA34" i="3" s="1"/>
  <c r="AA33" i="3"/>
  <c r="W33" i="3"/>
  <c r="L33" i="3"/>
  <c r="G33" i="3"/>
  <c r="O33" i="3" s="1"/>
  <c r="N33" i="3" s="1"/>
  <c r="F33" i="3"/>
  <c r="E33" i="3"/>
  <c r="C33" i="3"/>
  <c r="Z32" i="3"/>
  <c r="V32" i="3"/>
  <c r="L32" i="3"/>
  <c r="G32" i="3"/>
  <c r="O32" i="3" s="1"/>
  <c r="N32" i="3" s="1"/>
  <c r="F32" i="3"/>
  <c r="E32" i="3" s="1"/>
  <c r="C32" i="3"/>
  <c r="AB31" i="3"/>
  <c r="AA31" i="3"/>
  <c r="W31" i="3"/>
  <c r="U31" i="3"/>
  <c r="O31" i="3"/>
  <c r="N31" i="3" s="1"/>
  <c r="Y31" i="3" s="1"/>
  <c r="G31" i="3"/>
  <c r="F31" i="3"/>
  <c r="C31" i="3"/>
  <c r="AB30" i="3"/>
  <c r="AA30" i="3"/>
  <c r="W30" i="3"/>
  <c r="O30" i="3"/>
  <c r="N30" i="3" s="1"/>
  <c r="G30" i="3"/>
  <c r="F30" i="3"/>
  <c r="L30" i="3" s="1"/>
  <c r="E30" i="3"/>
  <c r="C30" i="3"/>
  <c r="U30" i="3" s="1"/>
  <c r="AA29" i="3"/>
  <c r="W29" i="3"/>
  <c r="V29" i="3"/>
  <c r="L29" i="3"/>
  <c r="G29" i="3"/>
  <c r="O29" i="3" s="1"/>
  <c r="N29" i="3" s="1"/>
  <c r="F29" i="3"/>
  <c r="E29" i="3"/>
  <c r="C29" i="3"/>
  <c r="AB28" i="3"/>
  <c r="AA28" i="3"/>
  <c r="Z28" i="3"/>
  <c r="L28" i="3"/>
  <c r="K28" i="3"/>
  <c r="S28" i="3" s="1"/>
  <c r="J28" i="3"/>
  <c r="R28" i="3" s="1"/>
  <c r="G28" i="3"/>
  <c r="O28" i="3" s="1"/>
  <c r="N28" i="3" s="1"/>
  <c r="F28" i="3"/>
  <c r="E28" i="3" s="1"/>
  <c r="C28" i="3"/>
  <c r="V28" i="3" s="1"/>
  <c r="AB27" i="3"/>
  <c r="AA27" i="3"/>
  <c r="Z27" i="3"/>
  <c r="W27" i="3"/>
  <c r="U27" i="3"/>
  <c r="O27" i="3"/>
  <c r="N27" i="3" s="1"/>
  <c r="K27" i="3"/>
  <c r="S27" i="3" s="1"/>
  <c r="J27" i="3"/>
  <c r="R27" i="3" s="1"/>
  <c r="G27" i="3"/>
  <c r="F27" i="3"/>
  <c r="C27" i="3"/>
  <c r="W26" i="3"/>
  <c r="O26" i="3"/>
  <c r="N26" i="3"/>
  <c r="G26" i="3"/>
  <c r="F26" i="3"/>
  <c r="C26" i="3"/>
  <c r="AB26" i="3" s="1"/>
  <c r="AA25" i="3"/>
  <c r="V25" i="3"/>
  <c r="L25" i="3"/>
  <c r="G25" i="3"/>
  <c r="O25" i="3" s="1"/>
  <c r="N25" i="3" s="1"/>
  <c r="F25" i="3"/>
  <c r="E25" i="3"/>
  <c r="C25" i="3"/>
  <c r="Z24" i="3"/>
  <c r="U24" i="3"/>
  <c r="O24" i="3"/>
  <c r="N24" i="3" s="1"/>
  <c r="G24" i="3"/>
  <c r="F24" i="3"/>
  <c r="C24" i="3"/>
  <c r="AB23" i="3"/>
  <c r="AA23" i="3"/>
  <c r="W23" i="3"/>
  <c r="U23" i="3"/>
  <c r="O23" i="3"/>
  <c r="N23" i="3" s="1"/>
  <c r="G23" i="3"/>
  <c r="F23" i="3"/>
  <c r="C23" i="3"/>
  <c r="O22" i="3"/>
  <c r="N22" i="3"/>
  <c r="G22" i="3"/>
  <c r="F22" i="3"/>
  <c r="C22" i="3"/>
  <c r="AA21" i="3"/>
  <c r="V21" i="3"/>
  <c r="L21" i="3"/>
  <c r="G21" i="3"/>
  <c r="O21" i="3" s="1"/>
  <c r="N21" i="3" s="1"/>
  <c r="F21" i="3"/>
  <c r="E21" i="3"/>
  <c r="C21" i="3"/>
  <c r="V20" i="3"/>
  <c r="O20" i="3"/>
  <c r="N20" i="3" s="1"/>
  <c r="G20" i="3"/>
  <c r="F20" i="3"/>
  <c r="L20" i="3" s="1"/>
  <c r="C20" i="3"/>
  <c r="AB19" i="3"/>
  <c r="AA19" i="3"/>
  <c r="Z19" i="3"/>
  <c r="V19" i="3"/>
  <c r="N19" i="3"/>
  <c r="L19" i="3"/>
  <c r="K19" i="3"/>
  <c r="S19" i="3" s="1"/>
  <c r="J19" i="3"/>
  <c r="R19" i="3" s="1"/>
  <c r="G19" i="3"/>
  <c r="O19" i="3" s="1"/>
  <c r="F19" i="3"/>
  <c r="E19" i="3"/>
  <c r="C19" i="3"/>
  <c r="W19" i="3" s="1"/>
  <c r="AB18" i="3"/>
  <c r="AA18" i="3"/>
  <c r="Z18" i="3"/>
  <c r="U18" i="3"/>
  <c r="O18" i="3"/>
  <c r="N18" i="3" s="1"/>
  <c r="K18" i="3"/>
  <c r="S18" i="3" s="1"/>
  <c r="J18" i="3"/>
  <c r="R18" i="3" s="1"/>
  <c r="G18" i="3"/>
  <c r="F18" i="3"/>
  <c r="E18" i="3" s="1"/>
  <c r="C18" i="3"/>
  <c r="AB17" i="3"/>
  <c r="AA17" i="3"/>
  <c r="W17" i="3"/>
  <c r="U17" i="3"/>
  <c r="Y17" i="3" s="1"/>
  <c r="O17" i="3"/>
  <c r="N17" i="3" s="1"/>
  <c r="G17" i="3"/>
  <c r="F17" i="3"/>
  <c r="L17" i="3" s="1"/>
  <c r="C17" i="3"/>
  <c r="AB16" i="3"/>
  <c r="W16" i="3"/>
  <c r="O16" i="3"/>
  <c r="N16" i="3"/>
  <c r="G16" i="3"/>
  <c r="F16" i="3"/>
  <c r="E16" i="3" s="1"/>
  <c r="C16" i="3"/>
  <c r="AA15" i="3"/>
  <c r="W15" i="3"/>
  <c r="V15" i="3"/>
  <c r="L15" i="3"/>
  <c r="G15" i="3"/>
  <c r="O15" i="3" s="1"/>
  <c r="N15" i="3" s="1"/>
  <c r="F15" i="3"/>
  <c r="E15" i="3"/>
  <c r="C15" i="3"/>
  <c r="Z14" i="3"/>
  <c r="U14" i="3"/>
  <c r="O14" i="3"/>
  <c r="N14" i="3" s="1"/>
  <c r="G14" i="3"/>
  <c r="F14" i="3"/>
  <c r="E14" i="3" s="1"/>
  <c r="C14" i="3"/>
  <c r="AB13" i="3"/>
  <c r="AA13" i="3"/>
  <c r="W13" i="3"/>
  <c r="U13" i="3"/>
  <c r="O13" i="3"/>
  <c r="N13" i="3" s="1"/>
  <c r="G13" i="3"/>
  <c r="F13" i="3"/>
  <c r="L13" i="3" s="1"/>
  <c r="C13" i="3"/>
  <c r="AB12" i="3"/>
  <c r="W12" i="3"/>
  <c r="O12" i="3"/>
  <c r="N12" i="3"/>
  <c r="G12" i="3"/>
  <c r="F12" i="3"/>
  <c r="E12" i="3" s="1"/>
  <c r="C12" i="3"/>
  <c r="AB11" i="3"/>
  <c r="AA11" i="3"/>
  <c r="Z11" i="3"/>
  <c r="W11" i="3"/>
  <c r="Y11" i="3" s="1"/>
  <c r="U11" i="3"/>
  <c r="N11" i="3"/>
  <c r="L11" i="3"/>
  <c r="K11" i="3"/>
  <c r="S11" i="3" s="1"/>
  <c r="J11" i="3"/>
  <c r="R11" i="3" s="1"/>
  <c r="G11" i="3"/>
  <c r="O11" i="3" s="1"/>
  <c r="F11" i="3"/>
  <c r="E11" i="3"/>
  <c r="C11" i="3"/>
  <c r="V11" i="3" s="1"/>
  <c r="X11" i="3" s="1"/>
  <c r="AB10" i="3"/>
  <c r="AA10" i="3"/>
  <c r="Z10" i="3"/>
  <c r="L10" i="3"/>
  <c r="K10" i="3"/>
  <c r="S10" i="3" s="1"/>
  <c r="J10" i="3"/>
  <c r="R10" i="3" s="1"/>
  <c r="G10" i="3"/>
  <c r="O10" i="3" s="1"/>
  <c r="N10" i="3" s="1"/>
  <c r="F10" i="3"/>
  <c r="E10" i="3" s="1"/>
  <c r="C10" i="3"/>
  <c r="U10" i="3" s="1"/>
  <c r="AB9" i="3"/>
  <c r="AA9" i="3"/>
  <c r="W9" i="3"/>
  <c r="U9" i="3"/>
  <c r="G9" i="3"/>
  <c r="O9" i="3" s="1"/>
  <c r="N9" i="3" s="1"/>
  <c r="Y9" i="3" s="1"/>
  <c r="F9" i="3"/>
  <c r="L9" i="3" s="1"/>
  <c r="E9" i="3"/>
  <c r="C9" i="3"/>
  <c r="AA8" i="3"/>
  <c r="V8" i="3"/>
  <c r="O8" i="3"/>
  <c r="N8" i="3" s="1"/>
  <c r="L8" i="3"/>
  <c r="G8" i="3"/>
  <c r="F8" i="3"/>
  <c r="E8" i="3"/>
  <c r="C8" i="3"/>
  <c r="AB8" i="3" s="1"/>
  <c r="W7" i="3"/>
  <c r="N7" i="3"/>
  <c r="L7" i="3"/>
  <c r="G7" i="3"/>
  <c r="O7" i="3" s="1"/>
  <c r="F7" i="3"/>
  <c r="E7" i="3"/>
  <c r="C7" i="3"/>
  <c r="L6" i="3"/>
  <c r="G6" i="3"/>
  <c r="O6" i="3" s="1"/>
  <c r="N6" i="3" s="1"/>
  <c r="F6" i="3"/>
  <c r="E6" i="3" s="1"/>
  <c r="C6" i="3"/>
  <c r="Z6" i="3" s="1"/>
  <c r="AB5" i="3"/>
  <c r="AA5" i="3"/>
  <c r="W5" i="3"/>
  <c r="U5" i="3"/>
  <c r="G5" i="3"/>
  <c r="O5" i="3" s="1"/>
  <c r="N5" i="3" s="1"/>
  <c r="Y5" i="3" s="1"/>
  <c r="F5" i="3"/>
  <c r="L5" i="3" s="1"/>
  <c r="E5" i="3"/>
  <c r="C5" i="3"/>
  <c r="M3" i="3"/>
  <c r="AD11" i="3" l="1"/>
  <c r="AF11" i="3" s="1"/>
  <c r="AD26" i="3"/>
  <c r="AC11" i="3"/>
  <c r="AE11" i="3"/>
  <c r="AC23" i="3"/>
  <c r="Y7" i="3"/>
  <c r="AF7" i="3" s="1"/>
  <c r="Y13" i="3"/>
  <c r="X28" i="3"/>
  <c r="I22" i="1"/>
  <c r="I22" i="4"/>
  <c r="U22" i="3"/>
  <c r="AA22" i="3"/>
  <c r="V22" i="3"/>
  <c r="X22" i="3" s="1"/>
  <c r="E24" i="3"/>
  <c r="L24" i="3"/>
  <c r="E26" i="3"/>
  <c r="L26" i="3"/>
  <c r="E31" i="3"/>
  <c r="L31" i="3"/>
  <c r="AD36" i="3"/>
  <c r="AF36" i="3" s="1"/>
  <c r="L40" i="3"/>
  <c r="E40" i="3"/>
  <c r="U6" i="3"/>
  <c r="W8" i="3"/>
  <c r="L12" i="3"/>
  <c r="E13" i="3"/>
  <c r="AD13" i="3"/>
  <c r="I14" i="4"/>
  <c r="I14" i="1"/>
  <c r="AA14" i="3"/>
  <c r="AC14" i="3" s="1"/>
  <c r="W14" i="3"/>
  <c r="Y14" i="3" s="1"/>
  <c r="AF14" i="3" s="1"/>
  <c r="V14" i="3"/>
  <c r="X14" i="3" s="1"/>
  <c r="AB14" i="3"/>
  <c r="AD14" i="3" s="1"/>
  <c r="I15" i="4"/>
  <c r="I15" i="1"/>
  <c r="AB15" i="3"/>
  <c r="AD15" i="3" s="1"/>
  <c r="U15" i="3"/>
  <c r="Y15" i="3" s="1"/>
  <c r="AF15" i="3" s="1"/>
  <c r="Z15" i="3"/>
  <c r="AC15" i="3" s="1"/>
  <c r="L16" i="3"/>
  <c r="E17" i="3"/>
  <c r="I18" i="1"/>
  <c r="I18" i="4"/>
  <c r="W18" i="3"/>
  <c r="Y18" i="3" s="1"/>
  <c r="V18" i="3"/>
  <c r="X18" i="3" s="1"/>
  <c r="I20" i="1"/>
  <c r="I20" i="4"/>
  <c r="AA20" i="3"/>
  <c r="U20" i="3"/>
  <c r="X20" i="3" s="1"/>
  <c r="AB20" i="3"/>
  <c r="W20" i="3"/>
  <c r="Y20" i="3" s="1"/>
  <c r="Z20" i="3"/>
  <c r="E22" i="3"/>
  <c r="L22" i="3"/>
  <c r="W22" i="3"/>
  <c r="Y22" i="3" s="1"/>
  <c r="Y23" i="3"/>
  <c r="Z26" i="3"/>
  <c r="L27" i="3"/>
  <c r="E27" i="3"/>
  <c r="Y27" i="3"/>
  <c r="AD30" i="3"/>
  <c r="E35" i="3"/>
  <c r="L35" i="3"/>
  <c r="AD5" i="3"/>
  <c r="AF5" i="3" s="1"/>
  <c r="I6" i="4"/>
  <c r="I6" i="1"/>
  <c r="AA6" i="3"/>
  <c r="AC6" i="3" s="1"/>
  <c r="W6" i="3"/>
  <c r="Y6" i="3" s="1"/>
  <c r="AF6" i="3" s="1"/>
  <c r="V6" i="3"/>
  <c r="AB6" i="3"/>
  <c r="AD6" i="3" s="1"/>
  <c r="I7" i="4"/>
  <c r="I7" i="1"/>
  <c r="AB7" i="3"/>
  <c r="AD7" i="3" s="1"/>
  <c r="U7" i="3"/>
  <c r="Z7" i="3"/>
  <c r="AD9" i="3"/>
  <c r="AF9" i="3" s="1"/>
  <c r="I10" i="4"/>
  <c r="I10" i="1"/>
  <c r="W10" i="3"/>
  <c r="Y10" i="3" s="1"/>
  <c r="V10" i="3"/>
  <c r="X10" i="3" s="1"/>
  <c r="I12" i="4"/>
  <c r="I12" i="1"/>
  <c r="U12" i="3"/>
  <c r="Z12" i="3"/>
  <c r="AD12" i="3" s="1"/>
  <c r="X15" i="3"/>
  <c r="I16" i="4"/>
  <c r="I16" i="1"/>
  <c r="U16" i="3"/>
  <c r="Y16" i="3" s="1"/>
  <c r="Z16" i="3"/>
  <c r="AD16" i="3" s="1"/>
  <c r="I19" i="1"/>
  <c r="I19" i="4"/>
  <c r="E20" i="3"/>
  <c r="Z22" i="3"/>
  <c r="L23" i="3"/>
  <c r="E23" i="3"/>
  <c r="E45" i="3"/>
  <c r="L45" i="3"/>
  <c r="Y12" i="3"/>
  <c r="V7" i="3"/>
  <c r="X7" i="3" s="1"/>
  <c r="AE7" i="3" s="1"/>
  <c r="AA7" i="3"/>
  <c r="AC7" i="3" s="1"/>
  <c r="I8" i="4"/>
  <c r="I8" i="1"/>
  <c r="U8" i="3"/>
  <c r="X8" i="3" s="1"/>
  <c r="Z8" i="3"/>
  <c r="AD8" i="3" s="1"/>
  <c r="I11" i="4"/>
  <c r="I11" i="1"/>
  <c r="V12" i="3"/>
  <c r="X12" i="3" s="1"/>
  <c r="AA12" i="3"/>
  <c r="L14" i="3"/>
  <c r="V16" i="3"/>
  <c r="AA16" i="3"/>
  <c r="AC16" i="3" s="1"/>
  <c r="L18" i="3"/>
  <c r="U19" i="3"/>
  <c r="X19" i="3" s="1"/>
  <c r="AB22" i="3"/>
  <c r="I26" i="1"/>
  <c r="I26" i="4"/>
  <c r="U26" i="3"/>
  <c r="Y26" i="3" s="1"/>
  <c r="AF26" i="3" s="1"/>
  <c r="AA26" i="3"/>
  <c r="AC26" i="3" s="1"/>
  <c r="V26" i="3"/>
  <c r="X26" i="3" s="1"/>
  <c r="I28" i="1"/>
  <c r="I28" i="4"/>
  <c r="W28" i="3"/>
  <c r="Y28" i="3" s="1"/>
  <c r="U28" i="3"/>
  <c r="Y35" i="3"/>
  <c r="AF35" i="3" s="1"/>
  <c r="I39" i="1"/>
  <c r="I39" i="4"/>
  <c r="U39" i="3"/>
  <c r="AB39" i="3"/>
  <c r="AD39" i="3" s="1"/>
  <c r="W39" i="3"/>
  <c r="Z39" i="3"/>
  <c r="AC39" i="3" s="1"/>
  <c r="V39" i="3"/>
  <c r="X39" i="3" s="1"/>
  <c r="I50" i="1"/>
  <c r="I50" i="4"/>
  <c r="AB50" i="3"/>
  <c r="AA50" i="3"/>
  <c r="W50" i="3"/>
  <c r="V50" i="3"/>
  <c r="X50" i="3" s="1"/>
  <c r="U50" i="3"/>
  <c r="Z50" i="3"/>
  <c r="E64" i="3"/>
  <c r="L64" i="3"/>
  <c r="L67" i="3"/>
  <c r="E67" i="3"/>
  <c r="I21" i="4"/>
  <c r="I21" i="1"/>
  <c r="AB21" i="3"/>
  <c r="U21" i="3"/>
  <c r="X21" i="3" s="1"/>
  <c r="AE21" i="3" s="1"/>
  <c r="Z21" i="3"/>
  <c r="AC21" i="3" s="1"/>
  <c r="AD23" i="3"/>
  <c r="I24" i="1"/>
  <c r="I24" i="4"/>
  <c r="AA24" i="3"/>
  <c r="AC24" i="3" s="1"/>
  <c r="W24" i="3"/>
  <c r="Y24" i="3" s="1"/>
  <c r="AF24" i="3" s="1"/>
  <c r="V24" i="3"/>
  <c r="X24" i="3" s="1"/>
  <c r="AB24" i="3"/>
  <c r="AD24" i="3" s="1"/>
  <c r="I25" i="4"/>
  <c r="I25" i="1"/>
  <c r="AB25" i="3"/>
  <c r="U25" i="3"/>
  <c r="X25" i="3" s="1"/>
  <c r="AE25" i="3" s="1"/>
  <c r="Z25" i="3"/>
  <c r="AC25" i="3" s="1"/>
  <c r="X29" i="3"/>
  <c r="Y30" i="3"/>
  <c r="I33" i="4"/>
  <c r="I33" i="1"/>
  <c r="U33" i="3"/>
  <c r="Y33" i="3" s="1"/>
  <c r="AB33" i="3"/>
  <c r="Z33" i="3"/>
  <c r="AC33" i="3" s="1"/>
  <c r="AC34" i="3"/>
  <c r="I43" i="1"/>
  <c r="I43" i="4"/>
  <c r="U43" i="3"/>
  <c r="AB43" i="3"/>
  <c r="AD43" i="3" s="1"/>
  <c r="W43" i="3"/>
  <c r="AA43" i="3"/>
  <c r="AC43" i="3" s="1"/>
  <c r="V43" i="3"/>
  <c r="X43" i="3" s="1"/>
  <c r="L44" i="3"/>
  <c r="E44" i="3"/>
  <c r="I46" i="1"/>
  <c r="I46" i="4"/>
  <c r="W46" i="3"/>
  <c r="Y46" i="3" s="1"/>
  <c r="V46" i="3"/>
  <c r="U46" i="3"/>
  <c r="X47" i="3"/>
  <c r="I5" i="4"/>
  <c r="D106" i="3"/>
  <c r="I5" i="1"/>
  <c r="V5" i="3"/>
  <c r="X5" i="3" s="1"/>
  <c r="Z5" i="3"/>
  <c r="AC5" i="3" s="1"/>
  <c r="I9" i="4"/>
  <c r="I9" i="1"/>
  <c r="V9" i="3"/>
  <c r="X9" i="3" s="1"/>
  <c r="Z9" i="3"/>
  <c r="AC9" i="3" s="1"/>
  <c r="I13" i="4"/>
  <c r="I13" i="1"/>
  <c r="V13" i="3"/>
  <c r="X13" i="3" s="1"/>
  <c r="Z13" i="3"/>
  <c r="AC13" i="3" s="1"/>
  <c r="I17" i="4"/>
  <c r="I17" i="1"/>
  <c r="V17" i="3"/>
  <c r="X17" i="3" s="1"/>
  <c r="Z17" i="3"/>
  <c r="AC17" i="3" s="1"/>
  <c r="W21" i="3"/>
  <c r="Y21" i="3" s="1"/>
  <c r="W25" i="3"/>
  <c r="Y25" i="3" s="1"/>
  <c r="I29" i="4"/>
  <c r="I29" i="1"/>
  <c r="U29" i="3"/>
  <c r="Y29" i="3" s="1"/>
  <c r="AF29" i="3" s="1"/>
  <c r="AB29" i="3"/>
  <c r="AD29" i="3" s="1"/>
  <c r="Z29" i="3"/>
  <c r="AC29" i="3" s="1"/>
  <c r="I32" i="1"/>
  <c r="I32" i="4"/>
  <c r="AB32" i="3"/>
  <c r="AD32" i="3" s="1"/>
  <c r="AA32" i="3"/>
  <c r="AC32" i="3" s="1"/>
  <c r="W32" i="3"/>
  <c r="U32" i="3"/>
  <c r="X32" i="3" s="1"/>
  <c r="AE32" i="3" s="1"/>
  <c r="V33" i="3"/>
  <c r="I65" i="1"/>
  <c r="AB65" i="3"/>
  <c r="AD65" i="3" s="1"/>
  <c r="AA65" i="3"/>
  <c r="AC65" i="3" s="1"/>
  <c r="W65" i="3"/>
  <c r="Y65" i="3" s="1"/>
  <c r="AF65" i="3" s="1"/>
  <c r="Z65" i="3"/>
  <c r="V65" i="3"/>
  <c r="X65" i="3" s="1"/>
  <c r="AE65" i="3" s="1"/>
  <c r="U65" i="3"/>
  <c r="AC51" i="3"/>
  <c r="AC52" i="3"/>
  <c r="E60" i="3"/>
  <c r="L60" i="3"/>
  <c r="AC62" i="3"/>
  <c r="X69" i="3"/>
  <c r="I23" i="1"/>
  <c r="I23" i="4"/>
  <c r="V23" i="3"/>
  <c r="X23" i="3" s="1"/>
  <c r="Z23" i="3"/>
  <c r="I27" i="1"/>
  <c r="I27" i="4"/>
  <c r="V27" i="3"/>
  <c r="X27" i="3" s="1"/>
  <c r="I31" i="1"/>
  <c r="I31" i="4"/>
  <c r="V31" i="3"/>
  <c r="X31" i="3" s="1"/>
  <c r="AE31" i="3" s="1"/>
  <c r="Z31" i="3"/>
  <c r="AC31" i="3" s="1"/>
  <c r="V34" i="3"/>
  <c r="X34" i="3" s="1"/>
  <c r="AE34" i="3" s="1"/>
  <c r="I35" i="1"/>
  <c r="I35" i="4"/>
  <c r="U35" i="3"/>
  <c r="X35" i="3" s="1"/>
  <c r="Z35" i="3"/>
  <c r="AD35" i="3" s="1"/>
  <c r="I37" i="4"/>
  <c r="I37" i="1"/>
  <c r="W37" i="3"/>
  <c r="Y37" i="3" s="1"/>
  <c r="V37" i="3"/>
  <c r="X37" i="3" s="1"/>
  <c r="U41" i="3"/>
  <c r="E48" i="3"/>
  <c r="I49" i="4"/>
  <c r="I49" i="1"/>
  <c r="AA49" i="3"/>
  <c r="AC49" i="3" s="1"/>
  <c r="W49" i="3"/>
  <c r="Z49" i="3"/>
  <c r="AD49" i="3" s="1"/>
  <c r="V49" i="3"/>
  <c r="U49" i="3"/>
  <c r="E53" i="3"/>
  <c r="L53" i="3"/>
  <c r="I55" i="1"/>
  <c r="I55" i="4"/>
  <c r="V55" i="3"/>
  <c r="X55" i="3" s="1"/>
  <c r="U55" i="3"/>
  <c r="Y55" i="3" s="1"/>
  <c r="I56" i="1"/>
  <c r="I56" i="4"/>
  <c r="AA56" i="3"/>
  <c r="AC56" i="3" s="1"/>
  <c r="W56" i="3"/>
  <c r="Y56" i="3" s="1"/>
  <c r="AF56" i="3" s="1"/>
  <c r="V56" i="3"/>
  <c r="X56" i="3" s="1"/>
  <c r="I57" i="4"/>
  <c r="I57" i="1"/>
  <c r="AB57" i="3"/>
  <c r="AA57" i="3"/>
  <c r="AC57" i="3" s="1"/>
  <c r="W57" i="3"/>
  <c r="Y57" i="3" s="1"/>
  <c r="Z57" i="3"/>
  <c r="V57" i="3"/>
  <c r="X57" i="3" s="1"/>
  <c r="AC58" i="3"/>
  <c r="I30" i="1"/>
  <c r="I30" i="4"/>
  <c r="V30" i="3"/>
  <c r="X30" i="3" s="1"/>
  <c r="Z30" i="3"/>
  <c r="AC30" i="3" s="1"/>
  <c r="I34" i="1"/>
  <c r="I34" i="4"/>
  <c r="AB34" i="3"/>
  <c r="AD34" i="3" s="1"/>
  <c r="W34" i="3"/>
  <c r="Y34" i="3" s="1"/>
  <c r="AC35" i="3"/>
  <c r="I38" i="1"/>
  <c r="I38" i="4"/>
  <c r="AB38" i="3"/>
  <c r="AD38" i="3" s="1"/>
  <c r="U38" i="3"/>
  <c r="X38" i="3" s="1"/>
  <c r="Z38" i="3"/>
  <c r="AC38" i="3" s="1"/>
  <c r="I41" i="4"/>
  <c r="I41" i="1"/>
  <c r="AA41" i="3"/>
  <c r="AC41" i="3" s="1"/>
  <c r="W41" i="3"/>
  <c r="Y41" i="3" s="1"/>
  <c r="V41" i="3"/>
  <c r="X41" i="3" s="1"/>
  <c r="AE41" i="3" s="1"/>
  <c r="AB41" i="3"/>
  <c r="AD41" i="3" s="1"/>
  <c r="I42" i="1"/>
  <c r="I42" i="4"/>
  <c r="AB42" i="3"/>
  <c r="AD42" i="3" s="1"/>
  <c r="U42" i="3"/>
  <c r="Y42" i="3" s="1"/>
  <c r="AF42" i="3" s="1"/>
  <c r="Z42" i="3"/>
  <c r="AC42" i="3" s="1"/>
  <c r="I45" i="4"/>
  <c r="I45" i="1"/>
  <c r="W45" i="3"/>
  <c r="Y45" i="3" s="1"/>
  <c r="V45" i="3"/>
  <c r="X45" i="3" s="1"/>
  <c r="I47" i="1"/>
  <c r="I47" i="4"/>
  <c r="U47" i="3"/>
  <c r="Y47" i="3" s="1"/>
  <c r="Z47" i="3"/>
  <c r="AC47" i="3" s="1"/>
  <c r="E49" i="3"/>
  <c r="L49" i="3"/>
  <c r="I51" i="1"/>
  <c r="I51" i="4"/>
  <c r="U51" i="3"/>
  <c r="X51" i="3" s="1"/>
  <c r="AE51" i="3" s="1"/>
  <c r="AB51" i="3"/>
  <c r="AD51" i="3" s="1"/>
  <c r="W51" i="3"/>
  <c r="Y52" i="3"/>
  <c r="I54" i="1"/>
  <c r="I54" i="4"/>
  <c r="W54" i="3"/>
  <c r="Y54" i="3" s="1"/>
  <c r="V54" i="3"/>
  <c r="X54" i="3" s="1"/>
  <c r="I62" i="1"/>
  <c r="U62" i="3"/>
  <c r="AB62" i="3"/>
  <c r="AD62" i="3" s="1"/>
  <c r="W62" i="3"/>
  <c r="Y62" i="3" s="1"/>
  <c r="V62" i="3"/>
  <c r="X62" i="3" s="1"/>
  <c r="AE62" i="3" s="1"/>
  <c r="I69" i="1"/>
  <c r="AB69" i="3"/>
  <c r="AD69" i="3" s="1"/>
  <c r="AA69" i="3"/>
  <c r="W69" i="3"/>
  <c r="Y69" i="3" s="1"/>
  <c r="Z69" i="3"/>
  <c r="I53" i="4"/>
  <c r="I53" i="1"/>
  <c r="V53" i="3"/>
  <c r="X53" i="3" s="1"/>
  <c r="Z53" i="3"/>
  <c r="AD53" i="3" s="1"/>
  <c r="I58" i="1"/>
  <c r="I58" i="4"/>
  <c r="U58" i="3"/>
  <c r="X58" i="3" s="1"/>
  <c r="AE58" i="3" s="1"/>
  <c r="AB58" i="3"/>
  <c r="W58" i="3"/>
  <c r="Y58" i="3" s="1"/>
  <c r="Y59" i="3"/>
  <c r="I61" i="4"/>
  <c r="I61" i="1"/>
  <c r="AB61" i="3"/>
  <c r="AD61" i="3" s="1"/>
  <c r="AA61" i="3"/>
  <c r="AC61" i="3" s="1"/>
  <c r="W61" i="3"/>
  <c r="Y61" i="3" s="1"/>
  <c r="U61" i="3"/>
  <c r="Y63" i="3"/>
  <c r="I66" i="1"/>
  <c r="U66" i="3"/>
  <c r="Y66" i="3" s="1"/>
  <c r="AB66" i="3"/>
  <c r="Z66" i="3"/>
  <c r="AA70" i="3"/>
  <c r="AC70" i="3" s="1"/>
  <c r="W70" i="3"/>
  <c r="I70" i="1"/>
  <c r="AB70" i="3"/>
  <c r="AD70" i="3" s="1"/>
  <c r="V70" i="3"/>
  <c r="X70" i="3" s="1"/>
  <c r="AE70" i="3" s="1"/>
  <c r="I36" i="1"/>
  <c r="I36" i="4"/>
  <c r="V36" i="3"/>
  <c r="X36" i="3" s="1"/>
  <c r="I40" i="1"/>
  <c r="I40" i="4"/>
  <c r="V40" i="3"/>
  <c r="X40" i="3" s="1"/>
  <c r="Z40" i="3"/>
  <c r="AC40" i="3" s="1"/>
  <c r="I44" i="1"/>
  <c r="I44" i="4"/>
  <c r="V44" i="3"/>
  <c r="X44" i="3" s="1"/>
  <c r="Z44" i="3"/>
  <c r="AC44" i="3" s="1"/>
  <c r="I48" i="1"/>
  <c r="I48" i="4"/>
  <c r="V48" i="3"/>
  <c r="X48" i="3" s="1"/>
  <c r="Z48" i="3"/>
  <c r="AD48" i="3" s="1"/>
  <c r="AF48" i="3" s="1"/>
  <c r="I52" i="1"/>
  <c r="I52" i="4"/>
  <c r="V52" i="3"/>
  <c r="X52" i="3" s="1"/>
  <c r="Z52" i="3"/>
  <c r="AD52" i="3" s="1"/>
  <c r="W53" i="3"/>
  <c r="Y53" i="3" s="1"/>
  <c r="AA53" i="3"/>
  <c r="AC53" i="3" s="1"/>
  <c r="L56" i="3"/>
  <c r="Z58" i="3"/>
  <c r="V61" i="3"/>
  <c r="X61" i="3" s="1"/>
  <c r="AE61" i="3" s="1"/>
  <c r="AA66" i="3"/>
  <c r="AD67" i="3"/>
  <c r="E68" i="3"/>
  <c r="L68" i="3"/>
  <c r="U70" i="3"/>
  <c r="Y71" i="3"/>
  <c r="L72" i="3"/>
  <c r="E72" i="3"/>
  <c r="I60" i="1"/>
  <c r="I60" i="4"/>
  <c r="V60" i="3"/>
  <c r="X60" i="3" s="1"/>
  <c r="Z60" i="3"/>
  <c r="AD60" i="3" s="1"/>
  <c r="U63" i="3"/>
  <c r="V64" i="3"/>
  <c r="X64" i="3" s="1"/>
  <c r="Z64" i="3"/>
  <c r="AC64" i="3" s="1"/>
  <c r="U67" i="3"/>
  <c r="Y67" i="3" s="1"/>
  <c r="AF67" i="3" s="1"/>
  <c r="V68" i="3"/>
  <c r="X68" i="3" s="1"/>
  <c r="Z68" i="3"/>
  <c r="AD68" i="3" s="1"/>
  <c r="AB71" i="3"/>
  <c r="I71" i="1"/>
  <c r="U71" i="3"/>
  <c r="X71" i="3" s="1"/>
  <c r="AE71" i="3" s="1"/>
  <c r="Z71" i="3"/>
  <c r="AD73" i="3"/>
  <c r="I59" i="1"/>
  <c r="I59" i="4"/>
  <c r="V59" i="3"/>
  <c r="X59" i="3" s="1"/>
  <c r="Z59" i="3"/>
  <c r="AC59" i="3" s="1"/>
  <c r="W60" i="3"/>
  <c r="Y60" i="3" s="1"/>
  <c r="AA60" i="3"/>
  <c r="V63" i="3"/>
  <c r="X63" i="3" s="1"/>
  <c r="Z63" i="3"/>
  <c r="AC63" i="3" s="1"/>
  <c r="V67" i="3"/>
  <c r="X67" i="3" s="1"/>
  <c r="Z67" i="3"/>
  <c r="AC67" i="3" s="1"/>
  <c r="W68" i="3"/>
  <c r="Y68" i="3" s="1"/>
  <c r="AA68" i="3"/>
  <c r="AA71" i="3"/>
  <c r="AC71" i="3" s="1"/>
  <c r="D108" i="3"/>
  <c r="V72" i="3"/>
  <c r="Z72" i="3"/>
  <c r="AC72" i="3" s="1"/>
  <c r="E73" i="3"/>
  <c r="W73" i="3"/>
  <c r="Y73" i="3" s="1"/>
  <c r="AF73" i="3" s="1"/>
  <c r="AA73" i="3"/>
  <c r="AC73" i="3" s="1"/>
  <c r="D105" i="3"/>
  <c r="I73" i="1"/>
  <c r="AB72" i="3"/>
  <c r="AD72" i="3" s="1"/>
  <c r="D107" i="3"/>
  <c r="U72" i="3"/>
  <c r="Y72" i="3" s="1"/>
  <c r="AF72" i="3" s="1"/>
  <c r="V73" i="3"/>
  <c r="X73" i="3" s="1"/>
  <c r="AE73" i="3" s="1"/>
  <c r="D104" i="3"/>
  <c r="AE56" i="3" l="1"/>
  <c r="AE64" i="3"/>
  <c r="AD55" i="3"/>
  <c r="AF55" i="3"/>
  <c r="AC19" i="3"/>
  <c r="AE19" i="3"/>
  <c r="AE38" i="3"/>
  <c r="AF16" i="3"/>
  <c r="AF60" i="3"/>
  <c r="M16" i="1"/>
  <c r="O16" i="1" s="1"/>
  <c r="M14" i="1"/>
  <c r="O14" i="1" s="1"/>
  <c r="M12" i="1"/>
  <c r="O12" i="1" s="1"/>
  <c r="H64" i="3" s="1"/>
  <c r="P64" i="3" s="1"/>
  <c r="M10" i="1"/>
  <c r="O10" i="1" s="1"/>
  <c r="M8" i="1"/>
  <c r="O8" i="1" s="1"/>
  <c r="M6" i="1"/>
  <c r="O6" i="1" s="1"/>
  <c r="H68" i="3" s="1"/>
  <c r="P68" i="3" s="1"/>
  <c r="N15" i="1"/>
  <c r="N13" i="1"/>
  <c r="N11" i="1"/>
  <c r="N9" i="1"/>
  <c r="N7" i="1"/>
  <c r="N5" i="1"/>
  <c r="M15" i="1"/>
  <c r="O15" i="1" s="1"/>
  <c r="M13" i="1"/>
  <c r="O13" i="1" s="1"/>
  <c r="M11" i="1"/>
  <c r="O11" i="1" s="1"/>
  <c r="M9" i="1"/>
  <c r="O9" i="1" s="1"/>
  <c r="M7" i="1"/>
  <c r="O7" i="1" s="1"/>
  <c r="M5" i="1"/>
  <c r="O5" i="1" s="1"/>
  <c r="N16" i="1"/>
  <c r="N14" i="1"/>
  <c r="N12" i="1"/>
  <c r="N10" i="1"/>
  <c r="N8" i="1"/>
  <c r="N6" i="1"/>
  <c r="Y38" i="3"/>
  <c r="AF38" i="3" s="1"/>
  <c r="AE29" i="3"/>
  <c r="AC10" i="3"/>
  <c r="AE10" i="3" s="1"/>
  <c r="AC28" i="3"/>
  <c r="AE28" i="3" s="1"/>
  <c r="X72" i="3"/>
  <c r="AE72" i="3" s="1"/>
  <c r="AC68" i="3"/>
  <c r="AD71" i="3"/>
  <c r="AF71" i="3" s="1"/>
  <c r="AE60" i="3"/>
  <c r="AF53" i="3"/>
  <c r="Y70" i="3"/>
  <c r="AF70" i="3" s="1"/>
  <c r="AD66" i="3"/>
  <c r="AF66" i="3" s="1"/>
  <c r="AD58" i="3"/>
  <c r="AF58" i="3" s="1"/>
  <c r="AF62" i="3"/>
  <c r="AD59" i="3"/>
  <c r="AF34" i="3"/>
  <c r="AE57" i="3"/>
  <c r="AD57" i="3"/>
  <c r="AF57" i="3" s="1"/>
  <c r="X49" i="3"/>
  <c r="AE49" i="3" s="1"/>
  <c r="AC48" i="3"/>
  <c r="Y32" i="3"/>
  <c r="AF32" i="3" s="1"/>
  <c r="D112" i="3"/>
  <c r="C17" i="5" s="1"/>
  <c r="D17" i="5" s="1"/>
  <c r="X42" i="3"/>
  <c r="AE42" i="3" s="1"/>
  <c r="AD47" i="3"/>
  <c r="AF47" i="3" s="1"/>
  <c r="AE43" i="3"/>
  <c r="AD50" i="3"/>
  <c r="AE39" i="3"/>
  <c r="AE26" i="3"/>
  <c r="AC12" i="3"/>
  <c r="AE12" i="3" s="1"/>
  <c r="AD10" i="3"/>
  <c r="AF10" i="3" s="1"/>
  <c r="AC8" i="3"/>
  <c r="AE8" i="3" s="1"/>
  <c r="AD20" i="3"/>
  <c r="AF20" i="3" s="1"/>
  <c r="AC22" i="3"/>
  <c r="AE22" i="3" s="1"/>
  <c r="Y19" i="3"/>
  <c r="AF63" i="3"/>
  <c r="AD46" i="3"/>
  <c r="AF46" i="3" s="1"/>
  <c r="AF12" i="3"/>
  <c r="AF68" i="3"/>
  <c r="AE59" i="3"/>
  <c r="AC36" i="3"/>
  <c r="AE36" i="3"/>
  <c r="AF61" i="3"/>
  <c r="AE53" i="3"/>
  <c r="AF69" i="3"/>
  <c r="X66" i="3"/>
  <c r="AE54" i="3"/>
  <c r="AC54" i="3"/>
  <c r="AF52" i="3"/>
  <c r="AE45" i="3"/>
  <c r="AC45" i="3"/>
  <c r="AD44" i="3"/>
  <c r="AF44" i="3" s="1"/>
  <c r="AF41" i="3"/>
  <c r="AD40" i="3"/>
  <c r="AF40" i="3" s="1"/>
  <c r="AE30" i="3"/>
  <c r="AD63" i="3"/>
  <c r="AC55" i="3"/>
  <c r="AE55" i="3" s="1"/>
  <c r="AE37" i="3"/>
  <c r="AC37" i="3"/>
  <c r="AE50" i="3"/>
  <c r="AF28" i="3"/>
  <c r="AD28" i="3"/>
  <c r="AD27" i="3"/>
  <c r="AF27" i="3" s="1"/>
  <c r="AC18" i="3"/>
  <c r="AE18" i="3" s="1"/>
  <c r="AD17" i="3"/>
  <c r="AF17" i="3" s="1"/>
  <c r="AF13" i="3"/>
  <c r="D111" i="3"/>
  <c r="C16" i="5" s="1"/>
  <c r="D16" i="5" s="1"/>
  <c r="AE67" i="3"/>
  <c r="N13" i="4"/>
  <c r="N11" i="4"/>
  <c r="N9" i="4"/>
  <c r="N7" i="4"/>
  <c r="N5" i="4"/>
  <c r="M13" i="4"/>
  <c r="O13" i="4" s="1"/>
  <c r="M11" i="4"/>
  <c r="O11" i="4" s="1"/>
  <c r="M9" i="4"/>
  <c r="O9" i="4" s="1"/>
  <c r="M7" i="4"/>
  <c r="O7" i="4" s="1"/>
  <c r="M5" i="4"/>
  <c r="O5" i="4" s="1"/>
  <c r="N14" i="4"/>
  <c r="N12" i="4"/>
  <c r="N10" i="4"/>
  <c r="N8" i="4"/>
  <c r="N6" i="4"/>
  <c r="M14" i="4"/>
  <c r="O14" i="4" s="1"/>
  <c r="M12" i="4"/>
  <c r="O12" i="4" s="1"/>
  <c r="J64" i="3" s="1"/>
  <c r="R64" i="3" s="1"/>
  <c r="M10" i="4"/>
  <c r="O10" i="4" s="1"/>
  <c r="M8" i="4"/>
  <c r="O8" i="4" s="1"/>
  <c r="M6" i="4"/>
  <c r="O6" i="4" s="1"/>
  <c r="J68" i="3" s="1"/>
  <c r="R68" i="3" s="1"/>
  <c r="AE47" i="3"/>
  <c r="AC50" i="3"/>
  <c r="AE63" i="3"/>
  <c r="AC60" i="3"/>
  <c r="AE68" i="3"/>
  <c r="AC66" i="3"/>
  <c r="AE52" i="3"/>
  <c r="AE48" i="3"/>
  <c r="AE44" i="3"/>
  <c r="AE40" i="3"/>
  <c r="AF59" i="3"/>
  <c r="AC69" i="3"/>
  <c r="AE69" i="3" s="1"/>
  <c r="AD64" i="3"/>
  <c r="AF64" i="3" s="1"/>
  <c r="AF54" i="3"/>
  <c r="AD54" i="3"/>
  <c r="Y51" i="3"/>
  <c r="AF51" i="3" s="1"/>
  <c r="AF45" i="3"/>
  <c r="AD45" i="3"/>
  <c r="Y49" i="3"/>
  <c r="AF49" i="3" s="1"/>
  <c r="AF37" i="3"/>
  <c r="AD37" i="3"/>
  <c r="AE35" i="3"/>
  <c r="AC27" i="3"/>
  <c r="AE27" i="3"/>
  <c r="AE23" i="3"/>
  <c r="X33" i="3"/>
  <c r="AE33" i="3" s="1"/>
  <c r="AE17" i="3"/>
  <c r="AE13" i="3"/>
  <c r="AE9" i="3"/>
  <c r="AE5" i="3"/>
  <c r="X46" i="3"/>
  <c r="Y43" i="3"/>
  <c r="AF43" i="3" s="1"/>
  <c r="AD33" i="3"/>
  <c r="AF33" i="3" s="1"/>
  <c r="AF30" i="3"/>
  <c r="AD25" i="3"/>
  <c r="AF25" i="3" s="1"/>
  <c r="AE24" i="3"/>
  <c r="AD21" i="3"/>
  <c r="AF21" i="3" s="1"/>
  <c r="Y50" i="3"/>
  <c r="AF50" i="3" s="1"/>
  <c r="Y39" i="3"/>
  <c r="AF39" i="3" s="1"/>
  <c r="AD22" i="3"/>
  <c r="AF22" i="3" s="1"/>
  <c r="X16" i="3"/>
  <c r="AE16" i="3" s="1"/>
  <c r="AE15" i="3"/>
  <c r="X6" i="3"/>
  <c r="AE6" i="3" s="1"/>
  <c r="AD31" i="3"/>
  <c r="AF31" i="3" s="1"/>
  <c r="AF23" i="3"/>
  <c r="AC20" i="3"/>
  <c r="AE20" i="3" s="1"/>
  <c r="AD18" i="3"/>
  <c r="AF18" i="3"/>
  <c r="AE14" i="3"/>
  <c r="Y8" i="3"/>
  <c r="AF8" i="3" s="1"/>
  <c r="P6" i="1" l="1"/>
  <c r="P14" i="1"/>
  <c r="P6" i="4"/>
  <c r="Q6" i="4" s="1"/>
  <c r="P14" i="4"/>
  <c r="Q14" i="4" s="1"/>
  <c r="P9" i="4"/>
  <c r="K66" i="3" s="1"/>
  <c r="S66" i="3" s="1"/>
  <c r="P12" i="1"/>
  <c r="I64" i="3" s="1"/>
  <c r="Q64" i="3" s="1"/>
  <c r="P5" i="1"/>
  <c r="I38" i="3" s="1"/>
  <c r="Q38" i="3" s="1"/>
  <c r="P13" i="1"/>
  <c r="Q13" i="1" s="1"/>
  <c r="P8" i="1"/>
  <c r="I58" i="3" s="1"/>
  <c r="Q58" i="3" s="1"/>
  <c r="P16" i="1"/>
  <c r="I55" i="3" s="1"/>
  <c r="Q55" i="3" s="1"/>
  <c r="P7" i="1"/>
  <c r="Q7" i="1" s="1"/>
  <c r="P15" i="1"/>
  <c r="I54" i="3" s="1"/>
  <c r="Q54" i="3" s="1"/>
  <c r="P12" i="4"/>
  <c r="Q12" i="4" s="1"/>
  <c r="P7" i="4"/>
  <c r="Q7" i="4" s="1"/>
  <c r="J71" i="3"/>
  <c r="R71" i="3" s="1"/>
  <c r="J62" i="3"/>
  <c r="R62" i="3" s="1"/>
  <c r="J44" i="3"/>
  <c r="R44" i="3" s="1"/>
  <c r="J53" i="3"/>
  <c r="R53" i="3" s="1"/>
  <c r="J35" i="3"/>
  <c r="R35" i="3" s="1"/>
  <c r="J26" i="3"/>
  <c r="R26" i="3" s="1"/>
  <c r="J9" i="3"/>
  <c r="R9" i="3" s="1"/>
  <c r="J17" i="3"/>
  <c r="R17" i="3" s="1"/>
  <c r="J66" i="3"/>
  <c r="R66" i="3" s="1"/>
  <c r="J63" i="3"/>
  <c r="R63" i="3" s="1"/>
  <c r="H48" i="3"/>
  <c r="P48" i="3" s="1"/>
  <c r="H30" i="3"/>
  <c r="P30" i="3" s="1"/>
  <c r="H57" i="3"/>
  <c r="P57" i="3" s="1"/>
  <c r="H21" i="3"/>
  <c r="P21" i="3" s="1"/>
  <c r="H39" i="3"/>
  <c r="P39" i="3" s="1"/>
  <c r="H36" i="3"/>
  <c r="P36" i="3" s="1"/>
  <c r="H54" i="3"/>
  <c r="P54" i="3" s="1"/>
  <c r="H45" i="3"/>
  <c r="P45" i="3" s="1"/>
  <c r="H27" i="3"/>
  <c r="P27" i="3" s="1"/>
  <c r="H10" i="3"/>
  <c r="P10" i="3" s="1"/>
  <c r="H18" i="3"/>
  <c r="P18" i="3" s="1"/>
  <c r="P11" i="1"/>
  <c r="H73" i="3"/>
  <c r="P73" i="3" s="1"/>
  <c r="H67" i="3"/>
  <c r="P67" i="3" s="1"/>
  <c r="H40" i="3"/>
  <c r="P40" i="3" s="1"/>
  <c r="H58" i="3"/>
  <c r="P58" i="3" s="1"/>
  <c r="H49" i="3"/>
  <c r="P49" i="3" s="1"/>
  <c r="H31" i="3"/>
  <c r="P31" i="3" s="1"/>
  <c r="H13" i="3"/>
  <c r="P13" i="3" s="1"/>
  <c r="H22" i="3"/>
  <c r="P22" i="3" s="1"/>
  <c r="H6" i="3"/>
  <c r="P6" i="3" s="1"/>
  <c r="H55" i="3"/>
  <c r="P55" i="3" s="1"/>
  <c r="H46" i="3"/>
  <c r="P46" i="3" s="1"/>
  <c r="H37" i="3"/>
  <c r="P37" i="3" s="1"/>
  <c r="H28" i="3"/>
  <c r="P28" i="3" s="1"/>
  <c r="H11" i="3"/>
  <c r="P11" i="3" s="1"/>
  <c r="H19" i="3"/>
  <c r="P19" i="3" s="1"/>
  <c r="H59" i="3"/>
  <c r="P59" i="3" s="1"/>
  <c r="H41" i="3"/>
  <c r="P41" i="3" s="1"/>
  <c r="H23" i="3"/>
  <c r="P23" i="3" s="1"/>
  <c r="H50" i="3"/>
  <c r="P50" i="3" s="1"/>
  <c r="H32" i="3"/>
  <c r="P32" i="3" s="1"/>
  <c r="H14" i="3"/>
  <c r="P14" i="3" s="1"/>
  <c r="Q14" i="1"/>
  <c r="I71" i="3"/>
  <c r="Q71" i="3" s="1"/>
  <c r="I53" i="3"/>
  <c r="Q53" i="3" s="1"/>
  <c r="I35" i="3"/>
  <c r="Q35" i="3" s="1"/>
  <c r="I44" i="3"/>
  <c r="Q44" i="3" s="1"/>
  <c r="I26" i="3"/>
  <c r="Q26" i="3" s="1"/>
  <c r="I62" i="3"/>
  <c r="Q62" i="3" s="1"/>
  <c r="I9" i="3"/>
  <c r="Q9" i="3" s="1"/>
  <c r="I17" i="3"/>
  <c r="Q17" i="3" s="1"/>
  <c r="J50" i="3"/>
  <c r="R50" i="3" s="1"/>
  <c r="J41" i="3"/>
  <c r="R41" i="3" s="1"/>
  <c r="J32" i="3"/>
  <c r="R32" i="3" s="1"/>
  <c r="J59" i="3"/>
  <c r="R59" i="3" s="1"/>
  <c r="J23" i="3"/>
  <c r="R23" i="3" s="1"/>
  <c r="J14" i="3"/>
  <c r="R14" i="3" s="1"/>
  <c r="J69" i="3"/>
  <c r="R69" i="3" s="1"/>
  <c r="J38" i="3"/>
  <c r="R38" i="3" s="1"/>
  <c r="J56" i="3"/>
  <c r="R56" i="3" s="1"/>
  <c r="J29" i="3"/>
  <c r="R29" i="3" s="1"/>
  <c r="J47" i="3"/>
  <c r="R47" i="3" s="1"/>
  <c r="J20" i="3"/>
  <c r="R20" i="3" s="1"/>
  <c r="J12" i="3"/>
  <c r="R12" i="3" s="1"/>
  <c r="P11" i="4"/>
  <c r="AD19" i="3"/>
  <c r="AF19" i="3" s="1"/>
  <c r="J73" i="3"/>
  <c r="R73" i="3" s="1"/>
  <c r="J58" i="3"/>
  <c r="R58" i="3" s="1"/>
  <c r="J67" i="3"/>
  <c r="R67" i="3" s="1"/>
  <c r="J40" i="3"/>
  <c r="R40" i="3" s="1"/>
  <c r="J49" i="3"/>
  <c r="R49" i="3" s="1"/>
  <c r="J6" i="3"/>
  <c r="R6" i="3" s="1"/>
  <c r="J31" i="3"/>
  <c r="R31" i="3" s="1"/>
  <c r="J13" i="3"/>
  <c r="R13" i="3" s="1"/>
  <c r="J22" i="3"/>
  <c r="R22" i="3" s="1"/>
  <c r="J72" i="3"/>
  <c r="R72" i="3" s="1"/>
  <c r="J65" i="3"/>
  <c r="R65" i="3" s="1"/>
  <c r="J70" i="3"/>
  <c r="R70" i="3" s="1"/>
  <c r="J60" i="3"/>
  <c r="R60" i="3" s="1"/>
  <c r="J42" i="3"/>
  <c r="R42" i="3" s="1"/>
  <c r="J51" i="3"/>
  <c r="R51" i="3" s="1"/>
  <c r="J33" i="3"/>
  <c r="R33" i="3" s="1"/>
  <c r="J15" i="3"/>
  <c r="R15" i="3" s="1"/>
  <c r="J7" i="3"/>
  <c r="R7" i="3" s="1"/>
  <c r="J24" i="3"/>
  <c r="R24" i="3" s="1"/>
  <c r="J5" i="3"/>
  <c r="AE66" i="3"/>
  <c r="Q6" i="1"/>
  <c r="I68" i="3"/>
  <c r="Q68" i="3" s="1"/>
  <c r="H63" i="3"/>
  <c r="P63" i="3" s="1"/>
  <c r="H66" i="3"/>
  <c r="P66" i="3" s="1"/>
  <c r="I29" i="3"/>
  <c r="Q29" i="3" s="1"/>
  <c r="AE46" i="3"/>
  <c r="AC46" i="3"/>
  <c r="P8" i="4"/>
  <c r="J61" i="3"/>
  <c r="R61" i="3" s="1"/>
  <c r="J43" i="3"/>
  <c r="R43" i="3" s="1"/>
  <c r="J25" i="3"/>
  <c r="R25" i="3" s="1"/>
  <c r="J52" i="3"/>
  <c r="R52" i="3" s="1"/>
  <c r="J34" i="3"/>
  <c r="R34" i="3" s="1"/>
  <c r="J16" i="3"/>
  <c r="R16" i="3" s="1"/>
  <c r="J8" i="3"/>
  <c r="R8" i="3" s="1"/>
  <c r="Q8" i="1"/>
  <c r="I73" i="3"/>
  <c r="Q73" i="3" s="1"/>
  <c r="I67" i="3"/>
  <c r="Q67" i="3" s="1"/>
  <c r="I31" i="3"/>
  <c r="Q31" i="3" s="1"/>
  <c r="I6" i="3"/>
  <c r="Q6" i="3" s="1"/>
  <c r="I13" i="3"/>
  <c r="Q13" i="3" s="1"/>
  <c r="H72" i="3"/>
  <c r="P72" i="3" s="1"/>
  <c r="H60" i="3"/>
  <c r="P60" i="3" s="1"/>
  <c r="H65" i="3"/>
  <c r="P65" i="3" s="1"/>
  <c r="H70" i="3"/>
  <c r="P70" i="3" s="1"/>
  <c r="H51" i="3"/>
  <c r="P51" i="3" s="1"/>
  <c r="H42" i="3"/>
  <c r="P42" i="3" s="1"/>
  <c r="H5" i="3"/>
  <c r="P5" i="3" s="1"/>
  <c r="H33" i="3"/>
  <c r="P33" i="3" s="1"/>
  <c r="H24" i="3"/>
  <c r="P24" i="3" s="1"/>
  <c r="H7" i="3"/>
  <c r="P7" i="3" s="1"/>
  <c r="H15" i="3"/>
  <c r="P15" i="3" s="1"/>
  <c r="P10" i="4"/>
  <c r="J57" i="3"/>
  <c r="R57" i="3" s="1"/>
  <c r="J48" i="3"/>
  <c r="R48" i="3" s="1"/>
  <c r="J39" i="3"/>
  <c r="R39" i="3" s="1"/>
  <c r="J21" i="3"/>
  <c r="R21" i="3" s="1"/>
  <c r="J30" i="3"/>
  <c r="R30" i="3" s="1"/>
  <c r="P5" i="4"/>
  <c r="P13" i="4"/>
  <c r="P10" i="1"/>
  <c r="H69" i="3"/>
  <c r="P69" i="3" s="1"/>
  <c r="H47" i="3"/>
  <c r="P47" i="3" s="1"/>
  <c r="H38" i="3"/>
  <c r="P38" i="3" s="1"/>
  <c r="H56" i="3"/>
  <c r="P56" i="3" s="1"/>
  <c r="H29" i="3"/>
  <c r="P29" i="3" s="1"/>
  <c r="H12" i="3"/>
  <c r="P12" i="3" s="1"/>
  <c r="H20" i="3"/>
  <c r="P20" i="3" s="1"/>
  <c r="H52" i="3"/>
  <c r="P52" i="3" s="1"/>
  <c r="H34" i="3"/>
  <c r="P34" i="3" s="1"/>
  <c r="H61" i="3"/>
  <c r="P61" i="3" s="1"/>
  <c r="H43" i="3"/>
  <c r="P43" i="3" s="1"/>
  <c r="H25" i="3"/>
  <c r="P25" i="3" s="1"/>
  <c r="H8" i="3"/>
  <c r="P8" i="3" s="1"/>
  <c r="H16" i="3"/>
  <c r="P16" i="3" s="1"/>
  <c r="P9" i="1"/>
  <c r="H71" i="3"/>
  <c r="P71" i="3" s="1"/>
  <c r="H44" i="3"/>
  <c r="P44" i="3" s="1"/>
  <c r="H53" i="3"/>
  <c r="P53" i="3" s="1"/>
  <c r="H62" i="3"/>
  <c r="P62" i="3" s="1"/>
  <c r="H35" i="3"/>
  <c r="P35" i="3" s="1"/>
  <c r="H17" i="3"/>
  <c r="P17" i="3" s="1"/>
  <c r="H9" i="3"/>
  <c r="P9" i="3" s="1"/>
  <c r="H26" i="3"/>
  <c r="P26" i="3" s="1"/>
  <c r="I36" i="3" l="1"/>
  <c r="Q36" i="3" s="1"/>
  <c r="I52" i="3"/>
  <c r="Q52" i="3" s="1"/>
  <c r="I48" i="3"/>
  <c r="Q48" i="3" s="1"/>
  <c r="I12" i="3"/>
  <c r="Q12" i="3" s="1"/>
  <c r="I69" i="3"/>
  <c r="Q69" i="3" s="1"/>
  <c r="K68" i="3"/>
  <c r="S68" i="3" s="1"/>
  <c r="I30" i="3"/>
  <c r="Q30" i="3" s="1"/>
  <c r="I56" i="3"/>
  <c r="Q56" i="3" s="1"/>
  <c r="K9" i="3"/>
  <c r="S9" i="3" s="1"/>
  <c r="K35" i="3"/>
  <c r="S35" i="3" s="1"/>
  <c r="I45" i="3"/>
  <c r="Q45" i="3" s="1"/>
  <c r="I8" i="3"/>
  <c r="Q8" i="3" s="1"/>
  <c r="Q15" i="1"/>
  <c r="K44" i="3"/>
  <c r="S44" i="3" s="1"/>
  <c r="K62" i="3"/>
  <c r="S62" i="3" s="1"/>
  <c r="I43" i="3"/>
  <c r="Q43" i="3" s="1"/>
  <c r="I16" i="3"/>
  <c r="Q16" i="3" s="1"/>
  <c r="I18" i="3"/>
  <c r="Q18" i="3" s="1"/>
  <c r="I21" i="3"/>
  <c r="Q21" i="3" s="1"/>
  <c r="I57" i="3"/>
  <c r="Q57" i="3" s="1"/>
  <c r="I20" i="3"/>
  <c r="Q20" i="3" s="1"/>
  <c r="Q5" i="1"/>
  <c r="K53" i="3"/>
  <c r="S53" i="3" s="1"/>
  <c r="K71" i="3"/>
  <c r="S71" i="3" s="1"/>
  <c r="I25" i="3"/>
  <c r="Q25" i="3" s="1"/>
  <c r="I61" i="3"/>
  <c r="Q61" i="3" s="1"/>
  <c r="I10" i="3"/>
  <c r="Q10" i="3" s="1"/>
  <c r="I27" i="3"/>
  <c r="Q27" i="3" s="1"/>
  <c r="I39" i="3"/>
  <c r="Q39" i="3" s="1"/>
  <c r="I47" i="3"/>
  <c r="Q47" i="3" s="1"/>
  <c r="K17" i="3"/>
  <c r="S17" i="3" s="1"/>
  <c r="K26" i="3"/>
  <c r="S26" i="3" s="1"/>
  <c r="I34" i="3"/>
  <c r="Q34" i="3" s="1"/>
  <c r="I22" i="3"/>
  <c r="Q22" i="3" s="1"/>
  <c r="I49" i="3"/>
  <c r="Q49" i="3" s="1"/>
  <c r="Q9" i="4"/>
  <c r="I40" i="3"/>
  <c r="Q40" i="3" s="1"/>
  <c r="Q12" i="1"/>
  <c r="K63" i="3"/>
  <c r="S63" i="3" s="1"/>
  <c r="K64" i="3"/>
  <c r="S64" i="3" s="1"/>
  <c r="I19" i="3"/>
  <c r="Q19" i="3" s="1"/>
  <c r="I37" i="3"/>
  <c r="Q37" i="3" s="1"/>
  <c r="K48" i="3"/>
  <c r="S48" i="3" s="1"/>
  <c r="I46" i="3"/>
  <c r="Q46" i="3" s="1"/>
  <c r="Q16" i="1"/>
  <c r="K39" i="3"/>
  <c r="S39" i="3" s="1"/>
  <c r="I28" i="3"/>
  <c r="Q28" i="3" s="1"/>
  <c r="K21" i="3"/>
  <c r="S21" i="3" s="1"/>
  <c r="K57" i="3"/>
  <c r="S57" i="3" s="1"/>
  <c r="I11" i="3"/>
  <c r="Q11" i="3" s="1"/>
  <c r="K30" i="3"/>
  <c r="S30" i="3" s="1"/>
  <c r="Q11" i="1"/>
  <c r="I60" i="3"/>
  <c r="Q60" i="3" s="1"/>
  <c r="I72" i="3"/>
  <c r="Q72" i="3" s="1"/>
  <c r="I65" i="3"/>
  <c r="Q65" i="3" s="1"/>
  <c r="I70" i="3"/>
  <c r="Q70" i="3" s="1"/>
  <c r="I24" i="3"/>
  <c r="Q24" i="3" s="1"/>
  <c r="I42" i="3"/>
  <c r="Q42" i="3" s="1"/>
  <c r="I51" i="3"/>
  <c r="Q51" i="3" s="1"/>
  <c r="I7" i="3"/>
  <c r="Q7" i="3" s="1"/>
  <c r="I15" i="3"/>
  <c r="Q15" i="3" s="1"/>
  <c r="I5" i="3"/>
  <c r="Q5" i="3" s="1"/>
  <c r="I33" i="3"/>
  <c r="Q33" i="3" s="1"/>
  <c r="Q5" i="4"/>
  <c r="K47" i="3"/>
  <c r="S47" i="3" s="1"/>
  <c r="K56" i="3"/>
  <c r="S56" i="3" s="1"/>
  <c r="K29" i="3"/>
  <c r="S29" i="3" s="1"/>
  <c r="K69" i="3"/>
  <c r="S69" i="3" s="1"/>
  <c r="K38" i="3"/>
  <c r="S38" i="3" s="1"/>
  <c r="K20" i="3"/>
  <c r="S20" i="3" s="1"/>
  <c r="K12" i="3"/>
  <c r="S12" i="3" s="1"/>
  <c r="K73" i="3"/>
  <c r="S73" i="3" s="1"/>
  <c r="Q8" i="4"/>
  <c r="K58" i="3"/>
  <c r="S58" i="3" s="1"/>
  <c r="K67" i="3"/>
  <c r="S67" i="3" s="1"/>
  <c r="K49" i="3"/>
  <c r="S49" i="3" s="1"/>
  <c r="K22" i="3"/>
  <c r="S22" i="3" s="1"/>
  <c r="K31" i="3"/>
  <c r="S31" i="3" s="1"/>
  <c r="K40" i="3"/>
  <c r="S40" i="3" s="1"/>
  <c r="K6" i="3"/>
  <c r="S6" i="3" s="1"/>
  <c r="K13" i="3"/>
  <c r="S13" i="3" s="1"/>
  <c r="R5" i="3"/>
  <c r="D109" i="3" s="1"/>
  <c r="D115" i="3" s="1"/>
  <c r="C20" i="5" s="1"/>
  <c r="D20" i="5" s="1"/>
  <c r="D113" i="3"/>
  <c r="C18" i="5" s="1"/>
  <c r="D18" i="5" s="1"/>
  <c r="Q13" i="4"/>
  <c r="K43" i="3"/>
  <c r="S43" i="3" s="1"/>
  <c r="K61" i="3"/>
  <c r="S61" i="3" s="1"/>
  <c r="K52" i="3"/>
  <c r="S52" i="3" s="1"/>
  <c r="K34" i="3"/>
  <c r="S34" i="3" s="1"/>
  <c r="K25" i="3"/>
  <c r="S25" i="3" s="1"/>
  <c r="K16" i="3"/>
  <c r="S16" i="3" s="1"/>
  <c r="K8" i="3"/>
  <c r="S8" i="3" s="1"/>
  <c r="Q9" i="1"/>
  <c r="I66" i="3"/>
  <c r="Q66" i="3" s="1"/>
  <c r="I63" i="3"/>
  <c r="Q63" i="3" s="1"/>
  <c r="Q10" i="1"/>
  <c r="I59" i="3"/>
  <c r="Q59" i="3" s="1"/>
  <c r="I41" i="3"/>
  <c r="Q41" i="3" s="1"/>
  <c r="I50" i="3"/>
  <c r="Q50" i="3" s="1"/>
  <c r="I32" i="3"/>
  <c r="Q32" i="3" s="1"/>
  <c r="I14" i="3"/>
  <c r="Q14" i="3" s="1"/>
  <c r="I23" i="3"/>
  <c r="Q23" i="3" s="1"/>
  <c r="Q10" i="4"/>
  <c r="K59" i="3"/>
  <c r="S59" i="3" s="1"/>
  <c r="K50" i="3"/>
  <c r="S50" i="3" s="1"/>
  <c r="K32" i="3"/>
  <c r="S32" i="3" s="1"/>
  <c r="K41" i="3"/>
  <c r="S41" i="3" s="1"/>
  <c r="K14" i="3"/>
  <c r="S14" i="3" s="1"/>
  <c r="K23" i="3"/>
  <c r="S23" i="3" s="1"/>
  <c r="K72" i="3"/>
  <c r="S72" i="3" s="1"/>
  <c r="Q11" i="4"/>
  <c r="K70" i="3"/>
  <c r="S70" i="3" s="1"/>
  <c r="K51" i="3"/>
  <c r="S51" i="3" s="1"/>
  <c r="K65" i="3"/>
  <c r="S65" i="3" s="1"/>
  <c r="K60" i="3"/>
  <c r="S60" i="3" s="1"/>
  <c r="K33" i="3"/>
  <c r="S33" i="3" s="1"/>
  <c r="K42" i="3"/>
  <c r="S42" i="3" s="1"/>
  <c r="K24" i="3"/>
  <c r="S24" i="3" s="1"/>
  <c r="K15" i="3"/>
  <c r="S15" i="3" s="1"/>
  <c r="K5" i="3"/>
  <c r="K7" i="3"/>
  <c r="S7" i="3" s="1"/>
  <c r="S5" i="3" l="1"/>
  <c r="D110" i="3" s="1"/>
  <c r="D116" i="3" s="1"/>
  <c r="C21" i="5" s="1"/>
  <c r="D21" i="5" s="1"/>
  <c r="D114" i="3"/>
  <c r="C19" i="5" s="1"/>
  <c r="D19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Kramer, Paul</author>
  </authors>
  <commentList>
    <comment ref="L2" authorId="0" shapeId="0" xr:uid="{7F51F042-58E4-434E-AF27-A9A5458685F0}">
      <text>
        <r>
          <rPr>
            <b/>
            <sz val="9"/>
            <color indexed="81"/>
            <rFont val="Tahoma"/>
            <charset val="1"/>
          </rPr>
          <t>Kramer, Paul:</t>
        </r>
        <r>
          <rPr>
            <sz val="9"/>
            <color indexed="81"/>
            <rFont val="Tahoma"/>
            <charset val="1"/>
          </rPr>
          <t xml:space="preserve">
Delay from SYSREF sampled high to LMFC/LEMC</t>
        </r>
      </text>
    </comment>
    <comment ref="M2" authorId="0" shapeId="0" xr:uid="{9F370D01-37A3-46C3-8DEA-F956223CF6CB}">
      <text>
        <r>
          <rPr>
            <b/>
            <sz val="9"/>
            <color indexed="81"/>
            <rFont val="Tahoma"/>
            <charset val="1"/>
          </rPr>
          <t>Kramer, Paul:</t>
        </r>
        <r>
          <rPr>
            <sz val="9"/>
            <color indexed="81"/>
            <rFont val="Tahoma"/>
            <charset val="1"/>
          </rPr>
          <t xml:space="preserve">
Delay from SYSREF sampled high to first sample of multiframe/EMB launched from DAC</t>
        </r>
      </text>
    </comment>
    <comment ref="U2" authorId="0" shapeId="0" xr:uid="{62860D0E-49A4-40B4-A696-A3D8C3E4C37F}">
      <text>
        <r>
          <rPr>
            <b/>
            <sz val="9"/>
            <color indexed="81"/>
            <rFont val="Tahoma"/>
            <charset val="1"/>
          </rPr>
          <t>Kramer, Paul:</t>
        </r>
        <r>
          <rPr>
            <sz val="9"/>
            <color indexed="81"/>
            <rFont val="Tahoma"/>
            <charset val="1"/>
          </rPr>
          <t xml:space="preserve">
Don't paste data here. It's read from the other sheets. Paste data into the 8b10b_data and 64b66b_data sheets.</t>
        </r>
      </text>
    </comment>
    <comment ref="A4" authorId="0" shapeId="0" xr:uid="{0A6EEA0F-4A8A-46CE-A2DD-0108710E4CB8}">
      <text>
        <r>
          <rPr>
            <b/>
            <sz val="9"/>
            <color indexed="81"/>
            <rFont val="Tahoma"/>
            <family val="2"/>
          </rPr>
          <t>Kramer, Paul:</t>
        </r>
        <r>
          <rPr>
            <sz val="9"/>
            <color indexed="81"/>
            <rFont val="Tahoma"/>
            <family val="2"/>
          </rPr>
          <t xml:space="preserve">
JESD204C Mode from spec</t>
        </r>
      </text>
    </comment>
    <comment ref="B4" authorId="0" shapeId="0" xr:uid="{F522EDAD-BF09-40BC-B119-EB7C1A95E8D4}">
      <text>
        <r>
          <rPr>
            <b/>
            <sz val="9"/>
            <color indexed="81"/>
            <rFont val="Tahoma"/>
            <family val="2"/>
          </rPr>
          <t>Kramer, Paul:</t>
        </r>
        <r>
          <rPr>
            <sz val="9"/>
            <color indexed="81"/>
            <rFont val="Tahoma"/>
            <family val="2"/>
          </rPr>
          <t xml:space="preserve">
DEVCLK cycles per input sample period.</t>
        </r>
      </text>
    </comment>
    <comment ref="D4" authorId="0" shapeId="0" xr:uid="{4F9B0C38-A6F2-4D6B-8BD4-3137A672F855}">
      <text>
        <r>
          <rPr>
            <b/>
            <sz val="9"/>
            <color indexed="81"/>
            <rFont val="Tahoma"/>
            <family val="2"/>
          </rPr>
          <t>Kramer, Paul:</t>
        </r>
        <r>
          <rPr>
            <sz val="9"/>
            <color indexed="81"/>
            <rFont val="Tahoma"/>
            <family val="2"/>
          </rPr>
          <t xml:space="preserve">
DEVCLK cycles per quad-octet. Copied from spec. Derivable from other parameters, but not done here.</t>
        </r>
      </text>
    </comment>
    <comment ref="E4" authorId="0" shapeId="0" xr:uid="{B2ADE84A-C9F7-4A82-AA3E-3817869A8091}">
      <text>
        <r>
          <rPr>
            <b/>
            <sz val="9"/>
            <color indexed="81"/>
            <rFont val="Tahoma"/>
            <family val="2"/>
          </rPr>
          <t>Kramer, Paul:</t>
        </r>
        <r>
          <rPr>
            <sz val="9"/>
            <color indexed="81"/>
            <rFont val="Tahoma"/>
            <family val="2"/>
          </rPr>
          <t xml:space="preserve">
DEVCLKs per link clock cycle (derived from RD and FDR)
</t>
        </r>
      </text>
    </comment>
    <comment ref="F4" authorId="0" shapeId="0" xr:uid="{870543ED-7449-4CF4-B167-3F57D49A714B}">
      <text>
        <r>
          <rPr>
            <b/>
            <sz val="9"/>
            <color indexed="81"/>
            <rFont val="Tahoma"/>
            <family val="2"/>
          </rPr>
          <t>Kramer, Paul:</t>
        </r>
        <r>
          <rPr>
            <sz val="9"/>
            <color indexed="81"/>
            <rFont val="Tahoma"/>
            <family val="2"/>
          </rPr>
          <t xml:space="preserve">
Quad octet per link clock cycle (derived from RD)
</t>
        </r>
      </text>
    </comment>
    <comment ref="G4" authorId="0" shapeId="0" xr:uid="{E7F358B7-F2B0-4F10-89C5-F6C01C52B3D7}">
      <text>
        <r>
          <rPr>
            <b/>
            <sz val="9"/>
            <color indexed="81"/>
            <rFont val="Tahoma"/>
            <family val="2"/>
          </rPr>
          <t>Kramer, Paul:</t>
        </r>
        <r>
          <rPr>
            <sz val="9"/>
            <color indexed="81"/>
            <rFont val="Tahoma"/>
            <family val="2"/>
          </rPr>
          <t xml:space="preserve">
Application layer clock divisor derived from LT</t>
        </r>
      </text>
    </comment>
    <comment ref="L4" authorId="0" shapeId="0" xr:uid="{3A373A8C-31AC-4E67-90B5-5FB32308F5DF}">
      <text>
        <r>
          <rPr>
            <b/>
            <sz val="9"/>
            <color indexed="81"/>
            <rFont val="Tahoma"/>
            <family val="2"/>
          </rPr>
          <t>Kramer, Paul:</t>
        </r>
        <r>
          <rPr>
            <sz val="9"/>
            <color indexed="81"/>
            <rFont val="Tahoma"/>
            <family val="2"/>
          </rPr>
          <t xml:space="preserve">
RBD-independent part of TRELEASE. This is predictable
TSRPROC+TLENACLK+TJCTRL (see notes at end of table)
</t>
        </r>
      </text>
    </comment>
    <comment ref="M4" authorId="0" shapeId="0" xr:uid="{88EC8033-16CC-4568-8E8C-AD4288685F17}">
      <text>
        <r>
          <rPr>
            <b/>
            <sz val="9"/>
            <color indexed="81"/>
            <rFont val="Tahoma"/>
            <family val="2"/>
          </rPr>
          <t>Kramer, Paul:</t>
        </r>
        <r>
          <rPr>
            <sz val="9"/>
            <color indexed="81"/>
            <rFont val="Tahoma"/>
            <family val="2"/>
          </rPr>
          <t xml:space="preserve">
Mode-specific portion of the delay that is not RBD dependent</t>
        </r>
      </text>
    </comment>
    <comment ref="N4" authorId="0" shapeId="0" xr:uid="{ADD71B93-0784-4F0A-8D9D-9FCDE5263B17}">
      <text>
        <r>
          <rPr>
            <b/>
            <sz val="9"/>
            <color indexed="81"/>
            <rFont val="Tahoma"/>
            <family val="2"/>
          </rPr>
          <t>Kramer, Paul:</t>
        </r>
        <r>
          <rPr>
            <sz val="9"/>
            <color indexed="81"/>
            <rFont val="Tahoma"/>
            <family val="2"/>
          </rPr>
          <t xml:space="preserve">
Related to a buffer that aligns link output to the application layer clock. Generally P=Q-1, but in JMODE 7, P=Q-3 (it's a mystery)
</t>
        </r>
      </text>
    </comment>
    <comment ref="O4" authorId="0" shapeId="0" xr:uid="{23716457-B72E-44B2-8584-73695E4C23EA}">
      <text>
        <r>
          <rPr>
            <b/>
            <sz val="9"/>
            <color indexed="81"/>
            <rFont val="Tahoma"/>
            <family val="2"/>
          </rPr>
          <t>Kramer, Paul:</t>
        </r>
        <r>
          <rPr>
            <sz val="9"/>
            <color indexed="81"/>
            <rFont val="Tahoma"/>
            <family val="2"/>
          </rPr>
          <t xml:space="preserve">
Related to buffer that aligns link output to the application layer clock. Equal to LCM(RD,AD)/RD. This is the smallest number of link cycles that equals a whole number of application clock cycles.</t>
        </r>
      </text>
    </comment>
    <comment ref="U4" authorId="0" shapeId="0" xr:uid="{8547B67F-429F-4C63-904D-7021D8F61B3C}">
      <text>
        <r>
          <rPr>
            <b/>
            <sz val="9"/>
            <color indexed="81"/>
            <rFont val="Tahoma"/>
            <family val="2"/>
          </rPr>
          <t>Kramer, Paul:</t>
        </r>
        <r>
          <rPr>
            <sz val="9"/>
            <color indexed="81"/>
            <rFont val="Tahoma"/>
            <family val="2"/>
          </rPr>
          <t xml:space="preserve">
RBD value from the sim. Units is quad-octets (RBD register value)</t>
        </r>
      </text>
    </comment>
    <comment ref="V4" authorId="0" shapeId="0" xr:uid="{D07C4E27-331E-4A4B-BD65-F42FAA61473A}">
      <text>
        <r>
          <rPr>
            <b/>
            <sz val="9"/>
            <color indexed="81"/>
            <rFont val="Tahoma"/>
            <family val="2"/>
          </rPr>
          <t>Kramer, Paul:</t>
        </r>
        <r>
          <rPr>
            <sz val="9"/>
            <color indexed="81"/>
            <rFont val="Tahoma"/>
            <family val="2"/>
          </rPr>
          <t xml:space="preserve">
TRELEASE Measured from Sim for the given RBD value. Units is DEVCLK cycles</t>
        </r>
      </text>
    </comment>
    <comment ref="W4" authorId="0" shapeId="0" xr:uid="{B41A9AB7-157B-464F-9A2C-C90893AA7C29}">
      <text>
        <r>
          <rPr>
            <b/>
            <sz val="9"/>
            <color indexed="81"/>
            <rFont val="Tahoma"/>
            <family val="2"/>
          </rPr>
          <t>Kramer, Paul:</t>
        </r>
        <r>
          <rPr>
            <sz val="9"/>
            <color indexed="81"/>
            <rFont val="Tahoma"/>
            <family val="2"/>
          </rPr>
          <t xml:space="preserve">
Measured from sim (SYSREF sampled high to 1st sample of multiframe launched from DAC output)</t>
        </r>
      </text>
    </comment>
    <comment ref="Z4" authorId="0" shapeId="0" xr:uid="{0AE45D08-83B8-4D0D-94BE-B0440A2823B1}">
      <text>
        <r>
          <rPr>
            <b/>
            <sz val="9"/>
            <color indexed="81"/>
            <rFont val="Tahoma"/>
            <family val="2"/>
          </rPr>
          <t>Kramer, Paul:</t>
        </r>
        <r>
          <rPr>
            <sz val="9"/>
            <color indexed="81"/>
            <rFont val="Tahoma"/>
            <family val="2"/>
          </rPr>
          <t xml:space="preserve">
RBD value from the sim. Units is quad-octets (RBD register value)</t>
        </r>
      </text>
    </comment>
    <comment ref="AA4" authorId="0" shapeId="0" xr:uid="{1ED195BF-25E0-480E-BB15-BB59C80C1245}">
      <text>
        <r>
          <rPr>
            <b/>
            <sz val="9"/>
            <color indexed="81"/>
            <rFont val="Tahoma"/>
            <family val="2"/>
          </rPr>
          <t>Kramer, Paul:</t>
        </r>
        <r>
          <rPr>
            <sz val="9"/>
            <color indexed="81"/>
            <rFont val="Tahoma"/>
            <family val="2"/>
          </rPr>
          <t xml:space="preserve">
TRELEASE Measured from Sim for the given RBD value. Units is DEVCLK cycles</t>
        </r>
      </text>
    </comment>
    <comment ref="AB4" authorId="0" shapeId="0" xr:uid="{064F728E-5111-44A9-8C0E-EB20D5EF1F66}">
      <text>
        <r>
          <rPr>
            <b/>
            <sz val="9"/>
            <color indexed="81"/>
            <rFont val="Tahoma"/>
            <family val="2"/>
          </rPr>
          <t>Kramer, Paul:</t>
        </r>
        <r>
          <rPr>
            <sz val="9"/>
            <color indexed="81"/>
            <rFont val="Tahoma"/>
            <family val="2"/>
          </rPr>
          <t xml:space="preserve">
Measured from sim (SYSREF sampled high to 1st sample of multiframe launched from DAC output)</t>
        </r>
      </text>
    </comment>
    <comment ref="AE4" authorId="0" shapeId="0" xr:uid="{0AB63524-AABA-4188-99FB-B3B78AE738D9}">
      <text>
        <r>
          <rPr>
            <b/>
            <sz val="9"/>
            <color indexed="81"/>
            <rFont val="Tahoma"/>
            <family val="2"/>
          </rPr>
          <t>Kramer, Paul:</t>
        </r>
        <r>
          <rPr>
            <sz val="9"/>
            <color indexed="81"/>
            <rFont val="Tahoma"/>
            <family val="2"/>
          </rPr>
          <t xml:space="preserve">
Did the calculated value match the measured value?</t>
        </r>
      </text>
    </comment>
    <comment ref="AF4" authorId="0" shapeId="0" xr:uid="{89677D19-C250-41A2-B033-7B5E4016C917}">
      <text>
        <r>
          <rPr>
            <b/>
            <sz val="9"/>
            <color indexed="81"/>
            <rFont val="Tahoma"/>
            <family val="2"/>
          </rPr>
          <t>Kramer, Paul:</t>
        </r>
        <r>
          <rPr>
            <sz val="9"/>
            <color indexed="81"/>
            <rFont val="Tahoma"/>
            <family val="2"/>
          </rPr>
          <t xml:space="preserve">
Did the calculated value match the measured value?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Kramer, Paul</author>
  </authors>
  <commentList>
    <comment ref="I4" authorId="0" shapeId="0" xr:uid="{90373BC8-599E-4F62-AC6E-E88192BA201B}">
      <text>
        <r>
          <rPr>
            <b/>
            <sz val="9"/>
            <color indexed="81"/>
            <rFont val="Tahoma"/>
            <family val="2"/>
          </rPr>
          <t>Kramer, Paul:</t>
        </r>
        <r>
          <rPr>
            <sz val="9"/>
            <color indexed="81"/>
            <rFont val="Tahoma"/>
            <family val="2"/>
          </rPr>
          <t xml:space="preserve">
RD lookup from Latency table. Do not paste over this with 8b/10b data
</t>
        </r>
      </text>
    </comment>
    <comment ref="O4" authorId="0" shapeId="0" xr:uid="{693FED46-5115-4593-8D62-C9F66ABDE3AB}">
      <text>
        <r>
          <rPr>
            <b/>
            <sz val="9"/>
            <color indexed="81"/>
            <rFont val="Tahoma"/>
            <charset val="1"/>
          </rPr>
          <t>Kramer, Paul:</t>
        </r>
        <r>
          <rPr>
            <sz val="9"/>
            <color indexed="81"/>
            <rFont val="Tahoma"/>
            <charset val="1"/>
          </rPr>
          <t xml:space="preserve">
This value is populated automatically into "Latency" sheet
</t>
        </r>
      </text>
    </comment>
    <comment ref="P4" authorId="0" shapeId="0" xr:uid="{4B941322-40C5-41F1-A586-6D29E95F5AE8}">
      <text>
        <r>
          <rPr>
            <b/>
            <sz val="9"/>
            <color indexed="81"/>
            <rFont val="Tahoma"/>
            <charset val="1"/>
          </rPr>
          <t>Kramer, Paul:</t>
        </r>
        <r>
          <rPr>
            <sz val="9"/>
            <color indexed="81"/>
            <rFont val="Tahoma"/>
            <charset val="1"/>
          </rPr>
          <t xml:space="preserve">
This value is populated automatically into "Latency" sheet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Kramer, Paul</author>
  </authors>
  <commentList>
    <comment ref="I4" authorId="0" shapeId="0" xr:uid="{8EAA6A46-1D9D-4276-9462-D396F8350A92}">
      <text>
        <r>
          <rPr>
            <b/>
            <sz val="9"/>
            <color indexed="81"/>
            <rFont val="Tahoma"/>
            <family val="2"/>
          </rPr>
          <t>Kramer, Paul:</t>
        </r>
        <r>
          <rPr>
            <sz val="9"/>
            <color indexed="81"/>
            <rFont val="Tahoma"/>
            <family val="2"/>
          </rPr>
          <t xml:space="preserve">
RD lookup from Latency table. Do not paste over this with 8b/10b data
</t>
        </r>
      </text>
    </comment>
  </commentList>
</comments>
</file>

<file path=xl/sharedStrings.xml><?xml version="1.0" encoding="utf-8"?>
<sst xmlns="http://schemas.openxmlformats.org/spreadsheetml/2006/main" count="226" uniqueCount="125">
  <si>
    <t>See Notes at bottom of sheet</t>
  </si>
  <si>
    <t>Mode / Interp.</t>
  </si>
  <si>
    <t>Mode-related Parameters</t>
  </si>
  <si>
    <r>
      <t>T</t>
    </r>
    <r>
      <rPr>
        <b/>
        <vertAlign val="subscript"/>
        <sz val="11"/>
        <color theme="0"/>
        <rFont val="Calibri"/>
        <family val="2"/>
        <scheme val="minor"/>
      </rPr>
      <t>RXIN</t>
    </r>
    <r>
      <rPr>
        <b/>
        <sz val="11"/>
        <color theme="0"/>
        <rFont val="Calibri"/>
        <family val="2"/>
        <scheme val="minor"/>
      </rPr>
      <t xml:space="preserve"> [DEVCLK cycles]</t>
    </r>
  </si>
  <si>
    <r>
      <t>T</t>
    </r>
    <r>
      <rPr>
        <b/>
        <vertAlign val="subscript"/>
        <sz val="11"/>
        <color theme="0"/>
        <rFont val="Calibri"/>
        <family val="2"/>
        <scheme val="minor"/>
      </rPr>
      <t>DAC_LAT</t>
    </r>
    <r>
      <rPr>
        <b/>
        <sz val="11"/>
        <color theme="0"/>
        <rFont val="Calibri"/>
        <family val="2"/>
        <scheme val="minor"/>
      </rPr>
      <t xml:space="preserve"> [DEVCLK cycles] =</t>
    </r>
  </si>
  <si>
    <t>Data collected from sim</t>
  </si>
  <si>
    <t>Match?</t>
  </si>
  <si>
    <t>8b/10b (JENC=0)</t>
  </si>
  <si>
    <t>64b/66b (JENC=1)</t>
  </si>
  <si>
    <r>
      <rPr>
        <b/>
        <sz val="11"/>
        <color theme="0"/>
        <rFont val="Calibri"/>
        <family val="2"/>
        <scheme val="minor"/>
      </rPr>
      <t>A</t>
    </r>
    <r>
      <rPr>
        <sz val="11"/>
        <color theme="0"/>
        <rFont val="Calibri"/>
        <family val="2"/>
        <scheme val="minor"/>
      </rPr>
      <t xml:space="preserve"> + </t>
    </r>
    <r>
      <rPr>
        <b/>
        <sz val="11"/>
        <color theme="0"/>
        <rFont val="Calibri"/>
        <family val="2"/>
        <scheme val="minor"/>
      </rPr>
      <t>RD</t>
    </r>
    <r>
      <rPr>
        <sz val="11"/>
        <color theme="0"/>
        <rFont val="Calibri"/>
        <family val="2"/>
        <scheme val="minor"/>
      </rPr>
      <t xml:space="preserve"> * RBD</t>
    </r>
  </si>
  <si>
    <t>JMODE</t>
  </si>
  <si>
    <t>LT</t>
  </si>
  <si>
    <t>ID</t>
  </si>
  <si>
    <t>RD</t>
  </si>
  <si>
    <t>LCRD</t>
  </si>
  <si>
    <t>FDR</t>
  </si>
  <si>
    <t>AD</t>
  </si>
  <si>
    <t>min</t>
  </si>
  <si>
    <t>max</t>
  </si>
  <si>
    <t>A</t>
  </si>
  <si>
    <t>W</t>
  </si>
  <si>
    <t>P</t>
  </si>
  <si>
    <t>Q</t>
  </si>
  <si>
    <t>RBD</t>
  </si>
  <si>
    <t>TRELEASE</t>
  </si>
  <si>
    <t>TDAC_LAT</t>
  </si>
  <si>
    <t>Notes and some global constants</t>
  </si>
  <si>
    <t>Parameter</t>
  </si>
  <si>
    <t>Description</t>
  </si>
  <si>
    <t>Value or Formula</t>
  </si>
  <si>
    <t>Units</t>
  </si>
  <si>
    <t>Notes</t>
  </si>
  <si>
    <t>JESD204C Rx Mode</t>
  </si>
  <si>
    <t>DEVCLK cycles per input sample period</t>
  </si>
  <si>
    <t>DEVCLK cycles per quad-octet</t>
  </si>
  <si>
    <t>DEVCLK cycles per link clock cycle</t>
  </si>
  <si>
    <t>Quad octets per link clock cycle (FDR=LCDR/RD)</t>
  </si>
  <si>
    <t>Application Clock divisor</t>
  </si>
  <si>
    <t xml:space="preserve">Delay from SYSREF capture to Release_event.   </t>
  </si>
  <si>
    <t>TSRPROC + TLENACLK + TJCTRL +TRBD</t>
  </si>
  <si>
    <t>DEVCLKs</t>
  </si>
  <si>
    <t>Sum of four items below</t>
  </si>
  <si>
    <t>TSRPROC</t>
  </si>
  <si>
    <t>Delay from SYSREF capture to sysref_align capture in lena_clk.</t>
  </si>
  <si>
    <t>TLENACLK</t>
  </si>
  <si>
    <t>Delay from sysref_align capture to sysref_align_jctrl launch</t>
  </si>
  <si>
    <t>3 div8 clocks</t>
  </si>
  <si>
    <t>TJCTRL</t>
  </si>
  <si>
    <t>Delay from sysref_align_jctrl launch to RxLMFC</t>
  </si>
  <si>
    <t>RD*(2+FDR/2)</t>
  </si>
  <si>
    <t>DEVCLKS</t>
  </si>
  <si>
    <t>2 quad-octets + 0.5 link clock cycles</t>
  </si>
  <si>
    <t>TRBD</t>
  </si>
  <si>
    <t>Delay from RxLMFC to RELEASE</t>
  </si>
  <si>
    <t>RD*RBD</t>
  </si>
  <si>
    <t>RBD quad-octets</t>
  </si>
  <si>
    <t>RxLMFC</t>
  </si>
  <si>
    <t>The posedge lemcd==1 (0 to 1 transition)</t>
  </si>
  <si>
    <t>RELEASE</t>
  </si>
  <si>
    <t>The posedge of rd_addr==1 in lane 0. Occurs RBD*RD DEVCLKs after RxLMFC</t>
  </si>
  <si>
    <t>Delay from SYSREF capture to first sample of multiframe launched from DAC</t>
  </si>
  <si>
    <t>see table</t>
  </si>
  <si>
    <t>TNCO_LAT</t>
  </si>
  <si>
    <t>Additional delay when NCO_EN=1</t>
  </si>
  <si>
    <t>TDES2X_LAT</t>
  </si>
  <si>
    <t>Additional delay when DES2X is enabled</t>
  </si>
  <si>
    <t>Variable</t>
  </si>
  <si>
    <t>Value</t>
  </si>
  <si>
    <t>Instructions</t>
  </si>
  <si>
    <t>Enter JMODE</t>
  </si>
  <si>
    <t>Enter Interpolation Factor</t>
  </si>
  <si>
    <t>JENC</t>
  </si>
  <si>
    <t>Enter 0 for 8b/10b, 1 for 64b/66b</t>
  </si>
  <si>
    <t>Enter RBD register value used (release buffer delay)</t>
  </si>
  <si>
    <t>NCO_EN</t>
  </si>
  <si>
    <t>Enter 1 if NCO is enabled</t>
  </si>
  <si>
    <t>DES2X</t>
  </si>
  <si>
    <t>Enter 1 if DES2X is enabled</t>
  </si>
  <si>
    <t>Mode ID = 1000*JMODE+LT (this row could be hidden from user)</t>
  </si>
  <si>
    <t>RD lookup from table above (this row could be hidden from user)</t>
  </si>
  <si>
    <t>A lookup from table above (this row could be hidden from user)</t>
  </si>
  <si>
    <t>W lookup from table above (this row could be hidden from user)</t>
  </si>
  <si>
    <t>P lookup from table above (this row could be hidden from user)</t>
  </si>
  <si>
    <t>Q lookup from table above (this row could be hidden from user)</t>
  </si>
  <si>
    <t>Number of DEVCLK cycles from SYSREF sampled high to elastic buffer release</t>
  </si>
  <si>
    <t>Number of DEVCLK cycles from SYSREF sampled high to first sample of multiframe (or EMB) launched from DAC</t>
  </si>
  <si>
    <t>TRxIN(min)</t>
  </si>
  <si>
    <t>Latency from serial data input to elastic buffer (in DEVCLK cycles)</t>
  </si>
  <si>
    <t>TRxIN(max)</t>
  </si>
  <si>
    <t>MODE_ID</t>
  </si>
  <si>
    <t xml:space="preserve"> JENC</t>
  </si>
  <si>
    <t xml:space="preserve"> TC_RXIN_MIN</t>
  </si>
  <si>
    <t xml:space="preserve"> TC_RXIN_MAX</t>
  </si>
  <si>
    <t xml:space="preserve"> RBD</t>
  </si>
  <si>
    <t xml:space="preserve"> TC_RELEASE</t>
  </si>
  <si>
    <t xml:space="preserve"> TC_DAC_LAT</t>
  </si>
  <si>
    <t>Paste Data here using Text Import Wizard</t>
  </si>
  <si>
    <t>Min/max values over all modes sharing a common RD value</t>
  </si>
  <si>
    <t>Range in UI</t>
  </si>
  <si>
    <t>Paste data here with text import wizard</t>
  </si>
  <si>
    <t>-</t>
  </si>
  <si>
    <t>Min/max raw</t>
  </si>
  <si>
    <t>Rounded and margin</t>
  </si>
  <si>
    <t>Instructions: Run tlat_sub0 sims. Then run 'write_tlat_csv' script in sim/block to create csv files. Then open them in nedit and copy/paste the data into here.</t>
  </si>
  <si>
    <t>TDAC_LAT0 [DEVCLK cycles] =</t>
  </si>
  <si>
    <t>TDAC_LAT0(min)</t>
  </si>
  <si>
    <t>Min latency from serial data input to DAC output (Subclass 0)</t>
  </si>
  <si>
    <t>Max latency from serial data input to DAC output (Subclass 0)</t>
  </si>
  <si>
    <t>Raw values</t>
  </si>
  <si>
    <t>Rounded and w/ margin</t>
  </si>
  <si>
    <t>This section implements a calculator where the user can enter their programming and the calculator computes TRXIN, TRELEASE,  TDAC_LAT, and TDAC_LAT0</t>
  </si>
  <si>
    <r>
      <t>T</t>
    </r>
    <r>
      <rPr>
        <b/>
        <vertAlign val="subscript"/>
        <sz val="11"/>
        <color theme="0"/>
        <rFont val="Calibri"/>
        <family val="2"/>
        <scheme val="minor"/>
      </rPr>
      <t xml:space="preserve">RELEASE
</t>
    </r>
    <r>
      <rPr>
        <b/>
        <sz val="11"/>
        <color theme="0"/>
        <rFont val="Calibri"/>
        <family val="2"/>
        <scheme val="minor"/>
      </rPr>
      <t>[DEVCLK cycles] =</t>
    </r>
  </si>
  <si>
    <t>From chip netlists</t>
  </si>
  <si>
    <t>TDAC_LAT0(max)</t>
  </si>
  <si>
    <t>Max latency from serial data input to DAC output (Subclass 0) (not including NCO_EN or DES2X)</t>
  </si>
  <si>
    <t>Min latency from serial data input to DAC output (Subclass 0) (not including NCO_EN or DES2X)</t>
  </si>
  <si>
    <t>TDAC_LAT0_BASE(min)</t>
  </si>
  <si>
    <t>TDAC_LAT0_BASE(max)</t>
  </si>
  <si>
    <t>Inputs</t>
  </si>
  <si>
    <t>Outputs</t>
  </si>
  <si>
    <t>DEVCLK</t>
  </si>
  <si>
    <t>GSPS</t>
  </si>
  <si>
    <t>Clock Cycles</t>
  </si>
  <si>
    <t>Time</t>
  </si>
  <si>
    <t>(ns)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</si>
</sst>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bscript"/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/>
      <diagonal/>
    </border>
    <border>
      <left style="double">
        <color auto="1"/>
      </left>
      <right/>
      <top/>
      <bottom/>
      <diagonal/>
    </border>
    <border>
      <left style="double">
        <color rgb="FF3F3F3F"/>
      </left>
      <right/>
      <top/>
      <bottom/>
      <diagonal/>
    </border>
    <border>
      <left/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  <xf numFmtId="0" fontId="3" fillId="4" borderId="2" applyNumberFormat="0" applyAlignment="0" applyProtection="0"/>
    <xf numFmtId="0" fontId="4" fillId="0" borderId="0" applyNumberFormat="0" applyFill="0" applyBorder="0" applyAlignment="0" applyProtection="0"/>
  </cellStyleXfs>
  <cellXfs count="63">
    <xf numFmtId="0" fontId="0" fillId="0" borderId="0" xfId="0"/>
    <xf numFmtId="0" fontId="5" fillId="0" borderId="0" xfId="0" applyFont="1"/>
    <xf numFmtId="0" fontId="0" fillId="0" borderId="0" xfId="0" applyAlignment="1">
      <alignment horizontal="right"/>
    </xf>
    <xf numFmtId="0" fontId="1" fillId="2" borderId="1" xfId="1" applyProtection="1">
      <protection locked="0"/>
    </xf>
    <xf numFmtId="0" fontId="3" fillId="4" borderId="0" xfId="3" applyBorder="1" applyAlignment="1">
      <alignment horizontal="center"/>
    </xf>
    <xf numFmtId="0" fontId="3" fillId="4" borderId="2" xfId="3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7" fillId="0" borderId="0" xfId="0" applyFont="1" applyProtection="1"/>
    <xf numFmtId="0" fontId="0" fillId="0" borderId="0" xfId="0" applyProtection="1"/>
    <xf numFmtId="0" fontId="3" fillId="4" borderId="2" xfId="3" applyAlignment="1" applyProtection="1">
      <alignment horizontal="center"/>
    </xf>
    <xf numFmtId="0" fontId="3" fillId="4" borderId="2" xfId="3" applyFont="1" applyAlignment="1" applyProtection="1">
      <alignment horizontal="center" wrapText="1"/>
    </xf>
    <xf numFmtId="0" fontId="6" fillId="4" borderId="2" xfId="3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0" fontId="5" fillId="0" borderId="6" xfId="0" applyFont="1" applyBorder="1" applyAlignment="1" applyProtection="1">
      <alignment horizontal="right"/>
    </xf>
    <xf numFmtId="0" fontId="5" fillId="0" borderId="9" xfId="0" applyFont="1" applyBorder="1" applyAlignment="1" applyProtection="1">
      <alignment horizontal="right"/>
    </xf>
    <xf numFmtId="0" fontId="0" fillId="0" borderId="7" xfId="0" applyBorder="1" applyAlignment="1" applyProtection="1">
      <alignment horizontal="right"/>
    </xf>
    <xf numFmtId="0" fontId="5" fillId="0" borderId="0" xfId="0" applyFont="1" applyProtection="1"/>
    <xf numFmtId="0" fontId="0" fillId="0" borderId="0" xfId="0" applyAlignment="1" applyProtection="1">
      <alignment horizontal="right"/>
    </xf>
    <xf numFmtId="0" fontId="0" fillId="0" borderId="0" xfId="0" applyFont="1" applyProtection="1"/>
    <xf numFmtId="0" fontId="0" fillId="0" borderId="8" xfId="0" applyFont="1" applyBorder="1" applyProtection="1"/>
    <xf numFmtId="0" fontId="0" fillId="0" borderId="0" xfId="0" applyFont="1" applyBorder="1" applyProtection="1"/>
    <xf numFmtId="0" fontId="0" fillId="0" borderId="8" xfId="0" applyFont="1" applyBorder="1" applyAlignment="1" applyProtection="1">
      <alignment horizontal="right"/>
    </xf>
    <xf numFmtId="0" fontId="0" fillId="0" borderId="0" xfId="0" applyFont="1" applyBorder="1" applyAlignment="1" applyProtection="1">
      <alignment horizontal="right"/>
    </xf>
    <xf numFmtId="0" fontId="0" fillId="0" borderId="8" xfId="0" applyBorder="1" applyProtection="1"/>
    <xf numFmtId="0" fontId="0" fillId="0" borderId="7" xfId="0" applyBorder="1" applyProtection="1"/>
    <xf numFmtId="0" fontId="1" fillId="2" borderId="1" xfId="1" applyProtection="1"/>
    <xf numFmtId="0" fontId="2" fillId="3" borderId="1" xfId="2" applyProtection="1"/>
    <xf numFmtId="0" fontId="1" fillId="2" borderId="1" xfId="1" applyAlignment="1" applyProtection="1">
      <alignment horizontal="right"/>
    </xf>
    <xf numFmtId="0" fontId="0" fillId="0" borderId="0" xfId="0" applyAlignment="1" applyProtection="1"/>
    <xf numFmtId="0" fontId="0" fillId="0" borderId="0" xfId="0" applyAlignment="1" applyProtection="1">
      <alignment horizontal="left" indent="1"/>
    </xf>
    <xf numFmtId="0" fontId="0" fillId="0" borderId="0" xfId="0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0" fillId="0" borderId="0" xfId="0" applyFill="1" applyBorder="1" applyProtection="1"/>
    <xf numFmtId="0" fontId="4" fillId="0" borderId="0" xfId="4" applyProtection="1"/>
    <xf numFmtId="0" fontId="4" fillId="3" borderId="1" xfId="4" applyFill="1" applyBorder="1" applyProtection="1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4" borderId="3" xfId="3" applyBorder="1" applyAlignment="1" applyProtection="1">
      <alignment horizontal="center"/>
    </xf>
    <xf numFmtId="0" fontId="3" fillId="4" borderId="4" xfId="3" applyBorder="1" applyAlignment="1" applyProtection="1">
      <alignment horizontal="center"/>
    </xf>
    <xf numFmtId="0" fontId="3" fillId="4" borderId="2" xfId="3" applyAlignment="1" applyProtection="1">
      <alignment horizontal="center"/>
    </xf>
    <xf numFmtId="0" fontId="6" fillId="4" borderId="2" xfId="3" applyFont="1" applyAlignment="1" applyProtection="1">
      <alignment horizontal="center" wrapText="1"/>
    </xf>
    <xf numFmtId="0" fontId="6" fillId="4" borderId="2" xfId="3" applyFont="1" applyAlignment="1" applyProtection="1">
      <alignment horizontal="center"/>
    </xf>
    <xf numFmtId="0" fontId="3" fillId="4" borderId="2" xfId="3" applyFont="1" applyAlignment="1" applyProtection="1">
      <alignment horizontal="center"/>
    </xf>
    <xf numFmtId="0" fontId="3" fillId="4" borderId="3" xfId="3" applyFont="1" applyBorder="1" applyAlignment="1" applyProtection="1">
      <alignment horizontal="center"/>
    </xf>
    <xf numFmtId="0" fontId="3" fillId="4" borderId="4" xfId="3" applyFont="1" applyBorder="1" applyAlignment="1" applyProtection="1">
      <alignment horizontal="center"/>
    </xf>
    <xf numFmtId="0" fontId="3" fillId="4" borderId="5" xfId="3" applyFont="1" applyBorder="1" applyAlignment="1" applyProtection="1">
      <alignment horizontal="center"/>
    </xf>
    <xf numFmtId="0" fontId="3" fillId="4" borderId="3" xfId="3" applyBorder="1" applyAlignment="1">
      <alignment horizontal="center"/>
    </xf>
    <xf numFmtId="0" fontId="3" fillId="4" borderId="4" xfId="3" applyBorder="1" applyAlignment="1">
      <alignment horizontal="center"/>
    </xf>
    <xf numFmtId="0" fontId="3" fillId="4" borderId="5" xfId="3" applyBorder="1" applyAlignment="1">
      <alignment horizontal="center"/>
    </xf>
    <xf numFmtId="0" fontId="3" fillId="4" borderId="2" xfId="3" applyAlignment="1">
      <alignment horizontal="center"/>
    </xf>
    <xf numFmtId="0" fontId="0" fillId="0" borderId="10" xfId="0" applyFont="1" applyBorder="1" applyAlignment="1">
      <alignment horizontal="right"/>
    </xf>
    <xf numFmtId="0" fontId="0" fillId="0" borderId="10" xfId="0" applyFont="1" applyBorder="1"/>
    <xf numFmtId="0" fontId="1" fillId="2" borderId="11" xfId="1" applyBorder="1" applyProtection="1">
      <protection locked="0"/>
    </xf>
    <xf numFmtId="0" fontId="0" fillId="0" borderId="0" xfId="0" applyProtection="1">
      <protection locked="0"/>
    </xf>
    <xf numFmtId="0" fontId="5" fillId="0" borderId="0" xfId="0" applyFont="1" applyAlignment="1">
      <alignment horizontal="left"/>
    </xf>
    <xf numFmtId="0" fontId="0" fillId="0" borderId="1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10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0" xfId="0" applyFont="1" applyBorder="1" applyAlignment="1" applyProtection="1">
      <alignment horizontal="center"/>
    </xf>
  </cellXfs>
  <cellStyles count="5">
    <cellStyle name="Calculation" xfId="2" builtinId="22"/>
    <cellStyle name="Check Cell" xfId="3" builtinId="23"/>
    <cellStyle name="Explanatory Text" xfId="4" builtinId="53"/>
    <cellStyle name="Input" xfId="1" builtinId="20"/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21</xdr:row>
      <xdr:rowOff>76200</xdr:rowOff>
    </xdr:from>
    <xdr:to>
      <xdr:col>4</xdr:col>
      <xdr:colOff>5433060</xdr:colOff>
      <xdr:row>43</xdr:row>
      <xdr:rowOff>39623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5F9B2A-E04F-470D-A6F1-698AB3338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3368040"/>
          <a:ext cx="8595360" cy="39867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DDAAF-2E4E-468F-9B33-5CAB8939081D}">
  <dimension ref="A1:E21"/>
  <sheetViews>
    <sheetView tabSelected="1" workbookViewId="0">
      <selection activeCell="C16" sqref="C16:D21"/>
    </sheetView>
  </sheetViews>
  <sheetFormatPr defaultRowHeight="14.4" x14ac:dyDescent="0.3"/>
  <cols>
    <col min="2" max="2" width="14.6640625" bestFit="1" customWidth="1"/>
    <col min="3" max="3" width="13.109375" customWidth="1"/>
    <col min="4" max="4" width="9.5546875" customWidth="1"/>
    <col min="5" max="5" width="93.21875" bestFit="1" customWidth="1"/>
  </cols>
  <sheetData>
    <row r="1" spans="1:5" x14ac:dyDescent="0.3">
      <c r="B1" s="6" t="s">
        <v>66</v>
      </c>
      <c r="C1" s="1" t="s">
        <v>67</v>
      </c>
      <c r="D1" s="55" t="s">
        <v>68</v>
      </c>
      <c r="E1" s="55"/>
    </row>
    <row r="2" spans="1:5" x14ac:dyDescent="0.3">
      <c r="A2" s="36" t="s">
        <v>118</v>
      </c>
      <c r="B2" s="2" t="s">
        <v>10</v>
      </c>
      <c r="C2" s="3">
        <v>2</v>
      </c>
      <c r="D2" s="56" t="s">
        <v>69</v>
      </c>
      <c r="E2" s="57"/>
    </row>
    <row r="3" spans="1:5" x14ac:dyDescent="0.3">
      <c r="A3" s="36"/>
      <c r="B3" s="2" t="s">
        <v>11</v>
      </c>
      <c r="C3" s="3">
        <v>4</v>
      </c>
      <c r="D3" s="56" t="s">
        <v>70</v>
      </c>
      <c r="E3" s="57"/>
    </row>
    <row r="4" spans="1:5" x14ac:dyDescent="0.3">
      <c r="A4" s="36"/>
      <c r="B4" s="2" t="s">
        <v>71</v>
      </c>
      <c r="C4" s="3">
        <v>1</v>
      </c>
      <c r="D4" s="56" t="s">
        <v>72</v>
      </c>
      <c r="E4" s="57"/>
    </row>
    <row r="5" spans="1:5" x14ac:dyDescent="0.3">
      <c r="A5" s="36"/>
      <c r="B5" s="2" t="s">
        <v>23</v>
      </c>
      <c r="C5" s="3">
        <v>33</v>
      </c>
      <c r="D5" s="58" t="s">
        <v>73</v>
      </c>
      <c r="E5" s="59"/>
    </row>
    <row r="6" spans="1:5" x14ac:dyDescent="0.3">
      <c r="A6" s="36"/>
      <c r="B6" s="2" t="s">
        <v>74</v>
      </c>
      <c r="C6" s="3">
        <v>0</v>
      </c>
      <c r="D6" s="58" t="s">
        <v>75</v>
      </c>
      <c r="E6" s="59"/>
    </row>
    <row r="7" spans="1:5" x14ac:dyDescent="0.3">
      <c r="A7" s="36"/>
      <c r="B7" s="2" t="s">
        <v>76</v>
      </c>
      <c r="C7" s="3">
        <v>0</v>
      </c>
      <c r="D7" s="56" t="s">
        <v>77</v>
      </c>
      <c r="E7" s="57"/>
    </row>
    <row r="8" spans="1:5" x14ac:dyDescent="0.3">
      <c r="B8" s="2" t="s">
        <v>120</v>
      </c>
      <c r="C8" s="53">
        <v>8</v>
      </c>
      <c r="D8" s="56" t="s">
        <v>121</v>
      </c>
      <c r="E8" s="57"/>
    </row>
    <row r="9" spans="1:5" x14ac:dyDescent="0.3">
      <c r="A9" s="7"/>
      <c r="B9" s="2"/>
      <c r="C9" s="54"/>
      <c r="D9" s="54"/>
    </row>
    <row r="10" spans="1:5" x14ac:dyDescent="0.3">
      <c r="A10" s="7"/>
      <c r="B10" s="2"/>
    </row>
    <row r="14" spans="1:5" x14ac:dyDescent="0.3">
      <c r="C14" s="60" t="s">
        <v>123</v>
      </c>
      <c r="D14" s="60"/>
    </row>
    <row r="15" spans="1:5" x14ac:dyDescent="0.3">
      <c r="C15" s="61" t="s">
        <v>122</v>
      </c>
      <c r="D15" s="61" t="s">
        <v>124</v>
      </c>
    </row>
    <row r="16" spans="1:5" x14ac:dyDescent="0.3">
      <c r="A16" s="37" t="s">
        <v>119</v>
      </c>
      <c r="B16" s="51" t="s">
        <v>24</v>
      </c>
      <c r="C16" s="62">
        <f>Latency!D111</f>
        <v>1193</v>
      </c>
      <c r="D16" s="62">
        <f>C16/C$8</f>
        <v>149.125</v>
      </c>
      <c r="E16" s="52" t="s">
        <v>84</v>
      </c>
    </row>
    <row r="17" spans="1:5" x14ac:dyDescent="0.3">
      <c r="A17" s="37"/>
      <c r="B17" s="51" t="s">
        <v>25</v>
      </c>
      <c r="C17" s="62">
        <f>Latency!D112</f>
        <v>1582</v>
      </c>
      <c r="D17" s="62">
        <f t="shared" ref="D17:D21" si="0">C17/C$8</f>
        <v>197.75</v>
      </c>
      <c r="E17" s="52" t="s">
        <v>85</v>
      </c>
    </row>
    <row r="18" spans="1:5" x14ac:dyDescent="0.3">
      <c r="A18" s="37"/>
      <c r="B18" s="51" t="s">
        <v>86</v>
      </c>
      <c r="C18" s="62">
        <f>Latency!D113</f>
        <v>362</v>
      </c>
      <c r="D18" s="62">
        <f t="shared" si="0"/>
        <v>45.25</v>
      </c>
      <c r="E18" s="52" t="s">
        <v>87</v>
      </c>
    </row>
    <row r="19" spans="1:5" x14ac:dyDescent="0.3">
      <c r="A19" s="37"/>
      <c r="B19" s="51" t="s">
        <v>88</v>
      </c>
      <c r="C19" s="62">
        <f>Latency!D114</f>
        <v>455</v>
      </c>
      <c r="D19" s="62">
        <f t="shared" si="0"/>
        <v>56.875</v>
      </c>
      <c r="E19" s="52" t="s">
        <v>87</v>
      </c>
    </row>
    <row r="20" spans="1:5" x14ac:dyDescent="0.3">
      <c r="A20" s="37"/>
      <c r="B20" s="51" t="s">
        <v>105</v>
      </c>
      <c r="C20" s="62">
        <f>Latency!D115</f>
        <v>751</v>
      </c>
      <c r="D20" s="62">
        <f t="shared" si="0"/>
        <v>93.875</v>
      </c>
      <c r="E20" s="52" t="s">
        <v>106</v>
      </c>
    </row>
    <row r="21" spans="1:5" x14ac:dyDescent="0.3">
      <c r="A21" s="37"/>
      <c r="B21" s="51" t="s">
        <v>113</v>
      </c>
      <c r="C21" s="62">
        <f>Latency!D116</f>
        <v>844</v>
      </c>
      <c r="D21" s="62">
        <f t="shared" si="0"/>
        <v>105.5</v>
      </c>
      <c r="E21" s="52" t="s">
        <v>107</v>
      </c>
    </row>
  </sheetData>
  <sheetProtection password="CA63" sheet="1" objects="1" scenarios="1"/>
  <mergeCells count="11">
    <mergeCell ref="D1:E1"/>
    <mergeCell ref="A2:A7"/>
    <mergeCell ref="A16:A21"/>
    <mergeCell ref="C14:D14"/>
    <mergeCell ref="D8:E8"/>
    <mergeCell ref="D7:E7"/>
    <mergeCell ref="D6:E6"/>
    <mergeCell ref="D5:E5"/>
    <mergeCell ref="D4:E4"/>
    <mergeCell ref="D3:E3"/>
    <mergeCell ref="D2:E2"/>
  </mergeCells>
  <dataValidations count="6">
    <dataValidation type="whole" allowBlank="1" showInputMessage="1" showErrorMessage="1" promptTitle="DES2X" prompt="Enter 1 if DAC is in DES2X mode, enter 0 otherwise." sqref="C9:D13 C7" xr:uid="{04CFD166-8393-435E-8D17-6EE1B6655570}">
      <formula1>0</formula1>
      <formula2>1</formula2>
    </dataValidation>
    <dataValidation type="whole" allowBlank="1" showInputMessage="1" showErrorMessage="1" promptTitle="NCO_EN" prompt="Enter value of NCO_EN register (0 or 1). If LT&lt;2, this field is ignored (NCO cannot be used)." sqref="C6" xr:uid="{5CBFF1B6-A4C9-401C-B4FC-FE735D98BEE0}">
      <formula1>0</formula1>
      <formula2>1</formula2>
    </dataValidation>
    <dataValidation type="whole" allowBlank="1" showInputMessage="1" showErrorMessage="1" promptTitle="RBD" prompt="Enter RBD register value (elastic buffer release delay). Enter an integer from 0 to 63. (quad-octets)_x000a_" sqref="C5" xr:uid="{49341665-A45A-44D5-946B-35C877F673C2}">
      <formula1>0</formula1>
      <formula2>63</formula2>
    </dataValidation>
    <dataValidation type="whole" allowBlank="1" showInputMessage="1" showErrorMessage="1" promptTitle="JENC" prompt="Enter 0 for 8b/10b mode or 1 for 64b/66b mode_x000a_" sqref="C4" xr:uid="{95210FE1-A502-4881-B651-AA91EB405015}">
      <formula1>0</formula1>
      <formula2>1</formula2>
    </dataValidation>
    <dataValidation type="whole" allowBlank="1" showInputMessage="1" showErrorMessage="1" promptTitle="LT" prompt="Enter the interpolation factor, not including DES2X. Enter 0.5 for DES1X mode._x000a_Valid values are: 0.5, 1, 2, 3, 4, 6, 8, 12, 16, 24, 32, 48, 64, 96, 128, 192, or 256" sqref="C3" xr:uid="{802EF9E2-B81A-4037-A8C7-AEABDF6E6692}">
      <formula1>1</formula1>
      <formula2>256</formula2>
    </dataValidation>
    <dataValidation type="whole" allowBlank="1" showInputMessage="1" showErrorMessage="1" promptTitle="JMODE" prompt="Input the JMODE number (0 to 16)" sqref="C2" xr:uid="{686B552D-DEDA-4AFA-BFD2-2FB6EAF0D33F}">
      <formula1>0</formula1>
      <formula2>16</formula2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E7178-BC12-4921-8764-53A20D555C54}">
  <dimension ref="A1:AF116"/>
  <sheetViews>
    <sheetView zoomScale="80" zoomScaleNormal="80" workbookViewId="0">
      <pane ySplit="4" topLeftCell="A83" activePane="bottomLeft" state="frozen"/>
      <selection pane="bottomLeft" activeCell="D111" sqref="D111"/>
    </sheetView>
  </sheetViews>
  <sheetFormatPr defaultRowHeight="14.4" x14ac:dyDescent="0.3"/>
  <cols>
    <col min="1" max="1" width="7.33203125" style="9" customWidth="1"/>
    <col min="2" max="2" width="6.33203125" style="9" customWidth="1"/>
    <col min="3" max="3" width="7.6640625" style="9" customWidth="1"/>
    <col min="4" max="4" width="6.88671875" style="9" customWidth="1"/>
    <col min="5" max="5" width="6.6640625" style="9" customWidth="1"/>
    <col min="6" max="6" width="6.109375" style="9" customWidth="1"/>
    <col min="7" max="7" width="5.6640625" style="9" customWidth="1"/>
    <col min="8" max="11" width="7.6640625" style="9" customWidth="1"/>
    <col min="12" max="12" width="18.5546875" style="9" customWidth="1"/>
    <col min="13" max="13" width="8.88671875" style="9"/>
    <col min="14" max="14" width="7" style="9" customWidth="1"/>
    <col min="15" max="15" width="7.33203125" style="9" customWidth="1"/>
    <col min="16" max="19" width="7.44140625" style="9" customWidth="1"/>
    <col min="20" max="20" width="2.6640625" style="9" customWidth="1"/>
    <col min="21" max="21" width="5.6640625" style="9" customWidth="1"/>
    <col min="22" max="22" width="8.88671875" style="9"/>
    <col min="23" max="23" width="10" style="9" customWidth="1"/>
    <col min="24" max="25" width="6.6640625" style="9" customWidth="1"/>
    <col min="26" max="26" width="5.33203125" style="9" customWidth="1"/>
    <col min="27" max="28" width="8.6640625" style="9" customWidth="1"/>
    <col min="29" max="30" width="6.5546875" style="9" customWidth="1"/>
    <col min="31" max="31" width="6" style="9" customWidth="1"/>
    <col min="32" max="32" width="5.6640625" style="9" customWidth="1"/>
    <col min="33" max="34" width="8.88671875" style="9"/>
    <col min="35" max="35" width="19.6640625" style="9" customWidth="1"/>
    <col min="36" max="36" width="22.33203125" style="9" customWidth="1"/>
    <col min="37" max="37" width="20.5546875" style="9" customWidth="1"/>
    <col min="38" max="16384" width="8.88671875" style="9"/>
  </cols>
  <sheetData>
    <row r="1" spans="1:32" ht="15" thickBot="1" x14ac:dyDescent="0.35">
      <c r="A1" s="8" t="s">
        <v>0</v>
      </c>
    </row>
    <row r="2" spans="1:32" ht="31.8" thickTop="1" thickBot="1" x14ac:dyDescent="0.4">
      <c r="A2" s="40" t="s">
        <v>1</v>
      </c>
      <c r="B2" s="40"/>
      <c r="C2" s="10"/>
      <c r="D2" s="40" t="s">
        <v>2</v>
      </c>
      <c r="E2" s="40"/>
      <c r="F2" s="40"/>
      <c r="G2" s="40"/>
      <c r="H2" s="40" t="s">
        <v>3</v>
      </c>
      <c r="I2" s="40"/>
      <c r="J2" s="40"/>
      <c r="K2" s="40"/>
      <c r="L2" s="11" t="s">
        <v>111</v>
      </c>
      <c r="M2" s="43" t="s">
        <v>4</v>
      </c>
      <c r="N2" s="43"/>
      <c r="O2" s="43"/>
      <c r="P2" s="44" t="s">
        <v>104</v>
      </c>
      <c r="Q2" s="45"/>
      <c r="R2" s="45"/>
      <c r="S2" s="46"/>
      <c r="U2" s="38" t="s">
        <v>5</v>
      </c>
      <c r="V2" s="39"/>
      <c r="W2" s="39"/>
      <c r="X2" s="39"/>
      <c r="Y2" s="39"/>
      <c r="Z2" s="39"/>
      <c r="AA2" s="39"/>
      <c r="AB2" s="39"/>
      <c r="AC2" s="39"/>
      <c r="AD2" s="39"/>
      <c r="AE2" s="38" t="s">
        <v>6</v>
      </c>
      <c r="AF2" s="39"/>
    </row>
    <row r="3" spans="1:32" ht="30" customHeight="1" thickTop="1" thickBot="1" x14ac:dyDescent="0.35">
      <c r="H3" s="40" t="s">
        <v>7</v>
      </c>
      <c r="I3" s="40"/>
      <c r="J3" s="40" t="s">
        <v>8</v>
      </c>
      <c r="K3" s="40"/>
      <c r="L3" s="12" t="s">
        <v>9</v>
      </c>
      <c r="M3" s="41" t="str">
        <f>"W + RD * floor(RBD+P,Q) + "&amp;TNCO_LAT&amp;"*NCO_EN + " &amp; TDES2X_LAT&amp;"*DES2X"</f>
        <v>W + RD * floor(RBD+P,Q) + 48*NCO_EN + 97*DES2X</v>
      </c>
      <c r="N3" s="42"/>
      <c r="O3" s="42"/>
      <c r="P3" s="40" t="s">
        <v>7</v>
      </c>
      <c r="Q3" s="40"/>
      <c r="R3" s="40" t="s">
        <v>8</v>
      </c>
      <c r="S3" s="40"/>
      <c r="U3" s="38" t="s">
        <v>7</v>
      </c>
      <c r="V3" s="39"/>
      <c r="W3" s="39"/>
      <c r="X3" s="39"/>
      <c r="Y3" s="39"/>
      <c r="Z3" s="40" t="s">
        <v>8</v>
      </c>
      <c r="AA3" s="40"/>
      <c r="AB3" s="40"/>
      <c r="AC3" s="40"/>
      <c r="AD3" s="40"/>
    </row>
    <row r="4" spans="1:32" s="18" customFormat="1" ht="31.2" customHeight="1" thickTop="1" x14ac:dyDescent="0.3">
      <c r="A4" s="13" t="s">
        <v>10</v>
      </c>
      <c r="B4" s="13" t="s">
        <v>11</v>
      </c>
      <c r="C4" s="13" t="s">
        <v>12</v>
      </c>
      <c r="D4" s="13" t="s">
        <v>13</v>
      </c>
      <c r="E4" s="13" t="s">
        <v>14</v>
      </c>
      <c r="F4" s="13" t="s">
        <v>15</v>
      </c>
      <c r="G4" s="13" t="s">
        <v>16</v>
      </c>
      <c r="H4" s="14" t="s">
        <v>17</v>
      </c>
      <c r="I4" s="15" t="s">
        <v>18</v>
      </c>
      <c r="J4" s="13" t="s">
        <v>17</v>
      </c>
      <c r="K4" s="13" t="s">
        <v>18</v>
      </c>
      <c r="L4" s="14" t="s">
        <v>19</v>
      </c>
      <c r="M4" s="14" t="s">
        <v>20</v>
      </c>
      <c r="N4" s="13" t="s">
        <v>21</v>
      </c>
      <c r="O4" s="13" t="s">
        <v>22</v>
      </c>
      <c r="P4" s="14" t="s">
        <v>17</v>
      </c>
      <c r="Q4" s="15" t="s">
        <v>18</v>
      </c>
      <c r="R4" s="13" t="s">
        <v>17</v>
      </c>
      <c r="S4" s="13" t="s">
        <v>18</v>
      </c>
      <c r="T4" s="16"/>
      <c r="U4" s="13" t="s">
        <v>23</v>
      </c>
      <c r="V4" s="17" t="s">
        <v>24</v>
      </c>
      <c r="W4" s="13" t="s">
        <v>25</v>
      </c>
      <c r="X4" s="13" t="s">
        <v>19</v>
      </c>
      <c r="Y4" s="13" t="s">
        <v>20</v>
      </c>
      <c r="Z4" s="13" t="s">
        <v>23</v>
      </c>
      <c r="AA4" s="17" t="s">
        <v>24</v>
      </c>
      <c r="AB4" s="13" t="s">
        <v>25</v>
      </c>
      <c r="AC4" s="13" t="s">
        <v>19</v>
      </c>
      <c r="AD4" s="13" t="s">
        <v>20</v>
      </c>
      <c r="AE4" s="13" t="s">
        <v>19</v>
      </c>
      <c r="AF4" s="13" t="s">
        <v>20</v>
      </c>
    </row>
    <row r="5" spans="1:32" x14ac:dyDescent="0.3">
      <c r="A5" s="19">
        <v>0</v>
      </c>
      <c r="B5" s="19">
        <v>1</v>
      </c>
      <c r="C5" s="19">
        <f>A5*1000+B5</f>
        <v>1</v>
      </c>
      <c r="D5" s="19">
        <v>32</v>
      </c>
      <c r="E5" s="19">
        <f>D5*F5</f>
        <v>32</v>
      </c>
      <c r="F5" s="19">
        <f>IF(D5&gt;48,0.5,1)*IF(D5&gt;96,0.5,1)</f>
        <v>1</v>
      </c>
      <c r="G5" s="19">
        <f>IF(MOD(B5,3),IF(B5&lt;16,16,B5),IF(B5&lt;24,24,B5))</f>
        <v>16</v>
      </c>
      <c r="H5" s="20">
        <f>VLOOKUP($D5,'8b10b_data'!$L$5:$P$19,4,FALSE)</f>
        <v>384</v>
      </c>
      <c r="I5" s="21">
        <f>VLOOKUP($D5,'8b10b_data'!$L$5:$P$19,5,FALSE)</f>
        <v>477</v>
      </c>
      <c r="J5" s="22">
        <f>VLOOKUP($D5,'64b66b_data'!$L$5:$P$19,4,FALSE)</f>
        <v>362</v>
      </c>
      <c r="K5" s="23">
        <f>VLOOKUP($D5,'64b66b_data'!$L$5:$P$19,5,FALSE)</f>
        <v>455</v>
      </c>
      <c r="L5" s="24">
        <f t="shared" ref="L5:L36" si="0">TSRPROC+TLENACLK+D5*(2+F5/2)</f>
        <v>137</v>
      </c>
      <c r="M5" s="24">
        <v>230</v>
      </c>
      <c r="N5" s="9">
        <f t="shared" ref="N5:N68" si="1">O5-1 - IF(A5=7,2,0)</f>
        <v>0</v>
      </c>
      <c r="O5" s="9">
        <f t="shared" ref="O5:O68" si="2">LCM(D5,G5)/D5</f>
        <v>1</v>
      </c>
      <c r="P5" s="9">
        <f>H5+M5-L5-D5*(O5-N5-1)</f>
        <v>477</v>
      </c>
      <c r="Q5" s="9">
        <f>I5+M5-L5+D5*(O5-1)</f>
        <v>570</v>
      </c>
      <c r="R5" s="9">
        <f t="shared" ref="R5:R9" si="3">IF(J5="-","-",J5+M5-L5-D5*(O5-N5-1))</f>
        <v>455</v>
      </c>
      <c r="S5" s="9">
        <f t="shared" ref="S5:S9" si="4">IF(K5="-","-",K5+M5-L5+D5*(O5-1))</f>
        <v>548</v>
      </c>
      <c r="T5" s="25"/>
      <c r="U5" s="26">
        <f>VLOOKUP($C5,'8b10b_data'!$A$5:$G$103,5,FALSE)</f>
        <v>17</v>
      </c>
      <c r="V5" s="26">
        <f>VLOOKUP($C5,'8b10b_data'!$A$5:$G$103,6,FALSE)</f>
        <v>681</v>
      </c>
      <c r="W5" s="26">
        <f>VLOOKUP($C5,'8b10b_data'!$A$5:$G$103,7,FALSE)</f>
        <v>774</v>
      </c>
      <c r="X5" s="27">
        <f>V5-D5*U5</f>
        <v>137</v>
      </c>
      <c r="Y5" s="27">
        <f t="shared" ref="Y5:Y36" si="5">W5-D5*FLOOR(U5+N5,O5)</f>
        <v>230</v>
      </c>
      <c r="Z5" s="28">
        <f>IF(D5&gt;=96,"-",VLOOKUP($C5,'64b66b_data'!$A$5:$G$72,5,FALSE))</f>
        <v>16</v>
      </c>
      <c r="AA5" s="28">
        <f>IF(D5&gt;=96,"-",VLOOKUP($C5,'64b66b_data'!$A$5:$G$72,6,FALSE))</f>
        <v>649</v>
      </c>
      <c r="AB5" s="28">
        <f>IF(D5&gt;=96,"-",VLOOKUP($C5,'64b66b_data'!$A$5:$G$72,7,FALSE))</f>
        <v>742</v>
      </c>
      <c r="AC5" s="27">
        <f t="shared" ref="AC5:AC36" si="6">IF(D5&gt;=96,X5,AA5-D5*Z5)</f>
        <v>137</v>
      </c>
      <c r="AD5" s="27">
        <f t="shared" ref="AD5:AD36" si="7">IF(D5&gt;=96,Y5,AB5-D5*FLOOR(Z5+N5,O5))</f>
        <v>230</v>
      </c>
      <c r="AE5" s="18" t="str">
        <f t="shared" ref="AE5:AE36" si="8">IF(AND(X5=L5,AC5=L5),"Yes", "No")</f>
        <v>Yes</v>
      </c>
      <c r="AF5" s="18" t="str">
        <f t="shared" ref="AF5:AF36" si="9">IF(AND(Y5=M5,AD5=M5),"Yes","No")</f>
        <v>Yes</v>
      </c>
    </row>
    <row r="6" spans="1:32" x14ac:dyDescent="0.3">
      <c r="A6" s="9">
        <v>1</v>
      </c>
      <c r="B6" s="9">
        <v>1</v>
      </c>
      <c r="C6" s="19">
        <f t="shared" ref="C6:C69" si="10">A6*1000+B6</f>
        <v>1001</v>
      </c>
      <c r="D6" s="9">
        <v>16</v>
      </c>
      <c r="E6" s="19">
        <f t="shared" ref="E6:E69" si="11">D6*F6</f>
        <v>16</v>
      </c>
      <c r="F6" s="19">
        <f t="shared" ref="F6:F69" si="12">IF(D6&gt;48,0.5,1)*IF(D6&gt;96,0.5,1)</f>
        <v>1</v>
      </c>
      <c r="G6" s="19">
        <f t="shared" ref="G6:G69" si="13">IF(MOD(B6,3),IF(B6&lt;16,16,B6),IF(B6&lt;24,24,B6))</f>
        <v>16</v>
      </c>
      <c r="H6" s="20">
        <f>VLOOKUP($D6,'8b10b_data'!$L$5:$P$19,4,FALSE)</f>
        <v>192</v>
      </c>
      <c r="I6" s="21">
        <f>VLOOKUP($D6,'8b10b_data'!$L$5:$P$19,5,FALSE)</f>
        <v>238</v>
      </c>
      <c r="J6" s="22">
        <f>VLOOKUP($D6,'64b66b_data'!$L$5:$P$19,4,FALSE)</f>
        <v>181</v>
      </c>
      <c r="K6" s="23">
        <f>VLOOKUP($D6,'64b66b_data'!$L$5:$P$19,5,FALSE)</f>
        <v>226</v>
      </c>
      <c r="L6" s="24">
        <f t="shared" si="0"/>
        <v>97</v>
      </c>
      <c r="M6" s="24">
        <v>190</v>
      </c>
      <c r="N6" s="9">
        <f t="shared" si="1"/>
        <v>0</v>
      </c>
      <c r="O6" s="9">
        <f t="shared" si="2"/>
        <v>1</v>
      </c>
      <c r="P6" s="9">
        <f t="shared" ref="P6:P69" si="14">H6+M6-L6-D6*(O6-N6-1)</f>
        <v>285</v>
      </c>
      <c r="Q6" s="9">
        <f t="shared" ref="Q6:Q69" si="15">I6+M6-L6+D6*(O6-1)</f>
        <v>331</v>
      </c>
      <c r="R6" s="9">
        <f t="shared" si="3"/>
        <v>274</v>
      </c>
      <c r="S6" s="9">
        <f t="shared" si="4"/>
        <v>319</v>
      </c>
      <c r="T6" s="25"/>
      <c r="U6" s="26">
        <f>VLOOKUP($C6,'8b10b_data'!$A$5:$G$103,5,FALSE)</f>
        <v>15</v>
      </c>
      <c r="V6" s="26">
        <f>VLOOKUP($C6,'8b10b_data'!$A$5:$G$103,6,FALSE)</f>
        <v>337</v>
      </c>
      <c r="W6" s="26">
        <f>VLOOKUP($C6,'8b10b_data'!$A$5:$G$103,7,FALSE)</f>
        <v>430</v>
      </c>
      <c r="X6" s="27">
        <f t="shared" ref="X6:X36" si="16">V6-D6*U6</f>
        <v>97</v>
      </c>
      <c r="Y6" s="27">
        <f t="shared" si="5"/>
        <v>190</v>
      </c>
      <c r="Z6" s="28">
        <f>IF(D6&gt;=96,"-",VLOOKUP($C6,'64b66b_data'!$A$5:$G$72,5,FALSE))</f>
        <v>15</v>
      </c>
      <c r="AA6" s="28">
        <f>IF(D6&gt;=96,"-",VLOOKUP($C6,'64b66b_data'!$A$5:$G$72,6,FALSE))</f>
        <v>337</v>
      </c>
      <c r="AB6" s="28">
        <f>IF(D6&gt;=96,"-",VLOOKUP($C6,'64b66b_data'!$A$5:$G$72,7,FALSE))</f>
        <v>430</v>
      </c>
      <c r="AC6" s="27">
        <f t="shared" si="6"/>
        <v>97</v>
      </c>
      <c r="AD6" s="27">
        <f t="shared" si="7"/>
        <v>190</v>
      </c>
      <c r="AE6" s="18" t="str">
        <f t="shared" si="8"/>
        <v>Yes</v>
      </c>
      <c r="AF6" s="18" t="str">
        <f t="shared" si="9"/>
        <v>Yes</v>
      </c>
    </row>
    <row r="7" spans="1:32" x14ac:dyDescent="0.3">
      <c r="A7" s="9">
        <v>1</v>
      </c>
      <c r="B7" s="9">
        <v>2</v>
      </c>
      <c r="C7" s="19">
        <f t="shared" si="10"/>
        <v>1002</v>
      </c>
      <c r="D7" s="9">
        <v>32</v>
      </c>
      <c r="E7" s="19">
        <f t="shared" si="11"/>
        <v>32</v>
      </c>
      <c r="F7" s="19">
        <f t="shared" si="12"/>
        <v>1</v>
      </c>
      <c r="G7" s="19">
        <f t="shared" si="13"/>
        <v>16</v>
      </c>
      <c r="H7" s="20">
        <f>VLOOKUP($D7,'8b10b_data'!$L$5:$P$19,4,FALSE)</f>
        <v>384</v>
      </c>
      <c r="I7" s="21">
        <f>VLOOKUP($D7,'8b10b_data'!$L$5:$P$19,5,FALSE)</f>
        <v>477</v>
      </c>
      <c r="J7" s="22">
        <f>VLOOKUP($D7,'64b66b_data'!$L$5:$P$19,4,FALSE)</f>
        <v>362</v>
      </c>
      <c r="K7" s="23">
        <f>VLOOKUP($D7,'64b66b_data'!$L$5:$P$19,5,FALSE)</f>
        <v>455</v>
      </c>
      <c r="L7" s="24">
        <f t="shared" si="0"/>
        <v>137</v>
      </c>
      <c r="M7" s="24">
        <v>412</v>
      </c>
      <c r="N7" s="9">
        <f t="shared" si="1"/>
        <v>0</v>
      </c>
      <c r="O7" s="9">
        <f t="shared" si="2"/>
        <v>1</v>
      </c>
      <c r="P7" s="9">
        <f t="shared" si="14"/>
        <v>659</v>
      </c>
      <c r="Q7" s="9">
        <f t="shared" si="15"/>
        <v>752</v>
      </c>
      <c r="R7" s="9">
        <f t="shared" si="3"/>
        <v>637</v>
      </c>
      <c r="S7" s="9">
        <f t="shared" si="4"/>
        <v>730</v>
      </c>
      <c r="T7" s="25"/>
      <c r="U7" s="26">
        <f>VLOOKUP($C7,'8b10b_data'!$A$5:$G$103,5,FALSE)</f>
        <v>17</v>
      </c>
      <c r="V7" s="26">
        <f>VLOOKUP($C7,'8b10b_data'!$A$5:$G$103,6,FALSE)</f>
        <v>681</v>
      </c>
      <c r="W7" s="26">
        <f>VLOOKUP($C7,'8b10b_data'!$A$5:$G$103,7,FALSE)</f>
        <v>956</v>
      </c>
      <c r="X7" s="27">
        <f t="shared" si="16"/>
        <v>137</v>
      </c>
      <c r="Y7" s="27">
        <f t="shared" si="5"/>
        <v>412</v>
      </c>
      <c r="Z7" s="28">
        <f>IF(D7&gt;=96,"-",VLOOKUP($C7,'64b66b_data'!$A$5:$G$72,5,FALSE))</f>
        <v>16</v>
      </c>
      <c r="AA7" s="28">
        <f>IF(D7&gt;=96,"-",VLOOKUP($C7,'64b66b_data'!$A$5:$G$72,6,FALSE))</f>
        <v>649</v>
      </c>
      <c r="AB7" s="28">
        <f>IF(D7&gt;=96,"-",VLOOKUP($C7,'64b66b_data'!$A$5:$G$72,7,FALSE))</f>
        <v>924</v>
      </c>
      <c r="AC7" s="27">
        <f t="shared" si="6"/>
        <v>137</v>
      </c>
      <c r="AD7" s="27">
        <f t="shared" si="7"/>
        <v>412</v>
      </c>
      <c r="AE7" s="18" t="str">
        <f t="shared" si="8"/>
        <v>Yes</v>
      </c>
      <c r="AF7" s="18" t="str">
        <f t="shared" si="9"/>
        <v>Yes</v>
      </c>
    </row>
    <row r="8" spans="1:32" x14ac:dyDescent="0.3">
      <c r="A8" s="9">
        <v>1</v>
      </c>
      <c r="B8" s="9">
        <v>3</v>
      </c>
      <c r="C8" s="19">
        <f t="shared" si="10"/>
        <v>1003</v>
      </c>
      <c r="D8" s="9">
        <v>48</v>
      </c>
      <c r="E8" s="19">
        <f t="shared" si="11"/>
        <v>48</v>
      </c>
      <c r="F8" s="19">
        <f t="shared" si="12"/>
        <v>1</v>
      </c>
      <c r="G8" s="19">
        <f t="shared" si="13"/>
        <v>24</v>
      </c>
      <c r="H8" s="20">
        <f>VLOOKUP($D8,'8b10b_data'!$L$5:$P$19,4,FALSE)</f>
        <v>578</v>
      </c>
      <c r="I8" s="21">
        <f>VLOOKUP($D8,'8b10b_data'!$L$5:$P$19,5,FALSE)</f>
        <v>710</v>
      </c>
      <c r="J8" s="22">
        <f>VLOOKUP($D8,'64b66b_data'!$L$5:$P$19,4,FALSE)</f>
        <v>542</v>
      </c>
      <c r="K8" s="23">
        <f>VLOOKUP($D8,'64b66b_data'!$L$5:$P$19,5,FALSE)</f>
        <v>681</v>
      </c>
      <c r="L8" s="24">
        <f t="shared" si="0"/>
        <v>177</v>
      </c>
      <c r="M8" s="24">
        <v>530</v>
      </c>
      <c r="N8" s="9">
        <f t="shared" si="1"/>
        <v>0</v>
      </c>
      <c r="O8" s="9">
        <f t="shared" si="2"/>
        <v>1</v>
      </c>
      <c r="P8" s="9">
        <f t="shared" si="14"/>
        <v>931</v>
      </c>
      <c r="Q8" s="9">
        <f t="shared" si="15"/>
        <v>1063</v>
      </c>
      <c r="R8" s="9">
        <f t="shared" si="3"/>
        <v>895</v>
      </c>
      <c r="S8" s="9">
        <f t="shared" si="4"/>
        <v>1034</v>
      </c>
      <c r="T8" s="25"/>
      <c r="U8" s="26">
        <f>VLOOKUP($C8,'8b10b_data'!$A$5:$G$103,5,FALSE)</f>
        <v>17</v>
      </c>
      <c r="V8" s="26">
        <f>VLOOKUP($C8,'8b10b_data'!$A$5:$G$103,6,FALSE)</f>
        <v>993</v>
      </c>
      <c r="W8" s="26">
        <f>VLOOKUP($C8,'8b10b_data'!$A$5:$G$103,7,FALSE)</f>
        <v>1346</v>
      </c>
      <c r="X8" s="27">
        <f t="shared" si="16"/>
        <v>177</v>
      </c>
      <c r="Y8" s="27">
        <f t="shared" si="5"/>
        <v>530</v>
      </c>
      <c r="Z8" s="28">
        <f>IF(D8&gt;=96,"-",VLOOKUP($C8,'64b66b_data'!$A$5:$G$72,5,FALSE))</f>
        <v>17</v>
      </c>
      <c r="AA8" s="28">
        <f>IF(D8&gt;=96,"-",VLOOKUP($C8,'64b66b_data'!$A$5:$G$72,6,FALSE))</f>
        <v>993</v>
      </c>
      <c r="AB8" s="28">
        <f>IF(D8&gt;=96,"-",VLOOKUP($C8,'64b66b_data'!$A$5:$G$72,7,FALSE))</f>
        <v>1346</v>
      </c>
      <c r="AC8" s="27">
        <f t="shared" si="6"/>
        <v>177</v>
      </c>
      <c r="AD8" s="27">
        <f t="shared" si="7"/>
        <v>530</v>
      </c>
      <c r="AE8" s="18" t="str">
        <f t="shared" si="8"/>
        <v>Yes</v>
      </c>
      <c r="AF8" s="18" t="str">
        <f t="shared" si="9"/>
        <v>Yes</v>
      </c>
    </row>
    <row r="9" spans="1:32" x14ac:dyDescent="0.3">
      <c r="A9" s="9">
        <v>1</v>
      </c>
      <c r="B9" s="9">
        <v>4</v>
      </c>
      <c r="C9" s="19">
        <f t="shared" si="10"/>
        <v>1004</v>
      </c>
      <c r="D9" s="9">
        <v>64</v>
      </c>
      <c r="E9" s="19">
        <f t="shared" si="11"/>
        <v>32</v>
      </c>
      <c r="F9" s="19">
        <f>IF(D9&gt;48,0.5,1)*IF(D9&gt;96,0.5,1)</f>
        <v>0.5</v>
      </c>
      <c r="G9" s="19">
        <f t="shared" si="13"/>
        <v>16</v>
      </c>
      <c r="H9" s="20">
        <f>VLOOKUP($D9,'8b10b_data'!$L$5:$P$19,4,FALSE)</f>
        <v>623</v>
      </c>
      <c r="I9" s="21">
        <f>VLOOKUP($D9,'8b10b_data'!$L$5:$P$19,5,FALSE)</f>
        <v>788</v>
      </c>
      <c r="J9" s="22">
        <f>VLOOKUP($D9,'64b66b_data'!$L$5:$P$19,4,FALSE)</f>
        <v>629</v>
      </c>
      <c r="K9" s="23">
        <f>VLOOKUP($D9,'64b66b_data'!$L$5:$P$19,5,FALSE)</f>
        <v>794</v>
      </c>
      <c r="L9" s="24">
        <f t="shared" si="0"/>
        <v>201</v>
      </c>
      <c r="M9" s="24">
        <v>590</v>
      </c>
      <c r="N9" s="9">
        <f t="shared" si="1"/>
        <v>0</v>
      </c>
      <c r="O9" s="9">
        <f t="shared" si="2"/>
        <v>1</v>
      </c>
      <c r="P9" s="9">
        <f t="shared" si="14"/>
        <v>1012</v>
      </c>
      <c r="Q9" s="9">
        <f t="shared" si="15"/>
        <v>1177</v>
      </c>
      <c r="R9" s="9">
        <f t="shared" si="3"/>
        <v>1018</v>
      </c>
      <c r="S9" s="9">
        <f t="shared" si="4"/>
        <v>1183</v>
      </c>
      <c r="T9" s="25"/>
      <c r="U9" s="26">
        <f>VLOOKUP($C9,'8b10b_data'!$A$5:$G$103,5,FALSE)</f>
        <v>15</v>
      </c>
      <c r="V9" s="26">
        <f>VLOOKUP($C9,'8b10b_data'!$A$5:$G$103,6,FALSE)</f>
        <v>1161</v>
      </c>
      <c r="W9" s="26">
        <f>VLOOKUP($C9,'8b10b_data'!$A$5:$G$103,7,FALSE)</f>
        <v>1550</v>
      </c>
      <c r="X9" s="27">
        <f t="shared" si="16"/>
        <v>201</v>
      </c>
      <c r="Y9" s="27">
        <f t="shared" si="5"/>
        <v>590</v>
      </c>
      <c r="Z9" s="28">
        <f>IF(D9&gt;=96,"-",VLOOKUP($C9,'64b66b_data'!$A$5:$G$72,5,FALSE))</f>
        <v>15</v>
      </c>
      <c r="AA9" s="28">
        <f>IF(D9&gt;=96,"-",VLOOKUP($C9,'64b66b_data'!$A$5:$G$72,6,FALSE))</f>
        <v>1161</v>
      </c>
      <c r="AB9" s="28">
        <f>IF(D9&gt;=96,"-",VLOOKUP($C9,'64b66b_data'!$A$5:$G$72,7,FALSE))</f>
        <v>1550</v>
      </c>
      <c r="AC9" s="27">
        <f t="shared" si="6"/>
        <v>201</v>
      </c>
      <c r="AD9" s="27">
        <f t="shared" si="7"/>
        <v>590</v>
      </c>
      <c r="AE9" s="18" t="str">
        <f t="shared" si="8"/>
        <v>Yes</v>
      </c>
      <c r="AF9" s="18" t="str">
        <f t="shared" si="9"/>
        <v>Yes</v>
      </c>
    </row>
    <row r="10" spans="1:32" x14ac:dyDescent="0.3">
      <c r="A10" s="9">
        <v>1</v>
      </c>
      <c r="B10" s="9">
        <v>6</v>
      </c>
      <c r="C10" s="19">
        <f t="shared" si="10"/>
        <v>1006</v>
      </c>
      <c r="D10" s="9">
        <v>96</v>
      </c>
      <c r="E10" s="19">
        <f t="shared" si="11"/>
        <v>48</v>
      </c>
      <c r="F10" s="19">
        <f t="shared" si="12"/>
        <v>0.5</v>
      </c>
      <c r="G10" s="19">
        <f t="shared" si="13"/>
        <v>24</v>
      </c>
      <c r="H10" s="20">
        <f>VLOOKUP($D10,'8b10b_data'!$L$5:$P$19,4,FALSE)</f>
        <v>919</v>
      </c>
      <c r="I10" s="21">
        <f>VLOOKUP($D10,'8b10b_data'!$L$5:$P$19,5,FALSE)</f>
        <v>1171</v>
      </c>
      <c r="J10" s="22" t="str">
        <f>VLOOKUP($D10,'64b66b_data'!$L$5:$P$19,4,FALSE)</f>
        <v>-</v>
      </c>
      <c r="K10" s="23" t="str">
        <f>VLOOKUP($D10,'64b66b_data'!$L$5:$P$19,5,FALSE)</f>
        <v>-</v>
      </c>
      <c r="L10" s="24">
        <f t="shared" si="0"/>
        <v>273</v>
      </c>
      <c r="M10" s="24">
        <v>758</v>
      </c>
      <c r="N10" s="9">
        <f t="shared" si="1"/>
        <v>0</v>
      </c>
      <c r="O10" s="9">
        <f t="shared" si="2"/>
        <v>1</v>
      </c>
      <c r="P10" s="9">
        <f t="shared" si="14"/>
        <v>1404</v>
      </c>
      <c r="Q10" s="9">
        <f t="shared" si="15"/>
        <v>1656</v>
      </c>
      <c r="R10" s="9" t="str">
        <f>IF(J10="-","-",J10+M10-L10-D10*(O10-N10-1))</f>
        <v>-</v>
      </c>
      <c r="S10" s="9" t="str">
        <f>IF(K10="-","-",K10+M10-L10+D10*(O10-1))</f>
        <v>-</v>
      </c>
      <c r="T10" s="25"/>
      <c r="U10" s="26">
        <f>VLOOKUP($C10,'8b10b_data'!$A$5:$G$103,5,FALSE)</f>
        <v>16</v>
      </c>
      <c r="V10" s="26">
        <f>VLOOKUP($C10,'8b10b_data'!$A$5:$G$103,6,FALSE)</f>
        <v>1809</v>
      </c>
      <c r="W10" s="26">
        <f>VLOOKUP($C10,'8b10b_data'!$A$5:$G$103,7,FALSE)</f>
        <v>2294</v>
      </c>
      <c r="X10" s="27">
        <f t="shared" si="16"/>
        <v>273</v>
      </c>
      <c r="Y10" s="27">
        <f t="shared" si="5"/>
        <v>758</v>
      </c>
      <c r="Z10" s="28" t="str">
        <f>IF(D10&gt;=96,"-",VLOOKUP($C10,'64b66b_data'!$A$5:$G$72,5,FALSE))</f>
        <v>-</v>
      </c>
      <c r="AA10" s="28" t="str">
        <f>IF(D10&gt;=96,"-",VLOOKUP($C10,'64b66b_data'!$A$5:$G$72,6,FALSE))</f>
        <v>-</v>
      </c>
      <c r="AB10" s="28" t="str">
        <f>IF(D10&gt;=96,"-",VLOOKUP($C10,'64b66b_data'!$A$5:$G$72,7,FALSE))</f>
        <v>-</v>
      </c>
      <c r="AC10" s="27">
        <f t="shared" si="6"/>
        <v>273</v>
      </c>
      <c r="AD10" s="27">
        <f t="shared" si="7"/>
        <v>758</v>
      </c>
      <c r="AE10" s="18" t="str">
        <f t="shared" si="8"/>
        <v>Yes</v>
      </c>
      <c r="AF10" s="18" t="str">
        <f t="shared" si="9"/>
        <v>Yes</v>
      </c>
    </row>
    <row r="11" spans="1:32" x14ac:dyDescent="0.3">
      <c r="A11" s="9">
        <v>1</v>
      </c>
      <c r="B11" s="9">
        <v>8</v>
      </c>
      <c r="C11" s="19">
        <f t="shared" si="10"/>
        <v>1008</v>
      </c>
      <c r="D11" s="9">
        <v>128</v>
      </c>
      <c r="E11" s="19">
        <f t="shared" si="11"/>
        <v>32</v>
      </c>
      <c r="F11" s="19">
        <f t="shared" si="12"/>
        <v>0.25</v>
      </c>
      <c r="G11" s="19">
        <f t="shared" si="13"/>
        <v>16</v>
      </c>
      <c r="H11" s="20">
        <f>VLOOKUP($D11,'8b10b_data'!$L$5:$P$19,4,FALSE)</f>
        <v>1014</v>
      </c>
      <c r="I11" s="21">
        <f>VLOOKUP($D11,'8b10b_data'!$L$5:$P$19,5,FALSE)</f>
        <v>1325</v>
      </c>
      <c r="J11" s="22" t="str">
        <f>VLOOKUP($D11,'64b66b_data'!$L$5:$P$19,4,FALSE)</f>
        <v>-</v>
      </c>
      <c r="K11" s="23" t="str">
        <f>VLOOKUP($D11,'64b66b_data'!$L$5:$P$19,5,FALSE)</f>
        <v>-</v>
      </c>
      <c r="L11" s="24">
        <f t="shared" si="0"/>
        <v>329</v>
      </c>
      <c r="M11" s="24">
        <v>852</v>
      </c>
      <c r="N11" s="9">
        <f t="shared" si="1"/>
        <v>0</v>
      </c>
      <c r="O11" s="9">
        <f t="shared" si="2"/>
        <v>1</v>
      </c>
      <c r="P11" s="9">
        <f t="shared" si="14"/>
        <v>1537</v>
      </c>
      <c r="Q11" s="9">
        <f t="shared" si="15"/>
        <v>1848</v>
      </c>
      <c r="R11" s="9" t="str">
        <f t="shared" ref="R11:R73" si="17">IF(J11="-","-",J11+M11-L11-D11*(O11-N11-1))</f>
        <v>-</v>
      </c>
      <c r="S11" s="9" t="str">
        <f t="shared" ref="S11:S73" si="18">IF(K11="-","-",K11+M11-L11+D11*(O11-1))</f>
        <v>-</v>
      </c>
      <c r="T11" s="25"/>
      <c r="U11" s="26">
        <f>VLOOKUP($C11,'8b10b_data'!$A$5:$G$103,5,FALSE)</f>
        <v>14</v>
      </c>
      <c r="V11" s="26">
        <f>VLOOKUP($C11,'8b10b_data'!$A$5:$G$103,6,FALSE)</f>
        <v>2121</v>
      </c>
      <c r="W11" s="26">
        <f>VLOOKUP($C11,'8b10b_data'!$A$5:$G$103,7,FALSE)</f>
        <v>2644</v>
      </c>
      <c r="X11" s="27">
        <f t="shared" si="16"/>
        <v>329</v>
      </c>
      <c r="Y11" s="27">
        <f t="shared" si="5"/>
        <v>852</v>
      </c>
      <c r="Z11" s="28" t="str">
        <f>IF(D11&gt;=96,"-",VLOOKUP($C11,'64b66b_data'!$A$5:$G$72,5,FALSE))</f>
        <v>-</v>
      </c>
      <c r="AA11" s="28" t="str">
        <f>IF(D11&gt;=96,"-",VLOOKUP($C11,'64b66b_data'!$A$5:$G$72,6,FALSE))</f>
        <v>-</v>
      </c>
      <c r="AB11" s="28" t="str">
        <f>IF(D11&gt;=96,"-",VLOOKUP($C11,'64b66b_data'!$A$5:$G$72,7,FALSE))</f>
        <v>-</v>
      </c>
      <c r="AC11" s="27">
        <f t="shared" si="6"/>
        <v>329</v>
      </c>
      <c r="AD11" s="27">
        <f t="shared" si="7"/>
        <v>852</v>
      </c>
      <c r="AE11" s="18" t="str">
        <f t="shared" si="8"/>
        <v>Yes</v>
      </c>
      <c r="AF11" s="18" t="str">
        <f t="shared" si="9"/>
        <v>Yes</v>
      </c>
    </row>
    <row r="12" spans="1:32" x14ac:dyDescent="0.3">
      <c r="A12" s="9">
        <v>2</v>
      </c>
      <c r="B12" s="9">
        <v>1</v>
      </c>
      <c r="C12" s="19">
        <f t="shared" si="10"/>
        <v>2001</v>
      </c>
      <c r="D12" s="9">
        <v>8</v>
      </c>
      <c r="E12" s="19">
        <f t="shared" si="11"/>
        <v>8</v>
      </c>
      <c r="F12" s="19">
        <f t="shared" si="12"/>
        <v>1</v>
      </c>
      <c r="G12" s="19">
        <f t="shared" si="13"/>
        <v>16</v>
      </c>
      <c r="H12" s="20">
        <f>VLOOKUP($D12,'8b10b_data'!$L$5:$P$19,4,FALSE)</f>
        <v>97</v>
      </c>
      <c r="I12" s="21">
        <f>VLOOKUP($D12,'8b10b_data'!$L$5:$P$19,5,FALSE)</f>
        <v>119</v>
      </c>
      <c r="J12" s="22">
        <f>VLOOKUP($D12,'64b66b_data'!$L$5:$P$19,4,FALSE)</f>
        <v>91</v>
      </c>
      <c r="K12" s="23">
        <f>VLOOKUP($D12,'64b66b_data'!$L$5:$P$19,5,FALSE)</f>
        <v>114</v>
      </c>
      <c r="L12" s="24">
        <f t="shared" si="0"/>
        <v>77</v>
      </c>
      <c r="M12" s="24">
        <v>169</v>
      </c>
      <c r="N12" s="9">
        <f t="shared" si="1"/>
        <v>1</v>
      </c>
      <c r="O12" s="9">
        <f t="shared" si="2"/>
        <v>2</v>
      </c>
      <c r="P12" s="9">
        <f t="shared" si="14"/>
        <v>189</v>
      </c>
      <c r="Q12" s="9">
        <f t="shared" si="15"/>
        <v>219</v>
      </c>
      <c r="R12" s="9">
        <f t="shared" si="17"/>
        <v>183</v>
      </c>
      <c r="S12" s="9">
        <f t="shared" si="18"/>
        <v>214</v>
      </c>
      <c r="T12" s="25"/>
      <c r="U12" s="26">
        <f>VLOOKUP($C12,'8b10b_data'!$A$5:$G$103,5,FALSE)</f>
        <v>12</v>
      </c>
      <c r="V12" s="26">
        <f>VLOOKUP($C12,'8b10b_data'!$A$5:$G$103,6,FALSE)</f>
        <v>173</v>
      </c>
      <c r="W12" s="26">
        <f>VLOOKUP($C12,'8b10b_data'!$A$5:$G$103,7,FALSE)</f>
        <v>265</v>
      </c>
      <c r="X12" s="27">
        <f t="shared" si="16"/>
        <v>77</v>
      </c>
      <c r="Y12" s="27">
        <f t="shared" si="5"/>
        <v>169</v>
      </c>
      <c r="Z12" s="28">
        <f>IF(D12&gt;=96,"-",VLOOKUP($C12,'64b66b_data'!$A$5:$G$72,5,FALSE))</f>
        <v>11</v>
      </c>
      <c r="AA12" s="28">
        <f>IF(D12&gt;=96,"-",VLOOKUP($C12,'64b66b_data'!$A$5:$G$72,6,FALSE))</f>
        <v>165</v>
      </c>
      <c r="AB12" s="28">
        <f>IF(D12&gt;=96,"-",VLOOKUP($C12,'64b66b_data'!$A$5:$G$72,7,FALSE))</f>
        <v>265</v>
      </c>
      <c r="AC12" s="27">
        <f t="shared" si="6"/>
        <v>77</v>
      </c>
      <c r="AD12" s="27">
        <f t="shared" si="7"/>
        <v>169</v>
      </c>
      <c r="AE12" s="18" t="str">
        <f t="shared" si="8"/>
        <v>Yes</v>
      </c>
      <c r="AF12" s="18" t="str">
        <f t="shared" si="9"/>
        <v>Yes</v>
      </c>
    </row>
    <row r="13" spans="1:32" x14ac:dyDescent="0.3">
      <c r="A13" s="9">
        <v>2</v>
      </c>
      <c r="B13" s="9">
        <v>2</v>
      </c>
      <c r="C13" s="19">
        <f t="shared" si="10"/>
        <v>2002</v>
      </c>
      <c r="D13" s="9">
        <v>16</v>
      </c>
      <c r="E13" s="19">
        <f t="shared" si="11"/>
        <v>16</v>
      </c>
      <c r="F13" s="19">
        <f t="shared" si="12"/>
        <v>1</v>
      </c>
      <c r="G13" s="19">
        <f t="shared" si="13"/>
        <v>16</v>
      </c>
      <c r="H13" s="20">
        <f>VLOOKUP($D13,'8b10b_data'!$L$5:$P$19,4,FALSE)</f>
        <v>192</v>
      </c>
      <c r="I13" s="21">
        <f>VLOOKUP($D13,'8b10b_data'!$L$5:$P$19,5,FALSE)</f>
        <v>238</v>
      </c>
      <c r="J13" s="22">
        <f>VLOOKUP($D13,'64b66b_data'!$L$5:$P$19,4,FALSE)</f>
        <v>181</v>
      </c>
      <c r="K13" s="23">
        <f>VLOOKUP($D13,'64b66b_data'!$L$5:$P$19,5,FALSE)</f>
        <v>226</v>
      </c>
      <c r="L13" s="24">
        <f t="shared" si="0"/>
        <v>97</v>
      </c>
      <c r="M13" s="24">
        <v>372</v>
      </c>
      <c r="N13" s="9">
        <f t="shared" si="1"/>
        <v>0</v>
      </c>
      <c r="O13" s="9">
        <f t="shared" si="2"/>
        <v>1</v>
      </c>
      <c r="P13" s="9">
        <f t="shared" si="14"/>
        <v>467</v>
      </c>
      <c r="Q13" s="9">
        <f t="shared" si="15"/>
        <v>513</v>
      </c>
      <c r="R13" s="9">
        <f t="shared" si="17"/>
        <v>456</v>
      </c>
      <c r="S13" s="9">
        <f t="shared" si="18"/>
        <v>501</v>
      </c>
      <c r="T13" s="25"/>
      <c r="U13" s="26">
        <f>VLOOKUP($C13,'8b10b_data'!$A$5:$G$103,5,FALSE)</f>
        <v>15</v>
      </c>
      <c r="V13" s="26">
        <f>VLOOKUP($C13,'8b10b_data'!$A$5:$G$103,6,FALSE)</f>
        <v>337</v>
      </c>
      <c r="W13" s="26">
        <f>VLOOKUP($C13,'8b10b_data'!$A$5:$G$103,7,FALSE)</f>
        <v>612</v>
      </c>
      <c r="X13" s="27">
        <f t="shared" si="16"/>
        <v>97</v>
      </c>
      <c r="Y13" s="27">
        <f t="shared" si="5"/>
        <v>372</v>
      </c>
      <c r="Z13" s="28">
        <f>IF(D13&gt;=96,"-",VLOOKUP($C13,'64b66b_data'!$A$5:$G$72,5,FALSE))</f>
        <v>15</v>
      </c>
      <c r="AA13" s="28">
        <f>IF(D13&gt;=96,"-",VLOOKUP($C13,'64b66b_data'!$A$5:$G$72,6,FALSE))</f>
        <v>337</v>
      </c>
      <c r="AB13" s="28">
        <f>IF(D13&gt;=96,"-",VLOOKUP($C13,'64b66b_data'!$A$5:$G$72,7,FALSE))</f>
        <v>612</v>
      </c>
      <c r="AC13" s="27">
        <f t="shared" si="6"/>
        <v>97</v>
      </c>
      <c r="AD13" s="27">
        <f t="shared" si="7"/>
        <v>372</v>
      </c>
      <c r="AE13" s="18" t="str">
        <f t="shared" si="8"/>
        <v>Yes</v>
      </c>
      <c r="AF13" s="18" t="str">
        <f t="shared" si="9"/>
        <v>Yes</v>
      </c>
    </row>
    <row r="14" spans="1:32" x14ac:dyDescent="0.3">
      <c r="A14" s="9">
        <v>2</v>
      </c>
      <c r="B14" s="9">
        <v>3</v>
      </c>
      <c r="C14" s="19">
        <f t="shared" si="10"/>
        <v>2003</v>
      </c>
      <c r="D14" s="9">
        <v>24</v>
      </c>
      <c r="E14" s="19">
        <f t="shared" si="11"/>
        <v>24</v>
      </c>
      <c r="F14" s="19">
        <f t="shared" si="12"/>
        <v>1</v>
      </c>
      <c r="G14" s="19">
        <f t="shared" si="13"/>
        <v>24</v>
      </c>
      <c r="H14" s="20">
        <f>VLOOKUP($D14,'8b10b_data'!$L$5:$P$19,4,FALSE)</f>
        <v>290</v>
      </c>
      <c r="I14" s="21">
        <f>VLOOKUP($D14,'8b10b_data'!$L$5:$P$19,5,FALSE)</f>
        <v>357</v>
      </c>
      <c r="J14" s="22">
        <f>VLOOKUP($D14,'64b66b_data'!$L$5:$P$19,4,FALSE)</f>
        <v>273</v>
      </c>
      <c r="K14" s="23">
        <f>VLOOKUP($D14,'64b66b_data'!$L$5:$P$19,5,FALSE)</f>
        <v>339</v>
      </c>
      <c r="L14" s="24">
        <f t="shared" si="0"/>
        <v>117</v>
      </c>
      <c r="M14" s="24">
        <v>470</v>
      </c>
      <c r="N14" s="9">
        <f t="shared" si="1"/>
        <v>0</v>
      </c>
      <c r="O14" s="9">
        <f t="shared" si="2"/>
        <v>1</v>
      </c>
      <c r="P14" s="9">
        <f t="shared" si="14"/>
        <v>643</v>
      </c>
      <c r="Q14" s="9">
        <f t="shared" si="15"/>
        <v>710</v>
      </c>
      <c r="R14" s="9">
        <f t="shared" si="17"/>
        <v>626</v>
      </c>
      <c r="S14" s="9">
        <f t="shared" si="18"/>
        <v>692</v>
      </c>
      <c r="T14" s="25"/>
      <c r="U14" s="26">
        <f>VLOOKUP($C14,'8b10b_data'!$A$5:$G$103,5,FALSE)</f>
        <v>16</v>
      </c>
      <c r="V14" s="26">
        <f>VLOOKUP($C14,'8b10b_data'!$A$5:$G$103,6,FALSE)</f>
        <v>501</v>
      </c>
      <c r="W14" s="26">
        <f>VLOOKUP($C14,'8b10b_data'!$A$5:$G$103,7,FALSE)</f>
        <v>854</v>
      </c>
      <c r="X14" s="27">
        <f t="shared" si="16"/>
        <v>117</v>
      </c>
      <c r="Y14" s="27">
        <f t="shared" si="5"/>
        <v>470</v>
      </c>
      <c r="Z14" s="28">
        <f>IF(D14&gt;=96,"-",VLOOKUP($C14,'64b66b_data'!$A$5:$G$72,5,FALSE))</f>
        <v>16</v>
      </c>
      <c r="AA14" s="28">
        <f>IF(D14&gt;=96,"-",VLOOKUP($C14,'64b66b_data'!$A$5:$G$72,6,FALSE))</f>
        <v>501</v>
      </c>
      <c r="AB14" s="28">
        <f>IF(D14&gt;=96,"-",VLOOKUP($C14,'64b66b_data'!$A$5:$G$72,7,FALSE))</f>
        <v>854</v>
      </c>
      <c r="AC14" s="27">
        <f t="shared" si="6"/>
        <v>117</v>
      </c>
      <c r="AD14" s="27">
        <f t="shared" si="7"/>
        <v>470</v>
      </c>
      <c r="AE14" s="18" t="str">
        <f t="shared" si="8"/>
        <v>Yes</v>
      </c>
      <c r="AF14" s="18" t="str">
        <f t="shared" si="9"/>
        <v>Yes</v>
      </c>
    </row>
    <row r="15" spans="1:32" x14ac:dyDescent="0.3">
      <c r="A15" s="9">
        <v>2</v>
      </c>
      <c r="B15" s="9">
        <v>4</v>
      </c>
      <c r="C15" s="19">
        <f t="shared" si="10"/>
        <v>2004</v>
      </c>
      <c r="D15" s="9">
        <v>32</v>
      </c>
      <c r="E15" s="19">
        <f t="shared" si="11"/>
        <v>32</v>
      </c>
      <c r="F15" s="19">
        <f t="shared" si="12"/>
        <v>1</v>
      </c>
      <c r="G15" s="19">
        <f t="shared" si="13"/>
        <v>16</v>
      </c>
      <c r="H15" s="20">
        <f>VLOOKUP($D15,'8b10b_data'!$L$5:$P$19,4,FALSE)</f>
        <v>384</v>
      </c>
      <c r="I15" s="21">
        <f>VLOOKUP($D15,'8b10b_data'!$L$5:$P$19,5,FALSE)</f>
        <v>477</v>
      </c>
      <c r="J15" s="22">
        <f>VLOOKUP($D15,'64b66b_data'!$L$5:$P$19,4,FALSE)</f>
        <v>362</v>
      </c>
      <c r="K15" s="23">
        <f>VLOOKUP($D15,'64b66b_data'!$L$5:$P$19,5,FALSE)</f>
        <v>455</v>
      </c>
      <c r="L15" s="24">
        <f t="shared" si="0"/>
        <v>137</v>
      </c>
      <c r="M15" s="24">
        <v>526</v>
      </c>
      <c r="N15" s="9">
        <f t="shared" si="1"/>
        <v>0</v>
      </c>
      <c r="O15" s="9">
        <f t="shared" si="2"/>
        <v>1</v>
      </c>
      <c r="P15" s="9">
        <f t="shared" si="14"/>
        <v>773</v>
      </c>
      <c r="Q15" s="9">
        <f t="shared" si="15"/>
        <v>866</v>
      </c>
      <c r="R15" s="9">
        <f t="shared" si="17"/>
        <v>751</v>
      </c>
      <c r="S15" s="9">
        <f t="shared" si="18"/>
        <v>844</v>
      </c>
      <c r="T15" s="25"/>
      <c r="U15" s="26">
        <f>VLOOKUP($C15,'8b10b_data'!$A$5:$G$103,5,FALSE)</f>
        <v>17</v>
      </c>
      <c r="V15" s="26">
        <f>VLOOKUP($C15,'8b10b_data'!$A$5:$G$103,6,FALSE)</f>
        <v>681</v>
      </c>
      <c r="W15" s="26">
        <f>VLOOKUP($C15,'8b10b_data'!$A$5:$G$103,7,FALSE)</f>
        <v>1070</v>
      </c>
      <c r="X15" s="27">
        <f t="shared" si="16"/>
        <v>137</v>
      </c>
      <c r="Y15" s="27">
        <f t="shared" si="5"/>
        <v>526</v>
      </c>
      <c r="Z15" s="28">
        <f>IF(D15&gt;=96,"-",VLOOKUP($C15,'64b66b_data'!$A$5:$G$72,5,FALSE))</f>
        <v>16</v>
      </c>
      <c r="AA15" s="28">
        <f>IF(D15&gt;=96,"-",VLOOKUP($C15,'64b66b_data'!$A$5:$G$72,6,FALSE))</f>
        <v>649</v>
      </c>
      <c r="AB15" s="28">
        <f>IF(D15&gt;=96,"-",VLOOKUP($C15,'64b66b_data'!$A$5:$G$72,7,FALSE))</f>
        <v>1038</v>
      </c>
      <c r="AC15" s="27">
        <f t="shared" si="6"/>
        <v>137</v>
      </c>
      <c r="AD15" s="27">
        <f t="shared" si="7"/>
        <v>526</v>
      </c>
      <c r="AE15" s="18" t="str">
        <f t="shared" si="8"/>
        <v>Yes</v>
      </c>
      <c r="AF15" s="18" t="str">
        <f t="shared" si="9"/>
        <v>Yes</v>
      </c>
    </row>
    <row r="16" spans="1:32" x14ac:dyDescent="0.3">
      <c r="A16" s="9">
        <v>2</v>
      </c>
      <c r="B16" s="9">
        <v>6</v>
      </c>
      <c r="C16" s="19">
        <f t="shared" si="10"/>
        <v>2006</v>
      </c>
      <c r="D16" s="9">
        <v>48</v>
      </c>
      <c r="E16" s="19">
        <f t="shared" si="11"/>
        <v>48</v>
      </c>
      <c r="F16" s="19">
        <f t="shared" si="12"/>
        <v>1</v>
      </c>
      <c r="G16" s="19">
        <f t="shared" si="13"/>
        <v>24</v>
      </c>
      <c r="H16" s="20">
        <f>VLOOKUP($D16,'8b10b_data'!$L$5:$P$19,4,FALSE)</f>
        <v>578</v>
      </c>
      <c r="I16" s="21">
        <f>VLOOKUP($D16,'8b10b_data'!$L$5:$P$19,5,FALSE)</f>
        <v>710</v>
      </c>
      <c r="J16" s="22">
        <f>VLOOKUP($D16,'64b66b_data'!$L$5:$P$19,4,FALSE)</f>
        <v>542</v>
      </c>
      <c r="K16" s="23">
        <f>VLOOKUP($D16,'64b66b_data'!$L$5:$P$19,5,FALSE)</f>
        <v>681</v>
      </c>
      <c r="L16" s="24">
        <f t="shared" si="0"/>
        <v>177</v>
      </c>
      <c r="M16" s="24">
        <v>662</v>
      </c>
      <c r="N16" s="9">
        <f t="shared" si="1"/>
        <v>0</v>
      </c>
      <c r="O16" s="9">
        <f t="shared" si="2"/>
        <v>1</v>
      </c>
      <c r="P16" s="9">
        <f t="shared" si="14"/>
        <v>1063</v>
      </c>
      <c r="Q16" s="9">
        <f t="shared" si="15"/>
        <v>1195</v>
      </c>
      <c r="R16" s="9">
        <f t="shared" si="17"/>
        <v>1027</v>
      </c>
      <c r="S16" s="9">
        <f t="shared" si="18"/>
        <v>1166</v>
      </c>
      <c r="T16" s="25"/>
      <c r="U16" s="26">
        <f>VLOOKUP($C16,'8b10b_data'!$A$5:$G$103,5,FALSE)</f>
        <v>17</v>
      </c>
      <c r="V16" s="26">
        <f>VLOOKUP($C16,'8b10b_data'!$A$5:$G$103,6,FALSE)</f>
        <v>993</v>
      </c>
      <c r="W16" s="26">
        <f>VLOOKUP($C16,'8b10b_data'!$A$5:$G$103,7,FALSE)</f>
        <v>1478</v>
      </c>
      <c r="X16" s="27">
        <f t="shared" si="16"/>
        <v>177</v>
      </c>
      <c r="Y16" s="27">
        <f t="shared" si="5"/>
        <v>662</v>
      </c>
      <c r="Z16" s="28">
        <f>IF(D16&gt;=96,"-",VLOOKUP($C16,'64b66b_data'!$A$5:$G$72,5,FALSE))</f>
        <v>17</v>
      </c>
      <c r="AA16" s="28">
        <f>IF(D16&gt;=96,"-",VLOOKUP($C16,'64b66b_data'!$A$5:$G$72,6,FALSE))</f>
        <v>993</v>
      </c>
      <c r="AB16" s="28">
        <f>IF(D16&gt;=96,"-",VLOOKUP($C16,'64b66b_data'!$A$5:$G$72,7,FALSE))</f>
        <v>1478</v>
      </c>
      <c r="AC16" s="27">
        <f t="shared" si="6"/>
        <v>177</v>
      </c>
      <c r="AD16" s="27">
        <f t="shared" si="7"/>
        <v>662</v>
      </c>
      <c r="AE16" s="18" t="str">
        <f t="shared" si="8"/>
        <v>Yes</v>
      </c>
      <c r="AF16" s="18" t="str">
        <f t="shared" si="9"/>
        <v>Yes</v>
      </c>
    </row>
    <row r="17" spans="1:32" x14ac:dyDescent="0.3">
      <c r="A17" s="9">
        <v>2</v>
      </c>
      <c r="B17" s="9">
        <v>8</v>
      </c>
      <c r="C17" s="19">
        <f t="shared" si="10"/>
        <v>2008</v>
      </c>
      <c r="D17" s="9">
        <v>64</v>
      </c>
      <c r="E17" s="19">
        <f t="shared" si="11"/>
        <v>32</v>
      </c>
      <c r="F17" s="19">
        <f t="shared" si="12"/>
        <v>0.5</v>
      </c>
      <c r="G17" s="19">
        <f t="shared" si="13"/>
        <v>16</v>
      </c>
      <c r="H17" s="20">
        <f>VLOOKUP($D17,'8b10b_data'!$L$5:$P$19,4,FALSE)</f>
        <v>623</v>
      </c>
      <c r="I17" s="21">
        <f>VLOOKUP($D17,'8b10b_data'!$L$5:$P$19,5,FALSE)</f>
        <v>788</v>
      </c>
      <c r="J17" s="22">
        <f>VLOOKUP($D17,'64b66b_data'!$L$5:$P$19,4,FALSE)</f>
        <v>629</v>
      </c>
      <c r="K17" s="23">
        <f>VLOOKUP($D17,'64b66b_data'!$L$5:$P$19,5,FALSE)</f>
        <v>794</v>
      </c>
      <c r="L17" s="24">
        <f t="shared" si="0"/>
        <v>201</v>
      </c>
      <c r="M17" s="24">
        <v>724</v>
      </c>
      <c r="N17" s="9">
        <f t="shared" si="1"/>
        <v>0</v>
      </c>
      <c r="O17" s="9">
        <f t="shared" si="2"/>
        <v>1</v>
      </c>
      <c r="P17" s="9">
        <f t="shared" si="14"/>
        <v>1146</v>
      </c>
      <c r="Q17" s="9">
        <f t="shared" si="15"/>
        <v>1311</v>
      </c>
      <c r="R17" s="9">
        <f t="shared" si="17"/>
        <v>1152</v>
      </c>
      <c r="S17" s="9">
        <f t="shared" si="18"/>
        <v>1317</v>
      </c>
      <c r="T17" s="25"/>
      <c r="U17" s="26">
        <f>VLOOKUP($C17,'8b10b_data'!$A$5:$G$103,5,FALSE)</f>
        <v>15</v>
      </c>
      <c r="V17" s="26">
        <f>VLOOKUP($C17,'8b10b_data'!$A$5:$G$103,6,FALSE)</f>
        <v>1161</v>
      </c>
      <c r="W17" s="26">
        <f>VLOOKUP($C17,'8b10b_data'!$A$5:$G$103,7,FALSE)</f>
        <v>1684</v>
      </c>
      <c r="X17" s="27">
        <f t="shared" si="16"/>
        <v>201</v>
      </c>
      <c r="Y17" s="27">
        <f t="shared" si="5"/>
        <v>724</v>
      </c>
      <c r="Z17" s="28">
        <f>IF(D17&gt;=96,"-",VLOOKUP($C17,'64b66b_data'!$A$5:$G$72,5,FALSE))</f>
        <v>15</v>
      </c>
      <c r="AA17" s="28">
        <f>IF(D17&gt;=96,"-",VLOOKUP($C17,'64b66b_data'!$A$5:$G$72,6,FALSE))</f>
        <v>1161</v>
      </c>
      <c r="AB17" s="28">
        <f>IF(D17&gt;=96,"-",VLOOKUP($C17,'64b66b_data'!$A$5:$G$72,7,FALSE))</f>
        <v>1684</v>
      </c>
      <c r="AC17" s="27">
        <f t="shared" si="6"/>
        <v>201</v>
      </c>
      <c r="AD17" s="27">
        <f t="shared" si="7"/>
        <v>724</v>
      </c>
      <c r="AE17" s="18" t="str">
        <f t="shared" si="8"/>
        <v>Yes</v>
      </c>
      <c r="AF17" s="18" t="str">
        <f t="shared" si="9"/>
        <v>Yes</v>
      </c>
    </row>
    <row r="18" spans="1:32" x14ac:dyDescent="0.3">
      <c r="A18" s="9">
        <v>2</v>
      </c>
      <c r="B18" s="9">
        <v>12</v>
      </c>
      <c r="C18" s="19">
        <f t="shared" si="10"/>
        <v>2012</v>
      </c>
      <c r="D18" s="9">
        <v>96</v>
      </c>
      <c r="E18" s="19">
        <f t="shared" si="11"/>
        <v>48</v>
      </c>
      <c r="F18" s="19">
        <f t="shared" si="12"/>
        <v>0.5</v>
      </c>
      <c r="G18" s="19">
        <f t="shared" si="13"/>
        <v>24</v>
      </c>
      <c r="H18" s="20">
        <f>VLOOKUP($D18,'8b10b_data'!$L$5:$P$19,4,FALSE)</f>
        <v>919</v>
      </c>
      <c r="I18" s="21">
        <f>VLOOKUP($D18,'8b10b_data'!$L$5:$P$19,5,FALSE)</f>
        <v>1171</v>
      </c>
      <c r="J18" s="22" t="str">
        <f>VLOOKUP($D18,'64b66b_data'!$L$5:$P$19,4,FALSE)</f>
        <v>-</v>
      </c>
      <c r="K18" s="23" t="str">
        <f>VLOOKUP($D18,'64b66b_data'!$L$5:$P$19,5,FALSE)</f>
        <v>-</v>
      </c>
      <c r="L18" s="24">
        <f t="shared" si="0"/>
        <v>273</v>
      </c>
      <c r="M18" s="24">
        <v>928</v>
      </c>
      <c r="N18" s="9">
        <f t="shared" si="1"/>
        <v>0</v>
      </c>
      <c r="O18" s="9">
        <f t="shared" si="2"/>
        <v>1</v>
      </c>
      <c r="P18" s="9">
        <f t="shared" si="14"/>
        <v>1574</v>
      </c>
      <c r="Q18" s="9">
        <f t="shared" si="15"/>
        <v>1826</v>
      </c>
      <c r="R18" s="9" t="str">
        <f t="shared" si="17"/>
        <v>-</v>
      </c>
      <c r="S18" s="9" t="str">
        <f t="shared" si="18"/>
        <v>-</v>
      </c>
      <c r="T18" s="25"/>
      <c r="U18" s="26">
        <f>VLOOKUP($C18,'8b10b_data'!$A$5:$G$103,5,FALSE)</f>
        <v>16</v>
      </c>
      <c r="V18" s="26">
        <f>VLOOKUP($C18,'8b10b_data'!$A$5:$G$103,6,FALSE)</f>
        <v>1809</v>
      </c>
      <c r="W18" s="26">
        <f>VLOOKUP($C18,'8b10b_data'!$A$5:$G$103,7,FALSE)</f>
        <v>2464</v>
      </c>
      <c r="X18" s="27">
        <f t="shared" si="16"/>
        <v>273</v>
      </c>
      <c r="Y18" s="27">
        <f t="shared" si="5"/>
        <v>928</v>
      </c>
      <c r="Z18" s="28" t="str">
        <f>IF(D18&gt;=96,"-",VLOOKUP($C18,'64b66b_data'!$A$5:$G$72,5,FALSE))</f>
        <v>-</v>
      </c>
      <c r="AA18" s="28" t="str">
        <f>IF(D18&gt;=96,"-",VLOOKUP($C18,'64b66b_data'!$A$5:$G$72,6,FALSE))</f>
        <v>-</v>
      </c>
      <c r="AB18" s="28" t="str">
        <f>IF(D18&gt;=96,"-",VLOOKUP($C18,'64b66b_data'!$A$5:$G$72,7,FALSE))</f>
        <v>-</v>
      </c>
      <c r="AC18" s="27">
        <f t="shared" si="6"/>
        <v>273</v>
      </c>
      <c r="AD18" s="27">
        <f t="shared" si="7"/>
        <v>928</v>
      </c>
      <c r="AE18" s="18" t="str">
        <f t="shared" si="8"/>
        <v>Yes</v>
      </c>
      <c r="AF18" s="18" t="str">
        <f t="shared" si="9"/>
        <v>Yes</v>
      </c>
    </row>
    <row r="19" spans="1:32" x14ac:dyDescent="0.3">
      <c r="A19" s="9">
        <v>2</v>
      </c>
      <c r="B19" s="9">
        <v>16</v>
      </c>
      <c r="C19" s="19">
        <f t="shared" si="10"/>
        <v>2016</v>
      </c>
      <c r="D19" s="9">
        <v>128</v>
      </c>
      <c r="E19" s="19">
        <f t="shared" si="11"/>
        <v>32</v>
      </c>
      <c r="F19" s="19">
        <f t="shared" si="12"/>
        <v>0.25</v>
      </c>
      <c r="G19" s="19">
        <f t="shared" si="13"/>
        <v>16</v>
      </c>
      <c r="H19" s="20">
        <f>VLOOKUP($D19,'8b10b_data'!$L$5:$P$19,4,FALSE)</f>
        <v>1014</v>
      </c>
      <c r="I19" s="21">
        <f>VLOOKUP($D19,'8b10b_data'!$L$5:$P$19,5,FALSE)</f>
        <v>1325</v>
      </c>
      <c r="J19" s="22" t="str">
        <f>VLOOKUP($D19,'64b66b_data'!$L$5:$P$19,4,FALSE)</f>
        <v>-</v>
      </c>
      <c r="K19" s="23" t="str">
        <f>VLOOKUP($D19,'64b66b_data'!$L$5:$P$19,5,FALSE)</f>
        <v>-</v>
      </c>
      <c r="L19" s="24">
        <f t="shared" si="0"/>
        <v>329</v>
      </c>
      <c r="M19" s="24">
        <v>1072</v>
      </c>
      <c r="N19" s="9">
        <f t="shared" si="1"/>
        <v>0</v>
      </c>
      <c r="O19" s="9">
        <f t="shared" si="2"/>
        <v>1</v>
      </c>
      <c r="P19" s="9">
        <f t="shared" si="14"/>
        <v>1757</v>
      </c>
      <c r="Q19" s="9">
        <f t="shared" si="15"/>
        <v>2068</v>
      </c>
      <c r="R19" s="9" t="str">
        <f t="shared" si="17"/>
        <v>-</v>
      </c>
      <c r="S19" s="9" t="str">
        <f t="shared" si="18"/>
        <v>-</v>
      </c>
      <c r="T19" s="25"/>
      <c r="U19" s="26">
        <f>VLOOKUP($C19,'8b10b_data'!$A$5:$G$103,5,FALSE)</f>
        <v>14</v>
      </c>
      <c r="V19" s="26">
        <f>VLOOKUP($C19,'8b10b_data'!$A$5:$G$103,6,FALSE)</f>
        <v>2121</v>
      </c>
      <c r="W19" s="26">
        <f>VLOOKUP($C19,'8b10b_data'!$A$5:$G$103,7,FALSE)</f>
        <v>2864</v>
      </c>
      <c r="X19" s="27">
        <f t="shared" si="16"/>
        <v>329</v>
      </c>
      <c r="Y19" s="27">
        <f t="shared" si="5"/>
        <v>1072</v>
      </c>
      <c r="Z19" s="28" t="str">
        <f>IF(D19&gt;=96,"-",VLOOKUP($C19,'64b66b_data'!$A$5:$G$72,5,FALSE))</f>
        <v>-</v>
      </c>
      <c r="AA19" s="28" t="str">
        <f>IF(D19&gt;=96,"-",VLOOKUP($C19,'64b66b_data'!$A$5:$G$72,6,FALSE))</f>
        <v>-</v>
      </c>
      <c r="AB19" s="28" t="str">
        <f>IF(D19&gt;=96,"-",VLOOKUP($C19,'64b66b_data'!$A$5:$G$72,7,FALSE))</f>
        <v>-</v>
      </c>
      <c r="AC19" s="27">
        <f t="shared" si="6"/>
        <v>329</v>
      </c>
      <c r="AD19" s="27">
        <f t="shared" si="7"/>
        <v>1072</v>
      </c>
      <c r="AE19" s="18" t="str">
        <f t="shared" si="8"/>
        <v>Yes</v>
      </c>
      <c r="AF19" s="18" t="str">
        <f t="shared" si="9"/>
        <v>Yes</v>
      </c>
    </row>
    <row r="20" spans="1:32" x14ac:dyDescent="0.3">
      <c r="A20" s="9">
        <v>3</v>
      </c>
      <c r="B20" s="9">
        <v>2</v>
      </c>
      <c r="C20" s="19">
        <f t="shared" si="10"/>
        <v>3002</v>
      </c>
      <c r="D20" s="9">
        <v>8</v>
      </c>
      <c r="E20" s="19">
        <f t="shared" si="11"/>
        <v>8</v>
      </c>
      <c r="F20" s="19">
        <f t="shared" si="12"/>
        <v>1</v>
      </c>
      <c r="G20" s="19">
        <f t="shared" si="13"/>
        <v>16</v>
      </c>
      <c r="H20" s="20">
        <f>VLOOKUP($D20,'8b10b_data'!$L$5:$P$19,4,FALSE)</f>
        <v>97</v>
      </c>
      <c r="I20" s="21">
        <f>VLOOKUP($D20,'8b10b_data'!$L$5:$P$19,5,FALSE)</f>
        <v>119</v>
      </c>
      <c r="J20" s="22">
        <f>VLOOKUP($D20,'64b66b_data'!$L$5:$P$19,4,FALSE)</f>
        <v>91</v>
      </c>
      <c r="K20" s="23">
        <f>VLOOKUP($D20,'64b66b_data'!$L$5:$P$19,5,FALSE)</f>
        <v>114</v>
      </c>
      <c r="L20" s="24">
        <f t="shared" si="0"/>
        <v>77</v>
      </c>
      <c r="M20" s="24">
        <v>352</v>
      </c>
      <c r="N20" s="9">
        <f t="shared" si="1"/>
        <v>1</v>
      </c>
      <c r="O20" s="9">
        <f t="shared" si="2"/>
        <v>2</v>
      </c>
      <c r="P20" s="9">
        <f t="shared" si="14"/>
        <v>372</v>
      </c>
      <c r="Q20" s="9">
        <f t="shared" si="15"/>
        <v>402</v>
      </c>
      <c r="R20" s="9">
        <f t="shared" si="17"/>
        <v>366</v>
      </c>
      <c r="S20" s="9">
        <f t="shared" si="18"/>
        <v>397</v>
      </c>
      <c r="T20" s="25"/>
      <c r="U20" s="26">
        <f>VLOOKUP($C20,'8b10b_data'!$A$5:$G$103,5,FALSE)</f>
        <v>12</v>
      </c>
      <c r="V20" s="26">
        <f>VLOOKUP($C20,'8b10b_data'!$A$5:$G$103,6,FALSE)</f>
        <v>173</v>
      </c>
      <c r="W20" s="26">
        <f>VLOOKUP($C20,'8b10b_data'!$A$5:$G$103,7,FALSE)</f>
        <v>448</v>
      </c>
      <c r="X20" s="27">
        <f t="shared" si="16"/>
        <v>77</v>
      </c>
      <c r="Y20" s="27">
        <f t="shared" si="5"/>
        <v>352</v>
      </c>
      <c r="Z20" s="28">
        <f>IF(D20&gt;=96,"-",VLOOKUP($C20,'64b66b_data'!$A$5:$G$72,5,FALSE))</f>
        <v>11</v>
      </c>
      <c r="AA20" s="28">
        <f>IF(D20&gt;=96,"-",VLOOKUP($C20,'64b66b_data'!$A$5:$G$72,6,FALSE))</f>
        <v>165</v>
      </c>
      <c r="AB20" s="28">
        <f>IF(D20&gt;=96,"-",VLOOKUP($C20,'64b66b_data'!$A$5:$G$72,7,FALSE))</f>
        <v>448</v>
      </c>
      <c r="AC20" s="27">
        <f t="shared" si="6"/>
        <v>77</v>
      </c>
      <c r="AD20" s="27">
        <f t="shared" si="7"/>
        <v>352</v>
      </c>
      <c r="AE20" s="18" t="str">
        <f t="shared" si="8"/>
        <v>Yes</v>
      </c>
      <c r="AF20" s="18" t="str">
        <f t="shared" si="9"/>
        <v>Yes</v>
      </c>
    </row>
    <row r="21" spans="1:32" x14ac:dyDescent="0.3">
      <c r="A21" s="9">
        <v>3</v>
      </c>
      <c r="B21" s="9">
        <v>3</v>
      </c>
      <c r="C21" s="19">
        <f t="shared" si="10"/>
        <v>3003</v>
      </c>
      <c r="D21" s="9">
        <v>12</v>
      </c>
      <c r="E21" s="19">
        <f t="shared" si="11"/>
        <v>12</v>
      </c>
      <c r="F21" s="19">
        <f t="shared" si="12"/>
        <v>1</v>
      </c>
      <c r="G21" s="19">
        <f t="shared" si="13"/>
        <v>24</v>
      </c>
      <c r="H21" s="20">
        <f>VLOOKUP($D21,'8b10b_data'!$L$5:$P$19,4,FALSE)</f>
        <v>149</v>
      </c>
      <c r="I21" s="21">
        <f>VLOOKUP($D21,'8b10b_data'!$L$5:$P$19,5,FALSE)</f>
        <v>177</v>
      </c>
      <c r="J21" s="22">
        <f>VLOOKUP($D21,'64b66b_data'!$L$5:$P$19,4,FALSE)</f>
        <v>137</v>
      </c>
      <c r="K21" s="23">
        <f>VLOOKUP($D21,'64b66b_data'!$L$5:$P$19,5,FALSE)</f>
        <v>171</v>
      </c>
      <c r="L21" s="24">
        <f t="shared" si="0"/>
        <v>87</v>
      </c>
      <c r="M21" s="24">
        <v>440</v>
      </c>
      <c r="N21" s="9">
        <f t="shared" si="1"/>
        <v>1</v>
      </c>
      <c r="O21" s="9">
        <f t="shared" si="2"/>
        <v>2</v>
      </c>
      <c r="P21" s="9">
        <f t="shared" si="14"/>
        <v>502</v>
      </c>
      <c r="Q21" s="9">
        <f t="shared" si="15"/>
        <v>542</v>
      </c>
      <c r="R21" s="9">
        <f t="shared" si="17"/>
        <v>490</v>
      </c>
      <c r="S21" s="9">
        <f t="shared" si="18"/>
        <v>536</v>
      </c>
      <c r="T21" s="25"/>
      <c r="U21" s="26">
        <f>VLOOKUP($C21,'8b10b_data'!$A$5:$G$103,5,FALSE)</f>
        <v>14</v>
      </c>
      <c r="V21" s="26">
        <f>VLOOKUP($C21,'8b10b_data'!$A$5:$G$103,6,FALSE)</f>
        <v>255</v>
      </c>
      <c r="W21" s="26">
        <f>VLOOKUP($C21,'8b10b_data'!$A$5:$G$103,7,FALSE)</f>
        <v>608</v>
      </c>
      <c r="X21" s="27">
        <f t="shared" si="16"/>
        <v>87</v>
      </c>
      <c r="Y21" s="27">
        <f t="shared" si="5"/>
        <v>440</v>
      </c>
      <c r="Z21" s="28">
        <f>IF(D21&gt;=96,"-",VLOOKUP($C21,'64b66b_data'!$A$5:$G$72,5,FALSE))</f>
        <v>13</v>
      </c>
      <c r="AA21" s="28">
        <f>IF(D21&gt;=96,"-",VLOOKUP($C21,'64b66b_data'!$A$5:$G$72,6,FALSE))</f>
        <v>243</v>
      </c>
      <c r="AB21" s="28">
        <f>IF(D21&gt;=96,"-",VLOOKUP($C21,'64b66b_data'!$A$5:$G$72,7,FALSE))</f>
        <v>608</v>
      </c>
      <c r="AC21" s="27">
        <f t="shared" si="6"/>
        <v>87</v>
      </c>
      <c r="AD21" s="27">
        <f t="shared" si="7"/>
        <v>440</v>
      </c>
      <c r="AE21" s="18" t="str">
        <f t="shared" si="8"/>
        <v>Yes</v>
      </c>
      <c r="AF21" s="18" t="str">
        <f t="shared" si="9"/>
        <v>Yes</v>
      </c>
    </row>
    <row r="22" spans="1:32" x14ac:dyDescent="0.3">
      <c r="A22" s="9">
        <v>3</v>
      </c>
      <c r="B22" s="9">
        <v>4</v>
      </c>
      <c r="C22" s="19">
        <f t="shared" si="10"/>
        <v>3004</v>
      </c>
      <c r="D22" s="9">
        <v>16</v>
      </c>
      <c r="E22" s="19">
        <f t="shared" si="11"/>
        <v>16</v>
      </c>
      <c r="F22" s="19">
        <f t="shared" si="12"/>
        <v>1</v>
      </c>
      <c r="G22" s="19">
        <f t="shared" si="13"/>
        <v>16</v>
      </c>
      <c r="H22" s="20">
        <f>VLOOKUP($D22,'8b10b_data'!$L$5:$P$19,4,FALSE)</f>
        <v>192</v>
      </c>
      <c r="I22" s="21">
        <f>VLOOKUP($D22,'8b10b_data'!$L$5:$P$19,5,FALSE)</f>
        <v>238</v>
      </c>
      <c r="J22" s="22">
        <f>VLOOKUP($D22,'64b66b_data'!$L$5:$P$19,4,FALSE)</f>
        <v>181</v>
      </c>
      <c r="K22" s="23">
        <f>VLOOKUP($D22,'64b66b_data'!$L$5:$P$19,5,FALSE)</f>
        <v>226</v>
      </c>
      <c r="L22" s="24">
        <f t="shared" si="0"/>
        <v>97</v>
      </c>
      <c r="M22" s="24">
        <v>486</v>
      </c>
      <c r="N22" s="9">
        <f t="shared" si="1"/>
        <v>0</v>
      </c>
      <c r="O22" s="9">
        <f t="shared" si="2"/>
        <v>1</v>
      </c>
      <c r="P22" s="9">
        <f t="shared" si="14"/>
        <v>581</v>
      </c>
      <c r="Q22" s="9">
        <f t="shared" si="15"/>
        <v>627</v>
      </c>
      <c r="R22" s="9">
        <f t="shared" si="17"/>
        <v>570</v>
      </c>
      <c r="S22" s="9">
        <f t="shared" si="18"/>
        <v>615</v>
      </c>
      <c r="T22" s="25"/>
      <c r="U22" s="26">
        <f>VLOOKUP($C22,'8b10b_data'!$A$5:$G$103,5,FALSE)</f>
        <v>16</v>
      </c>
      <c r="V22" s="26">
        <f>VLOOKUP($C22,'8b10b_data'!$A$5:$G$103,6,FALSE)</f>
        <v>353</v>
      </c>
      <c r="W22" s="26">
        <f>VLOOKUP($C22,'8b10b_data'!$A$5:$G$103,7,FALSE)</f>
        <v>742</v>
      </c>
      <c r="X22" s="27">
        <f t="shared" si="16"/>
        <v>97</v>
      </c>
      <c r="Y22" s="27">
        <f t="shared" si="5"/>
        <v>486</v>
      </c>
      <c r="Z22" s="28">
        <f>IF(D22&gt;=96,"-",VLOOKUP($C22,'64b66b_data'!$A$5:$G$72,5,FALSE))</f>
        <v>15</v>
      </c>
      <c r="AA22" s="28">
        <f>IF(D22&gt;=96,"-",VLOOKUP($C22,'64b66b_data'!$A$5:$G$72,6,FALSE))</f>
        <v>337</v>
      </c>
      <c r="AB22" s="28">
        <f>IF(D22&gt;=96,"-",VLOOKUP($C22,'64b66b_data'!$A$5:$G$72,7,FALSE))</f>
        <v>726</v>
      </c>
      <c r="AC22" s="27">
        <f t="shared" si="6"/>
        <v>97</v>
      </c>
      <c r="AD22" s="27">
        <f t="shared" si="7"/>
        <v>486</v>
      </c>
      <c r="AE22" s="18" t="str">
        <f t="shared" si="8"/>
        <v>Yes</v>
      </c>
      <c r="AF22" s="18" t="str">
        <f t="shared" si="9"/>
        <v>Yes</v>
      </c>
    </row>
    <row r="23" spans="1:32" x14ac:dyDescent="0.3">
      <c r="A23" s="9">
        <v>3</v>
      </c>
      <c r="B23" s="9">
        <v>6</v>
      </c>
      <c r="C23" s="19">
        <f t="shared" si="10"/>
        <v>3006</v>
      </c>
      <c r="D23" s="9">
        <v>24</v>
      </c>
      <c r="E23" s="19">
        <f t="shared" si="11"/>
        <v>24</v>
      </c>
      <c r="F23" s="19">
        <f t="shared" si="12"/>
        <v>1</v>
      </c>
      <c r="G23" s="19">
        <f t="shared" si="13"/>
        <v>24</v>
      </c>
      <c r="H23" s="20">
        <f>VLOOKUP($D23,'8b10b_data'!$L$5:$P$19,4,FALSE)</f>
        <v>290</v>
      </c>
      <c r="I23" s="21">
        <f>VLOOKUP($D23,'8b10b_data'!$L$5:$P$19,5,FALSE)</f>
        <v>357</v>
      </c>
      <c r="J23" s="22">
        <f>VLOOKUP($D23,'64b66b_data'!$L$5:$P$19,4,FALSE)</f>
        <v>273</v>
      </c>
      <c r="K23" s="23">
        <f>VLOOKUP($D23,'64b66b_data'!$L$5:$P$19,5,FALSE)</f>
        <v>339</v>
      </c>
      <c r="L23" s="24">
        <f t="shared" si="0"/>
        <v>117</v>
      </c>
      <c r="M23" s="24">
        <v>602</v>
      </c>
      <c r="N23" s="9">
        <f t="shared" si="1"/>
        <v>0</v>
      </c>
      <c r="O23" s="9">
        <f t="shared" si="2"/>
        <v>1</v>
      </c>
      <c r="P23" s="9">
        <f t="shared" si="14"/>
        <v>775</v>
      </c>
      <c r="Q23" s="9">
        <f t="shared" si="15"/>
        <v>842</v>
      </c>
      <c r="R23" s="9">
        <f t="shared" si="17"/>
        <v>758</v>
      </c>
      <c r="S23" s="9">
        <f t="shared" si="18"/>
        <v>824</v>
      </c>
      <c r="T23" s="25"/>
      <c r="U23" s="26">
        <f>VLOOKUP($C23,'8b10b_data'!$A$5:$G$103,5,FALSE)</f>
        <v>16</v>
      </c>
      <c r="V23" s="26">
        <f>VLOOKUP($C23,'8b10b_data'!$A$5:$G$103,6,FALSE)</f>
        <v>501</v>
      </c>
      <c r="W23" s="26">
        <f>VLOOKUP($C23,'8b10b_data'!$A$5:$G$103,7,FALSE)</f>
        <v>986</v>
      </c>
      <c r="X23" s="27">
        <f t="shared" si="16"/>
        <v>117</v>
      </c>
      <c r="Y23" s="27">
        <f t="shared" si="5"/>
        <v>602</v>
      </c>
      <c r="Z23" s="28">
        <f>IF(D23&gt;=96,"-",VLOOKUP($C23,'64b66b_data'!$A$5:$G$72,5,FALSE))</f>
        <v>16</v>
      </c>
      <c r="AA23" s="28">
        <f>IF(D23&gt;=96,"-",VLOOKUP($C23,'64b66b_data'!$A$5:$G$72,6,FALSE))</f>
        <v>501</v>
      </c>
      <c r="AB23" s="28">
        <f>IF(D23&gt;=96,"-",VLOOKUP($C23,'64b66b_data'!$A$5:$G$72,7,FALSE))</f>
        <v>986</v>
      </c>
      <c r="AC23" s="27">
        <f t="shared" si="6"/>
        <v>117</v>
      </c>
      <c r="AD23" s="27">
        <f t="shared" si="7"/>
        <v>602</v>
      </c>
      <c r="AE23" s="18" t="str">
        <f t="shared" si="8"/>
        <v>Yes</v>
      </c>
      <c r="AF23" s="18" t="str">
        <f t="shared" si="9"/>
        <v>Yes</v>
      </c>
    </row>
    <row r="24" spans="1:32" x14ac:dyDescent="0.3">
      <c r="A24" s="9">
        <v>3</v>
      </c>
      <c r="B24" s="9">
        <v>8</v>
      </c>
      <c r="C24" s="19">
        <f t="shared" si="10"/>
        <v>3008</v>
      </c>
      <c r="D24" s="9">
        <v>32</v>
      </c>
      <c r="E24" s="19">
        <f t="shared" si="11"/>
        <v>32</v>
      </c>
      <c r="F24" s="19">
        <f t="shared" si="12"/>
        <v>1</v>
      </c>
      <c r="G24" s="19">
        <f t="shared" si="13"/>
        <v>16</v>
      </c>
      <c r="H24" s="20">
        <f>VLOOKUP($D24,'8b10b_data'!$L$5:$P$19,4,FALSE)</f>
        <v>384</v>
      </c>
      <c r="I24" s="21">
        <f>VLOOKUP($D24,'8b10b_data'!$L$5:$P$19,5,FALSE)</f>
        <v>477</v>
      </c>
      <c r="J24" s="22">
        <f>VLOOKUP($D24,'64b66b_data'!$L$5:$P$19,4,FALSE)</f>
        <v>362</v>
      </c>
      <c r="K24" s="23">
        <f>VLOOKUP($D24,'64b66b_data'!$L$5:$P$19,5,FALSE)</f>
        <v>455</v>
      </c>
      <c r="L24" s="24">
        <f t="shared" si="0"/>
        <v>137</v>
      </c>
      <c r="M24" s="24">
        <v>660</v>
      </c>
      <c r="N24" s="9">
        <f t="shared" si="1"/>
        <v>0</v>
      </c>
      <c r="O24" s="9">
        <f t="shared" si="2"/>
        <v>1</v>
      </c>
      <c r="P24" s="9">
        <f t="shared" si="14"/>
        <v>907</v>
      </c>
      <c r="Q24" s="9">
        <f t="shared" si="15"/>
        <v>1000</v>
      </c>
      <c r="R24" s="9">
        <f t="shared" si="17"/>
        <v>885</v>
      </c>
      <c r="S24" s="9">
        <f t="shared" si="18"/>
        <v>978</v>
      </c>
      <c r="T24" s="25"/>
      <c r="U24" s="26">
        <f>VLOOKUP($C24,'8b10b_data'!$A$5:$G$103,5,FALSE)</f>
        <v>17</v>
      </c>
      <c r="V24" s="26">
        <f>VLOOKUP($C24,'8b10b_data'!$A$5:$G$103,6,FALSE)</f>
        <v>681</v>
      </c>
      <c r="W24" s="26">
        <f>VLOOKUP($C24,'8b10b_data'!$A$5:$G$103,7,FALSE)</f>
        <v>1204</v>
      </c>
      <c r="X24" s="27">
        <f t="shared" si="16"/>
        <v>137</v>
      </c>
      <c r="Y24" s="27">
        <f t="shared" si="5"/>
        <v>660</v>
      </c>
      <c r="Z24" s="28">
        <f>IF(D24&gt;=96,"-",VLOOKUP($C24,'64b66b_data'!$A$5:$G$72,5,FALSE))</f>
        <v>16</v>
      </c>
      <c r="AA24" s="28">
        <f>IF(D24&gt;=96,"-",VLOOKUP($C24,'64b66b_data'!$A$5:$G$72,6,FALSE))</f>
        <v>649</v>
      </c>
      <c r="AB24" s="28">
        <f>IF(D24&gt;=96,"-",VLOOKUP($C24,'64b66b_data'!$A$5:$G$72,7,FALSE))</f>
        <v>1172</v>
      </c>
      <c r="AC24" s="27">
        <f t="shared" si="6"/>
        <v>137</v>
      </c>
      <c r="AD24" s="27">
        <f t="shared" si="7"/>
        <v>660</v>
      </c>
      <c r="AE24" s="18" t="str">
        <f t="shared" si="8"/>
        <v>Yes</v>
      </c>
      <c r="AF24" s="18" t="str">
        <f t="shared" si="9"/>
        <v>Yes</v>
      </c>
    </row>
    <row r="25" spans="1:32" x14ac:dyDescent="0.3">
      <c r="A25" s="9">
        <v>3</v>
      </c>
      <c r="B25" s="9">
        <v>12</v>
      </c>
      <c r="C25" s="19">
        <f t="shared" si="10"/>
        <v>3012</v>
      </c>
      <c r="D25" s="9">
        <v>48</v>
      </c>
      <c r="E25" s="19">
        <f t="shared" si="11"/>
        <v>48</v>
      </c>
      <c r="F25" s="19">
        <f t="shared" si="12"/>
        <v>1</v>
      </c>
      <c r="G25" s="19">
        <f t="shared" si="13"/>
        <v>24</v>
      </c>
      <c r="H25" s="20">
        <f>VLOOKUP($D25,'8b10b_data'!$L$5:$P$19,4,FALSE)</f>
        <v>578</v>
      </c>
      <c r="I25" s="21">
        <f>VLOOKUP($D25,'8b10b_data'!$L$5:$P$19,5,FALSE)</f>
        <v>710</v>
      </c>
      <c r="J25" s="22">
        <f>VLOOKUP($D25,'64b66b_data'!$L$5:$P$19,4,FALSE)</f>
        <v>542</v>
      </c>
      <c r="K25" s="23">
        <f>VLOOKUP($D25,'64b66b_data'!$L$5:$P$19,5,FALSE)</f>
        <v>681</v>
      </c>
      <c r="L25" s="24">
        <f t="shared" si="0"/>
        <v>177</v>
      </c>
      <c r="M25" s="24">
        <v>832</v>
      </c>
      <c r="N25" s="9">
        <f t="shared" si="1"/>
        <v>0</v>
      </c>
      <c r="O25" s="9">
        <f t="shared" si="2"/>
        <v>1</v>
      </c>
      <c r="P25" s="9">
        <f t="shared" si="14"/>
        <v>1233</v>
      </c>
      <c r="Q25" s="9">
        <f t="shared" si="15"/>
        <v>1365</v>
      </c>
      <c r="R25" s="9">
        <f t="shared" si="17"/>
        <v>1197</v>
      </c>
      <c r="S25" s="9">
        <f t="shared" si="18"/>
        <v>1336</v>
      </c>
      <c r="T25" s="25"/>
      <c r="U25" s="26">
        <f>VLOOKUP($C25,'8b10b_data'!$A$5:$G$103,5,FALSE)</f>
        <v>18</v>
      </c>
      <c r="V25" s="26">
        <f>VLOOKUP($C25,'8b10b_data'!$A$5:$G$103,6,FALSE)</f>
        <v>1041</v>
      </c>
      <c r="W25" s="26">
        <f>VLOOKUP($C25,'8b10b_data'!$A$5:$G$103,7,FALSE)</f>
        <v>1696</v>
      </c>
      <c r="X25" s="27">
        <f t="shared" si="16"/>
        <v>177</v>
      </c>
      <c r="Y25" s="27">
        <f t="shared" si="5"/>
        <v>832</v>
      </c>
      <c r="Z25" s="28">
        <f>IF(D25&gt;=96,"-",VLOOKUP($C25,'64b66b_data'!$A$5:$G$72,5,FALSE))</f>
        <v>17</v>
      </c>
      <c r="AA25" s="28">
        <f>IF(D25&gt;=96,"-",VLOOKUP($C25,'64b66b_data'!$A$5:$G$72,6,FALSE))</f>
        <v>993</v>
      </c>
      <c r="AB25" s="28">
        <f>IF(D25&gt;=96,"-",VLOOKUP($C25,'64b66b_data'!$A$5:$G$72,7,FALSE))</f>
        <v>1648</v>
      </c>
      <c r="AC25" s="27">
        <f t="shared" si="6"/>
        <v>177</v>
      </c>
      <c r="AD25" s="27">
        <f t="shared" si="7"/>
        <v>832</v>
      </c>
      <c r="AE25" s="18" t="str">
        <f t="shared" si="8"/>
        <v>Yes</v>
      </c>
      <c r="AF25" s="18" t="str">
        <f t="shared" si="9"/>
        <v>Yes</v>
      </c>
    </row>
    <row r="26" spans="1:32" x14ac:dyDescent="0.3">
      <c r="A26" s="9">
        <v>3</v>
      </c>
      <c r="B26" s="9">
        <v>16</v>
      </c>
      <c r="C26" s="19">
        <f t="shared" si="10"/>
        <v>3016</v>
      </c>
      <c r="D26" s="9">
        <v>64</v>
      </c>
      <c r="E26" s="19">
        <f t="shared" si="11"/>
        <v>32</v>
      </c>
      <c r="F26" s="19">
        <f t="shared" si="12"/>
        <v>0.5</v>
      </c>
      <c r="G26" s="19">
        <f t="shared" si="13"/>
        <v>16</v>
      </c>
      <c r="H26" s="20">
        <f>VLOOKUP($D26,'8b10b_data'!$L$5:$P$19,4,FALSE)</f>
        <v>623</v>
      </c>
      <c r="I26" s="21">
        <f>VLOOKUP($D26,'8b10b_data'!$L$5:$P$19,5,FALSE)</f>
        <v>788</v>
      </c>
      <c r="J26" s="22">
        <f>VLOOKUP($D26,'64b66b_data'!$L$5:$P$19,4,FALSE)</f>
        <v>629</v>
      </c>
      <c r="K26" s="23">
        <f>VLOOKUP($D26,'64b66b_data'!$L$5:$P$19,5,FALSE)</f>
        <v>794</v>
      </c>
      <c r="L26" s="24">
        <f t="shared" si="0"/>
        <v>201</v>
      </c>
      <c r="M26" s="24">
        <v>944</v>
      </c>
      <c r="N26" s="9">
        <f t="shared" si="1"/>
        <v>0</v>
      </c>
      <c r="O26" s="9">
        <f t="shared" si="2"/>
        <v>1</v>
      </c>
      <c r="P26" s="9">
        <f t="shared" si="14"/>
        <v>1366</v>
      </c>
      <c r="Q26" s="9">
        <f t="shared" si="15"/>
        <v>1531</v>
      </c>
      <c r="R26" s="9">
        <f t="shared" si="17"/>
        <v>1372</v>
      </c>
      <c r="S26" s="9">
        <f t="shared" si="18"/>
        <v>1537</v>
      </c>
      <c r="T26" s="25"/>
      <c r="U26" s="26">
        <f>VLOOKUP($C26,'8b10b_data'!$A$5:$G$103,5,FALSE)</f>
        <v>15</v>
      </c>
      <c r="V26" s="26">
        <f>VLOOKUP($C26,'8b10b_data'!$A$5:$G$103,6,FALSE)</f>
        <v>1161</v>
      </c>
      <c r="W26" s="26">
        <f>VLOOKUP($C26,'8b10b_data'!$A$5:$G$103,7,FALSE)</f>
        <v>1904</v>
      </c>
      <c r="X26" s="27">
        <f t="shared" si="16"/>
        <v>201</v>
      </c>
      <c r="Y26" s="27">
        <f t="shared" si="5"/>
        <v>944</v>
      </c>
      <c r="Z26" s="28">
        <f>IF(D26&gt;=96,"-",VLOOKUP($C26,'64b66b_data'!$A$5:$G$72,5,FALSE))</f>
        <v>15</v>
      </c>
      <c r="AA26" s="28">
        <f>IF(D26&gt;=96,"-",VLOOKUP($C26,'64b66b_data'!$A$5:$G$72,6,FALSE))</f>
        <v>1161</v>
      </c>
      <c r="AB26" s="28">
        <f>IF(D26&gt;=96,"-",VLOOKUP($C26,'64b66b_data'!$A$5:$G$72,7,FALSE))</f>
        <v>1904</v>
      </c>
      <c r="AC26" s="27">
        <f t="shared" si="6"/>
        <v>201</v>
      </c>
      <c r="AD26" s="27">
        <f t="shared" si="7"/>
        <v>944</v>
      </c>
      <c r="AE26" s="18" t="str">
        <f t="shared" si="8"/>
        <v>Yes</v>
      </c>
      <c r="AF26" s="18" t="str">
        <f t="shared" si="9"/>
        <v>Yes</v>
      </c>
    </row>
    <row r="27" spans="1:32" x14ac:dyDescent="0.3">
      <c r="A27" s="9">
        <v>3</v>
      </c>
      <c r="B27" s="9">
        <v>24</v>
      </c>
      <c r="C27" s="19">
        <f t="shared" si="10"/>
        <v>3024</v>
      </c>
      <c r="D27" s="9">
        <v>96</v>
      </c>
      <c r="E27" s="19">
        <f t="shared" si="11"/>
        <v>48</v>
      </c>
      <c r="F27" s="19">
        <f t="shared" si="12"/>
        <v>0.5</v>
      </c>
      <c r="G27" s="19">
        <f t="shared" si="13"/>
        <v>24</v>
      </c>
      <c r="H27" s="20">
        <f>VLOOKUP($D27,'8b10b_data'!$L$5:$P$19,4,FALSE)</f>
        <v>919</v>
      </c>
      <c r="I27" s="21">
        <f>VLOOKUP($D27,'8b10b_data'!$L$5:$P$19,5,FALSE)</f>
        <v>1171</v>
      </c>
      <c r="J27" s="22" t="str">
        <f>VLOOKUP($D27,'64b66b_data'!$L$5:$P$19,4,FALSE)</f>
        <v>-</v>
      </c>
      <c r="K27" s="23" t="str">
        <f>VLOOKUP($D27,'64b66b_data'!$L$5:$P$19,5,FALSE)</f>
        <v>-</v>
      </c>
      <c r="L27" s="24">
        <f t="shared" si="0"/>
        <v>273</v>
      </c>
      <c r="M27" s="24">
        <v>1224</v>
      </c>
      <c r="N27" s="9">
        <f t="shared" si="1"/>
        <v>0</v>
      </c>
      <c r="O27" s="9">
        <f t="shared" si="2"/>
        <v>1</v>
      </c>
      <c r="P27" s="9">
        <f t="shared" si="14"/>
        <v>1870</v>
      </c>
      <c r="Q27" s="9">
        <f t="shared" si="15"/>
        <v>2122</v>
      </c>
      <c r="R27" s="9" t="str">
        <f t="shared" si="17"/>
        <v>-</v>
      </c>
      <c r="S27" s="9" t="str">
        <f t="shared" si="18"/>
        <v>-</v>
      </c>
      <c r="T27" s="25"/>
      <c r="U27" s="26">
        <f>VLOOKUP($C27,'8b10b_data'!$A$5:$G$103,5,FALSE)</f>
        <v>16</v>
      </c>
      <c r="V27" s="26">
        <f>VLOOKUP($C27,'8b10b_data'!$A$5:$G$103,6,FALSE)</f>
        <v>1809</v>
      </c>
      <c r="W27" s="26">
        <f>VLOOKUP($C27,'8b10b_data'!$A$5:$G$103,7,FALSE)</f>
        <v>2760</v>
      </c>
      <c r="X27" s="27">
        <f t="shared" si="16"/>
        <v>273</v>
      </c>
      <c r="Y27" s="27">
        <f t="shared" si="5"/>
        <v>1224</v>
      </c>
      <c r="Z27" s="28" t="str">
        <f>IF(D27&gt;=96,"-",VLOOKUP($C27,'64b66b_data'!$A$5:$G$72,5,FALSE))</f>
        <v>-</v>
      </c>
      <c r="AA27" s="28" t="str">
        <f>IF(D27&gt;=96,"-",VLOOKUP($C27,'64b66b_data'!$A$5:$G$72,6,FALSE))</f>
        <v>-</v>
      </c>
      <c r="AB27" s="28" t="str">
        <f>IF(D27&gt;=96,"-",VLOOKUP($C27,'64b66b_data'!$A$5:$G$72,7,FALSE))</f>
        <v>-</v>
      </c>
      <c r="AC27" s="27">
        <f t="shared" si="6"/>
        <v>273</v>
      </c>
      <c r="AD27" s="27">
        <f t="shared" si="7"/>
        <v>1224</v>
      </c>
      <c r="AE27" s="18" t="str">
        <f t="shared" si="8"/>
        <v>Yes</v>
      </c>
      <c r="AF27" s="18" t="str">
        <f t="shared" si="9"/>
        <v>Yes</v>
      </c>
    </row>
    <row r="28" spans="1:32" x14ac:dyDescent="0.3">
      <c r="A28" s="9">
        <v>3</v>
      </c>
      <c r="B28" s="9">
        <v>32</v>
      </c>
      <c r="C28" s="19">
        <f t="shared" si="10"/>
        <v>3032</v>
      </c>
      <c r="D28" s="9">
        <v>128</v>
      </c>
      <c r="E28" s="19">
        <f t="shared" si="11"/>
        <v>32</v>
      </c>
      <c r="F28" s="19">
        <f t="shared" si="12"/>
        <v>0.25</v>
      </c>
      <c r="G28" s="19">
        <f t="shared" si="13"/>
        <v>32</v>
      </c>
      <c r="H28" s="20">
        <f>VLOOKUP($D28,'8b10b_data'!$L$5:$P$19,4,FALSE)</f>
        <v>1014</v>
      </c>
      <c r="I28" s="21">
        <f>VLOOKUP($D28,'8b10b_data'!$L$5:$P$19,5,FALSE)</f>
        <v>1325</v>
      </c>
      <c r="J28" s="22" t="str">
        <f>VLOOKUP($D28,'64b66b_data'!$L$5:$P$19,4,FALSE)</f>
        <v>-</v>
      </c>
      <c r="K28" s="23" t="str">
        <f>VLOOKUP($D28,'64b66b_data'!$L$5:$P$19,5,FALSE)</f>
        <v>-</v>
      </c>
      <c r="L28" s="24">
        <f t="shared" si="0"/>
        <v>329</v>
      </c>
      <c r="M28" s="24">
        <v>1526</v>
      </c>
      <c r="N28" s="9">
        <f t="shared" si="1"/>
        <v>0</v>
      </c>
      <c r="O28" s="9">
        <f t="shared" si="2"/>
        <v>1</v>
      </c>
      <c r="P28" s="9">
        <f t="shared" si="14"/>
        <v>2211</v>
      </c>
      <c r="Q28" s="9">
        <f t="shared" si="15"/>
        <v>2522</v>
      </c>
      <c r="R28" s="9" t="str">
        <f t="shared" si="17"/>
        <v>-</v>
      </c>
      <c r="S28" s="9" t="str">
        <f t="shared" si="18"/>
        <v>-</v>
      </c>
      <c r="T28" s="25"/>
      <c r="U28" s="26">
        <f>VLOOKUP($C28,'8b10b_data'!$A$5:$G$103,5,FALSE)</f>
        <v>14</v>
      </c>
      <c r="V28" s="26">
        <f>VLOOKUP($C28,'8b10b_data'!$A$5:$G$103,6,FALSE)</f>
        <v>2121</v>
      </c>
      <c r="W28" s="26">
        <f>VLOOKUP($C28,'8b10b_data'!$A$5:$G$103,7,FALSE)</f>
        <v>3318</v>
      </c>
      <c r="X28" s="27">
        <f t="shared" si="16"/>
        <v>329</v>
      </c>
      <c r="Y28" s="27">
        <f t="shared" si="5"/>
        <v>1526</v>
      </c>
      <c r="Z28" s="28" t="str">
        <f>IF(D28&gt;=96,"-",VLOOKUP($C28,'64b66b_data'!$A$5:$G$72,5,FALSE))</f>
        <v>-</v>
      </c>
      <c r="AA28" s="28" t="str">
        <f>IF(D28&gt;=96,"-",VLOOKUP($C28,'64b66b_data'!$A$5:$G$72,6,FALSE))</f>
        <v>-</v>
      </c>
      <c r="AB28" s="28" t="str">
        <f>IF(D28&gt;=96,"-",VLOOKUP($C28,'64b66b_data'!$A$5:$G$72,7,FALSE))</f>
        <v>-</v>
      </c>
      <c r="AC28" s="27">
        <f t="shared" si="6"/>
        <v>329</v>
      </c>
      <c r="AD28" s="27">
        <f t="shared" si="7"/>
        <v>1526</v>
      </c>
      <c r="AE28" s="18" t="str">
        <f t="shared" si="8"/>
        <v>Yes</v>
      </c>
      <c r="AF28" s="18" t="str">
        <f t="shared" si="9"/>
        <v>Yes</v>
      </c>
    </row>
    <row r="29" spans="1:32" x14ac:dyDescent="0.3">
      <c r="A29" s="9">
        <v>4</v>
      </c>
      <c r="B29" s="9">
        <v>4</v>
      </c>
      <c r="C29" s="19">
        <f t="shared" si="10"/>
        <v>4004</v>
      </c>
      <c r="D29" s="9">
        <v>8</v>
      </c>
      <c r="E29" s="19">
        <f t="shared" si="11"/>
        <v>8</v>
      </c>
      <c r="F29" s="19">
        <f t="shared" si="12"/>
        <v>1</v>
      </c>
      <c r="G29" s="19">
        <f t="shared" si="13"/>
        <v>16</v>
      </c>
      <c r="H29" s="20">
        <f>VLOOKUP($D29,'8b10b_data'!$L$5:$P$19,4,FALSE)</f>
        <v>97</v>
      </c>
      <c r="I29" s="21">
        <f>VLOOKUP($D29,'8b10b_data'!$L$5:$P$19,5,FALSE)</f>
        <v>119</v>
      </c>
      <c r="J29" s="22">
        <f>VLOOKUP($D29,'64b66b_data'!$L$5:$P$19,4,FALSE)</f>
        <v>91</v>
      </c>
      <c r="K29" s="23">
        <f>VLOOKUP($D29,'64b66b_data'!$L$5:$P$19,5,FALSE)</f>
        <v>114</v>
      </c>
      <c r="L29" s="24">
        <f t="shared" si="0"/>
        <v>77</v>
      </c>
      <c r="M29" s="24">
        <v>470</v>
      </c>
      <c r="N29" s="9">
        <f t="shared" si="1"/>
        <v>1</v>
      </c>
      <c r="O29" s="9">
        <f t="shared" si="2"/>
        <v>2</v>
      </c>
      <c r="P29" s="9">
        <f t="shared" si="14"/>
        <v>490</v>
      </c>
      <c r="Q29" s="9">
        <f t="shared" si="15"/>
        <v>520</v>
      </c>
      <c r="R29" s="9">
        <f t="shared" si="17"/>
        <v>484</v>
      </c>
      <c r="S29" s="9">
        <f t="shared" si="18"/>
        <v>515</v>
      </c>
      <c r="T29" s="25"/>
      <c r="U29" s="26">
        <f>VLOOKUP($C29,'8b10b_data'!$A$5:$G$103,5,FALSE)</f>
        <v>12</v>
      </c>
      <c r="V29" s="26">
        <f>VLOOKUP($C29,'8b10b_data'!$A$5:$G$103,6,FALSE)</f>
        <v>173</v>
      </c>
      <c r="W29" s="26">
        <f>VLOOKUP($C29,'8b10b_data'!$A$5:$G$103,7,FALSE)</f>
        <v>566</v>
      </c>
      <c r="X29" s="27">
        <f t="shared" si="16"/>
        <v>77</v>
      </c>
      <c r="Y29" s="27">
        <f t="shared" si="5"/>
        <v>470</v>
      </c>
      <c r="Z29" s="28">
        <f>IF(D29&gt;=96,"-",VLOOKUP($C29,'64b66b_data'!$A$5:$G$72,5,FALSE))</f>
        <v>12</v>
      </c>
      <c r="AA29" s="28">
        <f>IF(D29&gt;=96,"-",VLOOKUP($C29,'64b66b_data'!$A$5:$G$72,6,FALSE))</f>
        <v>173</v>
      </c>
      <c r="AB29" s="28">
        <f>IF(D29&gt;=96,"-",VLOOKUP($C29,'64b66b_data'!$A$5:$G$72,7,FALSE))</f>
        <v>566</v>
      </c>
      <c r="AC29" s="27">
        <f t="shared" si="6"/>
        <v>77</v>
      </c>
      <c r="AD29" s="27">
        <f t="shared" si="7"/>
        <v>470</v>
      </c>
      <c r="AE29" s="18" t="str">
        <f t="shared" si="8"/>
        <v>Yes</v>
      </c>
      <c r="AF29" s="18" t="str">
        <f t="shared" si="9"/>
        <v>Yes</v>
      </c>
    </row>
    <row r="30" spans="1:32" x14ac:dyDescent="0.3">
      <c r="A30" s="9">
        <v>4</v>
      </c>
      <c r="B30" s="9">
        <v>6</v>
      </c>
      <c r="C30" s="19">
        <f t="shared" si="10"/>
        <v>4006</v>
      </c>
      <c r="D30" s="9">
        <v>12</v>
      </c>
      <c r="E30" s="19">
        <f t="shared" si="11"/>
        <v>12</v>
      </c>
      <c r="F30" s="19">
        <f t="shared" si="12"/>
        <v>1</v>
      </c>
      <c r="G30" s="19">
        <f t="shared" si="13"/>
        <v>24</v>
      </c>
      <c r="H30" s="20">
        <f>VLOOKUP($D30,'8b10b_data'!$L$5:$P$19,4,FALSE)</f>
        <v>149</v>
      </c>
      <c r="I30" s="21">
        <f>VLOOKUP($D30,'8b10b_data'!$L$5:$P$19,5,FALSE)</f>
        <v>177</v>
      </c>
      <c r="J30" s="22">
        <f>VLOOKUP($D30,'64b66b_data'!$L$5:$P$19,4,FALSE)</f>
        <v>137</v>
      </c>
      <c r="K30" s="23">
        <f>VLOOKUP($D30,'64b66b_data'!$L$5:$P$19,5,FALSE)</f>
        <v>171</v>
      </c>
      <c r="L30" s="24">
        <f t="shared" si="0"/>
        <v>87</v>
      </c>
      <c r="M30" s="24">
        <v>578</v>
      </c>
      <c r="N30" s="9">
        <f t="shared" si="1"/>
        <v>1</v>
      </c>
      <c r="O30" s="9">
        <f t="shared" si="2"/>
        <v>2</v>
      </c>
      <c r="P30" s="9">
        <f t="shared" si="14"/>
        <v>640</v>
      </c>
      <c r="Q30" s="9">
        <f t="shared" si="15"/>
        <v>680</v>
      </c>
      <c r="R30" s="9">
        <f t="shared" si="17"/>
        <v>628</v>
      </c>
      <c r="S30" s="9">
        <f t="shared" si="18"/>
        <v>674</v>
      </c>
      <c r="T30" s="25"/>
      <c r="U30" s="26">
        <f>VLOOKUP($C30,'8b10b_data'!$A$5:$G$103,5,FALSE)</f>
        <v>14</v>
      </c>
      <c r="V30" s="26">
        <f>VLOOKUP($C30,'8b10b_data'!$A$5:$G$103,6,FALSE)</f>
        <v>255</v>
      </c>
      <c r="W30" s="26">
        <f>VLOOKUP($C30,'8b10b_data'!$A$5:$G$103,7,FALSE)</f>
        <v>746</v>
      </c>
      <c r="X30" s="27">
        <f t="shared" si="16"/>
        <v>87</v>
      </c>
      <c r="Y30" s="27">
        <f t="shared" si="5"/>
        <v>578</v>
      </c>
      <c r="Z30" s="28">
        <f>IF(D30&gt;=96,"-",VLOOKUP($C30,'64b66b_data'!$A$5:$G$72,5,FALSE))</f>
        <v>13</v>
      </c>
      <c r="AA30" s="28">
        <f>IF(D30&gt;=96,"-",VLOOKUP($C30,'64b66b_data'!$A$5:$G$72,6,FALSE))</f>
        <v>243</v>
      </c>
      <c r="AB30" s="28">
        <f>IF(D30&gt;=96,"-",VLOOKUP($C30,'64b66b_data'!$A$5:$G$72,7,FALSE))</f>
        <v>746</v>
      </c>
      <c r="AC30" s="27">
        <f t="shared" si="6"/>
        <v>87</v>
      </c>
      <c r="AD30" s="27">
        <f t="shared" si="7"/>
        <v>578</v>
      </c>
      <c r="AE30" s="18" t="str">
        <f t="shared" si="8"/>
        <v>Yes</v>
      </c>
      <c r="AF30" s="18" t="str">
        <f t="shared" si="9"/>
        <v>Yes</v>
      </c>
    </row>
    <row r="31" spans="1:32" x14ac:dyDescent="0.3">
      <c r="A31" s="9">
        <v>4</v>
      </c>
      <c r="B31" s="9">
        <v>8</v>
      </c>
      <c r="C31" s="19">
        <f t="shared" si="10"/>
        <v>4008</v>
      </c>
      <c r="D31" s="9">
        <v>16</v>
      </c>
      <c r="E31" s="19">
        <f t="shared" si="11"/>
        <v>16</v>
      </c>
      <c r="F31" s="19">
        <f t="shared" si="12"/>
        <v>1</v>
      </c>
      <c r="G31" s="19">
        <f t="shared" si="13"/>
        <v>16</v>
      </c>
      <c r="H31" s="20">
        <f>VLOOKUP($D31,'8b10b_data'!$L$5:$P$19,4,FALSE)</f>
        <v>192</v>
      </c>
      <c r="I31" s="21">
        <f>VLOOKUP($D31,'8b10b_data'!$L$5:$P$19,5,FALSE)</f>
        <v>238</v>
      </c>
      <c r="J31" s="22">
        <f>VLOOKUP($D31,'64b66b_data'!$L$5:$P$19,4,FALSE)</f>
        <v>181</v>
      </c>
      <c r="K31" s="23">
        <f>VLOOKUP($D31,'64b66b_data'!$L$5:$P$19,5,FALSE)</f>
        <v>226</v>
      </c>
      <c r="L31" s="24">
        <f t="shared" si="0"/>
        <v>97</v>
      </c>
      <c r="M31" s="24">
        <v>628</v>
      </c>
      <c r="N31" s="9">
        <f t="shared" si="1"/>
        <v>0</v>
      </c>
      <c r="O31" s="9">
        <f t="shared" si="2"/>
        <v>1</v>
      </c>
      <c r="P31" s="9">
        <f t="shared" si="14"/>
        <v>723</v>
      </c>
      <c r="Q31" s="9">
        <f t="shared" si="15"/>
        <v>769</v>
      </c>
      <c r="R31" s="9">
        <f t="shared" si="17"/>
        <v>712</v>
      </c>
      <c r="S31" s="9">
        <f t="shared" si="18"/>
        <v>757</v>
      </c>
      <c r="T31" s="25"/>
      <c r="U31" s="26">
        <f>VLOOKUP($C31,'8b10b_data'!$A$5:$G$103,5,FALSE)</f>
        <v>16</v>
      </c>
      <c r="V31" s="26">
        <f>VLOOKUP($C31,'8b10b_data'!$A$5:$G$103,6,FALSE)</f>
        <v>353</v>
      </c>
      <c r="W31" s="26">
        <f>VLOOKUP($C31,'8b10b_data'!$A$5:$G$103,7,FALSE)</f>
        <v>884</v>
      </c>
      <c r="X31" s="27">
        <f t="shared" si="16"/>
        <v>97</v>
      </c>
      <c r="Y31" s="27">
        <f t="shared" si="5"/>
        <v>628</v>
      </c>
      <c r="Z31" s="28">
        <f>IF(D31&gt;=96,"-",VLOOKUP($C31,'64b66b_data'!$A$5:$G$72,5,FALSE))</f>
        <v>15</v>
      </c>
      <c r="AA31" s="28">
        <f>IF(D31&gt;=96,"-",VLOOKUP($C31,'64b66b_data'!$A$5:$G$72,6,FALSE))</f>
        <v>337</v>
      </c>
      <c r="AB31" s="28">
        <f>IF(D31&gt;=96,"-",VLOOKUP($C31,'64b66b_data'!$A$5:$G$72,7,FALSE))</f>
        <v>868</v>
      </c>
      <c r="AC31" s="27">
        <f t="shared" si="6"/>
        <v>97</v>
      </c>
      <c r="AD31" s="27">
        <f t="shared" si="7"/>
        <v>628</v>
      </c>
      <c r="AE31" s="18" t="str">
        <f t="shared" si="8"/>
        <v>Yes</v>
      </c>
      <c r="AF31" s="18" t="str">
        <f t="shared" si="9"/>
        <v>Yes</v>
      </c>
    </row>
    <row r="32" spans="1:32" x14ac:dyDescent="0.3">
      <c r="A32" s="9">
        <v>4</v>
      </c>
      <c r="B32" s="9">
        <v>12</v>
      </c>
      <c r="C32" s="19">
        <f t="shared" si="10"/>
        <v>4012</v>
      </c>
      <c r="D32" s="9">
        <v>24</v>
      </c>
      <c r="E32" s="19">
        <f t="shared" si="11"/>
        <v>24</v>
      </c>
      <c r="F32" s="19">
        <f t="shared" si="12"/>
        <v>1</v>
      </c>
      <c r="G32" s="19">
        <f t="shared" si="13"/>
        <v>24</v>
      </c>
      <c r="H32" s="20">
        <f>VLOOKUP($D32,'8b10b_data'!$L$5:$P$19,4,FALSE)</f>
        <v>290</v>
      </c>
      <c r="I32" s="21">
        <f>VLOOKUP($D32,'8b10b_data'!$L$5:$P$19,5,FALSE)</f>
        <v>357</v>
      </c>
      <c r="J32" s="22">
        <f>VLOOKUP($D32,'64b66b_data'!$L$5:$P$19,4,FALSE)</f>
        <v>273</v>
      </c>
      <c r="K32" s="23">
        <f>VLOOKUP($D32,'64b66b_data'!$L$5:$P$19,5,FALSE)</f>
        <v>339</v>
      </c>
      <c r="L32" s="24">
        <f t="shared" si="0"/>
        <v>117</v>
      </c>
      <c r="M32" s="24">
        <v>784</v>
      </c>
      <c r="N32" s="9">
        <f t="shared" si="1"/>
        <v>0</v>
      </c>
      <c r="O32" s="9">
        <f t="shared" si="2"/>
        <v>1</v>
      </c>
      <c r="P32" s="9">
        <f t="shared" si="14"/>
        <v>957</v>
      </c>
      <c r="Q32" s="9">
        <f t="shared" si="15"/>
        <v>1024</v>
      </c>
      <c r="R32" s="9">
        <f t="shared" si="17"/>
        <v>940</v>
      </c>
      <c r="S32" s="9">
        <f t="shared" si="18"/>
        <v>1006</v>
      </c>
      <c r="T32" s="25"/>
      <c r="U32" s="26">
        <f>VLOOKUP($C32,'8b10b_data'!$A$5:$G$103,5,FALSE)</f>
        <v>16</v>
      </c>
      <c r="V32" s="26">
        <f>VLOOKUP($C32,'8b10b_data'!$A$5:$G$103,6,FALSE)</f>
        <v>501</v>
      </c>
      <c r="W32" s="26">
        <f>VLOOKUP($C32,'8b10b_data'!$A$5:$G$103,7,FALSE)</f>
        <v>1168</v>
      </c>
      <c r="X32" s="27">
        <f t="shared" si="16"/>
        <v>117</v>
      </c>
      <c r="Y32" s="27">
        <f t="shared" si="5"/>
        <v>784</v>
      </c>
      <c r="Z32" s="28">
        <f>IF(D32&gt;=96,"-",VLOOKUP($C32,'64b66b_data'!$A$5:$G$72,5,FALSE))</f>
        <v>16</v>
      </c>
      <c r="AA32" s="28">
        <f>IF(D32&gt;=96,"-",VLOOKUP($C32,'64b66b_data'!$A$5:$G$72,6,FALSE))</f>
        <v>501</v>
      </c>
      <c r="AB32" s="28">
        <f>IF(D32&gt;=96,"-",VLOOKUP($C32,'64b66b_data'!$A$5:$G$72,7,FALSE))</f>
        <v>1168</v>
      </c>
      <c r="AC32" s="27">
        <f t="shared" si="6"/>
        <v>117</v>
      </c>
      <c r="AD32" s="27">
        <f t="shared" si="7"/>
        <v>784</v>
      </c>
      <c r="AE32" s="18" t="str">
        <f t="shared" si="8"/>
        <v>Yes</v>
      </c>
      <c r="AF32" s="18" t="str">
        <f t="shared" si="9"/>
        <v>Yes</v>
      </c>
    </row>
    <row r="33" spans="1:32" x14ac:dyDescent="0.3">
      <c r="A33" s="9">
        <v>4</v>
      </c>
      <c r="B33" s="9">
        <v>16</v>
      </c>
      <c r="C33" s="19">
        <f t="shared" si="10"/>
        <v>4016</v>
      </c>
      <c r="D33" s="9">
        <v>32</v>
      </c>
      <c r="E33" s="19">
        <f t="shared" si="11"/>
        <v>32</v>
      </c>
      <c r="F33" s="19">
        <f t="shared" si="12"/>
        <v>1</v>
      </c>
      <c r="G33" s="19">
        <f t="shared" si="13"/>
        <v>16</v>
      </c>
      <c r="H33" s="20">
        <f>VLOOKUP($D33,'8b10b_data'!$L$5:$P$19,4,FALSE)</f>
        <v>384</v>
      </c>
      <c r="I33" s="21">
        <f>VLOOKUP($D33,'8b10b_data'!$L$5:$P$19,5,FALSE)</f>
        <v>477</v>
      </c>
      <c r="J33" s="22">
        <f>VLOOKUP($D33,'64b66b_data'!$L$5:$P$19,4,FALSE)</f>
        <v>362</v>
      </c>
      <c r="K33" s="23">
        <f>VLOOKUP($D33,'64b66b_data'!$L$5:$P$19,5,FALSE)</f>
        <v>455</v>
      </c>
      <c r="L33" s="24">
        <f t="shared" si="0"/>
        <v>137</v>
      </c>
      <c r="M33" s="24">
        <v>896</v>
      </c>
      <c r="N33" s="9">
        <f t="shared" si="1"/>
        <v>0</v>
      </c>
      <c r="O33" s="9">
        <f t="shared" si="2"/>
        <v>1</v>
      </c>
      <c r="P33" s="9">
        <f t="shared" si="14"/>
        <v>1143</v>
      </c>
      <c r="Q33" s="9">
        <f t="shared" si="15"/>
        <v>1236</v>
      </c>
      <c r="R33" s="9">
        <f t="shared" si="17"/>
        <v>1121</v>
      </c>
      <c r="S33" s="9">
        <f t="shared" si="18"/>
        <v>1214</v>
      </c>
      <c r="T33" s="25"/>
      <c r="U33" s="26">
        <f>VLOOKUP($C33,'8b10b_data'!$A$5:$G$103,5,FALSE)</f>
        <v>17</v>
      </c>
      <c r="V33" s="26">
        <f>VLOOKUP($C33,'8b10b_data'!$A$5:$G$103,6,FALSE)</f>
        <v>681</v>
      </c>
      <c r="W33" s="26">
        <f>VLOOKUP($C33,'8b10b_data'!$A$5:$G$103,7,FALSE)</f>
        <v>1440</v>
      </c>
      <c r="X33" s="27">
        <f t="shared" si="16"/>
        <v>137</v>
      </c>
      <c r="Y33" s="27">
        <f t="shared" si="5"/>
        <v>896</v>
      </c>
      <c r="Z33" s="28">
        <f>IF(D33&gt;=96,"-",VLOOKUP($C33,'64b66b_data'!$A$5:$G$72,5,FALSE))</f>
        <v>16</v>
      </c>
      <c r="AA33" s="28">
        <f>IF(D33&gt;=96,"-",VLOOKUP($C33,'64b66b_data'!$A$5:$G$72,6,FALSE))</f>
        <v>649</v>
      </c>
      <c r="AB33" s="28">
        <f>IF(D33&gt;=96,"-",VLOOKUP($C33,'64b66b_data'!$A$5:$G$72,7,FALSE))</f>
        <v>1408</v>
      </c>
      <c r="AC33" s="27">
        <f t="shared" si="6"/>
        <v>137</v>
      </c>
      <c r="AD33" s="27">
        <f t="shared" si="7"/>
        <v>896</v>
      </c>
      <c r="AE33" s="18" t="str">
        <f t="shared" si="8"/>
        <v>Yes</v>
      </c>
      <c r="AF33" s="18" t="str">
        <f t="shared" si="9"/>
        <v>Yes</v>
      </c>
    </row>
    <row r="34" spans="1:32" x14ac:dyDescent="0.3">
      <c r="A34" s="9">
        <v>4</v>
      </c>
      <c r="B34" s="9">
        <v>24</v>
      </c>
      <c r="C34" s="19">
        <f t="shared" si="10"/>
        <v>4024</v>
      </c>
      <c r="D34" s="9">
        <v>48</v>
      </c>
      <c r="E34" s="19">
        <f t="shared" si="11"/>
        <v>48</v>
      </c>
      <c r="F34" s="19">
        <f t="shared" si="12"/>
        <v>1</v>
      </c>
      <c r="G34" s="19">
        <f t="shared" si="13"/>
        <v>24</v>
      </c>
      <c r="H34" s="20">
        <f>VLOOKUP($D34,'8b10b_data'!$L$5:$P$19,4,FALSE)</f>
        <v>578</v>
      </c>
      <c r="I34" s="21">
        <f>VLOOKUP($D34,'8b10b_data'!$L$5:$P$19,5,FALSE)</f>
        <v>710</v>
      </c>
      <c r="J34" s="22">
        <f>VLOOKUP($D34,'64b66b_data'!$L$5:$P$19,4,FALSE)</f>
        <v>542</v>
      </c>
      <c r="K34" s="23">
        <f>VLOOKUP($D34,'64b66b_data'!$L$5:$P$19,5,FALSE)</f>
        <v>681</v>
      </c>
      <c r="L34" s="24">
        <f t="shared" si="0"/>
        <v>177</v>
      </c>
      <c r="M34" s="24">
        <v>1152</v>
      </c>
      <c r="N34" s="9">
        <f t="shared" si="1"/>
        <v>0</v>
      </c>
      <c r="O34" s="9">
        <f t="shared" si="2"/>
        <v>1</v>
      </c>
      <c r="P34" s="9">
        <f t="shared" si="14"/>
        <v>1553</v>
      </c>
      <c r="Q34" s="9">
        <f t="shared" si="15"/>
        <v>1685</v>
      </c>
      <c r="R34" s="9">
        <f t="shared" si="17"/>
        <v>1517</v>
      </c>
      <c r="S34" s="9">
        <f t="shared" si="18"/>
        <v>1656</v>
      </c>
      <c r="T34" s="25"/>
      <c r="U34" s="26">
        <f>VLOOKUP($C34,'8b10b_data'!$A$5:$G$103,5,FALSE)</f>
        <v>18</v>
      </c>
      <c r="V34" s="26">
        <f>VLOOKUP($C34,'8b10b_data'!$A$5:$G$103,6,FALSE)</f>
        <v>1041</v>
      </c>
      <c r="W34" s="26">
        <f>VLOOKUP($C34,'8b10b_data'!$A$5:$G$103,7,FALSE)</f>
        <v>2016</v>
      </c>
      <c r="X34" s="27">
        <f t="shared" si="16"/>
        <v>177</v>
      </c>
      <c r="Y34" s="27">
        <f t="shared" si="5"/>
        <v>1152</v>
      </c>
      <c r="Z34" s="28">
        <f>IF(D34&gt;=96,"-",VLOOKUP($C34,'64b66b_data'!$A$5:$G$72,5,FALSE))</f>
        <v>17</v>
      </c>
      <c r="AA34" s="28">
        <f>IF(D34&gt;=96,"-",VLOOKUP($C34,'64b66b_data'!$A$5:$G$72,6,FALSE))</f>
        <v>993</v>
      </c>
      <c r="AB34" s="28">
        <f>IF(D34&gt;=96,"-",VLOOKUP($C34,'64b66b_data'!$A$5:$G$72,7,FALSE))</f>
        <v>1968</v>
      </c>
      <c r="AC34" s="27">
        <f t="shared" si="6"/>
        <v>177</v>
      </c>
      <c r="AD34" s="27">
        <f t="shared" si="7"/>
        <v>1152</v>
      </c>
      <c r="AE34" s="18" t="str">
        <f t="shared" si="8"/>
        <v>Yes</v>
      </c>
      <c r="AF34" s="18" t="str">
        <f t="shared" si="9"/>
        <v>Yes</v>
      </c>
    </row>
    <row r="35" spans="1:32" x14ac:dyDescent="0.3">
      <c r="A35" s="9">
        <v>4</v>
      </c>
      <c r="B35" s="9">
        <v>32</v>
      </c>
      <c r="C35" s="19">
        <f t="shared" si="10"/>
        <v>4032</v>
      </c>
      <c r="D35" s="9">
        <v>64</v>
      </c>
      <c r="E35" s="19">
        <f t="shared" si="11"/>
        <v>32</v>
      </c>
      <c r="F35" s="19">
        <f t="shared" si="12"/>
        <v>0.5</v>
      </c>
      <c r="G35" s="19">
        <f t="shared" si="13"/>
        <v>32</v>
      </c>
      <c r="H35" s="20">
        <f>VLOOKUP($D35,'8b10b_data'!$L$5:$P$19,4,FALSE)</f>
        <v>623</v>
      </c>
      <c r="I35" s="21">
        <f>VLOOKUP($D35,'8b10b_data'!$L$5:$P$19,5,FALSE)</f>
        <v>788</v>
      </c>
      <c r="J35" s="22">
        <f>VLOOKUP($D35,'64b66b_data'!$L$5:$P$19,4,FALSE)</f>
        <v>629</v>
      </c>
      <c r="K35" s="23">
        <f>VLOOKUP($D35,'64b66b_data'!$L$5:$P$19,5,FALSE)</f>
        <v>794</v>
      </c>
      <c r="L35" s="24">
        <f t="shared" si="0"/>
        <v>201</v>
      </c>
      <c r="M35" s="24">
        <v>1398</v>
      </c>
      <c r="N35" s="9">
        <f t="shared" si="1"/>
        <v>0</v>
      </c>
      <c r="O35" s="9">
        <f t="shared" si="2"/>
        <v>1</v>
      </c>
      <c r="P35" s="9">
        <f t="shared" si="14"/>
        <v>1820</v>
      </c>
      <c r="Q35" s="9">
        <f t="shared" si="15"/>
        <v>1985</v>
      </c>
      <c r="R35" s="9">
        <f t="shared" si="17"/>
        <v>1826</v>
      </c>
      <c r="S35" s="9">
        <f t="shared" si="18"/>
        <v>1991</v>
      </c>
      <c r="T35" s="25"/>
      <c r="U35" s="26">
        <f>VLOOKUP($C35,'8b10b_data'!$A$5:$G$103,5,FALSE)</f>
        <v>16</v>
      </c>
      <c r="V35" s="26">
        <f>VLOOKUP($C35,'8b10b_data'!$A$5:$G$103,6,FALSE)</f>
        <v>1225</v>
      </c>
      <c r="W35" s="26">
        <f>VLOOKUP($C35,'8b10b_data'!$A$5:$G$103,7,FALSE)</f>
        <v>2422</v>
      </c>
      <c r="X35" s="27">
        <f t="shared" si="16"/>
        <v>201</v>
      </c>
      <c r="Y35" s="27">
        <f t="shared" si="5"/>
        <v>1398</v>
      </c>
      <c r="Z35" s="28">
        <f>IF(D35&gt;=96,"-",VLOOKUP($C35,'64b66b_data'!$A$5:$G$72,5,FALSE))</f>
        <v>16</v>
      </c>
      <c r="AA35" s="28">
        <f>IF(D35&gt;=96,"-",VLOOKUP($C35,'64b66b_data'!$A$5:$G$72,6,FALSE))</f>
        <v>1225</v>
      </c>
      <c r="AB35" s="28">
        <f>IF(D35&gt;=96,"-",VLOOKUP($C35,'64b66b_data'!$A$5:$G$72,7,FALSE))</f>
        <v>2422</v>
      </c>
      <c r="AC35" s="27">
        <f t="shared" si="6"/>
        <v>201</v>
      </c>
      <c r="AD35" s="27">
        <f t="shared" si="7"/>
        <v>1398</v>
      </c>
      <c r="AE35" s="18" t="str">
        <f t="shared" si="8"/>
        <v>Yes</v>
      </c>
      <c r="AF35" s="18" t="str">
        <f t="shared" si="9"/>
        <v>Yes</v>
      </c>
    </row>
    <row r="36" spans="1:32" x14ac:dyDescent="0.3">
      <c r="A36" s="9">
        <v>4</v>
      </c>
      <c r="B36" s="9">
        <v>48</v>
      </c>
      <c r="C36" s="19">
        <f t="shared" si="10"/>
        <v>4048</v>
      </c>
      <c r="D36" s="9">
        <v>96</v>
      </c>
      <c r="E36" s="19">
        <f t="shared" si="11"/>
        <v>48</v>
      </c>
      <c r="F36" s="19">
        <f t="shared" si="12"/>
        <v>0.5</v>
      </c>
      <c r="G36" s="19">
        <f t="shared" si="13"/>
        <v>48</v>
      </c>
      <c r="H36" s="20">
        <f>VLOOKUP($D36,'8b10b_data'!$L$5:$P$19,4,FALSE)</f>
        <v>919</v>
      </c>
      <c r="I36" s="21">
        <f>VLOOKUP($D36,'8b10b_data'!$L$5:$P$19,5,FALSE)</f>
        <v>1171</v>
      </c>
      <c r="J36" s="22" t="str">
        <f>VLOOKUP($D36,'64b66b_data'!$L$5:$P$19,4,FALSE)</f>
        <v>-</v>
      </c>
      <c r="K36" s="23" t="str">
        <f>VLOOKUP($D36,'64b66b_data'!$L$5:$P$19,5,FALSE)</f>
        <v>-</v>
      </c>
      <c r="L36" s="24">
        <f t="shared" si="0"/>
        <v>273</v>
      </c>
      <c r="M36" s="24">
        <v>1878</v>
      </c>
      <c r="N36" s="9">
        <f t="shared" si="1"/>
        <v>0</v>
      </c>
      <c r="O36" s="9">
        <f t="shared" si="2"/>
        <v>1</v>
      </c>
      <c r="P36" s="9">
        <f t="shared" si="14"/>
        <v>2524</v>
      </c>
      <c r="Q36" s="9">
        <f t="shared" si="15"/>
        <v>2776</v>
      </c>
      <c r="R36" s="9" t="str">
        <f t="shared" si="17"/>
        <v>-</v>
      </c>
      <c r="S36" s="9" t="str">
        <f t="shared" si="18"/>
        <v>-</v>
      </c>
      <c r="T36" s="25"/>
      <c r="U36" s="26">
        <f>VLOOKUP($C36,'8b10b_data'!$A$5:$G$103,5,FALSE)</f>
        <v>16</v>
      </c>
      <c r="V36" s="26">
        <f>VLOOKUP($C36,'8b10b_data'!$A$5:$G$103,6,FALSE)</f>
        <v>1809</v>
      </c>
      <c r="W36" s="26">
        <f>VLOOKUP($C36,'8b10b_data'!$A$5:$G$103,7,FALSE)</f>
        <v>3414</v>
      </c>
      <c r="X36" s="27">
        <f t="shared" si="16"/>
        <v>273</v>
      </c>
      <c r="Y36" s="27">
        <f t="shared" si="5"/>
        <v>1878</v>
      </c>
      <c r="Z36" s="28" t="str">
        <f>IF(D36&gt;=96,"-",VLOOKUP($C36,'64b66b_data'!$A$5:$G$72,5,FALSE))</f>
        <v>-</v>
      </c>
      <c r="AA36" s="28" t="str">
        <f>IF(D36&gt;=96,"-",VLOOKUP($C36,'64b66b_data'!$A$5:$G$72,6,FALSE))</f>
        <v>-</v>
      </c>
      <c r="AB36" s="28" t="str">
        <f>IF(D36&gt;=96,"-",VLOOKUP($C36,'64b66b_data'!$A$5:$G$72,7,FALSE))</f>
        <v>-</v>
      </c>
      <c r="AC36" s="27">
        <f t="shared" si="6"/>
        <v>273</v>
      </c>
      <c r="AD36" s="27">
        <f t="shared" si="7"/>
        <v>1878</v>
      </c>
      <c r="AE36" s="18" t="str">
        <f t="shared" si="8"/>
        <v>Yes</v>
      </c>
      <c r="AF36" s="18" t="str">
        <f t="shared" si="9"/>
        <v>Yes</v>
      </c>
    </row>
    <row r="37" spans="1:32" x14ac:dyDescent="0.3">
      <c r="A37" s="9">
        <v>4</v>
      </c>
      <c r="B37" s="9">
        <v>64</v>
      </c>
      <c r="C37" s="19">
        <f t="shared" si="10"/>
        <v>4064</v>
      </c>
      <c r="D37" s="9">
        <v>128</v>
      </c>
      <c r="E37" s="19">
        <f t="shared" si="11"/>
        <v>32</v>
      </c>
      <c r="F37" s="19">
        <f t="shared" si="12"/>
        <v>0.25</v>
      </c>
      <c r="G37" s="19">
        <f t="shared" si="13"/>
        <v>64</v>
      </c>
      <c r="H37" s="20">
        <f>VLOOKUP($D37,'8b10b_data'!$L$5:$P$19,4,FALSE)</f>
        <v>1014</v>
      </c>
      <c r="I37" s="21">
        <f>VLOOKUP($D37,'8b10b_data'!$L$5:$P$19,5,FALSE)</f>
        <v>1325</v>
      </c>
      <c r="J37" s="22" t="str">
        <f>VLOOKUP($D37,'64b66b_data'!$L$5:$P$19,4,FALSE)</f>
        <v>-</v>
      </c>
      <c r="K37" s="23" t="str">
        <f>VLOOKUP($D37,'64b66b_data'!$L$5:$P$19,5,FALSE)</f>
        <v>-</v>
      </c>
      <c r="L37" s="24">
        <f t="shared" ref="L37:L73" si="19">TSRPROC+TLENACLK+D37*(2+F37/2)</f>
        <v>329</v>
      </c>
      <c r="M37" s="24">
        <v>2466</v>
      </c>
      <c r="N37" s="9">
        <f t="shared" si="1"/>
        <v>0</v>
      </c>
      <c r="O37" s="9">
        <f t="shared" si="2"/>
        <v>1</v>
      </c>
      <c r="P37" s="9">
        <f t="shared" si="14"/>
        <v>3151</v>
      </c>
      <c r="Q37" s="9">
        <f t="shared" si="15"/>
        <v>3462</v>
      </c>
      <c r="R37" s="9" t="str">
        <f t="shared" si="17"/>
        <v>-</v>
      </c>
      <c r="S37" s="9" t="str">
        <f t="shared" si="18"/>
        <v>-</v>
      </c>
      <c r="T37" s="25"/>
      <c r="U37" s="26">
        <f>VLOOKUP($C37,'8b10b_data'!$A$5:$G$103,5,FALSE)</f>
        <v>14</v>
      </c>
      <c r="V37" s="26">
        <f>VLOOKUP($C37,'8b10b_data'!$A$5:$G$103,6,FALSE)</f>
        <v>2121</v>
      </c>
      <c r="W37" s="26">
        <f>VLOOKUP($C37,'8b10b_data'!$A$5:$G$103,7,FALSE)</f>
        <v>4258</v>
      </c>
      <c r="X37" s="27">
        <f t="shared" ref="X37:X73" si="20">V37-D37*U37</f>
        <v>329</v>
      </c>
      <c r="Y37" s="27">
        <f t="shared" ref="Y37:Y73" si="21">W37-D37*FLOOR(U37+N37,O37)</f>
        <v>2466</v>
      </c>
      <c r="Z37" s="28" t="str">
        <f>IF(D37&gt;=96,"-",VLOOKUP($C37,'64b66b_data'!$A$5:$G$72,5,FALSE))</f>
        <v>-</v>
      </c>
      <c r="AA37" s="28" t="str">
        <f>IF(D37&gt;=96,"-",VLOOKUP($C37,'64b66b_data'!$A$5:$G$72,6,FALSE))</f>
        <v>-</v>
      </c>
      <c r="AB37" s="28" t="str">
        <f>IF(D37&gt;=96,"-",VLOOKUP($C37,'64b66b_data'!$A$5:$G$72,7,FALSE))</f>
        <v>-</v>
      </c>
      <c r="AC37" s="27">
        <f t="shared" ref="AC37:AC73" si="22">IF(D37&gt;=96,X37,AA37-D37*Z37)</f>
        <v>329</v>
      </c>
      <c r="AD37" s="27">
        <f t="shared" ref="AD37:AD73" si="23">IF(D37&gt;=96,Y37,AB37-D37*FLOOR(Z37+N37,O37))</f>
        <v>2466</v>
      </c>
      <c r="AE37" s="18" t="str">
        <f t="shared" ref="AE37:AE73" si="24">IF(AND(X37=L37,AC37=L37),"Yes", "No")</f>
        <v>Yes</v>
      </c>
      <c r="AF37" s="18" t="str">
        <f t="shared" ref="AF37:AF73" si="25">IF(AND(Y37=M37,AD37=M37),"Yes","No")</f>
        <v>Yes</v>
      </c>
    </row>
    <row r="38" spans="1:32" x14ac:dyDescent="0.3">
      <c r="A38" s="9">
        <v>5</v>
      </c>
      <c r="B38" s="9">
        <v>8</v>
      </c>
      <c r="C38" s="19">
        <f t="shared" si="10"/>
        <v>5008</v>
      </c>
      <c r="D38" s="9">
        <v>8</v>
      </c>
      <c r="E38" s="19">
        <f t="shared" si="11"/>
        <v>8</v>
      </c>
      <c r="F38" s="19">
        <f t="shared" si="12"/>
        <v>1</v>
      </c>
      <c r="G38" s="19">
        <f t="shared" si="13"/>
        <v>16</v>
      </c>
      <c r="H38" s="20">
        <f>VLOOKUP($D38,'8b10b_data'!$L$5:$P$19,4,FALSE)</f>
        <v>97</v>
      </c>
      <c r="I38" s="21">
        <f>VLOOKUP($D38,'8b10b_data'!$L$5:$P$19,5,FALSE)</f>
        <v>119</v>
      </c>
      <c r="J38" s="22">
        <f>VLOOKUP($D38,'64b66b_data'!$L$5:$P$19,4,FALSE)</f>
        <v>91</v>
      </c>
      <c r="K38" s="23">
        <f>VLOOKUP($D38,'64b66b_data'!$L$5:$P$19,5,FALSE)</f>
        <v>114</v>
      </c>
      <c r="L38" s="24">
        <f t="shared" si="19"/>
        <v>77</v>
      </c>
      <c r="M38" s="24">
        <v>604</v>
      </c>
      <c r="N38" s="9">
        <f t="shared" si="1"/>
        <v>1</v>
      </c>
      <c r="O38" s="9">
        <f t="shared" si="2"/>
        <v>2</v>
      </c>
      <c r="P38" s="9">
        <f t="shared" si="14"/>
        <v>624</v>
      </c>
      <c r="Q38" s="9">
        <f t="shared" si="15"/>
        <v>654</v>
      </c>
      <c r="R38" s="9">
        <f t="shared" si="17"/>
        <v>618</v>
      </c>
      <c r="S38" s="9">
        <f t="shared" si="18"/>
        <v>649</v>
      </c>
      <c r="T38" s="25"/>
      <c r="U38" s="26">
        <f>VLOOKUP($C38,'8b10b_data'!$A$5:$G$103,5,FALSE)</f>
        <v>13</v>
      </c>
      <c r="V38" s="26">
        <f>VLOOKUP($C38,'8b10b_data'!$A$5:$G$103,6,FALSE)</f>
        <v>181</v>
      </c>
      <c r="W38" s="26">
        <f>VLOOKUP($C38,'8b10b_data'!$A$5:$G$103,7,FALSE)</f>
        <v>716</v>
      </c>
      <c r="X38" s="27">
        <f t="shared" si="20"/>
        <v>77</v>
      </c>
      <c r="Y38" s="27">
        <f t="shared" si="21"/>
        <v>604</v>
      </c>
      <c r="Z38" s="28">
        <f>IF(D38&gt;=96,"-",VLOOKUP($C38,'64b66b_data'!$A$5:$G$72,5,FALSE))</f>
        <v>13</v>
      </c>
      <c r="AA38" s="28">
        <f>IF(D38&gt;=96,"-",VLOOKUP($C38,'64b66b_data'!$A$5:$G$72,6,FALSE))</f>
        <v>181</v>
      </c>
      <c r="AB38" s="28">
        <f>IF(D38&gt;=96,"-",VLOOKUP($C38,'64b66b_data'!$A$5:$G$72,7,FALSE))</f>
        <v>716</v>
      </c>
      <c r="AC38" s="27">
        <f t="shared" si="22"/>
        <v>77</v>
      </c>
      <c r="AD38" s="27">
        <f t="shared" si="23"/>
        <v>604</v>
      </c>
      <c r="AE38" s="18" t="str">
        <f t="shared" si="24"/>
        <v>Yes</v>
      </c>
      <c r="AF38" s="18" t="str">
        <f t="shared" si="25"/>
        <v>Yes</v>
      </c>
    </row>
    <row r="39" spans="1:32" x14ac:dyDescent="0.3">
      <c r="A39" s="9">
        <v>5</v>
      </c>
      <c r="B39" s="9">
        <v>12</v>
      </c>
      <c r="C39" s="19">
        <f t="shared" si="10"/>
        <v>5012</v>
      </c>
      <c r="D39" s="9">
        <v>12</v>
      </c>
      <c r="E39" s="19">
        <f t="shared" si="11"/>
        <v>12</v>
      </c>
      <c r="F39" s="19">
        <f t="shared" si="12"/>
        <v>1</v>
      </c>
      <c r="G39" s="19">
        <f t="shared" si="13"/>
        <v>24</v>
      </c>
      <c r="H39" s="20">
        <f>VLOOKUP($D39,'8b10b_data'!$L$5:$P$19,4,FALSE)</f>
        <v>149</v>
      </c>
      <c r="I39" s="21">
        <f>VLOOKUP($D39,'8b10b_data'!$L$5:$P$19,5,FALSE)</f>
        <v>177</v>
      </c>
      <c r="J39" s="22">
        <f>VLOOKUP($D39,'64b66b_data'!$L$5:$P$19,4,FALSE)</f>
        <v>137</v>
      </c>
      <c r="K39" s="23">
        <f>VLOOKUP($D39,'64b66b_data'!$L$5:$P$19,5,FALSE)</f>
        <v>171</v>
      </c>
      <c r="L39" s="24">
        <f t="shared" si="19"/>
        <v>87</v>
      </c>
      <c r="M39" s="24">
        <v>748</v>
      </c>
      <c r="N39" s="9">
        <f t="shared" si="1"/>
        <v>1</v>
      </c>
      <c r="O39" s="9">
        <f t="shared" si="2"/>
        <v>2</v>
      </c>
      <c r="P39" s="9">
        <f t="shared" si="14"/>
        <v>810</v>
      </c>
      <c r="Q39" s="9">
        <f t="shared" si="15"/>
        <v>850</v>
      </c>
      <c r="R39" s="9">
        <f t="shared" si="17"/>
        <v>798</v>
      </c>
      <c r="S39" s="9">
        <f t="shared" si="18"/>
        <v>844</v>
      </c>
      <c r="T39" s="25"/>
      <c r="U39" s="26">
        <f>VLOOKUP($C39,'8b10b_data'!$A$5:$G$103,5,FALSE)</f>
        <v>14</v>
      </c>
      <c r="V39" s="26">
        <f>VLOOKUP($C39,'8b10b_data'!$A$5:$G$103,6,FALSE)</f>
        <v>255</v>
      </c>
      <c r="W39" s="26">
        <f>VLOOKUP($C39,'8b10b_data'!$A$5:$G$103,7,FALSE)</f>
        <v>916</v>
      </c>
      <c r="X39" s="27">
        <f t="shared" si="20"/>
        <v>87</v>
      </c>
      <c r="Y39" s="27">
        <f t="shared" si="21"/>
        <v>748</v>
      </c>
      <c r="Z39" s="28">
        <f>IF(D39&gt;=96,"-",VLOOKUP($C39,'64b66b_data'!$A$5:$G$72,5,FALSE))</f>
        <v>14</v>
      </c>
      <c r="AA39" s="28">
        <f>IF(D39&gt;=96,"-",VLOOKUP($C39,'64b66b_data'!$A$5:$G$72,6,FALSE))</f>
        <v>255</v>
      </c>
      <c r="AB39" s="28">
        <f>IF(D39&gt;=96,"-",VLOOKUP($C39,'64b66b_data'!$A$5:$G$72,7,FALSE))</f>
        <v>916</v>
      </c>
      <c r="AC39" s="27">
        <f t="shared" si="22"/>
        <v>87</v>
      </c>
      <c r="AD39" s="27">
        <f t="shared" si="23"/>
        <v>748</v>
      </c>
      <c r="AE39" s="18" t="str">
        <f t="shared" si="24"/>
        <v>Yes</v>
      </c>
      <c r="AF39" s="18" t="str">
        <f t="shared" si="25"/>
        <v>Yes</v>
      </c>
    </row>
    <row r="40" spans="1:32" x14ac:dyDescent="0.3">
      <c r="A40" s="9">
        <v>5</v>
      </c>
      <c r="B40" s="9">
        <v>16</v>
      </c>
      <c r="C40" s="19">
        <f t="shared" si="10"/>
        <v>5016</v>
      </c>
      <c r="D40" s="9">
        <v>16</v>
      </c>
      <c r="E40" s="19">
        <f t="shared" si="11"/>
        <v>16</v>
      </c>
      <c r="F40" s="19">
        <f t="shared" si="12"/>
        <v>1</v>
      </c>
      <c r="G40" s="19">
        <f t="shared" si="13"/>
        <v>16</v>
      </c>
      <c r="H40" s="20">
        <f>VLOOKUP($D40,'8b10b_data'!$L$5:$P$19,4,FALSE)</f>
        <v>192</v>
      </c>
      <c r="I40" s="21">
        <f>VLOOKUP($D40,'8b10b_data'!$L$5:$P$19,5,FALSE)</f>
        <v>238</v>
      </c>
      <c r="J40" s="22">
        <f>VLOOKUP($D40,'64b66b_data'!$L$5:$P$19,4,FALSE)</f>
        <v>181</v>
      </c>
      <c r="K40" s="23">
        <f>VLOOKUP($D40,'64b66b_data'!$L$5:$P$19,5,FALSE)</f>
        <v>226</v>
      </c>
      <c r="L40" s="24">
        <f t="shared" si="19"/>
        <v>97</v>
      </c>
      <c r="M40" s="24">
        <v>848</v>
      </c>
      <c r="N40" s="9">
        <f t="shared" si="1"/>
        <v>0</v>
      </c>
      <c r="O40" s="9">
        <f t="shared" si="2"/>
        <v>1</v>
      </c>
      <c r="P40" s="9">
        <f t="shared" si="14"/>
        <v>943</v>
      </c>
      <c r="Q40" s="9">
        <f t="shared" si="15"/>
        <v>989</v>
      </c>
      <c r="R40" s="9">
        <f t="shared" si="17"/>
        <v>932</v>
      </c>
      <c r="S40" s="9">
        <f t="shared" si="18"/>
        <v>977</v>
      </c>
      <c r="T40" s="25"/>
      <c r="U40" s="26">
        <f>VLOOKUP($C40,'8b10b_data'!$A$5:$G$103,5,FALSE)</f>
        <v>16</v>
      </c>
      <c r="V40" s="26">
        <f>VLOOKUP($C40,'8b10b_data'!$A$5:$G$103,6,FALSE)</f>
        <v>353</v>
      </c>
      <c r="W40" s="26">
        <f>VLOOKUP($C40,'8b10b_data'!$A$5:$G$103,7,FALSE)</f>
        <v>1104</v>
      </c>
      <c r="X40" s="27">
        <f t="shared" si="20"/>
        <v>97</v>
      </c>
      <c r="Y40" s="27">
        <f t="shared" si="21"/>
        <v>848</v>
      </c>
      <c r="Z40" s="28">
        <f>IF(D40&gt;=96,"-",VLOOKUP($C40,'64b66b_data'!$A$5:$G$72,5,FALSE))</f>
        <v>15</v>
      </c>
      <c r="AA40" s="28">
        <f>IF(D40&gt;=96,"-",VLOOKUP($C40,'64b66b_data'!$A$5:$G$72,6,FALSE))</f>
        <v>337</v>
      </c>
      <c r="AB40" s="28">
        <f>IF(D40&gt;=96,"-",VLOOKUP($C40,'64b66b_data'!$A$5:$G$72,7,FALSE))</f>
        <v>1088</v>
      </c>
      <c r="AC40" s="27">
        <f t="shared" si="22"/>
        <v>97</v>
      </c>
      <c r="AD40" s="27">
        <f t="shared" si="23"/>
        <v>848</v>
      </c>
      <c r="AE40" s="18" t="str">
        <f t="shared" si="24"/>
        <v>Yes</v>
      </c>
      <c r="AF40" s="18" t="str">
        <f t="shared" si="25"/>
        <v>Yes</v>
      </c>
    </row>
    <row r="41" spans="1:32" x14ac:dyDescent="0.3">
      <c r="A41" s="9">
        <v>5</v>
      </c>
      <c r="B41" s="9">
        <v>24</v>
      </c>
      <c r="C41" s="19">
        <f t="shared" si="10"/>
        <v>5024</v>
      </c>
      <c r="D41" s="9">
        <v>24</v>
      </c>
      <c r="E41" s="19">
        <f t="shared" si="11"/>
        <v>24</v>
      </c>
      <c r="F41" s="19">
        <f t="shared" si="12"/>
        <v>1</v>
      </c>
      <c r="G41" s="19">
        <f t="shared" si="13"/>
        <v>24</v>
      </c>
      <c r="H41" s="20">
        <f>VLOOKUP($D41,'8b10b_data'!$L$5:$P$19,4,FALSE)</f>
        <v>290</v>
      </c>
      <c r="I41" s="21">
        <f>VLOOKUP($D41,'8b10b_data'!$L$5:$P$19,5,FALSE)</f>
        <v>357</v>
      </c>
      <c r="J41" s="22">
        <f>VLOOKUP($D41,'64b66b_data'!$L$5:$P$19,4,FALSE)</f>
        <v>273</v>
      </c>
      <c r="K41" s="23">
        <f>VLOOKUP($D41,'64b66b_data'!$L$5:$P$19,5,FALSE)</f>
        <v>339</v>
      </c>
      <c r="L41" s="24">
        <f t="shared" si="19"/>
        <v>117</v>
      </c>
      <c r="M41" s="24">
        <v>1080</v>
      </c>
      <c r="N41" s="9">
        <f t="shared" si="1"/>
        <v>0</v>
      </c>
      <c r="O41" s="9">
        <f t="shared" si="2"/>
        <v>1</v>
      </c>
      <c r="P41" s="9">
        <f t="shared" si="14"/>
        <v>1253</v>
      </c>
      <c r="Q41" s="9">
        <f t="shared" si="15"/>
        <v>1320</v>
      </c>
      <c r="R41" s="9">
        <f t="shared" si="17"/>
        <v>1236</v>
      </c>
      <c r="S41" s="9">
        <f t="shared" si="18"/>
        <v>1302</v>
      </c>
      <c r="T41" s="25"/>
      <c r="U41" s="26">
        <f>VLOOKUP($C41,'8b10b_data'!$A$5:$G$103,5,FALSE)</f>
        <v>17</v>
      </c>
      <c r="V41" s="26">
        <f>VLOOKUP($C41,'8b10b_data'!$A$5:$G$103,6,FALSE)</f>
        <v>525</v>
      </c>
      <c r="W41" s="26">
        <f>VLOOKUP($C41,'8b10b_data'!$A$5:$G$103,7,FALSE)</f>
        <v>1488</v>
      </c>
      <c r="X41" s="27">
        <f t="shared" si="20"/>
        <v>117</v>
      </c>
      <c r="Y41" s="27">
        <f t="shared" si="21"/>
        <v>1080</v>
      </c>
      <c r="Z41" s="28">
        <f>IF(D41&gt;=96,"-",VLOOKUP($C41,'64b66b_data'!$A$5:$G$72,5,FALSE))</f>
        <v>17</v>
      </c>
      <c r="AA41" s="28">
        <f>IF(D41&gt;=96,"-",VLOOKUP($C41,'64b66b_data'!$A$5:$G$72,6,FALSE))</f>
        <v>525</v>
      </c>
      <c r="AB41" s="28">
        <f>IF(D41&gt;=96,"-",VLOOKUP($C41,'64b66b_data'!$A$5:$G$72,7,FALSE))</f>
        <v>1488</v>
      </c>
      <c r="AC41" s="27">
        <f t="shared" si="22"/>
        <v>117</v>
      </c>
      <c r="AD41" s="27">
        <f t="shared" si="23"/>
        <v>1080</v>
      </c>
      <c r="AE41" s="18" t="str">
        <f t="shared" si="24"/>
        <v>Yes</v>
      </c>
      <c r="AF41" s="18" t="str">
        <f t="shared" si="25"/>
        <v>Yes</v>
      </c>
    </row>
    <row r="42" spans="1:32" x14ac:dyDescent="0.3">
      <c r="A42" s="9">
        <v>5</v>
      </c>
      <c r="B42" s="9">
        <v>32</v>
      </c>
      <c r="C42" s="19">
        <f t="shared" si="10"/>
        <v>5032</v>
      </c>
      <c r="D42" s="9">
        <v>32</v>
      </c>
      <c r="E42" s="19">
        <f t="shared" si="11"/>
        <v>32</v>
      </c>
      <c r="F42" s="19">
        <f t="shared" si="12"/>
        <v>1</v>
      </c>
      <c r="G42" s="19">
        <f t="shared" si="13"/>
        <v>32</v>
      </c>
      <c r="H42" s="20">
        <f>VLOOKUP($D42,'8b10b_data'!$L$5:$P$19,4,FALSE)</f>
        <v>384</v>
      </c>
      <c r="I42" s="21">
        <f>VLOOKUP($D42,'8b10b_data'!$L$5:$P$19,5,FALSE)</f>
        <v>477</v>
      </c>
      <c r="J42" s="22">
        <f>VLOOKUP($D42,'64b66b_data'!$L$5:$P$19,4,FALSE)</f>
        <v>362</v>
      </c>
      <c r="K42" s="23">
        <f>VLOOKUP($D42,'64b66b_data'!$L$5:$P$19,5,FALSE)</f>
        <v>455</v>
      </c>
      <c r="L42" s="24">
        <f t="shared" si="19"/>
        <v>137</v>
      </c>
      <c r="M42" s="24">
        <v>1334</v>
      </c>
      <c r="N42" s="9">
        <f t="shared" si="1"/>
        <v>0</v>
      </c>
      <c r="O42" s="9">
        <f t="shared" si="2"/>
        <v>1</v>
      </c>
      <c r="P42" s="9">
        <f t="shared" si="14"/>
        <v>1581</v>
      </c>
      <c r="Q42" s="9">
        <f t="shared" si="15"/>
        <v>1674</v>
      </c>
      <c r="R42" s="9">
        <f t="shared" si="17"/>
        <v>1559</v>
      </c>
      <c r="S42" s="9">
        <f t="shared" si="18"/>
        <v>1652</v>
      </c>
      <c r="T42" s="25"/>
      <c r="U42" s="26">
        <f>VLOOKUP($C42,'8b10b_data'!$A$5:$G$103,5,FALSE)</f>
        <v>18</v>
      </c>
      <c r="V42" s="26">
        <f>VLOOKUP($C42,'8b10b_data'!$A$5:$G$103,6,FALSE)</f>
        <v>713</v>
      </c>
      <c r="W42" s="26">
        <f>VLOOKUP($C42,'8b10b_data'!$A$5:$G$103,7,FALSE)</f>
        <v>1910</v>
      </c>
      <c r="X42" s="27">
        <f t="shared" si="20"/>
        <v>137</v>
      </c>
      <c r="Y42" s="27">
        <f t="shared" si="21"/>
        <v>1334</v>
      </c>
      <c r="Z42" s="28">
        <f>IF(D42&gt;=96,"-",VLOOKUP($C42,'64b66b_data'!$A$5:$G$72,5,FALSE))</f>
        <v>17</v>
      </c>
      <c r="AA42" s="28">
        <f>IF(D42&gt;=96,"-",VLOOKUP($C42,'64b66b_data'!$A$5:$G$72,6,FALSE))</f>
        <v>681</v>
      </c>
      <c r="AB42" s="28">
        <f>IF(D42&gt;=96,"-",VLOOKUP($C42,'64b66b_data'!$A$5:$G$72,7,FALSE))</f>
        <v>1878</v>
      </c>
      <c r="AC42" s="27">
        <f t="shared" si="22"/>
        <v>137</v>
      </c>
      <c r="AD42" s="27">
        <f t="shared" si="23"/>
        <v>1334</v>
      </c>
      <c r="AE42" s="18" t="str">
        <f t="shared" si="24"/>
        <v>Yes</v>
      </c>
      <c r="AF42" s="18" t="str">
        <f t="shared" si="25"/>
        <v>Yes</v>
      </c>
    </row>
    <row r="43" spans="1:32" x14ac:dyDescent="0.3">
      <c r="A43" s="9">
        <v>5</v>
      </c>
      <c r="B43" s="9">
        <v>48</v>
      </c>
      <c r="C43" s="19">
        <f t="shared" si="10"/>
        <v>5048</v>
      </c>
      <c r="D43" s="9">
        <v>48</v>
      </c>
      <c r="E43" s="19">
        <f t="shared" si="11"/>
        <v>48</v>
      </c>
      <c r="F43" s="19">
        <f t="shared" si="12"/>
        <v>1</v>
      </c>
      <c r="G43" s="19">
        <f t="shared" si="13"/>
        <v>48</v>
      </c>
      <c r="H43" s="20">
        <f>VLOOKUP($D43,'8b10b_data'!$L$5:$P$19,4,FALSE)</f>
        <v>578</v>
      </c>
      <c r="I43" s="21">
        <f>VLOOKUP($D43,'8b10b_data'!$L$5:$P$19,5,FALSE)</f>
        <v>710</v>
      </c>
      <c r="J43" s="22">
        <f>VLOOKUP($D43,'64b66b_data'!$L$5:$P$19,4,FALSE)</f>
        <v>542</v>
      </c>
      <c r="K43" s="23">
        <f>VLOOKUP($D43,'64b66b_data'!$L$5:$P$19,5,FALSE)</f>
        <v>681</v>
      </c>
      <c r="L43" s="24">
        <f t="shared" si="19"/>
        <v>177</v>
      </c>
      <c r="M43" s="24">
        <v>1782</v>
      </c>
      <c r="N43" s="9">
        <f t="shared" si="1"/>
        <v>0</v>
      </c>
      <c r="O43" s="9">
        <f t="shared" si="2"/>
        <v>1</v>
      </c>
      <c r="P43" s="9">
        <f t="shared" si="14"/>
        <v>2183</v>
      </c>
      <c r="Q43" s="9">
        <f t="shared" si="15"/>
        <v>2315</v>
      </c>
      <c r="R43" s="9">
        <f t="shared" si="17"/>
        <v>2147</v>
      </c>
      <c r="S43" s="9">
        <f t="shared" si="18"/>
        <v>2286</v>
      </c>
      <c r="T43" s="25"/>
      <c r="U43" s="26">
        <f>VLOOKUP($C43,'8b10b_data'!$A$5:$G$103,5,FALSE)</f>
        <v>19</v>
      </c>
      <c r="V43" s="26">
        <f>VLOOKUP($C43,'8b10b_data'!$A$5:$G$103,6,FALSE)</f>
        <v>1089</v>
      </c>
      <c r="W43" s="26">
        <f>VLOOKUP($C43,'8b10b_data'!$A$5:$G$103,7,FALSE)</f>
        <v>2694</v>
      </c>
      <c r="X43" s="27">
        <f t="shared" si="20"/>
        <v>177</v>
      </c>
      <c r="Y43" s="27">
        <f t="shared" si="21"/>
        <v>1782</v>
      </c>
      <c r="Z43" s="28">
        <f>IF(D43&gt;=96,"-",VLOOKUP($C43,'64b66b_data'!$A$5:$G$72,5,FALSE))</f>
        <v>18</v>
      </c>
      <c r="AA43" s="28">
        <f>IF(D43&gt;=96,"-",VLOOKUP($C43,'64b66b_data'!$A$5:$G$72,6,FALSE))</f>
        <v>1041</v>
      </c>
      <c r="AB43" s="28">
        <f>IF(D43&gt;=96,"-",VLOOKUP($C43,'64b66b_data'!$A$5:$G$72,7,FALSE))</f>
        <v>2646</v>
      </c>
      <c r="AC43" s="27">
        <f t="shared" si="22"/>
        <v>177</v>
      </c>
      <c r="AD43" s="27">
        <f t="shared" si="23"/>
        <v>1782</v>
      </c>
      <c r="AE43" s="18" t="str">
        <f t="shared" si="24"/>
        <v>Yes</v>
      </c>
      <c r="AF43" s="18" t="str">
        <f t="shared" si="25"/>
        <v>Yes</v>
      </c>
    </row>
    <row r="44" spans="1:32" x14ac:dyDescent="0.3">
      <c r="A44" s="9">
        <v>5</v>
      </c>
      <c r="B44" s="9">
        <v>64</v>
      </c>
      <c r="C44" s="19">
        <f t="shared" si="10"/>
        <v>5064</v>
      </c>
      <c r="D44" s="9">
        <v>64</v>
      </c>
      <c r="E44" s="19">
        <f t="shared" si="11"/>
        <v>32</v>
      </c>
      <c r="F44" s="19">
        <f t="shared" si="12"/>
        <v>0.5</v>
      </c>
      <c r="G44" s="19">
        <f t="shared" si="13"/>
        <v>64</v>
      </c>
      <c r="H44" s="20">
        <f>VLOOKUP($D44,'8b10b_data'!$L$5:$P$19,4,FALSE)</f>
        <v>623</v>
      </c>
      <c r="I44" s="21">
        <f>VLOOKUP($D44,'8b10b_data'!$L$5:$P$19,5,FALSE)</f>
        <v>788</v>
      </c>
      <c r="J44" s="22">
        <f>VLOOKUP($D44,'64b66b_data'!$L$5:$P$19,4,FALSE)</f>
        <v>629</v>
      </c>
      <c r="K44" s="23">
        <f>VLOOKUP($D44,'64b66b_data'!$L$5:$P$19,5,FALSE)</f>
        <v>794</v>
      </c>
      <c r="L44" s="24">
        <f t="shared" si="19"/>
        <v>201</v>
      </c>
      <c r="M44" s="24">
        <v>2338</v>
      </c>
      <c r="N44" s="9">
        <f t="shared" si="1"/>
        <v>0</v>
      </c>
      <c r="O44" s="9">
        <f t="shared" si="2"/>
        <v>1</v>
      </c>
      <c r="P44" s="9">
        <f t="shared" si="14"/>
        <v>2760</v>
      </c>
      <c r="Q44" s="9">
        <f t="shared" si="15"/>
        <v>2925</v>
      </c>
      <c r="R44" s="9">
        <f t="shared" si="17"/>
        <v>2766</v>
      </c>
      <c r="S44" s="9">
        <f t="shared" si="18"/>
        <v>2931</v>
      </c>
      <c r="T44" s="25"/>
      <c r="U44" s="26">
        <f>VLOOKUP($C44,'8b10b_data'!$A$5:$G$103,5,FALSE)</f>
        <v>17</v>
      </c>
      <c r="V44" s="26">
        <f>VLOOKUP($C44,'8b10b_data'!$A$5:$G$103,6,FALSE)</f>
        <v>1289</v>
      </c>
      <c r="W44" s="26">
        <f>VLOOKUP($C44,'8b10b_data'!$A$5:$G$103,7,FALSE)</f>
        <v>3426</v>
      </c>
      <c r="X44" s="27">
        <f t="shared" si="20"/>
        <v>201</v>
      </c>
      <c r="Y44" s="27">
        <f t="shared" si="21"/>
        <v>2338</v>
      </c>
      <c r="Z44" s="28">
        <f>IF(D44&gt;=96,"-",VLOOKUP($C44,'64b66b_data'!$A$5:$G$72,5,FALSE))</f>
        <v>16</v>
      </c>
      <c r="AA44" s="28">
        <f>IF(D44&gt;=96,"-",VLOOKUP($C44,'64b66b_data'!$A$5:$G$72,6,FALSE))</f>
        <v>1225</v>
      </c>
      <c r="AB44" s="28">
        <f>IF(D44&gt;=96,"-",VLOOKUP($C44,'64b66b_data'!$A$5:$G$72,7,FALSE))</f>
        <v>3362</v>
      </c>
      <c r="AC44" s="27">
        <f t="shared" si="22"/>
        <v>201</v>
      </c>
      <c r="AD44" s="27">
        <f t="shared" si="23"/>
        <v>2338</v>
      </c>
      <c r="AE44" s="18" t="str">
        <f t="shared" si="24"/>
        <v>Yes</v>
      </c>
      <c r="AF44" s="18" t="str">
        <f t="shared" si="25"/>
        <v>Yes</v>
      </c>
    </row>
    <row r="45" spans="1:32" x14ac:dyDescent="0.3">
      <c r="A45" s="9">
        <v>5</v>
      </c>
      <c r="B45" s="9">
        <v>96</v>
      </c>
      <c r="C45" s="19">
        <f t="shared" si="10"/>
        <v>5096</v>
      </c>
      <c r="D45" s="9">
        <v>96</v>
      </c>
      <c r="E45" s="19">
        <f t="shared" si="11"/>
        <v>48</v>
      </c>
      <c r="F45" s="19">
        <f t="shared" si="12"/>
        <v>0.5</v>
      </c>
      <c r="G45" s="19">
        <f t="shared" si="13"/>
        <v>96</v>
      </c>
      <c r="H45" s="20">
        <f>VLOOKUP($D45,'8b10b_data'!$L$5:$P$19,4,FALSE)</f>
        <v>919</v>
      </c>
      <c r="I45" s="21">
        <f>VLOOKUP($D45,'8b10b_data'!$L$5:$P$19,5,FALSE)</f>
        <v>1171</v>
      </c>
      <c r="J45" s="22" t="str">
        <f>VLOOKUP($D45,'64b66b_data'!$L$5:$P$19,4,FALSE)</f>
        <v>-</v>
      </c>
      <c r="K45" s="23" t="str">
        <f>VLOOKUP($D45,'64b66b_data'!$L$5:$P$19,5,FALSE)</f>
        <v>-</v>
      </c>
      <c r="L45" s="24">
        <f t="shared" si="19"/>
        <v>273</v>
      </c>
      <c r="M45" s="24">
        <v>3234</v>
      </c>
      <c r="N45" s="9">
        <f t="shared" si="1"/>
        <v>0</v>
      </c>
      <c r="O45" s="9">
        <f t="shared" si="2"/>
        <v>1</v>
      </c>
      <c r="P45" s="9">
        <f t="shared" si="14"/>
        <v>3880</v>
      </c>
      <c r="Q45" s="9">
        <f t="shared" si="15"/>
        <v>4132</v>
      </c>
      <c r="R45" s="9" t="str">
        <f t="shared" si="17"/>
        <v>-</v>
      </c>
      <c r="S45" s="9" t="str">
        <f t="shared" si="18"/>
        <v>-</v>
      </c>
      <c r="T45" s="25"/>
      <c r="U45" s="26">
        <f>VLOOKUP($C45,'8b10b_data'!$A$5:$G$103,5,FALSE)</f>
        <v>17</v>
      </c>
      <c r="V45" s="26">
        <f>VLOOKUP($C45,'8b10b_data'!$A$5:$G$103,6,FALSE)</f>
        <v>1905</v>
      </c>
      <c r="W45" s="26">
        <f>VLOOKUP($C45,'8b10b_data'!$A$5:$G$103,7,FALSE)</f>
        <v>4866</v>
      </c>
      <c r="X45" s="27">
        <f t="shared" si="20"/>
        <v>273</v>
      </c>
      <c r="Y45" s="27">
        <f t="shared" si="21"/>
        <v>3234</v>
      </c>
      <c r="Z45" s="28" t="str">
        <f>IF(D45&gt;=96,"-",VLOOKUP($C45,'64b66b_data'!$A$5:$G$72,5,FALSE))</f>
        <v>-</v>
      </c>
      <c r="AA45" s="28" t="str">
        <f>IF(D45&gt;=96,"-",VLOOKUP($C45,'64b66b_data'!$A$5:$G$72,6,FALSE))</f>
        <v>-</v>
      </c>
      <c r="AB45" s="28" t="str">
        <f>IF(D45&gt;=96,"-",VLOOKUP($C45,'64b66b_data'!$A$5:$G$72,7,FALSE))</f>
        <v>-</v>
      </c>
      <c r="AC45" s="27">
        <f t="shared" si="22"/>
        <v>273</v>
      </c>
      <c r="AD45" s="27">
        <f t="shared" si="23"/>
        <v>3234</v>
      </c>
      <c r="AE45" s="18" t="str">
        <f t="shared" si="24"/>
        <v>Yes</v>
      </c>
      <c r="AF45" s="18" t="str">
        <f t="shared" si="25"/>
        <v>Yes</v>
      </c>
    </row>
    <row r="46" spans="1:32" x14ac:dyDescent="0.3">
      <c r="A46" s="9">
        <v>5</v>
      </c>
      <c r="B46" s="9">
        <v>128</v>
      </c>
      <c r="C46" s="19">
        <f t="shared" si="10"/>
        <v>5128</v>
      </c>
      <c r="D46" s="9">
        <v>128</v>
      </c>
      <c r="E46" s="19">
        <f t="shared" si="11"/>
        <v>32</v>
      </c>
      <c r="F46" s="19">
        <f t="shared" si="12"/>
        <v>0.25</v>
      </c>
      <c r="G46" s="19">
        <f t="shared" si="13"/>
        <v>128</v>
      </c>
      <c r="H46" s="20">
        <f>VLOOKUP($D46,'8b10b_data'!$L$5:$P$19,4,FALSE)</f>
        <v>1014</v>
      </c>
      <c r="I46" s="21">
        <f>VLOOKUP($D46,'8b10b_data'!$L$5:$P$19,5,FALSE)</f>
        <v>1325</v>
      </c>
      <c r="J46" s="22" t="str">
        <f>VLOOKUP($D46,'64b66b_data'!$L$5:$P$19,4,FALSE)</f>
        <v>-</v>
      </c>
      <c r="K46" s="23" t="str">
        <f>VLOOKUP($D46,'64b66b_data'!$L$5:$P$19,5,FALSE)</f>
        <v>-</v>
      </c>
      <c r="L46" s="24">
        <f t="shared" si="19"/>
        <v>329</v>
      </c>
      <c r="M46" s="24">
        <v>4386</v>
      </c>
      <c r="N46" s="9">
        <f t="shared" si="1"/>
        <v>0</v>
      </c>
      <c r="O46" s="9">
        <f t="shared" si="2"/>
        <v>1</v>
      </c>
      <c r="P46" s="9">
        <f t="shared" si="14"/>
        <v>5071</v>
      </c>
      <c r="Q46" s="9">
        <f t="shared" si="15"/>
        <v>5382</v>
      </c>
      <c r="R46" s="9" t="str">
        <f t="shared" si="17"/>
        <v>-</v>
      </c>
      <c r="S46" s="9" t="str">
        <f t="shared" si="18"/>
        <v>-</v>
      </c>
      <c r="T46" s="25"/>
      <c r="U46" s="26">
        <f>VLOOKUP($C46,'8b10b_data'!$A$5:$G$103,5,FALSE)</f>
        <v>15</v>
      </c>
      <c r="V46" s="26">
        <f>VLOOKUP($C46,'8b10b_data'!$A$5:$G$103,6,FALSE)</f>
        <v>2249</v>
      </c>
      <c r="W46" s="26">
        <f>VLOOKUP($C46,'8b10b_data'!$A$5:$G$103,7,FALSE)</f>
        <v>6306</v>
      </c>
      <c r="X46" s="27">
        <f t="shared" si="20"/>
        <v>329</v>
      </c>
      <c r="Y46" s="27">
        <f t="shared" si="21"/>
        <v>4386</v>
      </c>
      <c r="Z46" s="28" t="str">
        <f>IF(D46&gt;=96,"-",VLOOKUP($C46,'64b66b_data'!$A$5:$G$72,5,FALSE))</f>
        <v>-</v>
      </c>
      <c r="AA46" s="28" t="str">
        <f>IF(D46&gt;=96,"-",VLOOKUP($C46,'64b66b_data'!$A$5:$G$72,6,FALSE))</f>
        <v>-</v>
      </c>
      <c r="AB46" s="28" t="str">
        <f>IF(D46&gt;=96,"-",VLOOKUP($C46,'64b66b_data'!$A$5:$G$72,7,FALSE))</f>
        <v>-</v>
      </c>
      <c r="AC46" s="27">
        <f t="shared" si="22"/>
        <v>329</v>
      </c>
      <c r="AD46" s="27">
        <f t="shared" si="23"/>
        <v>4386</v>
      </c>
      <c r="AE46" s="18" t="str">
        <f t="shared" si="24"/>
        <v>Yes</v>
      </c>
      <c r="AF46" s="18" t="str">
        <f t="shared" si="25"/>
        <v>Yes</v>
      </c>
    </row>
    <row r="47" spans="1:32" x14ac:dyDescent="0.3">
      <c r="A47" s="9">
        <v>6</v>
      </c>
      <c r="B47" s="9">
        <v>16</v>
      </c>
      <c r="C47" s="19">
        <f t="shared" si="10"/>
        <v>6016</v>
      </c>
      <c r="D47" s="9">
        <v>8</v>
      </c>
      <c r="E47" s="19">
        <f t="shared" si="11"/>
        <v>8</v>
      </c>
      <c r="F47" s="19">
        <f t="shared" si="12"/>
        <v>1</v>
      </c>
      <c r="G47" s="19">
        <f t="shared" si="13"/>
        <v>16</v>
      </c>
      <c r="H47" s="20">
        <f>VLOOKUP($D47,'8b10b_data'!$L$5:$P$19,4,FALSE)</f>
        <v>97</v>
      </c>
      <c r="I47" s="21">
        <f>VLOOKUP($D47,'8b10b_data'!$L$5:$P$19,5,FALSE)</f>
        <v>119</v>
      </c>
      <c r="J47" s="22">
        <f>VLOOKUP($D47,'64b66b_data'!$L$5:$P$19,4,FALSE)</f>
        <v>91</v>
      </c>
      <c r="K47" s="23">
        <f>VLOOKUP($D47,'64b66b_data'!$L$5:$P$19,5,FALSE)</f>
        <v>114</v>
      </c>
      <c r="L47" s="24">
        <f t="shared" si="19"/>
        <v>77</v>
      </c>
      <c r="M47" s="24">
        <v>832</v>
      </c>
      <c r="N47" s="9">
        <f t="shared" si="1"/>
        <v>1</v>
      </c>
      <c r="O47" s="9">
        <f t="shared" si="2"/>
        <v>2</v>
      </c>
      <c r="P47" s="9">
        <f t="shared" si="14"/>
        <v>852</v>
      </c>
      <c r="Q47" s="9">
        <f t="shared" si="15"/>
        <v>882</v>
      </c>
      <c r="R47" s="9">
        <f t="shared" si="17"/>
        <v>846</v>
      </c>
      <c r="S47" s="9">
        <f t="shared" si="18"/>
        <v>877</v>
      </c>
      <c r="T47" s="25"/>
      <c r="U47" s="26">
        <f>VLOOKUP($C47,'8b10b_data'!$A$5:$G$103,5,FALSE)</f>
        <v>15</v>
      </c>
      <c r="V47" s="26">
        <f>VLOOKUP($C47,'8b10b_data'!$A$5:$G$103,6,FALSE)</f>
        <v>197</v>
      </c>
      <c r="W47" s="26">
        <f>VLOOKUP($C47,'8b10b_data'!$A$5:$G$103,7,FALSE)</f>
        <v>960</v>
      </c>
      <c r="X47" s="27">
        <f t="shared" si="20"/>
        <v>77</v>
      </c>
      <c r="Y47" s="27">
        <f t="shared" si="21"/>
        <v>832</v>
      </c>
      <c r="Z47" s="28">
        <f>IF(D47&gt;=96,"-",VLOOKUP($C47,'64b66b_data'!$A$5:$G$72,5,FALSE))</f>
        <v>14</v>
      </c>
      <c r="AA47" s="28">
        <f>IF(D47&gt;=96,"-",VLOOKUP($C47,'64b66b_data'!$A$5:$G$72,6,FALSE))</f>
        <v>189</v>
      </c>
      <c r="AB47" s="28">
        <f>IF(D47&gt;=96,"-",VLOOKUP($C47,'64b66b_data'!$A$5:$G$72,7,FALSE))</f>
        <v>944</v>
      </c>
      <c r="AC47" s="27">
        <f t="shared" si="22"/>
        <v>77</v>
      </c>
      <c r="AD47" s="27">
        <f t="shared" si="23"/>
        <v>832</v>
      </c>
      <c r="AE47" s="18" t="str">
        <f t="shared" si="24"/>
        <v>Yes</v>
      </c>
      <c r="AF47" s="18" t="str">
        <f t="shared" si="25"/>
        <v>Yes</v>
      </c>
    </row>
    <row r="48" spans="1:32" x14ac:dyDescent="0.3">
      <c r="A48" s="9">
        <v>6</v>
      </c>
      <c r="B48" s="9">
        <v>24</v>
      </c>
      <c r="C48" s="19">
        <f t="shared" si="10"/>
        <v>6024</v>
      </c>
      <c r="D48" s="9">
        <v>12</v>
      </c>
      <c r="E48" s="19">
        <f t="shared" si="11"/>
        <v>12</v>
      </c>
      <c r="F48" s="19">
        <f t="shared" si="12"/>
        <v>1</v>
      </c>
      <c r="G48" s="19">
        <f t="shared" si="13"/>
        <v>24</v>
      </c>
      <c r="H48" s="20">
        <f>VLOOKUP($D48,'8b10b_data'!$L$5:$P$19,4,FALSE)</f>
        <v>149</v>
      </c>
      <c r="I48" s="21">
        <f>VLOOKUP($D48,'8b10b_data'!$L$5:$P$19,5,FALSE)</f>
        <v>177</v>
      </c>
      <c r="J48" s="22">
        <f>VLOOKUP($D48,'64b66b_data'!$L$5:$P$19,4,FALSE)</f>
        <v>137</v>
      </c>
      <c r="K48" s="23">
        <f>VLOOKUP($D48,'64b66b_data'!$L$5:$P$19,5,FALSE)</f>
        <v>171</v>
      </c>
      <c r="L48" s="24">
        <f t="shared" si="19"/>
        <v>87</v>
      </c>
      <c r="M48" s="24">
        <v>1056</v>
      </c>
      <c r="N48" s="9">
        <f t="shared" si="1"/>
        <v>1</v>
      </c>
      <c r="O48" s="9">
        <f t="shared" si="2"/>
        <v>2</v>
      </c>
      <c r="P48" s="9">
        <f t="shared" si="14"/>
        <v>1118</v>
      </c>
      <c r="Q48" s="9">
        <f t="shared" si="15"/>
        <v>1158</v>
      </c>
      <c r="R48" s="9">
        <f t="shared" si="17"/>
        <v>1106</v>
      </c>
      <c r="S48" s="9">
        <f t="shared" si="18"/>
        <v>1152</v>
      </c>
      <c r="T48" s="25"/>
      <c r="U48" s="26">
        <f>VLOOKUP($C48,'8b10b_data'!$A$5:$G$103,5,FALSE)</f>
        <v>16</v>
      </c>
      <c r="V48" s="26">
        <f>VLOOKUP($C48,'8b10b_data'!$A$5:$G$103,6,FALSE)</f>
        <v>279</v>
      </c>
      <c r="W48" s="26">
        <f>VLOOKUP($C48,'8b10b_data'!$A$5:$G$103,7,FALSE)</f>
        <v>1248</v>
      </c>
      <c r="X48" s="27">
        <f t="shared" si="20"/>
        <v>87</v>
      </c>
      <c r="Y48" s="27">
        <f t="shared" si="21"/>
        <v>1056</v>
      </c>
      <c r="Z48" s="28">
        <f>IF(D48&gt;=96,"-",VLOOKUP($C48,'64b66b_data'!$A$5:$G$72,5,FALSE))</f>
        <v>16</v>
      </c>
      <c r="AA48" s="28">
        <f>IF(D48&gt;=96,"-",VLOOKUP($C48,'64b66b_data'!$A$5:$G$72,6,FALSE))</f>
        <v>279</v>
      </c>
      <c r="AB48" s="28">
        <f>IF(D48&gt;=96,"-",VLOOKUP($C48,'64b66b_data'!$A$5:$G$72,7,FALSE))</f>
        <v>1248</v>
      </c>
      <c r="AC48" s="27">
        <f t="shared" si="22"/>
        <v>87</v>
      </c>
      <c r="AD48" s="27">
        <f t="shared" si="23"/>
        <v>1056</v>
      </c>
      <c r="AE48" s="18" t="str">
        <f t="shared" si="24"/>
        <v>Yes</v>
      </c>
      <c r="AF48" s="18" t="str">
        <f t="shared" si="25"/>
        <v>Yes</v>
      </c>
    </row>
    <row r="49" spans="1:32" x14ac:dyDescent="0.3">
      <c r="A49" s="9">
        <v>6</v>
      </c>
      <c r="B49" s="9">
        <v>32</v>
      </c>
      <c r="C49" s="19">
        <f t="shared" si="10"/>
        <v>6032</v>
      </c>
      <c r="D49" s="9">
        <v>16</v>
      </c>
      <c r="E49" s="19">
        <f t="shared" si="11"/>
        <v>16</v>
      </c>
      <c r="F49" s="19">
        <f t="shared" si="12"/>
        <v>1</v>
      </c>
      <c r="G49" s="19">
        <f t="shared" si="13"/>
        <v>32</v>
      </c>
      <c r="H49" s="20">
        <f>VLOOKUP($D49,'8b10b_data'!$L$5:$P$19,4,FALSE)</f>
        <v>192</v>
      </c>
      <c r="I49" s="21">
        <f>VLOOKUP($D49,'8b10b_data'!$L$5:$P$19,5,FALSE)</f>
        <v>238</v>
      </c>
      <c r="J49" s="22">
        <f>VLOOKUP($D49,'64b66b_data'!$L$5:$P$19,4,FALSE)</f>
        <v>181</v>
      </c>
      <c r="K49" s="23">
        <f>VLOOKUP($D49,'64b66b_data'!$L$5:$P$19,5,FALSE)</f>
        <v>226</v>
      </c>
      <c r="L49" s="24">
        <f t="shared" si="19"/>
        <v>97</v>
      </c>
      <c r="M49" s="24">
        <v>1302</v>
      </c>
      <c r="N49" s="9">
        <f t="shared" si="1"/>
        <v>1</v>
      </c>
      <c r="O49" s="9">
        <f t="shared" si="2"/>
        <v>2</v>
      </c>
      <c r="P49" s="9">
        <f t="shared" si="14"/>
        <v>1397</v>
      </c>
      <c r="Q49" s="9">
        <f t="shared" si="15"/>
        <v>1459</v>
      </c>
      <c r="R49" s="9">
        <f t="shared" si="17"/>
        <v>1386</v>
      </c>
      <c r="S49" s="9">
        <f t="shared" si="18"/>
        <v>1447</v>
      </c>
      <c r="T49" s="25"/>
      <c r="U49" s="26">
        <f>VLOOKUP($C49,'8b10b_data'!$A$5:$G$103,5,FALSE)</f>
        <v>18</v>
      </c>
      <c r="V49" s="26">
        <f>VLOOKUP($C49,'8b10b_data'!$A$5:$G$103,6,FALSE)</f>
        <v>385</v>
      </c>
      <c r="W49" s="26">
        <f>VLOOKUP($C49,'8b10b_data'!$A$5:$G$103,7,FALSE)</f>
        <v>1590</v>
      </c>
      <c r="X49" s="27">
        <f t="shared" si="20"/>
        <v>97</v>
      </c>
      <c r="Y49" s="27">
        <f t="shared" si="21"/>
        <v>1302</v>
      </c>
      <c r="Z49" s="28">
        <f>IF(D49&gt;=96,"-",VLOOKUP($C49,'64b66b_data'!$A$5:$G$72,5,FALSE))</f>
        <v>16</v>
      </c>
      <c r="AA49" s="28">
        <f>IF(D49&gt;=96,"-",VLOOKUP($C49,'64b66b_data'!$A$5:$G$72,6,FALSE))</f>
        <v>353</v>
      </c>
      <c r="AB49" s="28">
        <f>IF(D49&gt;=96,"-",VLOOKUP($C49,'64b66b_data'!$A$5:$G$72,7,FALSE))</f>
        <v>1558</v>
      </c>
      <c r="AC49" s="27">
        <f t="shared" si="22"/>
        <v>97</v>
      </c>
      <c r="AD49" s="27">
        <f t="shared" si="23"/>
        <v>1302</v>
      </c>
      <c r="AE49" s="18" t="str">
        <f t="shared" si="24"/>
        <v>Yes</v>
      </c>
      <c r="AF49" s="18" t="str">
        <f t="shared" si="25"/>
        <v>Yes</v>
      </c>
    </row>
    <row r="50" spans="1:32" x14ac:dyDescent="0.3">
      <c r="A50" s="9">
        <v>6</v>
      </c>
      <c r="B50" s="9">
        <v>48</v>
      </c>
      <c r="C50" s="19">
        <f t="shared" si="10"/>
        <v>6048</v>
      </c>
      <c r="D50" s="9">
        <v>24</v>
      </c>
      <c r="E50" s="19">
        <f t="shared" si="11"/>
        <v>24</v>
      </c>
      <c r="F50" s="19">
        <f t="shared" si="12"/>
        <v>1</v>
      </c>
      <c r="G50" s="19">
        <f t="shared" si="13"/>
        <v>48</v>
      </c>
      <c r="H50" s="20">
        <f>VLOOKUP($D50,'8b10b_data'!$L$5:$P$19,4,FALSE)</f>
        <v>290</v>
      </c>
      <c r="I50" s="21">
        <f>VLOOKUP($D50,'8b10b_data'!$L$5:$P$19,5,FALSE)</f>
        <v>357</v>
      </c>
      <c r="J50" s="22">
        <f>VLOOKUP($D50,'64b66b_data'!$L$5:$P$19,4,FALSE)</f>
        <v>273</v>
      </c>
      <c r="K50" s="23">
        <f>VLOOKUP($D50,'64b66b_data'!$L$5:$P$19,5,FALSE)</f>
        <v>339</v>
      </c>
      <c r="L50" s="24">
        <f t="shared" si="19"/>
        <v>117</v>
      </c>
      <c r="M50" s="24">
        <v>1734</v>
      </c>
      <c r="N50" s="9">
        <f t="shared" si="1"/>
        <v>1</v>
      </c>
      <c r="O50" s="9">
        <f t="shared" si="2"/>
        <v>2</v>
      </c>
      <c r="P50" s="9">
        <f t="shared" si="14"/>
        <v>1907</v>
      </c>
      <c r="Q50" s="9">
        <f t="shared" si="15"/>
        <v>1998</v>
      </c>
      <c r="R50" s="9">
        <f t="shared" si="17"/>
        <v>1890</v>
      </c>
      <c r="S50" s="9">
        <f t="shared" si="18"/>
        <v>1980</v>
      </c>
      <c r="T50" s="25"/>
      <c r="U50" s="26">
        <f>VLOOKUP($C50,'8b10b_data'!$A$5:$G$103,5,FALSE)</f>
        <v>19</v>
      </c>
      <c r="V50" s="26">
        <f>VLOOKUP($C50,'8b10b_data'!$A$5:$G$103,6,FALSE)</f>
        <v>573</v>
      </c>
      <c r="W50" s="26">
        <f>VLOOKUP($C50,'8b10b_data'!$A$5:$G$103,7,FALSE)</f>
        <v>2214</v>
      </c>
      <c r="X50" s="27">
        <f t="shared" si="20"/>
        <v>117</v>
      </c>
      <c r="Y50" s="27">
        <f t="shared" si="21"/>
        <v>1734</v>
      </c>
      <c r="Z50" s="28">
        <f>IF(D50&gt;=96,"-",VLOOKUP($C50,'64b66b_data'!$A$5:$G$72,5,FALSE))</f>
        <v>18</v>
      </c>
      <c r="AA50" s="28">
        <f>IF(D50&gt;=96,"-",VLOOKUP($C50,'64b66b_data'!$A$5:$G$72,6,FALSE))</f>
        <v>549</v>
      </c>
      <c r="AB50" s="28">
        <f>IF(D50&gt;=96,"-",VLOOKUP($C50,'64b66b_data'!$A$5:$G$72,7,FALSE))</f>
        <v>2166</v>
      </c>
      <c r="AC50" s="27">
        <f t="shared" si="22"/>
        <v>117</v>
      </c>
      <c r="AD50" s="27">
        <f t="shared" si="23"/>
        <v>1734</v>
      </c>
      <c r="AE50" s="18" t="str">
        <f t="shared" si="24"/>
        <v>Yes</v>
      </c>
      <c r="AF50" s="18" t="str">
        <f t="shared" si="25"/>
        <v>Yes</v>
      </c>
    </row>
    <row r="51" spans="1:32" x14ac:dyDescent="0.3">
      <c r="A51" s="9">
        <v>6</v>
      </c>
      <c r="B51" s="9">
        <v>64</v>
      </c>
      <c r="C51" s="19">
        <f t="shared" si="10"/>
        <v>6064</v>
      </c>
      <c r="D51" s="9">
        <v>32</v>
      </c>
      <c r="E51" s="19">
        <f t="shared" si="11"/>
        <v>32</v>
      </c>
      <c r="F51" s="19">
        <f t="shared" si="12"/>
        <v>1</v>
      </c>
      <c r="G51" s="19">
        <f t="shared" si="13"/>
        <v>64</v>
      </c>
      <c r="H51" s="20">
        <f>VLOOKUP($D51,'8b10b_data'!$L$5:$P$19,4,FALSE)</f>
        <v>384</v>
      </c>
      <c r="I51" s="21">
        <f>VLOOKUP($D51,'8b10b_data'!$L$5:$P$19,5,FALSE)</f>
        <v>477</v>
      </c>
      <c r="J51" s="22">
        <f>VLOOKUP($D51,'64b66b_data'!$L$5:$P$19,4,FALSE)</f>
        <v>362</v>
      </c>
      <c r="K51" s="23">
        <f>VLOOKUP($D51,'64b66b_data'!$L$5:$P$19,5,FALSE)</f>
        <v>455</v>
      </c>
      <c r="L51" s="24">
        <f t="shared" si="19"/>
        <v>137</v>
      </c>
      <c r="M51" s="24">
        <v>2274</v>
      </c>
      <c r="N51" s="9">
        <f t="shared" si="1"/>
        <v>1</v>
      </c>
      <c r="O51" s="9">
        <f t="shared" si="2"/>
        <v>2</v>
      </c>
      <c r="P51" s="9">
        <f t="shared" si="14"/>
        <v>2521</v>
      </c>
      <c r="Q51" s="9">
        <f t="shared" si="15"/>
        <v>2646</v>
      </c>
      <c r="R51" s="9">
        <f t="shared" si="17"/>
        <v>2499</v>
      </c>
      <c r="S51" s="9">
        <f t="shared" si="18"/>
        <v>2624</v>
      </c>
      <c r="T51" s="25"/>
      <c r="U51" s="26">
        <f>VLOOKUP($C51,'8b10b_data'!$A$5:$G$103,5,FALSE)</f>
        <v>20</v>
      </c>
      <c r="V51" s="26">
        <f>VLOOKUP($C51,'8b10b_data'!$A$5:$G$103,6,FALSE)</f>
        <v>777</v>
      </c>
      <c r="W51" s="26">
        <f>VLOOKUP($C51,'8b10b_data'!$A$5:$G$103,7,FALSE)</f>
        <v>2914</v>
      </c>
      <c r="X51" s="27">
        <f t="shared" si="20"/>
        <v>137</v>
      </c>
      <c r="Y51" s="27">
        <f t="shared" si="21"/>
        <v>2274</v>
      </c>
      <c r="Z51" s="28">
        <f>IF(D51&gt;=96,"-",VLOOKUP($C51,'64b66b_data'!$A$5:$G$72,5,FALSE))</f>
        <v>18</v>
      </c>
      <c r="AA51" s="28">
        <f>IF(D51&gt;=96,"-",VLOOKUP($C51,'64b66b_data'!$A$5:$G$72,6,FALSE))</f>
        <v>713</v>
      </c>
      <c r="AB51" s="28">
        <f>IF(D51&gt;=96,"-",VLOOKUP($C51,'64b66b_data'!$A$5:$G$72,7,FALSE))</f>
        <v>2850</v>
      </c>
      <c r="AC51" s="27">
        <f t="shared" si="22"/>
        <v>137</v>
      </c>
      <c r="AD51" s="27">
        <f t="shared" si="23"/>
        <v>2274</v>
      </c>
      <c r="AE51" s="18" t="str">
        <f t="shared" si="24"/>
        <v>Yes</v>
      </c>
      <c r="AF51" s="18" t="str">
        <f t="shared" si="25"/>
        <v>Yes</v>
      </c>
    </row>
    <row r="52" spans="1:32" x14ac:dyDescent="0.3">
      <c r="A52" s="9">
        <v>6</v>
      </c>
      <c r="B52" s="9">
        <v>96</v>
      </c>
      <c r="C52" s="19">
        <f t="shared" si="10"/>
        <v>6096</v>
      </c>
      <c r="D52" s="9">
        <v>48</v>
      </c>
      <c r="E52" s="19">
        <f t="shared" si="11"/>
        <v>48</v>
      </c>
      <c r="F52" s="19">
        <f t="shared" si="12"/>
        <v>1</v>
      </c>
      <c r="G52" s="19">
        <f t="shared" si="13"/>
        <v>96</v>
      </c>
      <c r="H52" s="20">
        <f>VLOOKUP($D52,'8b10b_data'!$L$5:$P$19,4,FALSE)</f>
        <v>578</v>
      </c>
      <c r="I52" s="21">
        <f>VLOOKUP($D52,'8b10b_data'!$L$5:$P$19,5,FALSE)</f>
        <v>710</v>
      </c>
      <c r="J52" s="22">
        <f>VLOOKUP($D52,'64b66b_data'!$L$5:$P$19,4,FALSE)</f>
        <v>542</v>
      </c>
      <c r="K52" s="23">
        <f>VLOOKUP($D52,'64b66b_data'!$L$5:$P$19,5,FALSE)</f>
        <v>681</v>
      </c>
      <c r="L52" s="24">
        <f t="shared" si="19"/>
        <v>177</v>
      </c>
      <c r="M52" s="24">
        <v>3138</v>
      </c>
      <c r="N52" s="9">
        <f t="shared" si="1"/>
        <v>1</v>
      </c>
      <c r="O52" s="9">
        <f t="shared" si="2"/>
        <v>2</v>
      </c>
      <c r="P52" s="9">
        <f t="shared" si="14"/>
        <v>3539</v>
      </c>
      <c r="Q52" s="9">
        <f t="shared" si="15"/>
        <v>3719</v>
      </c>
      <c r="R52" s="9">
        <f t="shared" si="17"/>
        <v>3503</v>
      </c>
      <c r="S52" s="9">
        <f t="shared" si="18"/>
        <v>3690</v>
      </c>
      <c r="T52" s="25"/>
      <c r="U52" s="26">
        <f>VLOOKUP($C52,'8b10b_data'!$A$5:$G$103,5,FALSE)</f>
        <v>21</v>
      </c>
      <c r="V52" s="26">
        <f>VLOOKUP($C52,'8b10b_data'!$A$5:$G$103,6,FALSE)</f>
        <v>1185</v>
      </c>
      <c r="W52" s="26">
        <f>VLOOKUP($C52,'8b10b_data'!$A$5:$G$103,7,FALSE)</f>
        <v>4194</v>
      </c>
      <c r="X52" s="27">
        <f t="shared" si="20"/>
        <v>177</v>
      </c>
      <c r="Y52" s="27">
        <f t="shared" si="21"/>
        <v>3138</v>
      </c>
      <c r="Z52" s="28">
        <f>IF(D52&gt;=96,"-",VLOOKUP($C52,'64b66b_data'!$A$5:$G$72,5,FALSE))</f>
        <v>20</v>
      </c>
      <c r="AA52" s="28">
        <f>IF(D52&gt;=96,"-",VLOOKUP($C52,'64b66b_data'!$A$5:$G$72,6,FALSE))</f>
        <v>1137</v>
      </c>
      <c r="AB52" s="28">
        <f>IF(D52&gt;=96,"-",VLOOKUP($C52,'64b66b_data'!$A$5:$G$72,7,FALSE))</f>
        <v>4098</v>
      </c>
      <c r="AC52" s="27">
        <f t="shared" si="22"/>
        <v>177</v>
      </c>
      <c r="AD52" s="27">
        <f t="shared" si="23"/>
        <v>3138</v>
      </c>
      <c r="AE52" s="18" t="str">
        <f t="shared" si="24"/>
        <v>Yes</v>
      </c>
      <c r="AF52" s="18" t="str">
        <f t="shared" si="25"/>
        <v>Yes</v>
      </c>
    </row>
    <row r="53" spans="1:32" x14ac:dyDescent="0.3">
      <c r="A53" s="9">
        <v>6</v>
      </c>
      <c r="B53" s="9">
        <v>128</v>
      </c>
      <c r="C53" s="19">
        <f t="shared" si="10"/>
        <v>6128</v>
      </c>
      <c r="D53" s="9">
        <v>64</v>
      </c>
      <c r="E53" s="19">
        <f t="shared" si="11"/>
        <v>32</v>
      </c>
      <c r="F53" s="19">
        <f t="shared" si="12"/>
        <v>0.5</v>
      </c>
      <c r="G53" s="19">
        <f t="shared" si="13"/>
        <v>128</v>
      </c>
      <c r="H53" s="20">
        <f>VLOOKUP($D53,'8b10b_data'!$L$5:$P$19,4,FALSE)</f>
        <v>623</v>
      </c>
      <c r="I53" s="21">
        <f>VLOOKUP($D53,'8b10b_data'!$L$5:$P$19,5,FALSE)</f>
        <v>788</v>
      </c>
      <c r="J53" s="22">
        <f>VLOOKUP($D53,'64b66b_data'!$L$5:$P$19,4,FALSE)</f>
        <v>629</v>
      </c>
      <c r="K53" s="23">
        <f>VLOOKUP($D53,'64b66b_data'!$L$5:$P$19,5,FALSE)</f>
        <v>794</v>
      </c>
      <c r="L53" s="24">
        <f t="shared" si="19"/>
        <v>201</v>
      </c>
      <c r="M53" s="24">
        <v>4258</v>
      </c>
      <c r="N53" s="9">
        <f t="shared" si="1"/>
        <v>1</v>
      </c>
      <c r="O53" s="9">
        <f t="shared" si="2"/>
        <v>2</v>
      </c>
      <c r="P53" s="9">
        <f t="shared" si="14"/>
        <v>4680</v>
      </c>
      <c r="Q53" s="9">
        <f t="shared" si="15"/>
        <v>4909</v>
      </c>
      <c r="R53" s="9">
        <f t="shared" si="17"/>
        <v>4686</v>
      </c>
      <c r="S53" s="9">
        <f t="shared" si="18"/>
        <v>4915</v>
      </c>
      <c r="T53" s="25"/>
      <c r="U53" s="26">
        <f>VLOOKUP($C53,'8b10b_data'!$A$5:$G$103,5,FALSE)</f>
        <v>18</v>
      </c>
      <c r="V53" s="26">
        <f>VLOOKUP($C53,'8b10b_data'!$A$5:$G$103,6,FALSE)</f>
        <v>1353</v>
      </c>
      <c r="W53" s="26">
        <f>VLOOKUP($C53,'8b10b_data'!$A$5:$G$103,7,FALSE)</f>
        <v>5410</v>
      </c>
      <c r="X53" s="27">
        <f t="shared" si="20"/>
        <v>201</v>
      </c>
      <c r="Y53" s="27">
        <f t="shared" si="21"/>
        <v>4258</v>
      </c>
      <c r="Z53" s="28">
        <f>IF(D53&gt;=96,"-",VLOOKUP($C53,'64b66b_data'!$A$5:$G$72,5,FALSE))</f>
        <v>17</v>
      </c>
      <c r="AA53" s="28">
        <f>IF(D53&gt;=96,"-",VLOOKUP($C53,'64b66b_data'!$A$5:$G$72,6,FALSE))</f>
        <v>1289</v>
      </c>
      <c r="AB53" s="28">
        <f>IF(D53&gt;=96,"-",VLOOKUP($C53,'64b66b_data'!$A$5:$G$72,7,FALSE))</f>
        <v>5410</v>
      </c>
      <c r="AC53" s="27">
        <f t="shared" si="22"/>
        <v>201</v>
      </c>
      <c r="AD53" s="27">
        <f t="shared" si="23"/>
        <v>4258</v>
      </c>
      <c r="AE53" s="18" t="str">
        <f t="shared" si="24"/>
        <v>Yes</v>
      </c>
      <c r="AF53" s="18" t="str">
        <f t="shared" si="25"/>
        <v>Yes</v>
      </c>
    </row>
    <row r="54" spans="1:32" x14ac:dyDescent="0.3">
      <c r="A54" s="9">
        <v>6</v>
      </c>
      <c r="B54" s="9">
        <v>192</v>
      </c>
      <c r="C54" s="19">
        <f t="shared" si="10"/>
        <v>6192</v>
      </c>
      <c r="D54" s="9">
        <v>96</v>
      </c>
      <c r="E54" s="19">
        <f t="shared" si="11"/>
        <v>48</v>
      </c>
      <c r="F54" s="19">
        <f t="shared" si="12"/>
        <v>0.5</v>
      </c>
      <c r="G54" s="19">
        <f t="shared" si="13"/>
        <v>192</v>
      </c>
      <c r="H54" s="20">
        <f>VLOOKUP($D54,'8b10b_data'!$L$5:$P$19,4,FALSE)</f>
        <v>919</v>
      </c>
      <c r="I54" s="21">
        <f>VLOOKUP($D54,'8b10b_data'!$L$5:$P$19,5,FALSE)</f>
        <v>1171</v>
      </c>
      <c r="J54" s="22" t="str">
        <f>VLOOKUP($D54,'64b66b_data'!$L$5:$P$19,4,FALSE)</f>
        <v>-</v>
      </c>
      <c r="K54" s="23" t="str">
        <f>VLOOKUP($D54,'64b66b_data'!$L$5:$P$19,5,FALSE)</f>
        <v>-</v>
      </c>
      <c r="L54" s="24">
        <f t="shared" si="19"/>
        <v>273</v>
      </c>
      <c r="M54" s="24">
        <v>5986</v>
      </c>
      <c r="N54" s="9">
        <f t="shared" si="1"/>
        <v>1</v>
      </c>
      <c r="O54" s="9">
        <f t="shared" si="2"/>
        <v>2</v>
      </c>
      <c r="P54" s="9">
        <f t="shared" si="14"/>
        <v>6632</v>
      </c>
      <c r="Q54" s="9">
        <f t="shared" si="15"/>
        <v>6980</v>
      </c>
      <c r="R54" s="9" t="str">
        <f t="shared" si="17"/>
        <v>-</v>
      </c>
      <c r="S54" s="9" t="str">
        <f t="shared" si="18"/>
        <v>-</v>
      </c>
      <c r="T54" s="25"/>
      <c r="U54" s="26">
        <f>VLOOKUP($C54,'8b10b_data'!$A$5:$G$103,5,FALSE)</f>
        <v>19</v>
      </c>
      <c r="V54" s="26">
        <f>VLOOKUP($C54,'8b10b_data'!$A$5:$G$103,6,FALSE)</f>
        <v>2097</v>
      </c>
      <c r="W54" s="26">
        <f>VLOOKUP($C54,'8b10b_data'!$A$5:$G$103,7,FALSE)</f>
        <v>7906</v>
      </c>
      <c r="X54" s="27">
        <f t="shared" si="20"/>
        <v>273</v>
      </c>
      <c r="Y54" s="27">
        <f t="shared" si="21"/>
        <v>5986</v>
      </c>
      <c r="Z54" s="28" t="str">
        <f>IF(D54&gt;=96,"-",VLOOKUP($C54,'64b66b_data'!$A$5:$G$72,5,FALSE))</f>
        <v>-</v>
      </c>
      <c r="AA54" s="28" t="str">
        <f>IF(D54&gt;=96,"-",VLOOKUP($C54,'64b66b_data'!$A$5:$G$72,6,FALSE))</f>
        <v>-</v>
      </c>
      <c r="AB54" s="28" t="str">
        <f>IF(D54&gt;=96,"-",VLOOKUP($C54,'64b66b_data'!$A$5:$G$72,7,FALSE))</f>
        <v>-</v>
      </c>
      <c r="AC54" s="27">
        <f t="shared" si="22"/>
        <v>273</v>
      </c>
      <c r="AD54" s="27">
        <f t="shared" si="23"/>
        <v>5986</v>
      </c>
      <c r="AE54" s="18" t="str">
        <f t="shared" si="24"/>
        <v>Yes</v>
      </c>
      <c r="AF54" s="18" t="str">
        <f t="shared" si="25"/>
        <v>Yes</v>
      </c>
    </row>
    <row r="55" spans="1:32" x14ac:dyDescent="0.3">
      <c r="A55" s="9">
        <v>6</v>
      </c>
      <c r="B55" s="9">
        <v>256</v>
      </c>
      <c r="C55" s="19">
        <f t="shared" si="10"/>
        <v>6256</v>
      </c>
      <c r="D55" s="9">
        <v>128</v>
      </c>
      <c r="E55" s="19">
        <f t="shared" si="11"/>
        <v>32</v>
      </c>
      <c r="F55" s="19">
        <f t="shared" si="12"/>
        <v>0.25</v>
      </c>
      <c r="G55" s="19">
        <f t="shared" si="13"/>
        <v>256</v>
      </c>
      <c r="H55" s="20">
        <f>VLOOKUP($D55,'8b10b_data'!$L$5:$P$19,4,FALSE)</f>
        <v>1014</v>
      </c>
      <c r="I55" s="21">
        <f>VLOOKUP($D55,'8b10b_data'!$L$5:$P$19,5,FALSE)</f>
        <v>1325</v>
      </c>
      <c r="J55" s="22" t="str">
        <f>VLOOKUP($D55,'64b66b_data'!$L$5:$P$19,4,FALSE)</f>
        <v>-</v>
      </c>
      <c r="K55" s="23" t="str">
        <f>VLOOKUP($D55,'64b66b_data'!$L$5:$P$19,5,FALSE)</f>
        <v>-</v>
      </c>
      <c r="L55" s="24">
        <f t="shared" si="19"/>
        <v>329</v>
      </c>
      <c r="M55" s="24">
        <v>8226</v>
      </c>
      <c r="N55" s="9">
        <f t="shared" si="1"/>
        <v>1</v>
      </c>
      <c r="O55" s="9">
        <f t="shared" si="2"/>
        <v>2</v>
      </c>
      <c r="P55" s="9">
        <f t="shared" si="14"/>
        <v>8911</v>
      </c>
      <c r="Q55" s="9">
        <f t="shared" si="15"/>
        <v>9350</v>
      </c>
      <c r="R55" s="9" t="str">
        <f t="shared" si="17"/>
        <v>-</v>
      </c>
      <c r="S55" s="9" t="str">
        <f t="shared" si="18"/>
        <v>-</v>
      </c>
      <c r="T55" s="25"/>
      <c r="U55" s="26">
        <f>VLOOKUP($C55,'8b10b_data'!$A$5:$G$103,5,FALSE)</f>
        <v>16</v>
      </c>
      <c r="V55" s="26">
        <f>VLOOKUP($C55,'8b10b_data'!$A$5:$G$103,6,FALSE)</f>
        <v>2377</v>
      </c>
      <c r="W55" s="26">
        <f>VLOOKUP($C55,'8b10b_data'!$A$5:$G$103,7,FALSE)</f>
        <v>10274</v>
      </c>
      <c r="X55" s="27">
        <f t="shared" si="20"/>
        <v>329</v>
      </c>
      <c r="Y55" s="27">
        <f t="shared" si="21"/>
        <v>8226</v>
      </c>
      <c r="Z55" s="28" t="str">
        <f>IF(D55&gt;=96,"-",VLOOKUP($C55,'64b66b_data'!$A$5:$G$72,5,FALSE))</f>
        <v>-</v>
      </c>
      <c r="AA55" s="28" t="str">
        <f>IF(D55&gt;=96,"-",VLOOKUP($C55,'64b66b_data'!$A$5:$G$72,6,FALSE))</f>
        <v>-</v>
      </c>
      <c r="AB55" s="28" t="str">
        <f>IF(D55&gt;=96,"-",VLOOKUP($C55,'64b66b_data'!$A$5:$G$72,7,FALSE))</f>
        <v>-</v>
      </c>
      <c r="AC55" s="27">
        <f t="shared" si="22"/>
        <v>329</v>
      </c>
      <c r="AD55" s="27">
        <f t="shared" si="23"/>
        <v>8226</v>
      </c>
      <c r="AE55" s="18" t="str">
        <f t="shared" si="24"/>
        <v>Yes</v>
      </c>
      <c r="AF55" s="18" t="str">
        <f t="shared" si="25"/>
        <v>Yes</v>
      </c>
    </row>
    <row r="56" spans="1:32" x14ac:dyDescent="0.3">
      <c r="A56" s="9">
        <v>7</v>
      </c>
      <c r="B56" s="9">
        <v>32</v>
      </c>
      <c r="C56" s="19">
        <f t="shared" si="10"/>
        <v>7032</v>
      </c>
      <c r="D56" s="9">
        <v>8</v>
      </c>
      <c r="E56" s="19">
        <f t="shared" si="11"/>
        <v>8</v>
      </c>
      <c r="F56" s="19">
        <f t="shared" si="12"/>
        <v>1</v>
      </c>
      <c r="G56" s="19">
        <f t="shared" si="13"/>
        <v>32</v>
      </c>
      <c r="H56" s="20">
        <f>VLOOKUP($D56,'8b10b_data'!$L$5:$P$19,4,FALSE)</f>
        <v>97</v>
      </c>
      <c r="I56" s="21">
        <f>VLOOKUP($D56,'8b10b_data'!$L$5:$P$19,5,FALSE)</f>
        <v>119</v>
      </c>
      <c r="J56" s="22">
        <f>VLOOKUP($D56,'64b66b_data'!$L$5:$P$19,4,FALSE)</f>
        <v>91</v>
      </c>
      <c r="K56" s="23">
        <f>VLOOKUP($D56,'64b66b_data'!$L$5:$P$19,5,FALSE)</f>
        <v>114</v>
      </c>
      <c r="L56" s="24">
        <f t="shared" si="19"/>
        <v>77</v>
      </c>
      <c r="M56" s="24">
        <v>1302</v>
      </c>
      <c r="N56" s="9">
        <f t="shared" si="1"/>
        <v>1</v>
      </c>
      <c r="O56" s="9">
        <f t="shared" si="2"/>
        <v>4</v>
      </c>
      <c r="P56" s="9">
        <f t="shared" si="14"/>
        <v>1306</v>
      </c>
      <c r="Q56" s="9">
        <f t="shared" si="15"/>
        <v>1368</v>
      </c>
      <c r="R56" s="9">
        <f t="shared" si="17"/>
        <v>1300</v>
      </c>
      <c r="S56" s="9">
        <f t="shared" si="18"/>
        <v>1363</v>
      </c>
      <c r="T56" s="25"/>
      <c r="U56" s="26">
        <f>VLOOKUP($C56,'8b10b_data'!$A$5:$G$103,5,FALSE)</f>
        <v>19</v>
      </c>
      <c r="V56" s="26">
        <f>VLOOKUP($C56,'8b10b_data'!$A$5:$G$103,6,FALSE)</f>
        <v>229</v>
      </c>
      <c r="W56" s="26">
        <f>VLOOKUP($C56,'8b10b_data'!$A$5:$G$103,7,FALSE)</f>
        <v>1462</v>
      </c>
      <c r="X56" s="27">
        <f t="shared" si="20"/>
        <v>77</v>
      </c>
      <c r="Y56" s="27">
        <f t="shared" si="21"/>
        <v>1302</v>
      </c>
      <c r="Z56" s="28">
        <f>IF(D56&gt;=96,"-",VLOOKUP($C56,'64b66b_data'!$A$5:$G$72,5,FALSE))</f>
        <v>16</v>
      </c>
      <c r="AA56" s="28">
        <f>IF(D56&gt;=96,"-",VLOOKUP($C56,'64b66b_data'!$A$5:$G$72,6,FALSE))</f>
        <v>205</v>
      </c>
      <c r="AB56" s="28">
        <f>IF(D56&gt;=96,"-",VLOOKUP($C56,'64b66b_data'!$A$5:$G$72,7,FALSE))</f>
        <v>1430</v>
      </c>
      <c r="AC56" s="27">
        <f t="shared" si="22"/>
        <v>77</v>
      </c>
      <c r="AD56" s="27">
        <f t="shared" si="23"/>
        <v>1302</v>
      </c>
      <c r="AE56" s="18" t="str">
        <f t="shared" si="24"/>
        <v>Yes</v>
      </c>
      <c r="AF56" s="18" t="str">
        <f t="shared" si="25"/>
        <v>Yes</v>
      </c>
    </row>
    <row r="57" spans="1:32" x14ac:dyDescent="0.3">
      <c r="A57" s="9">
        <v>7</v>
      </c>
      <c r="B57" s="9">
        <v>48</v>
      </c>
      <c r="C57" s="19">
        <f t="shared" si="10"/>
        <v>7048</v>
      </c>
      <c r="D57" s="9">
        <v>12</v>
      </c>
      <c r="E57" s="19">
        <f t="shared" si="11"/>
        <v>12</v>
      </c>
      <c r="F57" s="19">
        <f t="shared" si="12"/>
        <v>1</v>
      </c>
      <c r="G57" s="19">
        <f t="shared" si="13"/>
        <v>48</v>
      </c>
      <c r="H57" s="20">
        <f>VLOOKUP($D57,'8b10b_data'!$L$5:$P$19,4,FALSE)</f>
        <v>149</v>
      </c>
      <c r="I57" s="21">
        <f>VLOOKUP($D57,'8b10b_data'!$L$5:$P$19,5,FALSE)</f>
        <v>177</v>
      </c>
      <c r="J57" s="22">
        <f>VLOOKUP($D57,'64b66b_data'!$L$5:$P$19,4,FALSE)</f>
        <v>137</v>
      </c>
      <c r="K57" s="23">
        <f>VLOOKUP($D57,'64b66b_data'!$L$5:$P$19,5,FALSE)</f>
        <v>171</v>
      </c>
      <c r="L57" s="24">
        <f t="shared" si="19"/>
        <v>87</v>
      </c>
      <c r="M57" s="24">
        <v>1734</v>
      </c>
      <c r="N57" s="9">
        <f t="shared" si="1"/>
        <v>1</v>
      </c>
      <c r="O57" s="9">
        <f t="shared" si="2"/>
        <v>4</v>
      </c>
      <c r="P57" s="9">
        <f t="shared" si="14"/>
        <v>1772</v>
      </c>
      <c r="Q57" s="9">
        <f t="shared" si="15"/>
        <v>1860</v>
      </c>
      <c r="R57" s="9">
        <f t="shared" si="17"/>
        <v>1760</v>
      </c>
      <c r="S57" s="9">
        <f t="shared" si="18"/>
        <v>1854</v>
      </c>
      <c r="T57" s="25"/>
      <c r="U57" s="26">
        <f>VLOOKUP($C57,'8b10b_data'!$A$5:$G$103,5,FALSE)</f>
        <v>20</v>
      </c>
      <c r="V57" s="26">
        <f>VLOOKUP($C57,'8b10b_data'!$A$5:$G$103,6,FALSE)</f>
        <v>327</v>
      </c>
      <c r="W57" s="26">
        <f>VLOOKUP($C57,'8b10b_data'!$A$5:$G$103,7,FALSE)</f>
        <v>1974</v>
      </c>
      <c r="X57" s="27">
        <f t="shared" si="20"/>
        <v>87</v>
      </c>
      <c r="Y57" s="27">
        <f t="shared" si="21"/>
        <v>1734</v>
      </c>
      <c r="Z57" s="28">
        <f>IF(D57&gt;=96,"-",VLOOKUP($C57,'64b66b_data'!$A$5:$G$72,5,FALSE))</f>
        <v>18</v>
      </c>
      <c r="AA57" s="28">
        <f>IF(D57&gt;=96,"-",VLOOKUP($C57,'64b66b_data'!$A$5:$G$72,6,FALSE))</f>
        <v>303</v>
      </c>
      <c r="AB57" s="28">
        <f>IF(D57&gt;=96,"-",VLOOKUP($C57,'64b66b_data'!$A$5:$G$72,7,FALSE))</f>
        <v>1926</v>
      </c>
      <c r="AC57" s="27">
        <f t="shared" si="22"/>
        <v>87</v>
      </c>
      <c r="AD57" s="27">
        <f t="shared" si="23"/>
        <v>1734</v>
      </c>
      <c r="AE57" s="18" t="str">
        <f t="shared" si="24"/>
        <v>Yes</v>
      </c>
      <c r="AF57" s="18" t="str">
        <f t="shared" si="25"/>
        <v>Yes</v>
      </c>
    </row>
    <row r="58" spans="1:32" x14ac:dyDescent="0.3">
      <c r="A58" s="9">
        <v>7</v>
      </c>
      <c r="B58" s="9">
        <v>64</v>
      </c>
      <c r="C58" s="19">
        <f t="shared" si="10"/>
        <v>7064</v>
      </c>
      <c r="D58" s="9">
        <v>16</v>
      </c>
      <c r="E58" s="19">
        <f t="shared" si="11"/>
        <v>16</v>
      </c>
      <c r="F58" s="19">
        <f t="shared" si="12"/>
        <v>1</v>
      </c>
      <c r="G58" s="19">
        <f t="shared" si="13"/>
        <v>64</v>
      </c>
      <c r="H58" s="20">
        <f>VLOOKUP($D58,'8b10b_data'!$L$5:$P$19,4,FALSE)</f>
        <v>192</v>
      </c>
      <c r="I58" s="21">
        <f>VLOOKUP($D58,'8b10b_data'!$L$5:$P$19,5,FALSE)</f>
        <v>238</v>
      </c>
      <c r="J58" s="22">
        <f>VLOOKUP($D58,'64b66b_data'!$L$5:$P$19,4,FALSE)</f>
        <v>181</v>
      </c>
      <c r="K58" s="23">
        <f>VLOOKUP($D58,'64b66b_data'!$L$5:$P$19,5,FALSE)</f>
        <v>226</v>
      </c>
      <c r="L58" s="24">
        <f t="shared" si="19"/>
        <v>97</v>
      </c>
      <c r="M58" s="24">
        <v>2274</v>
      </c>
      <c r="N58" s="9">
        <f t="shared" si="1"/>
        <v>1</v>
      </c>
      <c r="O58" s="9">
        <f t="shared" si="2"/>
        <v>4</v>
      </c>
      <c r="P58" s="9">
        <f t="shared" si="14"/>
        <v>2337</v>
      </c>
      <c r="Q58" s="9">
        <f t="shared" si="15"/>
        <v>2463</v>
      </c>
      <c r="R58" s="9">
        <f t="shared" si="17"/>
        <v>2326</v>
      </c>
      <c r="S58" s="9">
        <f t="shared" si="18"/>
        <v>2451</v>
      </c>
      <c r="T58" s="25"/>
      <c r="U58" s="26">
        <f>VLOOKUP($C58,'8b10b_data'!$A$5:$G$103,5,FALSE)</f>
        <v>22</v>
      </c>
      <c r="V58" s="26">
        <f>VLOOKUP($C58,'8b10b_data'!$A$5:$G$103,6,FALSE)</f>
        <v>449</v>
      </c>
      <c r="W58" s="26">
        <f>VLOOKUP($C58,'8b10b_data'!$A$5:$G$103,7,FALSE)</f>
        <v>2594</v>
      </c>
      <c r="X58" s="27">
        <f t="shared" si="20"/>
        <v>97</v>
      </c>
      <c r="Y58" s="27">
        <f t="shared" si="21"/>
        <v>2274</v>
      </c>
      <c r="Z58" s="28">
        <f>IF(D58&gt;=96,"-",VLOOKUP($C58,'64b66b_data'!$A$5:$G$72,5,FALSE))</f>
        <v>18</v>
      </c>
      <c r="AA58" s="28">
        <f>IF(D58&gt;=96,"-",VLOOKUP($C58,'64b66b_data'!$A$5:$G$72,6,FALSE))</f>
        <v>385</v>
      </c>
      <c r="AB58" s="28">
        <f>IF(D58&gt;=96,"-",VLOOKUP($C58,'64b66b_data'!$A$5:$G$72,7,FALSE))</f>
        <v>2530</v>
      </c>
      <c r="AC58" s="27">
        <f t="shared" si="22"/>
        <v>97</v>
      </c>
      <c r="AD58" s="27">
        <f t="shared" si="23"/>
        <v>2274</v>
      </c>
      <c r="AE58" s="18" t="str">
        <f t="shared" si="24"/>
        <v>Yes</v>
      </c>
      <c r="AF58" s="18" t="str">
        <f t="shared" si="25"/>
        <v>Yes</v>
      </c>
    </row>
    <row r="59" spans="1:32" x14ac:dyDescent="0.3">
      <c r="A59" s="9">
        <v>7</v>
      </c>
      <c r="B59" s="9">
        <v>96</v>
      </c>
      <c r="C59" s="19">
        <f t="shared" si="10"/>
        <v>7096</v>
      </c>
      <c r="D59" s="9">
        <v>24</v>
      </c>
      <c r="E59" s="19">
        <f t="shared" si="11"/>
        <v>24</v>
      </c>
      <c r="F59" s="19">
        <f t="shared" si="12"/>
        <v>1</v>
      </c>
      <c r="G59" s="19">
        <f t="shared" si="13"/>
        <v>96</v>
      </c>
      <c r="H59" s="20">
        <f>VLOOKUP($D59,'8b10b_data'!$L$5:$P$19,4,FALSE)</f>
        <v>290</v>
      </c>
      <c r="I59" s="21">
        <f>VLOOKUP($D59,'8b10b_data'!$L$5:$P$19,5,FALSE)</f>
        <v>357</v>
      </c>
      <c r="J59" s="22">
        <f>VLOOKUP($D59,'64b66b_data'!$L$5:$P$19,4,FALSE)</f>
        <v>273</v>
      </c>
      <c r="K59" s="23">
        <f>VLOOKUP($D59,'64b66b_data'!$L$5:$P$19,5,FALSE)</f>
        <v>339</v>
      </c>
      <c r="L59" s="24">
        <f t="shared" si="19"/>
        <v>117</v>
      </c>
      <c r="M59" s="24">
        <v>3138</v>
      </c>
      <c r="N59" s="9">
        <f t="shared" si="1"/>
        <v>1</v>
      </c>
      <c r="O59" s="9">
        <f t="shared" si="2"/>
        <v>4</v>
      </c>
      <c r="P59" s="9">
        <f t="shared" si="14"/>
        <v>3263</v>
      </c>
      <c r="Q59" s="9">
        <f t="shared" si="15"/>
        <v>3450</v>
      </c>
      <c r="R59" s="9">
        <f t="shared" si="17"/>
        <v>3246</v>
      </c>
      <c r="S59" s="9">
        <f t="shared" si="18"/>
        <v>3432</v>
      </c>
      <c r="T59" s="25"/>
      <c r="U59" s="26">
        <f>VLOOKUP($C59,'8b10b_data'!$A$5:$G$103,5,FALSE)</f>
        <v>23</v>
      </c>
      <c r="V59" s="26">
        <f>VLOOKUP($C59,'8b10b_data'!$A$5:$G$103,6,FALSE)</f>
        <v>669</v>
      </c>
      <c r="W59" s="26">
        <f>VLOOKUP($C59,'8b10b_data'!$A$5:$G$103,7,FALSE)</f>
        <v>3714</v>
      </c>
      <c r="X59" s="27">
        <f t="shared" si="20"/>
        <v>117</v>
      </c>
      <c r="Y59" s="27">
        <f t="shared" si="21"/>
        <v>3138</v>
      </c>
      <c r="Z59" s="28">
        <f>IF(D59&gt;=96,"-",VLOOKUP($C59,'64b66b_data'!$A$5:$G$72,5,FALSE))</f>
        <v>20</v>
      </c>
      <c r="AA59" s="28">
        <f>IF(D59&gt;=96,"-",VLOOKUP($C59,'64b66b_data'!$A$5:$G$72,6,FALSE))</f>
        <v>597</v>
      </c>
      <c r="AB59" s="28">
        <f>IF(D59&gt;=96,"-",VLOOKUP($C59,'64b66b_data'!$A$5:$G$72,7,FALSE))</f>
        <v>3618</v>
      </c>
      <c r="AC59" s="27">
        <f t="shared" si="22"/>
        <v>117</v>
      </c>
      <c r="AD59" s="27">
        <f t="shared" si="23"/>
        <v>3138</v>
      </c>
      <c r="AE59" s="18" t="str">
        <f t="shared" si="24"/>
        <v>Yes</v>
      </c>
      <c r="AF59" s="18" t="str">
        <f t="shared" si="25"/>
        <v>Yes</v>
      </c>
    </row>
    <row r="60" spans="1:32" x14ac:dyDescent="0.3">
      <c r="A60" s="9">
        <v>7</v>
      </c>
      <c r="B60" s="9">
        <v>128</v>
      </c>
      <c r="C60" s="19">
        <f t="shared" si="10"/>
        <v>7128</v>
      </c>
      <c r="D60" s="9">
        <v>32</v>
      </c>
      <c r="E60" s="19">
        <f t="shared" si="11"/>
        <v>32</v>
      </c>
      <c r="F60" s="19">
        <f t="shared" si="12"/>
        <v>1</v>
      </c>
      <c r="G60" s="19">
        <f t="shared" si="13"/>
        <v>128</v>
      </c>
      <c r="H60" s="20">
        <f>VLOOKUP($D60,'8b10b_data'!$L$5:$P$19,4,FALSE)</f>
        <v>384</v>
      </c>
      <c r="I60" s="21">
        <f>VLOOKUP($D60,'8b10b_data'!$L$5:$P$19,5,FALSE)</f>
        <v>477</v>
      </c>
      <c r="J60" s="22">
        <f>VLOOKUP($D60,'64b66b_data'!$L$5:$P$19,4,FALSE)</f>
        <v>362</v>
      </c>
      <c r="K60" s="23">
        <f>VLOOKUP($D60,'64b66b_data'!$L$5:$P$19,5,FALSE)</f>
        <v>455</v>
      </c>
      <c r="L60" s="24">
        <f t="shared" si="19"/>
        <v>137</v>
      </c>
      <c r="M60" s="24">
        <v>4258</v>
      </c>
      <c r="N60" s="9">
        <f t="shared" si="1"/>
        <v>1</v>
      </c>
      <c r="O60" s="9">
        <f t="shared" si="2"/>
        <v>4</v>
      </c>
      <c r="P60" s="9">
        <f t="shared" si="14"/>
        <v>4441</v>
      </c>
      <c r="Q60" s="9">
        <f t="shared" si="15"/>
        <v>4694</v>
      </c>
      <c r="R60" s="9">
        <f t="shared" si="17"/>
        <v>4419</v>
      </c>
      <c r="S60" s="9">
        <f t="shared" si="18"/>
        <v>4672</v>
      </c>
      <c r="T60" s="25"/>
      <c r="U60" s="26">
        <f>VLOOKUP($C60,'8b10b_data'!$A$5:$G$103,5,FALSE)</f>
        <v>24</v>
      </c>
      <c r="V60" s="26">
        <f>VLOOKUP($C60,'8b10b_data'!$A$5:$G$103,6,FALSE)</f>
        <v>905</v>
      </c>
      <c r="W60" s="26">
        <f>VLOOKUP($C60,'8b10b_data'!$A$5:$G$103,7,FALSE)</f>
        <v>5026</v>
      </c>
      <c r="X60" s="27">
        <f t="shared" si="20"/>
        <v>137</v>
      </c>
      <c r="Y60" s="27">
        <f t="shared" si="21"/>
        <v>4258</v>
      </c>
      <c r="Z60" s="28">
        <f>IF(D60&gt;=96,"-",VLOOKUP($C60,'64b66b_data'!$A$5:$G$72,5,FALSE))</f>
        <v>20</v>
      </c>
      <c r="AA60" s="28">
        <f>IF(D60&gt;=96,"-",VLOOKUP($C60,'64b66b_data'!$A$5:$G$72,6,FALSE))</f>
        <v>777</v>
      </c>
      <c r="AB60" s="28">
        <f>IF(D60&gt;=96,"-",VLOOKUP($C60,'64b66b_data'!$A$5:$G$72,7,FALSE))</f>
        <v>4898</v>
      </c>
      <c r="AC60" s="27">
        <f t="shared" si="22"/>
        <v>137</v>
      </c>
      <c r="AD60" s="27">
        <f t="shared" si="23"/>
        <v>4258</v>
      </c>
      <c r="AE60" s="18" t="str">
        <f t="shared" si="24"/>
        <v>Yes</v>
      </c>
      <c r="AF60" s="18" t="str">
        <f t="shared" si="25"/>
        <v>Yes</v>
      </c>
    </row>
    <row r="61" spans="1:32" x14ac:dyDescent="0.3">
      <c r="A61" s="9">
        <v>7</v>
      </c>
      <c r="B61" s="9">
        <v>192</v>
      </c>
      <c r="C61" s="19">
        <f t="shared" si="10"/>
        <v>7192</v>
      </c>
      <c r="D61" s="9">
        <v>48</v>
      </c>
      <c r="E61" s="19">
        <f t="shared" si="11"/>
        <v>48</v>
      </c>
      <c r="F61" s="19">
        <f t="shared" si="12"/>
        <v>1</v>
      </c>
      <c r="G61" s="19">
        <f t="shared" si="13"/>
        <v>192</v>
      </c>
      <c r="H61" s="20">
        <f>VLOOKUP($D61,'8b10b_data'!$L$5:$P$19,4,FALSE)</f>
        <v>578</v>
      </c>
      <c r="I61" s="21">
        <f>VLOOKUP($D61,'8b10b_data'!$L$5:$P$19,5,FALSE)</f>
        <v>710</v>
      </c>
      <c r="J61" s="22">
        <f>VLOOKUP($D61,'64b66b_data'!$L$5:$P$19,4,FALSE)</f>
        <v>542</v>
      </c>
      <c r="K61" s="23">
        <f>VLOOKUP($D61,'64b66b_data'!$L$5:$P$19,5,FALSE)</f>
        <v>681</v>
      </c>
      <c r="L61" s="24">
        <f t="shared" si="19"/>
        <v>177</v>
      </c>
      <c r="M61" s="24">
        <v>5986</v>
      </c>
      <c r="N61" s="9">
        <f t="shared" si="1"/>
        <v>1</v>
      </c>
      <c r="O61" s="9">
        <f t="shared" si="2"/>
        <v>4</v>
      </c>
      <c r="P61" s="9">
        <f t="shared" si="14"/>
        <v>6291</v>
      </c>
      <c r="Q61" s="9">
        <f t="shared" si="15"/>
        <v>6663</v>
      </c>
      <c r="R61" s="9">
        <f t="shared" si="17"/>
        <v>6255</v>
      </c>
      <c r="S61" s="9">
        <f t="shared" si="18"/>
        <v>6634</v>
      </c>
      <c r="T61" s="25"/>
      <c r="U61" s="26">
        <f>VLOOKUP($C61,'8b10b_data'!$A$5:$G$103,5,FALSE)</f>
        <v>25</v>
      </c>
      <c r="V61" s="26">
        <f>VLOOKUP($C61,'8b10b_data'!$A$5:$G$103,6,FALSE)</f>
        <v>1377</v>
      </c>
      <c r="W61" s="26">
        <f>VLOOKUP($C61,'8b10b_data'!$A$5:$G$103,7,FALSE)</f>
        <v>7138</v>
      </c>
      <c r="X61" s="27">
        <f t="shared" si="20"/>
        <v>177</v>
      </c>
      <c r="Y61" s="27">
        <f t="shared" si="21"/>
        <v>5986</v>
      </c>
      <c r="Z61" s="28">
        <f>IF(D61&gt;=96,"-",VLOOKUP($C61,'64b66b_data'!$A$5:$G$72,5,FALSE))</f>
        <v>24</v>
      </c>
      <c r="AA61" s="28">
        <f>IF(D61&gt;=96,"-",VLOOKUP($C61,'64b66b_data'!$A$5:$G$72,6,FALSE))</f>
        <v>1329</v>
      </c>
      <c r="AB61" s="28">
        <f>IF(D61&gt;=96,"-",VLOOKUP($C61,'64b66b_data'!$A$5:$G$72,7,FALSE))</f>
        <v>7138</v>
      </c>
      <c r="AC61" s="27">
        <f t="shared" si="22"/>
        <v>177</v>
      </c>
      <c r="AD61" s="27">
        <f t="shared" si="23"/>
        <v>5986</v>
      </c>
      <c r="AE61" s="18" t="str">
        <f t="shared" si="24"/>
        <v>Yes</v>
      </c>
      <c r="AF61" s="18" t="str">
        <f t="shared" si="25"/>
        <v>Yes</v>
      </c>
    </row>
    <row r="62" spans="1:32" x14ac:dyDescent="0.3">
      <c r="A62" s="9">
        <v>7</v>
      </c>
      <c r="B62" s="9">
        <v>256</v>
      </c>
      <c r="C62" s="19">
        <f t="shared" si="10"/>
        <v>7256</v>
      </c>
      <c r="D62" s="9">
        <v>64</v>
      </c>
      <c r="E62" s="19">
        <f t="shared" si="11"/>
        <v>32</v>
      </c>
      <c r="F62" s="19">
        <f t="shared" si="12"/>
        <v>0.5</v>
      </c>
      <c r="G62" s="19">
        <f t="shared" si="13"/>
        <v>256</v>
      </c>
      <c r="H62" s="20">
        <f>VLOOKUP($D62,'8b10b_data'!$L$5:$P$19,4,FALSE)</f>
        <v>623</v>
      </c>
      <c r="I62" s="21">
        <f>VLOOKUP($D62,'8b10b_data'!$L$5:$P$19,5,FALSE)</f>
        <v>788</v>
      </c>
      <c r="J62" s="22">
        <f>VLOOKUP($D62,'64b66b_data'!$L$5:$P$19,4,FALSE)</f>
        <v>629</v>
      </c>
      <c r="K62" s="23">
        <f>VLOOKUP($D62,'64b66b_data'!$L$5:$P$19,5,FALSE)</f>
        <v>794</v>
      </c>
      <c r="L62" s="24">
        <f t="shared" si="19"/>
        <v>201</v>
      </c>
      <c r="M62" s="24">
        <v>8226</v>
      </c>
      <c r="N62" s="9">
        <f t="shared" si="1"/>
        <v>1</v>
      </c>
      <c r="O62" s="9">
        <f t="shared" si="2"/>
        <v>4</v>
      </c>
      <c r="P62" s="9">
        <f t="shared" si="14"/>
        <v>8520</v>
      </c>
      <c r="Q62" s="9">
        <f t="shared" si="15"/>
        <v>9005</v>
      </c>
      <c r="R62" s="9">
        <f t="shared" si="17"/>
        <v>8526</v>
      </c>
      <c r="S62" s="9">
        <f t="shared" si="18"/>
        <v>9011</v>
      </c>
      <c r="T62" s="25"/>
      <c r="U62" s="26">
        <f>VLOOKUP($C62,'8b10b_data'!$A$5:$G$103,5,FALSE)</f>
        <v>20</v>
      </c>
      <c r="V62" s="26">
        <f>VLOOKUP($C62,'8b10b_data'!$A$5:$G$103,6,FALSE)</f>
        <v>1481</v>
      </c>
      <c r="W62" s="26">
        <f>VLOOKUP($C62,'8b10b_data'!$A$5:$G$103,7,FALSE)</f>
        <v>9506</v>
      </c>
      <c r="X62" s="27">
        <f t="shared" si="20"/>
        <v>201</v>
      </c>
      <c r="Y62" s="27">
        <f t="shared" si="21"/>
        <v>8226</v>
      </c>
      <c r="Z62" s="28">
        <f>IF(D62&gt;=96,"-",VLOOKUP($C62,'64b66b_data'!$A$5:$G$72,5,FALSE))</f>
        <v>21</v>
      </c>
      <c r="AA62" s="28">
        <f>IF(D62&gt;=96,"-",VLOOKUP($C62,'64b66b_data'!$A$5:$G$72,6,FALSE))</f>
        <v>1545</v>
      </c>
      <c r="AB62" s="28">
        <f>IF(D62&gt;=96,"-",VLOOKUP($C62,'64b66b_data'!$A$5:$G$72,7,FALSE))</f>
        <v>9506</v>
      </c>
      <c r="AC62" s="27">
        <f t="shared" si="22"/>
        <v>201</v>
      </c>
      <c r="AD62" s="27">
        <f t="shared" si="23"/>
        <v>8226</v>
      </c>
      <c r="AE62" s="18" t="str">
        <f t="shared" si="24"/>
        <v>Yes</v>
      </c>
      <c r="AF62" s="18" t="str">
        <f t="shared" si="25"/>
        <v>Yes</v>
      </c>
    </row>
    <row r="63" spans="1:32" x14ac:dyDescent="0.3">
      <c r="A63" s="9">
        <v>8</v>
      </c>
      <c r="B63" s="9">
        <v>0.5</v>
      </c>
      <c r="C63" s="19">
        <f t="shared" si="10"/>
        <v>8000.5</v>
      </c>
      <c r="D63" s="9">
        <v>20</v>
      </c>
      <c r="E63" s="19">
        <f t="shared" si="11"/>
        <v>20</v>
      </c>
      <c r="F63" s="19">
        <f t="shared" si="12"/>
        <v>1</v>
      </c>
      <c r="G63" s="19">
        <f t="shared" si="13"/>
        <v>16</v>
      </c>
      <c r="H63" s="20">
        <f>VLOOKUP($D63,'8b10b_data'!$L$5:$P$19,4,FALSE)</f>
        <v>241</v>
      </c>
      <c r="I63" s="21">
        <f>VLOOKUP($D63,'8b10b_data'!$L$5:$P$19,5,FALSE)</f>
        <v>296</v>
      </c>
      <c r="J63" s="22">
        <f>VLOOKUP($D63,'64b66b_data'!$L$5:$P$19,4,FALSE)</f>
        <v>227</v>
      </c>
      <c r="K63" s="23">
        <f>VLOOKUP($D63,'64b66b_data'!$L$5:$P$19,5,FALSE)</f>
        <v>284</v>
      </c>
      <c r="L63" s="24">
        <f t="shared" si="19"/>
        <v>107</v>
      </c>
      <c r="M63" s="24">
        <v>204</v>
      </c>
      <c r="N63" s="9">
        <f t="shared" si="1"/>
        <v>3</v>
      </c>
      <c r="O63" s="9">
        <f t="shared" si="2"/>
        <v>4</v>
      </c>
      <c r="P63" s="9">
        <f t="shared" si="14"/>
        <v>338</v>
      </c>
      <c r="Q63" s="9">
        <f t="shared" si="15"/>
        <v>453</v>
      </c>
      <c r="R63" s="9">
        <f t="shared" si="17"/>
        <v>324</v>
      </c>
      <c r="S63" s="9">
        <f t="shared" si="18"/>
        <v>441</v>
      </c>
      <c r="T63" s="25"/>
      <c r="U63" s="26">
        <f>VLOOKUP($C63,'8b10b_data'!$A$5:$G$103,5,FALSE)</f>
        <v>17</v>
      </c>
      <c r="V63" s="26">
        <f>VLOOKUP($C63,'8b10b_data'!$A$5:$G$103,6,FALSE)</f>
        <v>447</v>
      </c>
      <c r="W63" s="26">
        <f>VLOOKUP($C63,'8b10b_data'!$A$5:$G$103,7,FALSE)</f>
        <v>604</v>
      </c>
      <c r="X63" s="27">
        <f t="shared" si="20"/>
        <v>107</v>
      </c>
      <c r="Y63" s="27">
        <f t="shared" si="21"/>
        <v>204</v>
      </c>
      <c r="Z63" s="28">
        <f>IF(D63&gt;=96,"-",VLOOKUP($C63,'64b66b_data'!$A$5:$G$72,5,FALSE))</f>
        <v>17</v>
      </c>
      <c r="AA63" s="28">
        <f>IF(D63&gt;=96,"-",VLOOKUP($C63,'64b66b_data'!$A$5:$G$72,6,FALSE))</f>
        <v>447</v>
      </c>
      <c r="AB63" s="28">
        <f>IF(D63&gt;=96,"-",VLOOKUP($C63,'64b66b_data'!$A$5:$G$72,7,FALSE))</f>
        <v>604</v>
      </c>
      <c r="AC63" s="27">
        <f t="shared" si="22"/>
        <v>107</v>
      </c>
      <c r="AD63" s="27">
        <f t="shared" si="23"/>
        <v>204</v>
      </c>
      <c r="AE63" s="18" t="str">
        <f t="shared" si="24"/>
        <v>Yes</v>
      </c>
      <c r="AF63" s="18" t="str">
        <f t="shared" si="25"/>
        <v>Yes</v>
      </c>
    </row>
    <row r="64" spans="1:32" x14ac:dyDescent="0.3">
      <c r="A64" s="9">
        <v>8</v>
      </c>
      <c r="B64" s="9">
        <v>1</v>
      </c>
      <c r="C64" s="19">
        <f t="shared" si="10"/>
        <v>8001</v>
      </c>
      <c r="D64" s="9">
        <v>40</v>
      </c>
      <c r="E64" s="19">
        <f t="shared" si="11"/>
        <v>40</v>
      </c>
      <c r="F64" s="19">
        <f t="shared" si="12"/>
        <v>1</v>
      </c>
      <c r="G64" s="19">
        <f t="shared" si="13"/>
        <v>16</v>
      </c>
      <c r="H64" s="20">
        <f>VLOOKUP($D64,'8b10b_data'!$L$5:$P$19,4,FALSE)</f>
        <v>482</v>
      </c>
      <c r="I64" s="21">
        <f>VLOOKUP($D64,'8b10b_data'!$L$5:$P$19,5,FALSE)</f>
        <v>593</v>
      </c>
      <c r="J64" s="22">
        <f>VLOOKUP($D64,'64b66b_data'!$L$5:$P$19,4,FALSE)</f>
        <v>453</v>
      </c>
      <c r="K64" s="23">
        <f>VLOOKUP($D64,'64b66b_data'!$L$5:$P$19,5,FALSE)</f>
        <v>565</v>
      </c>
      <c r="L64" s="24">
        <f t="shared" si="19"/>
        <v>157</v>
      </c>
      <c r="M64" s="24">
        <v>249</v>
      </c>
      <c r="N64" s="9">
        <f t="shared" si="1"/>
        <v>1</v>
      </c>
      <c r="O64" s="9">
        <f t="shared" si="2"/>
        <v>2</v>
      </c>
      <c r="P64" s="9">
        <f t="shared" si="14"/>
        <v>574</v>
      </c>
      <c r="Q64" s="9">
        <f t="shared" si="15"/>
        <v>725</v>
      </c>
      <c r="R64" s="9">
        <f t="shared" si="17"/>
        <v>545</v>
      </c>
      <c r="S64" s="9">
        <f t="shared" si="18"/>
        <v>697</v>
      </c>
      <c r="T64" s="25"/>
      <c r="U64" s="26">
        <f>VLOOKUP($C64,'8b10b_data'!$A$5:$G$103,5,FALSE)</f>
        <v>18</v>
      </c>
      <c r="V64" s="26">
        <f>VLOOKUP($C64,'8b10b_data'!$A$5:$G$103,6,FALSE)</f>
        <v>877</v>
      </c>
      <c r="W64" s="26">
        <f>VLOOKUP($C64,'8b10b_data'!$A$5:$G$103,7,FALSE)</f>
        <v>969</v>
      </c>
      <c r="X64" s="27">
        <f t="shared" si="20"/>
        <v>157</v>
      </c>
      <c r="Y64" s="27">
        <f t="shared" si="21"/>
        <v>249</v>
      </c>
      <c r="Z64" s="28">
        <f>IF(D64&gt;=96,"-",VLOOKUP($C64,'64b66b_data'!$A$5:$G$72,5,FALSE))</f>
        <v>18</v>
      </c>
      <c r="AA64" s="28">
        <f>IF(D64&gt;=96,"-",VLOOKUP($C64,'64b66b_data'!$A$5:$G$72,6,FALSE))</f>
        <v>877</v>
      </c>
      <c r="AB64" s="28">
        <f>IF(D64&gt;=96,"-",VLOOKUP($C64,'64b66b_data'!$A$5:$G$72,7,FALSE))</f>
        <v>969</v>
      </c>
      <c r="AC64" s="27">
        <f t="shared" si="22"/>
        <v>157</v>
      </c>
      <c r="AD64" s="27">
        <f t="shared" si="23"/>
        <v>249</v>
      </c>
      <c r="AE64" s="18" t="str">
        <f t="shared" si="24"/>
        <v>Yes</v>
      </c>
      <c r="AF64" s="18" t="str">
        <f t="shared" si="25"/>
        <v>Yes</v>
      </c>
    </row>
    <row r="65" spans="1:32" x14ac:dyDescent="0.3">
      <c r="A65" s="9">
        <v>9</v>
      </c>
      <c r="B65" s="9">
        <v>1</v>
      </c>
      <c r="C65" s="19">
        <f t="shared" si="10"/>
        <v>9001</v>
      </c>
      <c r="D65" s="9">
        <v>32</v>
      </c>
      <c r="E65" s="19">
        <f t="shared" si="11"/>
        <v>32</v>
      </c>
      <c r="F65" s="19">
        <f t="shared" si="12"/>
        <v>1</v>
      </c>
      <c r="G65" s="19">
        <f t="shared" si="13"/>
        <v>16</v>
      </c>
      <c r="H65" s="20">
        <f>VLOOKUP($D65,'8b10b_data'!$L$5:$P$19,4,FALSE)</f>
        <v>384</v>
      </c>
      <c r="I65" s="21">
        <f>VLOOKUP($D65,'8b10b_data'!$L$5:$P$19,5,FALSE)</f>
        <v>477</v>
      </c>
      <c r="J65" s="22">
        <f>VLOOKUP($D65,'64b66b_data'!$L$5:$P$19,4,FALSE)</f>
        <v>362</v>
      </c>
      <c r="K65" s="23">
        <f>VLOOKUP($D65,'64b66b_data'!$L$5:$P$19,5,FALSE)</f>
        <v>455</v>
      </c>
      <c r="L65" s="24">
        <f t="shared" si="19"/>
        <v>137</v>
      </c>
      <c r="M65" s="24">
        <v>230</v>
      </c>
      <c r="N65" s="9">
        <f t="shared" si="1"/>
        <v>0</v>
      </c>
      <c r="O65" s="9">
        <f t="shared" si="2"/>
        <v>1</v>
      </c>
      <c r="P65" s="9">
        <f t="shared" si="14"/>
        <v>477</v>
      </c>
      <c r="Q65" s="9">
        <f t="shared" si="15"/>
        <v>570</v>
      </c>
      <c r="R65" s="9">
        <f t="shared" si="17"/>
        <v>455</v>
      </c>
      <c r="S65" s="9">
        <f t="shared" si="18"/>
        <v>548</v>
      </c>
      <c r="T65" s="25"/>
      <c r="U65" s="26">
        <f>VLOOKUP($C65,'8b10b_data'!$A$5:$G$103,5,FALSE)</f>
        <v>17</v>
      </c>
      <c r="V65" s="26">
        <f>VLOOKUP($C65,'8b10b_data'!$A$5:$G$103,6,FALSE)</f>
        <v>681</v>
      </c>
      <c r="W65" s="26">
        <f>VLOOKUP($C65,'8b10b_data'!$A$5:$G$103,7,FALSE)</f>
        <v>774</v>
      </c>
      <c r="X65" s="27">
        <f t="shared" si="20"/>
        <v>137</v>
      </c>
      <c r="Y65" s="27">
        <f t="shared" si="21"/>
        <v>230</v>
      </c>
      <c r="Z65" s="28">
        <f>IF(D65&gt;=96,"-",VLOOKUP($C65,'64b66b_data'!$A$5:$G$72,5,FALSE))</f>
        <v>16</v>
      </c>
      <c r="AA65" s="28">
        <f>IF(D65&gt;=96,"-",VLOOKUP($C65,'64b66b_data'!$A$5:$G$72,6,FALSE))</f>
        <v>649</v>
      </c>
      <c r="AB65" s="28">
        <f>IF(D65&gt;=96,"-",VLOOKUP($C65,'64b66b_data'!$A$5:$G$72,7,FALSE))</f>
        <v>742</v>
      </c>
      <c r="AC65" s="27">
        <f t="shared" si="22"/>
        <v>137</v>
      </c>
      <c r="AD65" s="27">
        <f t="shared" si="23"/>
        <v>230</v>
      </c>
      <c r="AE65" s="18" t="str">
        <f t="shared" si="24"/>
        <v>Yes</v>
      </c>
      <c r="AF65" s="18" t="str">
        <f t="shared" si="25"/>
        <v>Yes</v>
      </c>
    </row>
    <row r="66" spans="1:32" x14ac:dyDescent="0.3">
      <c r="A66" s="9">
        <v>10</v>
      </c>
      <c r="B66" s="9">
        <v>1</v>
      </c>
      <c r="C66" s="19">
        <f t="shared" si="10"/>
        <v>10001</v>
      </c>
      <c r="D66" s="9">
        <v>20</v>
      </c>
      <c r="E66" s="19">
        <f t="shared" si="11"/>
        <v>20</v>
      </c>
      <c r="F66" s="19">
        <f t="shared" si="12"/>
        <v>1</v>
      </c>
      <c r="G66" s="19">
        <f t="shared" si="13"/>
        <v>16</v>
      </c>
      <c r="H66" s="20">
        <f>VLOOKUP($D66,'8b10b_data'!$L$5:$P$19,4,FALSE)</f>
        <v>241</v>
      </c>
      <c r="I66" s="21">
        <f>VLOOKUP($D66,'8b10b_data'!$L$5:$P$19,5,FALSE)</f>
        <v>296</v>
      </c>
      <c r="J66" s="22">
        <f>VLOOKUP($D66,'64b66b_data'!$L$5:$P$19,4,FALSE)</f>
        <v>227</v>
      </c>
      <c r="K66" s="23">
        <f>VLOOKUP($D66,'64b66b_data'!$L$5:$P$19,5,FALSE)</f>
        <v>284</v>
      </c>
      <c r="L66" s="24">
        <f t="shared" si="19"/>
        <v>107</v>
      </c>
      <c r="M66" s="24">
        <v>201</v>
      </c>
      <c r="N66" s="9">
        <f t="shared" si="1"/>
        <v>3</v>
      </c>
      <c r="O66" s="9">
        <f t="shared" si="2"/>
        <v>4</v>
      </c>
      <c r="P66" s="9">
        <f t="shared" si="14"/>
        <v>335</v>
      </c>
      <c r="Q66" s="9">
        <f t="shared" si="15"/>
        <v>450</v>
      </c>
      <c r="R66" s="9">
        <f t="shared" si="17"/>
        <v>321</v>
      </c>
      <c r="S66" s="9">
        <f t="shared" si="18"/>
        <v>438</v>
      </c>
      <c r="T66" s="25"/>
      <c r="U66" s="26">
        <f>VLOOKUP($C66,'8b10b_data'!$A$5:$G$103,5,FALSE)</f>
        <v>17</v>
      </c>
      <c r="V66" s="26">
        <f>VLOOKUP($C66,'8b10b_data'!$A$5:$G$103,6,FALSE)</f>
        <v>447</v>
      </c>
      <c r="W66" s="26">
        <f>VLOOKUP($C66,'8b10b_data'!$A$5:$G$103,7,FALSE)</f>
        <v>601</v>
      </c>
      <c r="X66" s="27">
        <f t="shared" si="20"/>
        <v>107</v>
      </c>
      <c r="Y66" s="27">
        <f t="shared" si="21"/>
        <v>201</v>
      </c>
      <c r="Z66" s="28">
        <f>IF(D66&gt;=96,"-",VLOOKUP($C66,'64b66b_data'!$A$5:$G$72,5,FALSE))</f>
        <v>17</v>
      </c>
      <c r="AA66" s="28">
        <f>IF(D66&gt;=96,"-",VLOOKUP($C66,'64b66b_data'!$A$5:$G$72,6,FALSE))</f>
        <v>447</v>
      </c>
      <c r="AB66" s="28">
        <f>IF(D66&gt;=96,"-",VLOOKUP($C66,'64b66b_data'!$A$5:$G$72,7,FALSE))</f>
        <v>601</v>
      </c>
      <c r="AC66" s="27">
        <f t="shared" si="22"/>
        <v>107</v>
      </c>
      <c r="AD66" s="27">
        <f t="shared" si="23"/>
        <v>201</v>
      </c>
      <c r="AE66" s="18" t="str">
        <f t="shared" si="24"/>
        <v>Yes</v>
      </c>
      <c r="AF66" s="18" t="str">
        <f t="shared" si="25"/>
        <v>Yes</v>
      </c>
    </row>
    <row r="67" spans="1:32" x14ac:dyDescent="0.3">
      <c r="A67" s="9">
        <v>11</v>
      </c>
      <c r="B67" s="9">
        <v>1</v>
      </c>
      <c r="C67" s="19">
        <f t="shared" si="10"/>
        <v>11001</v>
      </c>
      <c r="D67" s="9">
        <v>16</v>
      </c>
      <c r="E67" s="19">
        <f t="shared" si="11"/>
        <v>16</v>
      </c>
      <c r="F67" s="19">
        <f t="shared" si="12"/>
        <v>1</v>
      </c>
      <c r="G67" s="19">
        <f t="shared" si="13"/>
        <v>16</v>
      </c>
      <c r="H67" s="20">
        <f>VLOOKUP($D67,'8b10b_data'!$L$5:$P$19,4,FALSE)</f>
        <v>192</v>
      </c>
      <c r="I67" s="21">
        <f>VLOOKUP($D67,'8b10b_data'!$L$5:$P$19,5,FALSE)</f>
        <v>238</v>
      </c>
      <c r="J67" s="22">
        <f>VLOOKUP($D67,'64b66b_data'!$L$5:$P$19,4,FALSE)</f>
        <v>181</v>
      </c>
      <c r="K67" s="23">
        <f>VLOOKUP($D67,'64b66b_data'!$L$5:$P$19,5,FALSE)</f>
        <v>226</v>
      </c>
      <c r="L67" s="24">
        <f t="shared" si="19"/>
        <v>97</v>
      </c>
      <c r="M67" s="24">
        <v>192</v>
      </c>
      <c r="N67" s="9">
        <f t="shared" si="1"/>
        <v>0</v>
      </c>
      <c r="O67" s="9">
        <f t="shared" si="2"/>
        <v>1</v>
      </c>
      <c r="P67" s="9">
        <f t="shared" si="14"/>
        <v>287</v>
      </c>
      <c r="Q67" s="9">
        <f t="shared" si="15"/>
        <v>333</v>
      </c>
      <c r="R67" s="9">
        <f t="shared" si="17"/>
        <v>276</v>
      </c>
      <c r="S67" s="9">
        <f t="shared" si="18"/>
        <v>321</v>
      </c>
      <c r="T67" s="25"/>
      <c r="U67" s="26">
        <f>VLOOKUP($C67,'8b10b_data'!$A$5:$G$103,5,FALSE)</f>
        <v>15</v>
      </c>
      <c r="V67" s="26">
        <f>VLOOKUP($C67,'8b10b_data'!$A$5:$G$103,6,FALSE)</f>
        <v>337</v>
      </c>
      <c r="W67" s="26">
        <f>VLOOKUP($C67,'8b10b_data'!$A$5:$G$103,7,FALSE)</f>
        <v>432</v>
      </c>
      <c r="X67" s="27">
        <f t="shared" si="20"/>
        <v>97</v>
      </c>
      <c r="Y67" s="27">
        <f t="shared" si="21"/>
        <v>192</v>
      </c>
      <c r="Z67" s="28">
        <f>IF(D67&gt;=96,"-",VLOOKUP($C67,'64b66b_data'!$A$5:$G$72,5,FALSE))</f>
        <v>15</v>
      </c>
      <c r="AA67" s="28">
        <f>IF(D67&gt;=96,"-",VLOOKUP($C67,'64b66b_data'!$A$5:$G$72,6,FALSE))</f>
        <v>337</v>
      </c>
      <c r="AB67" s="28">
        <f>IF(D67&gt;=96,"-",VLOOKUP($C67,'64b66b_data'!$A$5:$G$72,7,FALSE))</f>
        <v>432</v>
      </c>
      <c r="AC67" s="27">
        <f t="shared" si="22"/>
        <v>97</v>
      </c>
      <c r="AD67" s="27">
        <f t="shared" si="23"/>
        <v>192</v>
      </c>
      <c r="AE67" s="18" t="str">
        <f t="shared" si="24"/>
        <v>Yes</v>
      </c>
      <c r="AF67" s="18" t="str">
        <f t="shared" si="25"/>
        <v>Yes</v>
      </c>
    </row>
    <row r="68" spans="1:32" x14ac:dyDescent="0.3">
      <c r="A68" s="9">
        <v>12</v>
      </c>
      <c r="B68" s="9">
        <v>1</v>
      </c>
      <c r="C68" s="19">
        <f t="shared" si="10"/>
        <v>12001</v>
      </c>
      <c r="D68" s="9">
        <v>10</v>
      </c>
      <c r="E68" s="19">
        <f t="shared" si="11"/>
        <v>10</v>
      </c>
      <c r="F68" s="19">
        <f t="shared" si="12"/>
        <v>1</v>
      </c>
      <c r="G68" s="19">
        <f t="shared" si="13"/>
        <v>16</v>
      </c>
      <c r="H68" s="20">
        <f>VLOOKUP($D68,'8b10b_data'!$L$5:$P$19,4,FALSE)</f>
        <v>120</v>
      </c>
      <c r="I68" s="21">
        <f>VLOOKUP($D68,'8b10b_data'!$L$5:$P$19,5,FALSE)</f>
        <v>147</v>
      </c>
      <c r="J68" s="22">
        <f>VLOOKUP($D68,'64b66b_data'!$L$5:$P$19,4,FALSE)</f>
        <v>114</v>
      </c>
      <c r="K68" s="23">
        <f>VLOOKUP($D68,'64b66b_data'!$L$5:$P$19,5,FALSE)</f>
        <v>141</v>
      </c>
      <c r="L68" s="24">
        <f t="shared" si="19"/>
        <v>82</v>
      </c>
      <c r="M68" s="24">
        <v>178</v>
      </c>
      <c r="N68" s="9">
        <f t="shared" si="1"/>
        <v>7</v>
      </c>
      <c r="O68" s="9">
        <f t="shared" si="2"/>
        <v>8</v>
      </c>
      <c r="P68" s="9">
        <f t="shared" si="14"/>
        <v>216</v>
      </c>
      <c r="Q68" s="9">
        <f t="shared" si="15"/>
        <v>313</v>
      </c>
      <c r="R68" s="9">
        <f t="shared" si="17"/>
        <v>210</v>
      </c>
      <c r="S68" s="9">
        <f t="shared" si="18"/>
        <v>307</v>
      </c>
      <c r="T68" s="25"/>
      <c r="U68" s="26">
        <f>VLOOKUP($C68,'8b10b_data'!$A$5:$G$103,5,FALSE)</f>
        <v>15</v>
      </c>
      <c r="V68" s="26">
        <f>VLOOKUP($C68,'8b10b_data'!$A$5:$G$103,6,FALSE)</f>
        <v>232</v>
      </c>
      <c r="W68" s="26">
        <f>VLOOKUP($C68,'8b10b_data'!$A$5:$G$103,7,FALSE)</f>
        <v>338</v>
      </c>
      <c r="X68" s="27">
        <f t="shared" si="20"/>
        <v>82</v>
      </c>
      <c r="Y68" s="27">
        <f t="shared" si="21"/>
        <v>178</v>
      </c>
      <c r="Z68" s="28">
        <f>IF(D68&gt;=96,"-",VLOOKUP($C68,'64b66b_data'!$A$5:$G$72,5,FALSE))</f>
        <v>13</v>
      </c>
      <c r="AA68" s="28">
        <f>IF(D68&gt;=96,"-",VLOOKUP($C68,'64b66b_data'!$A$5:$G$72,6,FALSE))</f>
        <v>212</v>
      </c>
      <c r="AB68" s="28">
        <f>IF(D68&gt;=96,"-",VLOOKUP($C68,'64b66b_data'!$A$5:$G$72,7,FALSE))</f>
        <v>338</v>
      </c>
      <c r="AC68" s="27">
        <f t="shared" si="22"/>
        <v>82</v>
      </c>
      <c r="AD68" s="27">
        <f t="shared" si="23"/>
        <v>178</v>
      </c>
      <c r="AE68" s="18" t="str">
        <f t="shared" si="24"/>
        <v>Yes</v>
      </c>
      <c r="AF68" s="18" t="str">
        <f t="shared" si="25"/>
        <v>Yes</v>
      </c>
    </row>
    <row r="69" spans="1:32" x14ac:dyDescent="0.3">
      <c r="A69" s="9">
        <v>13</v>
      </c>
      <c r="B69" s="9">
        <v>1</v>
      </c>
      <c r="C69" s="19">
        <f t="shared" si="10"/>
        <v>13001</v>
      </c>
      <c r="D69" s="9">
        <v>8</v>
      </c>
      <c r="E69" s="19">
        <f t="shared" si="11"/>
        <v>8</v>
      </c>
      <c r="F69" s="19">
        <f t="shared" si="12"/>
        <v>1</v>
      </c>
      <c r="G69" s="19">
        <f t="shared" si="13"/>
        <v>16</v>
      </c>
      <c r="H69" s="20">
        <f>VLOOKUP($D69,'8b10b_data'!$L$5:$P$19,4,FALSE)</f>
        <v>97</v>
      </c>
      <c r="I69" s="21">
        <f>VLOOKUP($D69,'8b10b_data'!$L$5:$P$19,5,FALSE)</f>
        <v>119</v>
      </c>
      <c r="J69" s="22">
        <f>VLOOKUP($D69,'64b66b_data'!$L$5:$P$19,4,FALSE)</f>
        <v>91</v>
      </c>
      <c r="K69" s="23">
        <f>VLOOKUP($D69,'64b66b_data'!$L$5:$P$19,5,FALSE)</f>
        <v>114</v>
      </c>
      <c r="L69" s="24">
        <f t="shared" si="19"/>
        <v>77</v>
      </c>
      <c r="M69" s="24">
        <v>171</v>
      </c>
      <c r="N69" s="9">
        <f t="shared" ref="N69:N73" si="26">O69-1 - IF(A69=7,2,0)</f>
        <v>1</v>
      </c>
      <c r="O69" s="9">
        <f t="shared" ref="O69:O73" si="27">LCM(D69,G69)/D69</f>
        <v>2</v>
      </c>
      <c r="P69" s="9">
        <f t="shared" si="14"/>
        <v>191</v>
      </c>
      <c r="Q69" s="9">
        <f t="shared" si="15"/>
        <v>221</v>
      </c>
      <c r="R69" s="9">
        <f t="shared" si="17"/>
        <v>185</v>
      </c>
      <c r="S69" s="9">
        <f t="shared" si="18"/>
        <v>216</v>
      </c>
      <c r="T69" s="25"/>
      <c r="U69" s="26">
        <f>VLOOKUP($C69,'8b10b_data'!$A$5:$G$103,5,FALSE)</f>
        <v>12</v>
      </c>
      <c r="V69" s="26">
        <f>VLOOKUP($C69,'8b10b_data'!$A$5:$G$103,6,FALSE)</f>
        <v>173</v>
      </c>
      <c r="W69" s="26">
        <f>VLOOKUP($C69,'8b10b_data'!$A$5:$G$103,7,FALSE)</f>
        <v>267</v>
      </c>
      <c r="X69" s="27">
        <f t="shared" si="20"/>
        <v>77</v>
      </c>
      <c r="Y69" s="27">
        <f t="shared" si="21"/>
        <v>171</v>
      </c>
      <c r="Z69" s="28">
        <f>IF(D69&gt;=96,"-",VLOOKUP($C69,'64b66b_data'!$A$5:$G$72,5,FALSE))</f>
        <v>11</v>
      </c>
      <c r="AA69" s="28">
        <f>IF(D69&gt;=96,"-",VLOOKUP($C69,'64b66b_data'!$A$5:$G$72,6,FALSE))</f>
        <v>165</v>
      </c>
      <c r="AB69" s="28">
        <f>IF(D69&gt;=96,"-",VLOOKUP($C69,'64b66b_data'!$A$5:$G$72,7,FALSE))</f>
        <v>267</v>
      </c>
      <c r="AC69" s="27">
        <f t="shared" si="22"/>
        <v>77</v>
      </c>
      <c r="AD69" s="27">
        <f t="shared" si="23"/>
        <v>171</v>
      </c>
      <c r="AE69" s="18" t="str">
        <f t="shared" si="24"/>
        <v>Yes</v>
      </c>
      <c r="AF69" s="18" t="str">
        <f t="shared" si="25"/>
        <v>Yes</v>
      </c>
    </row>
    <row r="70" spans="1:32" x14ac:dyDescent="0.3">
      <c r="A70" s="9">
        <v>14</v>
      </c>
      <c r="B70" s="9">
        <v>0.5</v>
      </c>
      <c r="C70" s="19">
        <f t="shared" ref="C70:C73" si="28">A70*1000+B70</f>
        <v>14000.5</v>
      </c>
      <c r="D70" s="9">
        <v>32</v>
      </c>
      <c r="E70" s="19">
        <f t="shared" ref="E70:E73" si="29">D70*F70</f>
        <v>32</v>
      </c>
      <c r="F70" s="19">
        <f t="shared" ref="F70:F73" si="30">IF(D70&gt;48,0.5,1)*IF(D70&gt;96,0.5,1)</f>
        <v>1</v>
      </c>
      <c r="G70" s="19">
        <f t="shared" ref="G70:G73" si="31">IF(MOD(B70,3),IF(B70&lt;16,16,B70),IF(B70&lt;24,24,B70))</f>
        <v>16</v>
      </c>
      <c r="H70" s="20">
        <f>VLOOKUP($D70,'8b10b_data'!$L$5:$P$19,4,FALSE)</f>
        <v>384</v>
      </c>
      <c r="I70" s="21">
        <f>VLOOKUP($D70,'8b10b_data'!$L$5:$P$19,5,FALSE)</f>
        <v>477</v>
      </c>
      <c r="J70" s="22">
        <f>VLOOKUP($D70,'64b66b_data'!$L$5:$P$19,4,FALSE)</f>
        <v>362</v>
      </c>
      <c r="K70" s="23">
        <f>VLOOKUP($D70,'64b66b_data'!$L$5:$P$19,5,FALSE)</f>
        <v>455</v>
      </c>
      <c r="L70" s="24">
        <f t="shared" si="19"/>
        <v>137</v>
      </c>
      <c r="M70" s="24">
        <v>233</v>
      </c>
      <c r="N70" s="9">
        <f t="shared" si="26"/>
        <v>0</v>
      </c>
      <c r="O70" s="9">
        <f t="shared" si="27"/>
        <v>1</v>
      </c>
      <c r="P70" s="9">
        <f t="shared" ref="P70:P73" si="32">H70+M70-L70-D70*(O70-N70-1)</f>
        <v>480</v>
      </c>
      <c r="Q70" s="9">
        <f t="shared" ref="Q70:Q73" si="33">I70+M70-L70+D70*(O70-1)</f>
        <v>573</v>
      </c>
      <c r="R70" s="9">
        <f t="shared" si="17"/>
        <v>458</v>
      </c>
      <c r="S70" s="9">
        <f t="shared" si="18"/>
        <v>551</v>
      </c>
      <c r="T70" s="25"/>
      <c r="U70" s="26">
        <f>VLOOKUP($C70,'8b10b_data'!$A$5:$G$103,5,FALSE)</f>
        <v>16</v>
      </c>
      <c r="V70" s="26">
        <f>VLOOKUP($C70,'8b10b_data'!$A$5:$G$103,6,FALSE)</f>
        <v>649</v>
      </c>
      <c r="W70" s="26">
        <f>VLOOKUP($C70,'8b10b_data'!$A$5:$G$103,7,FALSE)</f>
        <v>745</v>
      </c>
      <c r="X70" s="27">
        <f t="shared" si="20"/>
        <v>137</v>
      </c>
      <c r="Y70" s="27">
        <f t="shared" si="21"/>
        <v>233</v>
      </c>
      <c r="Z70" s="28">
        <f>IF(D70&gt;=96,"-",VLOOKUP($C70,'64b66b_data'!$A$5:$G$72,5,FALSE))</f>
        <v>16</v>
      </c>
      <c r="AA70" s="28">
        <f>IF(D70&gt;=96,"-",VLOOKUP($C70,'64b66b_data'!$A$5:$G$72,6,FALSE))</f>
        <v>649</v>
      </c>
      <c r="AB70" s="28">
        <f>IF(D70&gt;=96,"-",VLOOKUP($C70,'64b66b_data'!$A$5:$G$72,7,FALSE))</f>
        <v>745</v>
      </c>
      <c r="AC70" s="27">
        <f t="shared" si="22"/>
        <v>137</v>
      </c>
      <c r="AD70" s="27">
        <f t="shared" si="23"/>
        <v>233</v>
      </c>
      <c r="AE70" s="18" t="str">
        <f t="shared" si="24"/>
        <v>Yes</v>
      </c>
      <c r="AF70" s="18" t="str">
        <f t="shared" si="25"/>
        <v>Yes</v>
      </c>
    </row>
    <row r="71" spans="1:32" x14ac:dyDescent="0.3">
      <c r="A71" s="9">
        <v>14</v>
      </c>
      <c r="B71" s="9">
        <v>1</v>
      </c>
      <c r="C71" s="19">
        <f t="shared" si="28"/>
        <v>14001</v>
      </c>
      <c r="D71" s="9">
        <v>64</v>
      </c>
      <c r="E71" s="19">
        <f t="shared" si="29"/>
        <v>32</v>
      </c>
      <c r="F71" s="19">
        <f t="shared" si="30"/>
        <v>0.5</v>
      </c>
      <c r="G71" s="19">
        <f t="shared" si="31"/>
        <v>16</v>
      </c>
      <c r="H71" s="20">
        <f>VLOOKUP($D71,'8b10b_data'!$L$5:$P$19,4,FALSE)</f>
        <v>623</v>
      </c>
      <c r="I71" s="21">
        <f>VLOOKUP($D71,'8b10b_data'!$L$5:$P$19,5,FALSE)</f>
        <v>788</v>
      </c>
      <c r="J71" s="22">
        <f>VLOOKUP($D71,'64b66b_data'!$L$5:$P$19,4,FALSE)</f>
        <v>629</v>
      </c>
      <c r="K71" s="23">
        <f>VLOOKUP($D71,'64b66b_data'!$L$5:$P$19,5,FALSE)</f>
        <v>794</v>
      </c>
      <c r="L71" s="24">
        <f t="shared" si="19"/>
        <v>201</v>
      </c>
      <c r="M71" s="24">
        <v>295</v>
      </c>
      <c r="N71" s="9">
        <f t="shared" si="26"/>
        <v>0</v>
      </c>
      <c r="O71" s="9">
        <f t="shared" si="27"/>
        <v>1</v>
      </c>
      <c r="P71" s="9">
        <f t="shared" si="32"/>
        <v>717</v>
      </c>
      <c r="Q71" s="9">
        <f t="shared" si="33"/>
        <v>882</v>
      </c>
      <c r="R71" s="9">
        <f t="shared" si="17"/>
        <v>723</v>
      </c>
      <c r="S71" s="9">
        <f t="shared" si="18"/>
        <v>888</v>
      </c>
      <c r="T71" s="25"/>
      <c r="U71" s="26">
        <f>VLOOKUP($C71,'8b10b_data'!$A$5:$G$103,5,FALSE)</f>
        <v>15</v>
      </c>
      <c r="V71" s="26">
        <f>VLOOKUP($C71,'8b10b_data'!$A$5:$G$103,6,FALSE)</f>
        <v>1161</v>
      </c>
      <c r="W71" s="26">
        <f>VLOOKUP($C71,'8b10b_data'!$A$5:$G$103,7,FALSE)</f>
        <v>1255</v>
      </c>
      <c r="X71" s="27">
        <f t="shared" si="20"/>
        <v>201</v>
      </c>
      <c r="Y71" s="27">
        <f t="shared" si="21"/>
        <v>295</v>
      </c>
      <c r="Z71" s="28">
        <f>IF(D71&gt;=96,"-",VLOOKUP($C71,'64b66b_data'!$A$5:$G$72,5,FALSE))</f>
        <v>15</v>
      </c>
      <c r="AA71" s="28">
        <f>IF(D71&gt;=96,"-",VLOOKUP($C71,'64b66b_data'!$A$5:$G$72,6,FALSE))</f>
        <v>1161</v>
      </c>
      <c r="AB71" s="28">
        <f>IF(D71&gt;=96,"-",VLOOKUP($C71,'64b66b_data'!$A$5:$G$72,7,FALSE))</f>
        <v>1255</v>
      </c>
      <c r="AC71" s="27">
        <f t="shared" si="22"/>
        <v>201</v>
      </c>
      <c r="AD71" s="27">
        <f t="shared" si="23"/>
        <v>295</v>
      </c>
      <c r="AE71" s="18" t="str">
        <f t="shared" si="24"/>
        <v>Yes</v>
      </c>
      <c r="AF71" s="18" t="str">
        <f t="shared" si="25"/>
        <v>Yes</v>
      </c>
    </row>
    <row r="72" spans="1:32" x14ac:dyDescent="0.3">
      <c r="A72" s="9">
        <v>15</v>
      </c>
      <c r="B72" s="9">
        <v>1</v>
      </c>
      <c r="C72" s="19">
        <f t="shared" si="28"/>
        <v>15001</v>
      </c>
      <c r="D72" s="9">
        <v>32</v>
      </c>
      <c r="E72" s="19">
        <f t="shared" si="29"/>
        <v>32</v>
      </c>
      <c r="F72" s="19">
        <f t="shared" si="30"/>
        <v>1</v>
      </c>
      <c r="G72" s="19">
        <f t="shared" si="31"/>
        <v>16</v>
      </c>
      <c r="H72" s="20">
        <f>VLOOKUP($D72,'8b10b_data'!$L$5:$P$19,4,FALSE)</f>
        <v>384</v>
      </c>
      <c r="I72" s="21">
        <f>VLOOKUP($D72,'8b10b_data'!$L$5:$P$19,5,FALSE)</f>
        <v>477</v>
      </c>
      <c r="J72" s="22">
        <f>VLOOKUP($D72,'64b66b_data'!$L$5:$P$19,4,FALSE)</f>
        <v>362</v>
      </c>
      <c r="K72" s="23">
        <f>VLOOKUP($D72,'64b66b_data'!$L$5:$P$19,5,FALSE)</f>
        <v>455</v>
      </c>
      <c r="L72" s="24">
        <f t="shared" si="19"/>
        <v>137</v>
      </c>
      <c r="M72" s="24">
        <v>232</v>
      </c>
      <c r="N72" s="9">
        <f t="shared" si="26"/>
        <v>0</v>
      </c>
      <c r="O72" s="9">
        <f t="shared" si="27"/>
        <v>1</v>
      </c>
      <c r="P72" s="9">
        <f t="shared" si="32"/>
        <v>479</v>
      </c>
      <c r="Q72" s="9">
        <f t="shared" si="33"/>
        <v>572</v>
      </c>
      <c r="R72" s="9">
        <f t="shared" si="17"/>
        <v>457</v>
      </c>
      <c r="S72" s="9">
        <f t="shared" si="18"/>
        <v>550</v>
      </c>
      <c r="T72" s="25"/>
      <c r="U72" s="26">
        <f>VLOOKUP($C72,'8b10b_data'!$A$5:$G$103,5,FALSE)</f>
        <v>16</v>
      </c>
      <c r="V72" s="26">
        <f>VLOOKUP($C72,'8b10b_data'!$A$5:$G$103,6,FALSE)</f>
        <v>649</v>
      </c>
      <c r="W72" s="26">
        <f>VLOOKUP($C72,'8b10b_data'!$A$5:$G$103,7,FALSE)</f>
        <v>744</v>
      </c>
      <c r="X72" s="27">
        <f t="shared" si="20"/>
        <v>137</v>
      </c>
      <c r="Y72" s="27">
        <f t="shared" si="21"/>
        <v>232</v>
      </c>
      <c r="Z72" s="28">
        <f>IF(D72&gt;=96,"-",VLOOKUP($C72,'64b66b_data'!$A$5:$G$72,5,FALSE))</f>
        <v>16</v>
      </c>
      <c r="AA72" s="28">
        <f>IF(D72&gt;=96,"-",VLOOKUP($C72,'64b66b_data'!$A$5:$G$72,6,FALSE))</f>
        <v>649</v>
      </c>
      <c r="AB72" s="28">
        <f>IF(D72&gt;=96,"-",VLOOKUP($C72,'64b66b_data'!$A$5:$G$72,7,FALSE))</f>
        <v>744</v>
      </c>
      <c r="AC72" s="27">
        <f t="shared" si="22"/>
        <v>137</v>
      </c>
      <c r="AD72" s="27">
        <f t="shared" si="23"/>
        <v>232</v>
      </c>
      <c r="AE72" s="18" t="str">
        <f t="shared" si="24"/>
        <v>Yes</v>
      </c>
      <c r="AF72" s="18" t="str">
        <f t="shared" si="25"/>
        <v>Yes</v>
      </c>
    </row>
    <row r="73" spans="1:32" x14ac:dyDescent="0.3">
      <c r="A73" s="9">
        <v>16</v>
      </c>
      <c r="B73" s="9">
        <v>1</v>
      </c>
      <c r="C73" s="19">
        <f t="shared" si="28"/>
        <v>16001</v>
      </c>
      <c r="D73" s="9">
        <v>16</v>
      </c>
      <c r="E73" s="19">
        <f t="shared" si="29"/>
        <v>16</v>
      </c>
      <c r="F73" s="19">
        <f t="shared" si="30"/>
        <v>1</v>
      </c>
      <c r="G73" s="19">
        <f t="shared" si="31"/>
        <v>16</v>
      </c>
      <c r="H73" s="20">
        <f>VLOOKUP($D73,'8b10b_data'!$L$5:$P$19,4,FALSE)</f>
        <v>192</v>
      </c>
      <c r="I73" s="21">
        <f>VLOOKUP($D73,'8b10b_data'!$L$5:$P$19,5,FALSE)</f>
        <v>238</v>
      </c>
      <c r="J73" s="22">
        <f>VLOOKUP($D73,'64b66b_data'!$L$5:$P$19,4,FALSE)</f>
        <v>181</v>
      </c>
      <c r="K73" s="23">
        <f>VLOOKUP($D73,'64b66b_data'!$L$5:$P$19,5,FALSE)</f>
        <v>226</v>
      </c>
      <c r="L73" s="24">
        <f t="shared" si="19"/>
        <v>97</v>
      </c>
      <c r="M73" s="24">
        <v>190</v>
      </c>
      <c r="N73" s="9">
        <f t="shared" si="26"/>
        <v>0</v>
      </c>
      <c r="O73" s="9">
        <f t="shared" si="27"/>
        <v>1</v>
      </c>
      <c r="P73" s="9">
        <f t="shared" si="32"/>
        <v>285</v>
      </c>
      <c r="Q73" s="9">
        <f t="shared" si="33"/>
        <v>331</v>
      </c>
      <c r="R73" s="9">
        <f t="shared" si="17"/>
        <v>274</v>
      </c>
      <c r="S73" s="9">
        <f t="shared" si="18"/>
        <v>319</v>
      </c>
      <c r="T73" s="25"/>
      <c r="U73" s="26">
        <f>VLOOKUP($C73,'8b10b_data'!$A$5:$G$103,5,FALSE)</f>
        <v>15</v>
      </c>
      <c r="V73" s="26">
        <f>VLOOKUP($C73,'8b10b_data'!$A$5:$G$103,6,FALSE)</f>
        <v>337</v>
      </c>
      <c r="W73" s="26">
        <f>VLOOKUP($C73,'8b10b_data'!$A$5:$G$103,7,FALSE)</f>
        <v>430</v>
      </c>
      <c r="X73" s="27">
        <f t="shared" si="20"/>
        <v>97</v>
      </c>
      <c r="Y73" s="27">
        <f t="shared" si="21"/>
        <v>190</v>
      </c>
      <c r="Z73" s="28">
        <f>IF(D73&gt;=96,"-",VLOOKUP($C73,'64b66b_data'!$A$5:$G$72,5,FALSE))</f>
        <v>14</v>
      </c>
      <c r="AA73" s="28">
        <f>IF(D73&gt;=96,"-",VLOOKUP($C73,'64b66b_data'!$A$5:$G$72,6,FALSE))</f>
        <v>321</v>
      </c>
      <c r="AB73" s="28">
        <f>IF(D73&gt;=96,"-",VLOOKUP($C73,'64b66b_data'!$A$5:$G$72,7,FALSE))</f>
        <v>414</v>
      </c>
      <c r="AC73" s="27">
        <f t="shared" si="22"/>
        <v>97</v>
      </c>
      <c r="AD73" s="27">
        <f t="shared" si="23"/>
        <v>190</v>
      </c>
      <c r="AE73" s="18" t="str">
        <f t="shared" si="24"/>
        <v>Yes</v>
      </c>
      <c r="AF73" s="18" t="str">
        <f t="shared" si="25"/>
        <v>Yes</v>
      </c>
    </row>
    <row r="76" spans="1:32" x14ac:dyDescent="0.3">
      <c r="A76" s="8" t="s">
        <v>26</v>
      </c>
    </row>
    <row r="77" spans="1:32" x14ac:dyDescent="0.3">
      <c r="B77" s="17" t="s">
        <v>27</v>
      </c>
      <c r="C77" s="17"/>
      <c r="E77" s="17" t="s">
        <v>28</v>
      </c>
      <c r="N77" s="13" t="s">
        <v>29</v>
      </c>
      <c r="O77" s="17" t="s">
        <v>30</v>
      </c>
      <c r="P77" s="17"/>
      <c r="Q77" s="17" t="s">
        <v>31</v>
      </c>
      <c r="R77" s="17"/>
      <c r="S77" s="17"/>
    </row>
    <row r="78" spans="1:32" x14ac:dyDescent="0.3">
      <c r="B78" s="9" t="s">
        <v>10</v>
      </c>
      <c r="E78" s="9" t="s">
        <v>32</v>
      </c>
    </row>
    <row r="79" spans="1:32" x14ac:dyDescent="0.3">
      <c r="B79" s="9" t="s">
        <v>11</v>
      </c>
      <c r="E79" s="9" t="s">
        <v>33</v>
      </c>
    </row>
    <row r="80" spans="1:32" x14ac:dyDescent="0.3">
      <c r="B80" s="9" t="s">
        <v>13</v>
      </c>
      <c r="E80" s="9" t="s">
        <v>34</v>
      </c>
    </row>
    <row r="81" spans="1:17" x14ac:dyDescent="0.3">
      <c r="B81" s="9" t="s">
        <v>14</v>
      </c>
      <c r="E81" s="9" t="s">
        <v>35</v>
      </c>
    </row>
    <row r="82" spans="1:17" x14ac:dyDescent="0.3">
      <c r="B82" s="9" t="s">
        <v>15</v>
      </c>
      <c r="E82" s="9" t="s">
        <v>36</v>
      </c>
    </row>
    <row r="83" spans="1:17" x14ac:dyDescent="0.3">
      <c r="B83" s="9" t="s">
        <v>16</v>
      </c>
      <c r="E83" s="9" t="s">
        <v>37</v>
      </c>
    </row>
    <row r="84" spans="1:17" ht="16.2" customHeight="1" x14ac:dyDescent="0.3">
      <c r="B84" s="9" t="s">
        <v>24</v>
      </c>
      <c r="E84" s="9" t="s">
        <v>38</v>
      </c>
      <c r="M84" s="29"/>
      <c r="N84" s="18" t="s">
        <v>39</v>
      </c>
      <c r="O84" s="9" t="s">
        <v>40</v>
      </c>
      <c r="Q84" s="9" t="s">
        <v>41</v>
      </c>
    </row>
    <row r="85" spans="1:17" x14ac:dyDescent="0.3">
      <c r="B85" s="30" t="s">
        <v>42</v>
      </c>
      <c r="C85" s="30"/>
      <c r="E85" s="9" t="s">
        <v>43</v>
      </c>
      <c r="N85" s="28">
        <v>33</v>
      </c>
      <c r="O85" s="9" t="s">
        <v>40</v>
      </c>
      <c r="Q85" s="9" t="s">
        <v>112</v>
      </c>
    </row>
    <row r="86" spans="1:17" x14ac:dyDescent="0.3">
      <c r="B86" s="30" t="s">
        <v>44</v>
      </c>
      <c r="C86" s="30"/>
      <c r="E86" s="9" t="s">
        <v>45</v>
      </c>
      <c r="N86" s="28">
        <v>24</v>
      </c>
      <c r="O86" s="9" t="s">
        <v>40</v>
      </c>
      <c r="Q86" s="9" t="s">
        <v>46</v>
      </c>
    </row>
    <row r="87" spans="1:17" x14ac:dyDescent="0.3">
      <c r="B87" s="30" t="s">
        <v>47</v>
      </c>
      <c r="C87" s="30"/>
      <c r="E87" s="9" t="s">
        <v>48</v>
      </c>
      <c r="N87" s="18" t="s">
        <v>49</v>
      </c>
      <c r="O87" s="9" t="s">
        <v>50</v>
      </c>
      <c r="Q87" s="9" t="s">
        <v>51</v>
      </c>
    </row>
    <row r="88" spans="1:17" x14ac:dyDescent="0.3">
      <c r="B88" s="30" t="s">
        <v>52</v>
      </c>
      <c r="C88" s="30"/>
      <c r="E88" s="9" t="s">
        <v>53</v>
      </c>
      <c r="N88" s="18" t="s">
        <v>54</v>
      </c>
      <c r="O88" s="9" t="s">
        <v>40</v>
      </c>
      <c r="Q88" s="9" t="s">
        <v>55</v>
      </c>
    </row>
    <row r="89" spans="1:17" x14ac:dyDescent="0.3">
      <c r="B89" s="31" t="s">
        <v>56</v>
      </c>
      <c r="C89" s="31"/>
      <c r="E89" s="9" t="s">
        <v>57</v>
      </c>
    </row>
    <row r="90" spans="1:17" x14ac:dyDescent="0.3">
      <c r="B90" s="31" t="s">
        <v>58</v>
      </c>
      <c r="C90" s="31"/>
      <c r="E90" s="9" t="s">
        <v>59</v>
      </c>
    </row>
    <row r="91" spans="1:17" x14ac:dyDescent="0.3">
      <c r="B91" s="31" t="s">
        <v>25</v>
      </c>
      <c r="C91" s="31"/>
      <c r="E91" s="9" t="s">
        <v>60</v>
      </c>
      <c r="N91" s="18" t="s">
        <v>61</v>
      </c>
      <c r="O91" s="9" t="s">
        <v>40</v>
      </c>
    </row>
    <row r="92" spans="1:17" x14ac:dyDescent="0.3">
      <c r="B92" s="31" t="s">
        <v>62</v>
      </c>
      <c r="C92" s="31"/>
      <c r="E92" s="9" t="s">
        <v>63</v>
      </c>
      <c r="N92" s="28">
        <v>48</v>
      </c>
    </row>
    <row r="93" spans="1:17" x14ac:dyDescent="0.3">
      <c r="B93" s="31" t="s">
        <v>64</v>
      </c>
      <c r="C93" s="31"/>
      <c r="E93" s="9" t="s">
        <v>65</v>
      </c>
      <c r="N93" s="28">
        <v>97</v>
      </c>
    </row>
    <row r="95" spans="1:17" x14ac:dyDescent="0.3">
      <c r="A95" s="8" t="s">
        <v>110</v>
      </c>
    </row>
    <row r="96" spans="1:17" x14ac:dyDescent="0.3">
      <c r="A96" s="32" t="s">
        <v>66</v>
      </c>
      <c r="D96" s="17" t="s">
        <v>67</v>
      </c>
      <c r="E96" s="17" t="s">
        <v>68</v>
      </c>
    </row>
    <row r="97" spans="1:10" x14ac:dyDescent="0.3">
      <c r="A97" s="9" t="s">
        <v>10</v>
      </c>
      <c r="D97" s="26">
        <f>'Calculator Interface'!C2</f>
        <v>2</v>
      </c>
      <c r="E97" s="9" t="s">
        <v>69</v>
      </c>
    </row>
    <row r="98" spans="1:10" x14ac:dyDescent="0.3">
      <c r="A98" s="9" t="s">
        <v>11</v>
      </c>
      <c r="D98" s="26">
        <f>'Calculator Interface'!C3</f>
        <v>4</v>
      </c>
      <c r="E98" s="9" t="s">
        <v>70</v>
      </c>
    </row>
    <row r="99" spans="1:10" x14ac:dyDescent="0.3">
      <c r="A99" s="9" t="s">
        <v>71</v>
      </c>
      <c r="D99" s="26">
        <f>'Calculator Interface'!C4</f>
        <v>1</v>
      </c>
      <c r="E99" s="9" t="s">
        <v>72</v>
      </c>
    </row>
    <row r="100" spans="1:10" x14ac:dyDescent="0.3">
      <c r="A100" s="9" t="s">
        <v>23</v>
      </c>
      <c r="D100" s="26">
        <f>'Calculator Interface'!C5</f>
        <v>33</v>
      </c>
      <c r="E100" s="33" t="s">
        <v>73</v>
      </c>
    </row>
    <row r="101" spans="1:10" x14ac:dyDescent="0.3">
      <c r="A101" s="9" t="s">
        <v>74</v>
      </c>
      <c r="D101" s="26">
        <f>'Calculator Interface'!C6</f>
        <v>0</v>
      </c>
      <c r="E101" s="33" t="s">
        <v>75</v>
      </c>
    </row>
    <row r="102" spans="1:10" x14ac:dyDescent="0.3">
      <c r="A102" s="9" t="s">
        <v>76</v>
      </c>
      <c r="D102" s="26">
        <f>'Calculator Interface'!C7</f>
        <v>0</v>
      </c>
      <c r="E102" s="9" t="s">
        <v>77</v>
      </c>
    </row>
    <row r="103" spans="1:10" x14ac:dyDescent="0.3">
      <c r="A103" s="34" t="s">
        <v>12</v>
      </c>
      <c r="C103" s="34"/>
      <c r="D103" s="35">
        <f>JMODE*1000+LT</f>
        <v>2004</v>
      </c>
      <c r="E103" s="34" t="s">
        <v>78</v>
      </c>
      <c r="F103" s="34"/>
      <c r="G103" s="34"/>
      <c r="H103" s="34"/>
      <c r="I103" s="34"/>
      <c r="J103" s="34"/>
    </row>
    <row r="104" spans="1:10" x14ac:dyDescent="0.3">
      <c r="A104" s="34" t="s">
        <v>13</v>
      </c>
      <c r="C104" s="34"/>
      <c r="D104" s="35">
        <f>VLOOKUP(ID,$C$5:$O$73,2,FALSE)</f>
        <v>32</v>
      </c>
      <c r="E104" s="34" t="s">
        <v>79</v>
      </c>
      <c r="F104" s="34"/>
      <c r="G104" s="34"/>
      <c r="H104" s="34"/>
      <c r="I104" s="34"/>
      <c r="J104" s="34"/>
    </row>
    <row r="105" spans="1:10" x14ac:dyDescent="0.3">
      <c r="A105" s="34" t="s">
        <v>19</v>
      </c>
      <c r="C105" s="34"/>
      <c r="D105" s="35">
        <f>VLOOKUP(ID,$C$5:$O$73,10,FALSE)</f>
        <v>137</v>
      </c>
      <c r="E105" s="34" t="s">
        <v>80</v>
      </c>
      <c r="F105" s="34"/>
      <c r="G105" s="34"/>
      <c r="H105" s="34"/>
      <c r="I105" s="34"/>
      <c r="J105" s="34"/>
    </row>
    <row r="106" spans="1:10" x14ac:dyDescent="0.3">
      <c r="A106" s="34" t="s">
        <v>20</v>
      </c>
      <c r="C106" s="34"/>
      <c r="D106" s="35">
        <f>VLOOKUP(ID,$C$5:$O$73,11,FALSE)</f>
        <v>526</v>
      </c>
      <c r="E106" s="34" t="s">
        <v>81</v>
      </c>
      <c r="F106" s="34"/>
      <c r="G106" s="34"/>
      <c r="H106" s="34"/>
      <c r="I106" s="34"/>
      <c r="J106" s="34"/>
    </row>
    <row r="107" spans="1:10" x14ac:dyDescent="0.3">
      <c r="A107" s="34" t="s">
        <v>21</v>
      </c>
      <c r="C107" s="34"/>
      <c r="D107" s="35">
        <f>VLOOKUP(ID,$C$5:$O$73,12,FALSE)</f>
        <v>0</v>
      </c>
      <c r="E107" s="34" t="s">
        <v>82</v>
      </c>
      <c r="F107" s="34"/>
      <c r="G107" s="34"/>
      <c r="H107" s="34"/>
      <c r="I107" s="34"/>
      <c r="J107" s="34"/>
    </row>
    <row r="108" spans="1:10" x14ac:dyDescent="0.3">
      <c r="A108" s="34" t="s">
        <v>22</v>
      </c>
      <c r="C108" s="34"/>
      <c r="D108" s="35">
        <f>VLOOKUP(ID,$C$5:$O$73,13,FALSE)</f>
        <v>1</v>
      </c>
      <c r="E108" s="34" t="s">
        <v>83</v>
      </c>
      <c r="F108" s="34"/>
      <c r="G108" s="34"/>
      <c r="H108" s="34"/>
      <c r="I108" s="34"/>
      <c r="J108" s="34"/>
    </row>
    <row r="109" spans="1:10" x14ac:dyDescent="0.3">
      <c r="A109" s="34" t="s">
        <v>116</v>
      </c>
      <c r="C109" s="34"/>
      <c r="D109" s="35">
        <f>VLOOKUP(ID,$C$5:$S$73,14+2*JENC,FALSE)</f>
        <v>751</v>
      </c>
      <c r="E109" s="34" t="s">
        <v>115</v>
      </c>
      <c r="F109" s="34"/>
      <c r="G109" s="34"/>
      <c r="H109" s="34"/>
      <c r="I109" s="34"/>
      <c r="J109" s="34"/>
    </row>
    <row r="110" spans="1:10" x14ac:dyDescent="0.3">
      <c r="A110" s="34" t="s">
        <v>117</v>
      </c>
      <c r="C110" s="34"/>
      <c r="D110" s="35">
        <f>VLOOKUP(ID,$C$5:$S$73,15+2*JENC,FALSE)</f>
        <v>844</v>
      </c>
      <c r="E110" s="34" t="s">
        <v>114</v>
      </c>
      <c r="F110" s="34"/>
      <c r="G110" s="34"/>
      <c r="H110" s="34"/>
      <c r="I110" s="34"/>
      <c r="J110" s="34"/>
    </row>
    <row r="111" spans="1:10" x14ac:dyDescent="0.3">
      <c r="A111" s="9" t="s">
        <v>24</v>
      </c>
      <c r="D111" s="27">
        <f>A+RD*RBD</f>
        <v>1193</v>
      </c>
      <c r="E111" s="9" t="s">
        <v>84</v>
      </c>
    </row>
    <row r="112" spans="1:10" x14ac:dyDescent="0.3">
      <c r="A112" s="9" t="s">
        <v>25</v>
      </c>
      <c r="D112" s="27">
        <f>W+RD*FLOOR(RBD+M,N)+TNCO_LAT*NCO_EN*(LT&gt;1)+TDES2X_LAT*DES2X</f>
        <v>1582</v>
      </c>
      <c r="E112" s="9" t="s">
        <v>85</v>
      </c>
    </row>
    <row r="113" spans="1:5" x14ac:dyDescent="0.3">
      <c r="A113" s="9" t="s">
        <v>86</v>
      </c>
      <c r="D113" s="27">
        <f>VLOOKUP(ID,$C$5:$O$73,6+2*JENC,FALSE)</f>
        <v>362</v>
      </c>
      <c r="E113" s="9" t="s">
        <v>87</v>
      </c>
    </row>
    <row r="114" spans="1:5" x14ac:dyDescent="0.3">
      <c r="A114" s="9" t="s">
        <v>88</v>
      </c>
      <c r="D114" s="27">
        <f>VLOOKUP(ID,$C$5:$O$73,7+2*JENC,FALSE)</f>
        <v>455</v>
      </c>
      <c r="E114" s="9" t="s">
        <v>87</v>
      </c>
    </row>
    <row r="115" spans="1:5" x14ac:dyDescent="0.3">
      <c r="A115" s="9" t="s">
        <v>105</v>
      </c>
      <c r="D115" s="27">
        <f>TDAC_LAT0_BASE_MIN+TNCO_LAT*NCO_EN*(LT&gt;1)+TDES2X_LAT*DES2X</f>
        <v>751</v>
      </c>
      <c r="E115" s="9" t="s">
        <v>106</v>
      </c>
    </row>
    <row r="116" spans="1:5" x14ac:dyDescent="0.3">
      <c r="A116" s="9" t="s">
        <v>113</v>
      </c>
      <c r="D116" s="27">
        <f>TDAC_LAT0_BASE_MAX+TNCO_LAT*NCO_EN*(LT&gt;1)+TDES2X_LAT*DES2X</f>
        <v>844</v>
      </c>
      <c r="E116" s="9" t="s">
        <v>107</v>
      </c>
    </row>
  </sheetData>
  <sheetProtection password="CA63" sheet="1" objects="1" scenarios="1"/>
  <mergeCells count="14">
    <mergeCell ref="AE2:AF2"/>
    <mergeCell ref="H3:I3"/>
    <mergeCell ref="J3:K3"/>
    <mergeCell ref="M3:O3"/>
    <mergeCell ref="A2:B2"/>
    <mergeCell ref="D2:G2"/>
    <mergeCell ref="H2:K2"/>
    <mergeCell ref="M2:O2"/>
    <mergeCell ref="U3:Y3"/>
    <mergeCell ref="Z3:AD3"/>
    <mergeCell ref="U2:AD2"/>
    <mergeCell ref="P2:S2"/>
    <mergeCell ref="P3:Q3"/>
    <mergeCell ref="R3:S3"/>
  </mergeCells>
  <conditionalFormatting sqref="AE5:AF73">
    <cfRule type="cellIs" dxfId="0" priority="1" operator="equal">
      <formula>"Yes"</formula>
    </cfRule>
  </conditionalFormatting>
  <dataValidations count="1">
    <dataValidation type="whole" allowBlank="1" showInputMessage="1" showErrorMessage="1" promptTitle="JMODE" prompt="Input the JMODE number (0 to 16)" sqref="D97:D102" xr:uid="{7777D851-D07F-4FD7-B2E5-3212C96EBC25}">
      <formula1>0</formula1>
      <formula2>16</formula2>
    </dataValidation>
  </dataValidation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98E00-51E1-4B83-A2F1-3E0DA743B233}">
  <dimension ref="A1:Q73"/>
  <sheetViews>
    <sheetView workbookViewId="0">
      <selection sqref="A1:XFD1048576"/>
    </sheetView>
  </sheetViews>
  <sheetFormatPr defaultRowHeight="14.4" x14ac:dyDescent="0.3"/>
  <cols>
    <col min="1" max="2" width="12.5546875" customWidth="1"/>
    <col min="3" max="4" width="14" customWidth="1"/>
    <col min="5" max="7" width="12.5546875" customWidth="1"/>
    <col min="13" max="13" width="14.44140625" customWidth="1"/>
    <col min="14" max="14" width="15.44140625" customWidth="1"/>
    <col min="15" max="15" width="13" customWidth="1"/>
    <col min="16" max="16" width="14.5546875" customWidth="1"/>
  </cols>
  <sheetData>
    <row r="1" spans="1:17" ht="15" thickBot="1" x14ac:dyDescent="0.35">
      <c r="A1" t="s">
        <v>103</v>
      </c>
    </row>
    <row r="2" spans="1:17" ht="15.6" thickTop="1" thickBot="1" x14ac:dyDescent="0.35">
      <c r="A2" s="47" t="s">
        <v>96</v>
      </c>
      <c r="B2" s="48"/>
      <c r="C2" s="48"/>
      <c r="D2" s="48"/>
      <c r="E2" s="48"/>
      <c r="F2" s="48"/>
      <c r="G2" s="49"/>
      <c r="L2" s="47" t="s">
        <v>97</v>
      </c>
      <c r="M2" s="48"/>
      <c r="N2" s="48"/>
      <c r="O2" s="48"/>
      <c r="P2" s="48"/>
      <c r="Q2" s="49"/>
    </row>
    <row r="3" spans="1:17" ht="15.6" thickTop="1" thickBot="1" x14ac:dyDescent="0.35">
      <c r="A3" s="4"/>
      <c r="B3" s="4"/>
      <c r="C3" s="4"/>
      <c r="D3" s="4"/>
      <c r="E3" s="4"/>
      <c r="F3" s="4"/>
      <c r="G3" s="4"/>
      <c r="M3" s="50" t="s">
        <v>108</v>
      </c>
      <c r="N3" s="50"/>
      <c r="O3" s="50" t="s">
        <v>109</v>
      </c>
      <c r="P3" s="50"/>
    </row>
    <row r="4" spans="1:17" ht="15" thickTop="1" x14ac:dyDescent="0.3">
      <c r="A4" t="s">
        <v>89</v>
      </c>
      <c r="B4" t="s">
        <v>90</v>
      </c>
      <c r="C4" t="s">
        <v>91</v>
      </c>
      <c r="D4" t="s">
        <v>92</v>
      </c>
      <c r="E4" t="s">
        <v>93</v>
      </c>
      <c r="F4" t="s">
        <v>94</v>
      </c>
      <c r="G4" t="s">
        <v>95</v>
      </c>
      <c r="I4" t="s">
        <v>13</v>
      </c>
      <c r="L4" s="1" t="s">
        <v>13</v>
      </c>
      <c r="M4" s="1" t="s">
        <v>91</v>
      </c>
      <c r="N4" s="1" t="s">
        <v>92</v>
      </c>
      <c r="O4" s="1" t="s">
        <v>91</v>
      </c>
      <c r="P4" s="1" t="s">
        <v>92</v>
      </c>
      <c r="Q4" s="1" t="s">
        <v>98</v>
      </c>
    </row>
    <row r="5" spans="1:17" x14ac:dyDescent="0.3">
      <c r="A5">
        <v>1</v>
      </c>
      <c r="B5">
        <v>0</v>
      </c>
      <c r="C5">
        <v>385.82047999999998</v>
      </c>
      <c r="D5">
        <v>459.42048</v>
      </c>
      <c r="E5">
        <v>17</v>
      </c>
      <c r="F5">
        <v>681</v>
      </c>
      <c r="G5">
        <v>774</v>
      </c>
      <c r="I5">
        <f>VLOOKUP(A5,Latency!C5:D73,2,FALSE)</f>
        <v>32</v>
      </c>
      <c r="L5">
        <v>8</v>
      </c>
      <c r="M5">
        <f>_xlfn.MINIFS(C$5:C$73,$I$5:$I$73,L5)</f>
        <v>97.205119999999994</v>
      </c>
      <c r="N5">
        <f>_xlfn.MAXIFS(D$5:D$73,$I$5:$I$73,$L5)</f>
        <v>115.20511999999999</v>
      </c>
      <c r="O5">
        <f>FLOOR(M5,1)</f>
        <v>97</v>
      </c>
      <c r="P5">
        <f>CEILING(N5+(N5-M5)*0.2,1)</f>
        <v>119</v>
      </c>
      <c r="Q5">
        <f>(P5-O5)*40/L5</f>
        <v>110</v>
      </c>
    </row>
    <row r="6" spans="1:17" x14ac:dyDescent="0.3">
      <c r="A6">
        <v>1001</v>
      </c>
      <c r="B6">
        <v>0</v>
      </c>
      <c r="C6">
        <v>193.01024000000001</v>
      </c>
      <c r="D6">
        <v>229.81023999999999</v>
      </c>
      <c r="E6">
        <v>15</v>
      </c>
      <c r="F6">
        <v>337</v>
      </c>
      <c r="G6">
        <v>430</v>
      </c>
      <c r="I6">
        <f>VLOOKUP(A6,Latency!C6:D74,2,FALSE)</f>
        <v>16</v>
      </c>
      <c r="L6">
        <v>10</v>
      </c>
      <c r="M6">
        <f t="shared" ref="M6:M15" si="0">_xlfn.MINIFS(C$5:C$73,$I$5:$I$73,L6)</f>
        <v>120.7564</v>
      </c>
      <c r="N6">
        <f t="shared" ref="N6:N15" si="1">_xlfn.MAXIFS(D$5:D$73,$I$5:$I$73,$L6)</f>
        <v>142.50640000000001</v>
      </c>
      <c r="O6">
        <f t="shared" ref="O6:O15" si="2">FLOOR(M6,1)</f>
        <v>120</v>
      </c>
      <c r="P6">
        <f t="shared" ref="P6:P15" si="3">CEILING(N6+(N6-M6)*0.2,1)</f>
        <v>147</v>
      </c>
      <c r="Q6">
        <f t="shared" ref="Q6:Q15" si="4">(P6-O6)*40/L6</f>
        <v>108</v>
      </c>
    </row>
    <row r="7" spans="1:17" x14ac:dyDescent="0.3">
      <c r="A7">
        <v>1002</v>
      </c>
      <c r="B7">
        <v>0</v>
      </c>
      <c r="C7">
        <v>387.22048000000001</v>
      </c>
      <c r="D7">
        <v>460.82047999999998</v>
      </c>
      <c r="E7">
        <v>17</v>
      </c>
      <c r="F7">
        <v>681</v>
      </c>
      <c r="G7">
        <v>956</v>
      </c>
      <c r="I7">
        <f>VLOOKUP(A7,Latency!C7:D75,2,FALSE)</f>
        <v>32</v>
      </c>
      <c r="L7">
        <v>12</v>
      </c>
      <c r="M7">
        <f t="shared" si="0"/>
        <v>149.00767999999999</v>
      </c>
      <c r="N7">
        <f t="shared" si="1"/>
        <v>171.80768</v>
      </c>
      <c r="O7">
        <f t="shared" si="2"/>
        <v>149</v>
      </c>
      <c r="P7">
        <f t="shared" si="3"/>
        <v>177</v>
      </c>
      <c r="Q7">
        <f t="shared" si="4"/>
        <v>93.333333333333329</v>
      </c>
    </row>
    <row r="8" spans="1:17" x14ac:dyDescent="0.3">
      <c r="A8">
        <v>1003</v>
      </c>
      <c r="B8">
        <v>0</v>
      </c>
      <c r="C8">
        <v>578.02560000000005</v>
      </c>
      <c r="D8">
        <v>687.22559999999999</v>
      </c>
      <c r="E8">
        <v>17</v>
      </c>
      <c r="F8">
        <v>993</v>
      </c>
      <c r="G8">
        <v>1346</v>
      </c>
      <c r="I8">
        <f>VLOOKUP(A8,Latency!C8:D76,2,FALSE)</f>
        <v>48</v>
      </c>
      <c r="L8">
        <v>16</v>
      </c>
      <c r="M8">
        <f t="shared" si="0"/>
        <v>192.81023999999999</v>
      </c>
      <c r="N8">
        <f t="shared" si="1"/>
        <v>230.21024</v>
      </c>
      <c r="O8">
        <f t="shared" si="2"/>
        <v>192</v>
      </c>
      <c r="P8">
        <f t="shared" si="3"/>
        <v>238</v>
      </c>
      <c r="Q8">
        <f t="shared" si="4"/>
        <v>115</v>
      </c>
    </row>
    <row r="9" spans="1:17" x14ac:dyDescent="0.3">
      <c r="A9">
        <v>1004</v>
      </c>
      <c r="B9">
        <v>0</v>
      </c>
      <c r="C9">
        <v>627.82560000000001</v>
      </c>
      <c r="D9">
        <v>759.62559999999996</v>
      </c>
      <c r="E9">
        <v>15</v>
      </c>
      <c r="F9">
        <v>1161</v>
      </c>
      <c r="G9">
        <v>1550</v>
      </c>
      <c r="I9">
        <f>VLOOKUP(A9,Latency!C9:D77,2,FALSE)</f>
        <v>64</v>
      </c>
      <c r="L9">
        <v>20</v>
      </c>
      <c r="M9">
        <f t="shared" si="0"/>
        <v>241.0128</v>
      </c>
      <c r="N9">
        <f t="shared" si="1"/>
        <v>286.51280000000003</v>
      </c>
      <c r="O9">
        <f t="shared" si="2"/>
        <v>241</v>
      </c>
      <c r="P9">
        <f t="shared" si="3"/>
        <v>296</v>
      </c>
      <c r="Q9">
        <f t="shared" si="4"/>
        <v>110</v>
      </c>
    </row>
    <row r="10" spans="1:17" x14ac:dyDescent="0.3">
      <c r="A10">
        <v>1006</v>
      </c>
      <c r="B10">
        <v>0</v>
      </c>
      <c r="C10">
        <v>921.42560000000003</v>
      </c>
      <c r="D10">
        <v>1124.4256</v>
      </c>
      <c r="E10">
        <v>16</v>
      </c>
      <c r="F10">
        <v>1809</v>
      </c>
      <c r="G10">
        <v>2294</v>
      </c>
      <c r="I10">
        <f>VLOOKUP(A10,Latency!C10:D78,2,FALSE)</f>
        <v>96</v>
      </c>
      <c r="L10">
        <v>24</v>
      </c>
      <c r="M10">
        <f t="shared" si="0"/>
        <v>290.01535999999999</v>
      </c>
      <c r="N10">
        <f t="shared" si="1"/>
        <v>345.81536</v>
      </c>
      <c r="O10">
        <f t="shared" si="2"/>
        <v>290</v>
      </c>
      <c r="P10">
        <f t="shared" si="3"/>
        <v>357</v>
      </c>
      <c r="Q10">
        <f t="shared" si="4"/>
        <v>111.66666666666667</v>
      </c>
    </row>
    <row r="11" spans="1:17" x14ac:dyDescent="0.3">
      <c r="A11">
        <v>1008</v>
      </c>
      <c r="B11">
        <v>0</v>
      </c>
      <c r="C11">
        <v>1020.2256</v>
      </c>
      <c r="D11">
        <v>1273.0255999999999</v>
      </c>
      <c r="E11">
        <v>14</v>
      </c>
      <c r="F11">
        <v>2121</v>
      </c>
      <c r="G11">
        <v>2644</v>
      </c>
      <c r="I11">
        <f>VLOOKUP(A11,Latency!C11:D79,2,FALSE)</f>
        <v>128</v>
      </c>
      <c r="L11">
        <v>32</v>
      </c>
      <c r="M11">
        <f t="shared" si="0"/>
        <v>384.22048000000001</v>
      </c>
      <c r="N11">
        <f t="shared" si="1"/>
        <v>461.02048000000002</v>
      </c>
      <c r="O11">
        <f t="shared" si="2"/>
        <v>384</v>
      </c>
      <c r="P11">
        <f t="shared" si="3"/>
        <v>477</v>
      </c>
      <c r="Q11">
        <f t="shared" si="4"/>
        <v>116.25</v>
      </c>
    </row>
    <row r="12" spans="1:17" x14ac:dyDescent="0.3">
      <c r="A12">
        <v>2001</v>
      </c>
      <c r="B12">
        <v>0</v>
      </c>
      <c r="C12">
        <v>97.205119999999994</v>
      </c>
      <c r="D12">
        <v>115.20511999999999</v>
      </c>
      <c r="E12">
        <v>12</v>
      </c>
      <c r="F12">
        <v>173</v>
      </c>
      <c r="G12">
        <v>265</v>
      </c>
      <c r="I12">
        <f>VLOOKUP(A12,Latency!C12:D80,2,FALSE)</f>
        <v>8</v>
      </c>
      <c r="L12">
        <v>40</v>
      </c>
      <c r="M12">
        <f t="shared" si="0"/>
        <v>482.0256</v>
      </c>
      <c r="N12">
        <f t="shared" si="1"/>
        <v>574.02560000000005</v>
      </c>
      <c r="O12">
        <f t="shared" si="2"/>
        <v>482</v>
      </c>
      <c r="P12">
        <f t="shared" si="3"/>
        <v>593</v>
      </c>
      <c r="Q12">
        <f t="shared" si="4"/>
        <v>111</v>
      </c>
    </row>
    <row r="13" spans="1:17" x14ac:dyDescent="0.3">
      <c r="A13">
        <v>2002</v>
      </c>
      <c r="B13">
        <v>0</v>
      </c>
      <c r="C13">
        <v>192.81023999999999</v>
      </c>
      <c r="D13">
        <v>229.41023999999999</v>
      </c>
      <c r="E13">
        <v>15</v>
      </c>
      <c r="F13">
        <v>337</v>
      </c>
      <c r="G13">
        <v>612</v>
      </c>
      <c r="I13">
        <f>VLOOKUP(A13,Latency!C13:D81,2,FALSE)</f>
        <v>16</v>
      </c>
      <c r="L13">
        <v>48</v>
      </c>
      <c r="M13">
        <f t="shared" si="0"/>
        <v>578.02560000000005</v>
      </c>
      <c r="N13">
        <f t="shared" si="1"/>
        <v>687.22559999999999</v>
      </c>
      <c r="O13">
        <f t="shared" si="2"/>
        <v>578</v>
      </c>
      <c r="P13">
        <f t="shared" si="3"/>
        <v>710</v>
      </c>
      <c r="Q13">
        <f t="shared" si="4"/>
        <v>110</v>
      </c>
    </row>
    <row r="14" spans="1:17" x14ac:dyDescent="0.3">
      <c r="A14">
        <v>2003</v>
      </c>
      <c r="B14">
        <v>0</v>
      </c>
      <c r="C14">
        <v>291.01535999999999</v>
      </c>
      <c r="D14">
        <v>344.61536000000001</v>
      </c>
      <c r="E14">
        <v>16</v>
      </c>
      <c r="F14">
        <v>501</v>
      </c>
      <c r="G14">
        <v>854</v>
      </c>
      <c r="I14">
        <f>VLOOKUP(A14,Latency!C14:D82,2,FALSE)</f>
        <v>24</v>
      </c>
      <c r="L14">
        <v>64</v>
      </c>
      <c r="M14">
        <f t="shared" si="0"/>
        <v>623.42560000000003</v>
      </c>
      <c r="N14">
        <f t="shared" si="1"/>
        <v>760.02560000000005</v>
      </c>
      <c r="O14">
        <f t="shared" si="2"/>
        <v>623</v>
      </c>
      <c r="P14">
        <f t="shared" si="3"/>
        <v>788</v>
      </c>
      <c r="Q14">
        <f t="shared" si="4"/>
        <v>103.125</v>
      </c>
    </row>
    <row r="15" spans="1:17" x14ac:dyDescent="0.3">
      <c r="A15">
        <v>2004</v>
      </c>
      <c r="B15">
        <v>0</v>
      </c>
      <c r="C15">
        <v>384.42048</v>
      </c>
      <c r="D15">
        <v>460.82047999999998</v>
      </c>
      <c r="E15">
        <v>17</v>
      </c>
      <c r="F15">
        <v>681</v>
      </c>
      <c r="G15">
        <v>1070</v>
      </c>
      <c r="I15">
        <f>VLOOKUP(A15,Latency!C15:D83,2,FALSE)</f>
        <v>32</v>
      </c>
      <c r="L15">
        <v>96</v>
      </c>
      <c r="M15">
        <f t="shared" si="0"/>
        <v>919.62559999999996</v>
      </c>
      <c r="N15">
        <f t="shared" si="1"/>
        <v>1129.0255999999999</v>
      </c>
      <c r="O15">
        <f t="shared" si="2"/>
        <v>919</v>
      </c>
      <c r="P15">
        <f t="shared" si="3"/>
        <v>1171</v>
      </c>
      <c r="Q15">
        <f t="shared" si="4"/>
        <v>105</v>
      </c>
    </row>
    <row r="16" spans="1:17" x14ac:dyDescent="0.3">
      <c r="A16">
        <v>2006</v>
      </c>
      <c r="B16">
        <v>0</v>
      </c>
      <c r="C16">
        <v>583.42560000000003</v>
      </c>
      <c r="D16">
        <v>687.02560000000005</v>
      </c>
      <c r="E16">
        <v>17</v>
      </c>
      <c r="F16">
        <v>993</v>
      </c>
      <c r="G16">
        <v>1478</v>
      </c>
      <c r="I16">
        <f>VLOOKUP(A16,Latency!C16:D84,2,FALSE)</f>
        <v>48</v>
      </c>
      <c r="L16">
        <v>128</v>
      </c>
      <c r="M16">
        <f>_xlfn.MINIFS(C$5:C$73,$I$5:$I$73,L16)</f>
        <v>1014.2256</v>
      </c>
      <c r="N16">
        <f>_xlfn.MAXIFS(D$5:D$73,$I$5:$I$73,$L16)</f>
        <v>1273.0255999999999</v>
      </c>
      <c r="O16">
        <f>FLOOR(M16,1)</f>
        <v>1014</v>
      </c>
      <c r="P16">
        <f>CEILING(N16+(N16-M16)*0.2,1)</f>
        <v>1325</v>
      </c>
      <c r="Q16">
        <f>(P16-O16)*40/L16</f>
        <v>97.1875</v>
      </c>
    </row>
    <row r="17" spans="1:9" x14ac:dyDescent="0.3">
      <c r="A17">
        <v>2008</v>
      </c>
      <c r="B17">
        <v>0</v>
      </c>
      <c r="C17">
        <v>626.82560000000001</v>
      </c>
      <c r="D17">
        <v>760.02560000000005</v>
      </c>
      <c r="E17">
        <v>15</v>
      </c>
      <c r="F17">
        <v>1161</v>
      </c>
      <c r="G17">
        <v>1684</v>
      </c>
      <c r="I17">
        <f>VLOOKUP(A17,Latency!C17:D85,2,FALSE)</f>
        <v>64</v>
      </c>
    </row>
    <row r="18" spans="1:9" x14ac:dyDescent="0.3">
      <c r="A18">
        <v>2012</v>
      </c>
      <c r="B18">
        <v>0</v>
      </c>
      <c r="C18">
        <v>919.62559999999996</v>
      </c>
      <c r="D18">
        <v>1122.2256</v>
      </c>
      <c r="E18">
        <v>16</v>
      </c>
      <c r="F18">
        <v>1809</v>
      </c>
      <c r="G18">
        <v>2464</v>
      </c>
      <c r="I18">
        <f>VLOOKUP(A18,Latency!C18:D86,2,FALSE)</f>
        <v>96</v>
      </c>
    </row>
    <row r="19" spans="1:9" x14ac:dyDescent="0.3">
      <c r="A19">
        <v>2016</v>
      </c>
      <c r="B19">
        <v>0</v>
      </c>
      <c r="C19">
        <v>1014.2256</v>
      </c>
      <c r="D19">
        <v>1269.8255999999999</v>
      </c>
      <c r="E19">
        <v>14</v>
      </c>
      <c r="F19">
        <v>2121</v>
      </c>
      <c r="G19">
        <v>2864</v>
      </c>
      <c r="I19">
        <f>VLOOKUP(A19,Latency!C19:D87,2,FALSE)</f>
        <v>128</v>
      </c>
    </row>
    <row r="20" spans="1:9" x14ac:dyDescent="0.3">
      <c r="A20">
        <v>3002</v>
      </c>
      <c r="B20">
        <v>0</v>
      </c>
      <c r="C20">
        <v>97.205119999999994</v>
      </c>
      <c r="D20">
        <v>115.20511999999999</v>
      </c>
      <c r="E20">
        <v>12</v>
      </c>
      <c r="F20">
        <v>173</v>
      </c>
      <c r="G20">
        <v>448</v>
      </c>
      <c r="I20">
        <f>VLOOKUP(A20,Latency!C20:D88,2,FALSE)</f>
        <v>8</v>
      </c>
    </row>
    <row r="21" spans="1:9" x14ac:dyDescent="0.3">
      <c r="A21">
        <v>3003</v>
      </c>
      <c r="B21">
        <v>0</v>
      </c>
      <c r="C21">
        <v>149.00767999999999</v>
      </c>
      <c r="D21">
        <v>171.80768</v>
      </c>
      <c r="E21">
        <v>14</v>
      </c>
      <c r="F21">
        <v>255</v>
      </c>
      <c r="G21">
        <v>608</v>
      </c>
      <c r="I21">
        <f>VLOOKUP(A21,Latency!C21:D89,2,FALSE)</f>
        <v>12</v>
      </c>
    </row>
    <row r="22" spans="1:9" x14ac:dyDescent="0.3">
      <c r="A22">
        <v>3004</v>
      </c>
      <c r="B22">
        <v>0</v>
      </c>
      <c r="C22">
        <v>194.01024000000001</v>
      </c>
      <c r="D22">
        <v>230.01024000000001</v>
      </c>
      <c r="E22">
        <v>16</v>
      </c>
      <c r="F22">
        <v>353</v>
      </c>
      <c r="G22">
        <v>742</v>
      </c>
      <c r="I22">
        <f>VLOOKUP(A22,Latency!C22:D90,2,FALSE)</f>
        <v>16</v>
      </c>
    </row>
    <row r="23" spans="1:9" x14ac:dyDescent="0.3">
      <c r="A23">
        <v>3006</v>
      </c>
      <c r="B23">
        <v>0</v>
      </c>
      <c r="C23">
        <v>290.01535999999999</v>
      </c>
      <c r="D23">
        <v>345.81536</v>
      </c>
      <c r="E23">
        <v>16</v>
      </c>
      <c r="F23">
        <v>501</v>
      </c>
      <c r="G23">
        <v>986</v>
      </c>
      <c r="I23">
        <f>VLOOKUP(A23,Latency!C23:D91,2,FALSE)</f>
        <v>24</v>
      </c>
    </row>
    <row r="24" spans="1:9" x14ac:dyDescent="0.3">
      <c r="A24">
        <v>3008</v>
      </c>
      <c r="B24">
        <v>0</v>
      </c>
      <c r="C24">
        <v>394.02048000000002</v>
      </c>
      <c r="D24">
        <v>458.82047999999998</v>
      </c>
      <c r="E24">
        <v>17</v>
      </c>
      <c r="F24">
        <v>681</v>
      </c>
      <c r="G24">
        <v>1204</v>
      </c>
      <c r="I24">
        <f>VLOOKUP(A24,Latency!C24:D92,2,FALSE)</f>
        <v>32</v>
      </c>
    </row>
    <row r="25" spans="1:9" x14ac:dyDescent="0.3">
      <c r="A25">
        <v>3012</v>
      </c>
      <c r="B25">
        <v>0</v>
      </c>
      <c r="C25">
        <v>592.02560000000005</v>
      </c>
      <c r="D25">
        <v>685.42560000000003</v>
      </c>
      <c r="E25">
        <v>18</v>
      </c>
      <c r="F25">
        <v>1041</v>
      </c>
      <c r="G25">
        <v>1696</v>
      </c>
      <c r="I25">
        <f>VLOOKUP(A25,Latency!C25:D93,2,FALSE)</f>
        <v>48</v>
      </c>
    </row>
    <row r="26" spans="1:9" x14ac:dyDescent="0.3">
      <c r="A26">
        <v>3016</v>
      </c>
      <c r="B26">
        <v>0</v>
      </c>
      <c r="C26">
        <v>636.02560000000005</v>
      </c>
      <c r="D26">
        <v>755.02560000000005</v>
      </c>
      <c r="E26">
        <v>15</v>
      </c>
      <c r="F26">
        <v>1161</v>
      </c>
      <c r="G26">
        <v>1904</v>
      </c>
      <c r="I26">
        <f>VLOOKUP(A26,Latency!C26:D94,2,FALSE)</f>
        <v>64</v>
      </c>
    </row>
    <row r="27" spans="1:9" x14ac:dyDescent="0.3">
      <c r="A27">
        <v>3024</v>
      </c>
      <c r="B27">
        <v>0</v>
      </c>
      <c r="C27">
        <v>921.42560000000003</v>
      </c>
      <c r="D27">
        <v>1123.6256000000001</v>
      </c>
      <c r="E27">
        <v>16</v>
      </c>
      <c r="F27">
        <v>1809</v>
      </c>
      <c r="G27">
        <v>2760</v>
      </c>
      <c r="I27">
        <f>VLOOKUP(A27,Latency!C27:D95,2,FALSE)</f>
        <v>96</v>
      </c>
    </row>
    <row r="28" spans="1:9" x14ac:dyDescent="0.3">
      <c r="A28">
        <v>3032</v>
      </c>
      <c r="B28">
        <v>0</v>
      </c>
      <c r="C28">
        <v>1025.8255999999999</v>
      </c>
      <c r="D28">
        <v>1269.6256000000001</v>
      </c>
      <c r="E28">
        <v>14</v>
      </c>
      <c r="F28">
        <v>2121</v>
      </c>
      <c r="G28">
        <v>3318</v>
      </c>
      <c r="I28">
        <f>VLOOKUP(A28,Latency!C28:D96,2,FALSE)</f>
        <v>128</v>
      </c>
    </row>
    <row r="29" spans="1:9" x14ac:dyDescent="0.3">
      <c r="A29">
        <v>4004</v>
      </c>
      <c r="B29">
        <v>0</v>
      </c>
      <c r="C29">
        <v>97.805120000000002</v>
      </c>
      <c r="D29">
        <v>115.00512000000001</v>
      </c>
      <c r="E29">
        <v>12</v>
      </c>
      <c r="F29">
        <v>173</v>
      </c>
      <c r="G29">
        <v>566</v>
      </c>
      <c r="I29">
        <f>VLOOKUP(A29,Latency!C29:D97,2,FALSE)</f>
        <v>8</v>
      </c>
    </row>
    <row r="30" spans="1:9" x14ac:dyDescent="0.3">
      <c r="A30">
        <v>4006</v>
      </c>
      <c r="B30">
        <v>0</v>
      </c>
      <c r="C30">
        <v>150.00767999999999</v>
      </c>
      <c r="D30">
        <v>168.60767999999999</v>
      </c>
      <c r="E30">
        <v>14</v>
      </c>
      <c r="F30">
        <v>255</v>
      </c>
      <c r="G30">
        <v>746</v>
      </c>
      <c r="I30">
        <f>VLOOKUP(A30,Latency!C30:D98,2,FALSE)</f>
        <v>12</v>
      </c>
    </row>
    <row r="31" spans="1:9" x14ac:dyDescent="0.3">
      <c r="A31">
        <v>4008</v>
      </c>
      <c r="B31">
        <v>0</v>
      </c>
      <c r="C31">
        <v>196.21024</v>
      </c>
      <c r="D31">
        <v>229.01024000000001</v>
      </c>
      <c r="E31">
        <v>16</v>
      </c>
      <c r="F31">
        <v>353</v>
      </c>
      <c r="G31">
        <v>884</v>
      </c>
      <c r="I31">
        <f>VLOOKUP(A31,Latency!C31:D99,2,FALSE)</f>
        <v>16</v>
      </c>
    </row>
    <row r="32" spans="1:9" x14ac:dyDescent="0.3">
      <c r="A32">
        <v>4012</v>
      </c>
      <c r="B32">
        <v>0</v>
      </c>
      <c r="C32">
        <v>293.41536000000002</v>
      </c>
      <c r="D32">
        <v>345.21535999999998</v>
      </c>
      <c r="E32">
        <v>16</v>
      </c>
      <c r="F32">
        <v>501</v>
      </c>
      <c r="G32">
        <v>1168</v>
      </c>
      <c r="I32">
        <f>VLOOKUP(A32,Latency!C32:D100,2,FALSE)</f>
        <v>24</v>
      </c>
    </row>
    <row r="33" spans="1:9" x14ac:dyDescent="0.3">
      <c r="A33">
        <v>4016</v>
      </c>
      <c r="B33">
        <v>0</v>
      </c>
      <c r="C33">
        <v>392.02048000000002</v>
      </c>
      <c r="D33">
        <v>460.82047999999998</v>
      </c>
      <c r="E33">
        <v>17</v>
      </c>
      <c r="F33">
        <v>681</v>
      </c>
      <c r="G33">
        <v>1440</v>
      </c>
      <c r="I33">
        <f>VLOOKUP(A33,Latency!C33:D101,2,FALSE)</f>
        <v>32</v>
      </c>
    </row>
    <row r="34" spans="1:9" x14ac:dyDescent="0.3">
      <c r="A34">
        <v>4024</v>
      </c>
      <c r="B34">
        <v>0</v>
      </c>
      <c r="C34">
        <v>601.02560000000005</v>
      </c>
      <c r="D34">
        <v>676.02560000000005</v>
      </c>
      <c r="E34">
        <v>18</v>
      </c>
      <c r="F34">
        <v>1041</v>
      </c>
      <c r="G34">
        <v>2016</v>
      </c>
      <c r="I34">
        <f>VLOOKUP(A34,Latency!C34:D102,2,FALSE)</f>
        <v>48</v>
      </c>
    </row>
    <row r="35" spans="1:9" x14ac:dyDescent="0.3">
      <c r="A35">
        <v>4032</v>
      </c>
      <c r="B35">
        <v>0</v>
      </c>
      <c r="C35">
        <v>638.62559999999996</v>
      </c>
      <c r="D35">
        <v>740.22559999999999</v>
      </c>
      <c r="E35">
        <v>16</v>
      </c>
      <c r="F35">
        <v>1225</v>
      </c>
      <c r="G35">
        <v>2422</v>
      </c>
      <c r="I35">
        <f>VLOOKUP(A35,Latency!C35:D103,2,FALSE)</f>
        <v>64</v>
      </c>
    </row>
    <row r="36" spans="1:9" x14ac:dyDescent="0.3">
      <c r="A36">
        <v>4048</v>
      </c>
      <c r="B36">
        <v>0</v>
      </c>
      <c r="C36">
        <v>950.82560000000001</v>
      </c>
      <c r="D36">
        <v>1121.8255999999999</v>
      </c>
      <c r="E36">
        <v>16</v>
      </c>
      <c r="F36">
        <v>1809</v>
      </c>
      <c r="G36">
        <v>3414</v>
      </c>
      <c r="I36">
        <f>VLOOKUP(A36,Latency!C36:D104,2,FALSE)</f>
        <v>96</v>
      </c>
    </row>
    <row r="37" spans="1:9" x14ac:dyDescent="0.3">
      <c r="A37">
        <v>4064</v>
      </c>
      <c r="B37">
        <v>0</v>
      </c>
      <c r="C37">
        <v>1034.8255999999999</v>
      </c>
      <c r="D37">
        <v>1210.0255999999999</v>
      </c>
      <c r="E37">
        <v>14</v>
      </c>
      <c r="F37">
        <v>2121</v>
      </c>
      <c r="G37">
        <v>4258</v>
      </c>
      <c r="I37">
        <f>VLOOKUP(A37,Latency!C37:D105,2,FALSE)</f>
        <v>128</v>
      </c>
    </row>
    <row r="38" spans="1:9" x14ac:dyDescent="0.3">
      <c r="A38">
        <v>5008</v>
      </c>
      <c r="B38">
        <v>0</v>
      </c>
      <c r="C38">
        <v>100.80512</v>
      </c>
      <c r="D38">
        <v>115.20511999999999</v>
      </c>
      <c r="E38">
        <v>13</v>
      </c>
      <c r="F38">
        <v>181</v>
      </c>
      <c r="G38">
        <v>716</v>
      </c>
      <c r="I38">
        <f>VLOOKUP(A38,Latency!C38:D106,2,FALSE)</f>
        <v>8</v>
      </c>
    </row>
    <row r="39" spans="1:9" x14ac:dyDescent="0.3">
      <c r="A39">
        <v>5012</v>
      </c>
      <c r="B39">
        <v>0</v>
      </c>
      <c r="C39">
        <v>150.80768</v>
      </c>
      <c r="D39">
        <v>167.60767999999999</v>
      </c>
      <c r="E39">
        <v>14</v>
      </c>
      <c r="F39">
        <v>255</v>
      </c>
      <c r="G39">
        <v>916</v>
      </c>
      <c r="I39">
        <f>VLOOKUP(A39,Latency!C39:D107,2,FALSE)</f>
        <v>12</v>
      </c>
    </row>
    <row r="40" spans="1:9" x14ac:dyDescent="0.3">
      <c r="A40">
        <v>5016</v>
      </c>
      <c r="B40">
        <v>0</v>
      </c>
      <c r="C40">
        <v>199.61024</v>
      </c>
      <c r="D40">
        <v>229.21024</v>
      </c>
      <c r="E40">
        <v>16</v>
      </c>
      <c r="F40">
        <v>353</v>
      </c>
      <c r="G40">
        <v>1104</v>
      </c>
      <c r="I40">
        <f>VLOOKUP(A40,Latency!C40:D108,2,FALSE)</f>
        <v>16</v>
      </c>
    </row>
    <row r="41" spans="1:9" x14ac:dyDescent="0.3">
      <c r="A41">
        <v>5024</v>
      </c>
      <c r="B41">
        <v>0</v>
      </c>
      <c r="C41">
        <v>303.61536000000001</v>
      </c>
      <c r="D41">
        <v>345.81536</v>
      </c>
      <c r="E41">
        <v>17</v>
      </c>
      <c r="F41">
        <v>525</v>
      </c>
      <c r="G41">
        <v>1488</v>
      </c>
      <c r="I41">
        <f>VLOOKUP(A41,Latency!C41:D111,2,FALSE)</f>
        <v>24</v>
      </c>
    </row>
    <row r="42" spans="1:9" x14ac:dyDescent="0.3">
      <c r="A42">
        <v>5032</v>
      </c>
      <c r="B42">
        <v>0</v>
      </c>
      <c r="C42">
        <v>399.22048000000001</v>
      </c>
      <c r="D42">
        <v>461.02048000000002</v>
      </c>
      <c r="E42">
        <v>18</v>
      </c>
      <c r="F42">
        <v>713</v>
      </c>
      <c r="G42">
        <v>1910</v>
      </c>
      <c r="I42">
        <f>VLOOKUP(A42,Latency!C42:D112,2,FALSE)</f>
        <v>32</v>
      </c>
    </row>
    <row r="43" spans="1:9" x14ac:dyDescent="0.3">
      <c r="A43">
        <v>5048</v>
      </c>
      <c r="B43">
        <v>0</v>
      </c>
      <c r="C43">
        <v>615.82560000000001</v>
      </c>
      <c r="D43">
        <v>684.42560000000003</v>
      </c>
      <c r="E43">
        <v>19</v>
      </c>
      <c r="F43">
        <v>1089</v>
      </c>
      <c r="G43">
        <v>2694</v>
      </c>
      <c r="I43">
        <f>VLOOKUP(A43,Latency!C43:D113,2,FALSE)</f>
        <v>48</v>
      </c>
    </row>
    <row r="44" spans="1:9" x14ac:dyDescent="0.3">
      <c r="A44">
        <v>5064</v>
      </c>
      <c r="B44">
        <v>0</v>
      </c>
      <c r="C44">
        <v>650.02560000000005</v>
      </c>
      <c r="D44">
        <v>742.82560000000001</v>
      </c>
      <c r="E44">
        <v>17</v>
      </c>
      <c r="F44">
        <v>1289</v>
      </c>
      <c r="G44">
        <v>3426</v>
      </c>
      <c r="I44">
        <f>VLOOKUP(A44,Latency!C44:D114,2,FALSE)</f>
        <v>64</v>
      </c>
    </row>
    <row r="45" spans="1:9" x14ac:dyDescent="0.3">
      <c r="A45">
        <v>5096</v>
      </c>
      <c r="B45">
        <v>0</v>
      </c>
      <c r="C45">
        <v>942.82560000000001</v>
      </c>
      <c r="D45">
        <v>1129.0255999999999</v>
      </c>
      <c r="E45">
        <v>17</v>
      </c>
      <c r="F45">
        <v>1905</v>
      </c>
      <c r="G45">
        <v>4866</v>
      </c>
      <c r="I45">
        <f>VLOOKUP(A45,Latency!C45:D115,2,FALSE)</f>
        <v>96</v>
      </c>
    </row>
    <row r="46" spans="1:9" x14ac:dyDescent="0.3">
      <c r="A46">
        <v>5128</v>
      </c>
      <c r="B46">
        <v>0</v>
      </c>
      <c r="C46">
        <v>1061.4256</v>
      </c>
      <c r="D46">
        <v>1216.4256</v>
      </c>
      <c r="E46">
        <v>15</v>
      </c>
      <c r="F46">
        <v>2249</v>
      </c>
      <c r="G46">
        <v>6306</v>
      </c>
      <c r="I46">
        <f>VLOOKUP(A46,Latency!C46:D116,2,FALSE)</f>
        <v>128</v>
      </c>
    </row>
    <row r="47" spans="1:9" x14ac:dyDescent="0.3">
      <c r="A47">
        <v>6016</v>
      </c>
      <c r="B47">
        <v>0</v>
      </c>
      <c r="C47">
        <v>100.40512</v>
      </c>
      <c r="D47">
        <v>115.00512000000001</v>
      </c>
      <c r="E47">
        <v>15</v>
      </c>
      <c r="F47">
        <v>197</v>
      </c>
      <c r="G47">
        <v>960</v>
      </c>
      <c r="I47">
        <f>VLOOKUP(A47,Latency!C47:D117,2,FALSE)</f>
        <v>8</v>
      </c>
    </row>
    <row r="48" spans="1:9" x14ac:dyDescent="0.3">
      <c r="A48">
        <v>6024</v>
      </c>
      <c r="B48">
        <v>0</v>
      </c>
      <c r="C48">
        <v>150.60767999999999</v>
      </c>
      <c r="D48">
        <v>167.60767999999999</v>
      </c>
      <c r="E48">
        <v>16</v>
      </c>
      <c r="F48">
        <v>279</v>
      </c>
      <c r="G48">
        <v>1248</v>
      </c>
      <c r="I48">
        <f>VLOOKUP(A48,Latency!C48:D118,2,FALSE)</f>
        <v>12</v>
      </c>
    </row>
    <row r="49" spans="1:9" x14ac:dyDescent="0.3">
      <c r="A49">
        <v>6032</v>
      </c>
      <c r="B49">
        <v>0</v>
      </c>
      <c r="C49">
        <v>199.41023999999999</v>
      </c>
      <c r="D49">
        <v>229.01024000000001</v>
      </c>
      <c r="E49">
        <v>18</v>
      </c>
      <c r="F49">
        <v>385</v>
      </c>
      <c r="G49">
        <v>1590</v>
      </c>
      <c r="I49">
        <f>VLOOKUP(A49,Latency!C49:D119,2,FALSE)</f>
        <v>16</v>
      </c>
    </row>
    <row r="50" spans="1:9" x14ac:dyDescent="0.3">
      <c r="A50">
        <v>6048</v>
      </c>
      <c r="B50">
        <v>0</v>
      </c>
      <c r="C50">
        <v>305.21535999999998</v>
      </c>
      <c r="D50">
        <v>344.81536</v>
      </c>
      <c r="E50">
        <v>19</v>
      </c>
      <c r="F50">
        <v>573</v>
      </c>
      <c r="G50">
        <v>2214</v>
      </c>
      <c r="I50">
        <f>VLOOKUP(A50,Latency!C50:D120,2,FALSE)</f>
        <v>24</v>
      </c>
    </row>
    <row r="51" spans="1:9" x14ac:dyDescent="0.3">
      <c r="A51">
        <v>6064</v>
      </c>
      <c r="B51">
        <v>0</v>
      </c>
      <c r="C51">
        <v>401.62047999999999</v>
      </c>
      <c r="D51">
        <v>459.62047999999999</v>
      </c>
      <c r="E51">
        <v>20</v>
      </c>
      <c r="F51">
        <v>777</v>
      </c>
      <c r="G51">
        <v>2914</v>
      </c>
      <c r="I51">
        <f>VLOOKUP(A51,Latency!C51:D121,2,FALSE)</f>
        <v>32</v>
      </c>
    </row>
    <row r="52" spans="1:9" x14ac:dyDescent="0.3">
      <c r="A52">
        <v>6096</v>
      </c>
      <c r="B52">
        <v>0</v>
      </c>
      <c r="C52">
        <v>611.02560000000005</v>
      </c>
      <c r="D52">
        <v>683.02560000000005</v>
      </c>
      <c r="E52">
        <v>21</v>
      </c>
      <c r="F52">
        <v>1185</v>
      </c>
      <c r="G52">
        <v>4194</v>
      </c>
      <c r="I52">
        <f>VLOOKUP(A52,Latency!C52:D122,2,FALSE)</f>
        <v>48</v>
      </c>
    </row>
    <row r="53" spans="1:9" x14ac:dyDescent="0.3">
      <c r="A53">
        <v>6128</v>
      </c>
      <c r="B53">
        <v>0</v>
      </c>
      <c r="C53">
        <v>646.82560000000001</v>
      </c>
      <c r="D53">
        <v>741.62559999999996</v>
      </c>
      <c r="E53">
        <v>18</v>
      </c>
      <c r="F53">
        <v>1353</v>
      </c>
      <c r="G53">
        <v>5410</v>
      </c>
      <c r="I53">
        <f>VLOOKUP(A53,Latency!C53:D123,2,FALSE)</f>
        <v>64</v>
      </c>
    </row>
    <row r="54" spans="1:9" x14ac:dyDescent="0.3">
      <c r="A54">
        <v>6192</v>
      </c>
      <c r="B54">
        <v>0</v>
      </c>
      <c r="C54">
        <v>942.22559999999999</v>
      </c>
      <c r="D54">
        <v>1125.0255999999999</v>
      </c>
      <c r="E54">
        <v>19</v>
      </c>
      <c r="F54">
        <v>2097</v>
      </c>
      <c r="G54">
        <v>7906</v>
      </c>
      <c r="I54">
        <f>VLOOKUP(A54,Latency!C54:D124,2,FALSE)</f>
        <v>96</v>
      </c>
    </row>
    <row r="55" spans="1:9" x14ac:dyDescent="0.3">
      <c r="A55">
        <v>6256</v>
      </c>
      <c r="B55">
        <v>0</v>
      </c>
      <c r="C55">
        <v>1054.2256</v>
      </c>
      <c r="D55">
        <v>1217.2256</v>
      </c>
      <c r="E55">
        <v>16</v>
      </c>
      <c r="F55">
        <v>2377</v>
      </c>
      <c r="G55">
        <v>10274</v>
      </c>
      <c r="I55">
        <f>VLOOKUP(A55,Latency!C55:D125,2,FALSE)</f>
        <v>128</v>
      </c>
    </row>
    <row r="56" spans="1:9" x14ac:dyDescent="0.3">
      <c r="A56">
        <v>7032</v>
      </c>
      <c r="B56">
        <v>0</v>
      </c>
      <c r="C56">
        <v>100.40512</v>
      </c>
      <c r="D56">
        <v>115.20511999999999</v>
      </c>
      <c r="E56">
        <v>19</v>
      </c>
      <c r="F56">
        <v>229</v>
      </c>
      <c r="G56">
        <v>1462</v>
      </c>
      <c r="I56">
        <f>VLOOKUP(A56,Latency!C56:D126,2,FALSE)</f>
        <v>8</v>
      </c>
    </row>
    <row r="57" spans="1:9" x14ac:dyDescent="0.3">
      <c r="A57">
        <v>7048</v>
      </c>
      <c r="B57">
        <v>0</v>
      </c>
      <c r="C57">
        <v>150.70768000000001</v>
      </c>
      <c r="D57">
        <v>166.80768</v>
      </c>
      <c r="E57">
        <v>20</v>
      </c>
      <c r="F57">
        <v>327</v>
      </c>
      <c r="G57">
        <v>1974</v>
      </c>
      <c r="I57">
        <f>VLOOKUP(A57,Latency!C57:D127,2,FALSE)</f>
        <v>12</v>
      </c>
    </row>
    <row r="58" spans="1:9" x14ac:dyDescent="0.3">
      <c r="A58">
        <v>7064</v>
      </c>
      <c r="B58">
        <v>0</v>
      </c>
      <c r="C58">
        <v>200.01024000000001</v>
      </c>
      <c r="D58">
        <v>228.01024000000001</v>
      </c>
      <c r="E58">
        <v>22</v>
      </c>
      <c r="F58">
        <v>449</v>
      </c>
      <c r="G58">
        <v>2594</v>
      </c>
      <c r="I58">
        <f>VLOOKUP(A58,Latency!C58:D128,2,FALSE)</f>
        <v>16</v>
      </c>
    </row>
    <row r="59" spans="1:9" x14ac:dyDescent="0.3">
      <c r="A59">
        <v>7096</v>
      </c>
      <c r="B59">
        <v>0</v>
      </c>
      <c r="C59">
        <v>299.41536000000002</v>
      </c>
      <c r="D59">
        <v>345.61536000000001</v>
      </c>
      <c r="E59">
        <v>23</v>
      </c>
      <c r="F59">
        <v>669</v>
      </c>
      <c r="G59">
        <v>3714</v>
      </c>
      <c r="I59">
        <f>VLOOKUP(A59,Latency!C59:D129,2,FALSE)</f>
        <v>24</v>
      </c>
    </row>
    <row r="60" spans="1:9" x14ac:dyDescent="0.3">
      <c r="A60">
        <v>7128</v>
      </c>
      <c r="B60">
        <v>0</v>
      </c>
      <c r="C60">
        <v>402.22048000000001</v>
      </c>
      <c r="D60">
        <v>460.82047999999998</v>
      </c>
      <c r="E60">
        <v>24</v>
      </c>
      <c r="F60">
        <v>905</v>
      </c>
      <c r="G60">
        <v>5026</v>
      </c>
      <c r="I60">
        <f>VLOOKUP(A60,Latency!C60:D130,2,FALSE)</f>
        <v>32</v>
      </c>
    </row>
    <row r="61" spans="1:9" x14ac:dyDescent="0.3">
      <c r="A61">
        <v>7192</v>
      </c>
      <c r="B61">
        <v>0</v>
      </c>
      <c r="C61">
        <v>614.02560000000005</v>
      </c>
      <c r="D61">
        <v>684.82560000000001</v>
      </c>
      <c r="E61">
        <v>25</v>
      </c>
      <c r="F61">
        <v>1377</v>
      </c>
      <c r="G61">
        <v>7138</v>
      </c>
      <c r="I61">
        <f>VLOOKUP(A61,Latency!C61:D131,2,FALSE)</f>
        <v>48</v>
      </c>
    </row>
    <row r="62" spans="1:9" x14ac:dyDescent="0.3">
      <c r="A62">
        <v>7256</v>
      </c>
      <c r="B62">
        <v>0</v>
      </c>
      <c r="C62">
        <v>651.22559999999999</v>
      </c>
      <c r="D62">
        <v>742.42560000000003</v>
      </c>
      <c r="E62">
        <v>20</v>
      </c>
      <c r="F62">
        <v>1481</v>
      </c>
      <c r="G62">
        <v>9506</v>
      </c>
      <c r="I62">
        <f>VLOOKUP(A62,Latency!C62:D132,2,FALSE)</f>
        <v>64</v>
      </c>
    </row>
    <row r="63" spans="1:9" x14ac:dyDescent="0.3">
      <c r="A63">
        <v>8000.5</v>
      </c>
      <c r="B63">
        <v>0</v>
      </c>
      <c r="C63">
        <v>241.0128</v>
      </c>
      <c r="D63">
        <v>286.51280000000003</v>
      </c>
      <c r="E63">
        <v>17</v>
      </c>
      <c r="F63">
        <v>447</v>
      </c>
      <c r="G63">
        <v>604</v>
      </c>
      <c r="I63">
        <f>VLOOKUP(A63,Latency!C63:D133,2,FALSE)</f>
        <v>20</v>
      </c>
    </row>
    <row r="64" spans="1:9" x14ac:dyDescent="0.3">
      <c r="A64">
        <v>8001</v>
      </c>
      <c r="B64">
        <v>0</v>
      </c>
      <c r="C64">
        <v>482.0256</v>
      </c>
      <c r="D64">
        <v>574.02560000000005</v>
      </c>
      <c r="E64">
        <v>18</v>
      </c>
      <c r="F64">
        <v>877</v>
      </c>
      <c r="G64">
        <v>969</v>
      </c>
      <c r="I64">
        <f>VLOOKUP(A64,Latency!C64:D134,2,FALSE)</f>
        <v>40</v>
      </c>
    </row>
    <row r="65" spans="1:9" x14ac:dyDescent="0.3">
      <c r="A65">
        <v>9001</v>
      </c>
      <c r="B65">
        <v>0</v>
      </c>
      <c r="C65">
        <v>386.62047999999999</v>
      </c>
      <c r="D65">
        <v>460.22048000000001</v>
      </c>
      <c r="E65">
        <v>17</v>
      </c>
      <c r="F65">
        <v>681</v>
      </c>
      <c r="G65">
        <v>774</v>
      </c>
      <c r="I65">
        <f>VLOOKUP(A65,Latency!C65:D135,2,FALSE)</f>
        <v>32</v>
      </c>
    </row>
    <row r="66" spans="1:9" x14ac:dyDescent="0.3">
      <c r="A66">
        <v>10001</v>
      </c>
      <c r="B66">
        <v>0</v>
      </c>
      <c r="C66">
        <v>241.5128</v>
      </c>
      <c r="D66">
        <v>282.51280000000003</v>
      </c>
      <c r="E66">
        <v>17</v>
      </c>
      <c r="F66">
        <v>447</v>
      </c>
      <c r="G66">
        <v>601</v>
      </c>
      <c r="I66">
        <f>VLOOKUP(A66,Latency!C66:D136,2,FALSE)</f>
        <v>20</v>
      </c>
    </row>
    <row r="67" spans="1:9" x14ac:dyDescent="0.3">
      <c r="A67">
        <v>11001</v>
      </c>
      <c r="B67">
        <v>0</v>
      </c>
      <c r="C67">
        <v>193.01024000000001</v>
      </c>
      <c r="D67">
        <v>230.21024</v>
      </c>
      <c r="E67">
        <v>15</v>
      </c>
      <c r="F67">
        <v>337</v>
      </c>
      <c r="G67">
        <v>432</v>
      </c>
      <c r="I67">
        <f>VLOOKUP(A67,Latency!C67:D137,2,FALSE)</f>
        <v>16</v>
      </c>
    </row>
    <row r="68" spans="1:9" x14ac:dyDescent="0.3">
      <c r="A68">
        <v>12001</v>
      </c>
      <c r="B68">
        <v>0</v>
      </c>
      <c r="C68">
        <v>120.7564</v>
      </c>
      <c r="D68">
        <v>142.50640000000001</v>
      </c>
      <c r="E68">
        <v>15</v>
      </c>
      <c r="F68">
        <v>232</v>
      </c>
      <c r="G68">
        <v>338</v>
      </c>
      <c r="I68">
        <f>VLOOKUP(A68,Latency!C68:D138,2,FALSE)</f>
        <v>10</v>
      </c>
    </row>
    <row r="69" spans="1:9" x14ac:dyDescent="0.3">
      <c r="A69">
        <v>13001</v>
      </c>
      <c r="B69">
        <v>0</v>
      </c>
      <c r="C69">
        <v>97.805120000000002</v>
      </c>
      <c r="D69">
        <v>115.20511999999999</v>
      </c>
      <c r="E69">
        <v>12</v>
      </c>
      <c r="F69">
        <v>173</v>
      </c>
      <c r="G69">
        <v>267</v>
      </c>
      <c r="I69">
        <f>VLOOKUP(A69,Latency!C69:D139,2,FALSE)</f>
        <v>8</v>
      </c>
    </row>
    <row r="70" spans="1:9" x14ac:dyDescent="0.3">
      <c r="A70">
        <v>14000.5</v>
      </c>
      <c r="B70">
        <v>0</v>
      </c>
      <c r="C70">
        <v>384.22048000000001</v>
      </c>
      <c r="D70">
        <v>460.22048000000001</v>
      </c>
      <c r="E70">
        <v>16</v>
      </c>
      <c r="F70">
        <v>649</v>
      </c>
      <c r="G70">
        <v>745</v>
      </c>
      <c r="I70">
        <f>VLOOKUP(A70,Latency!C70:D140,2,FALSE)</f>
        <v>32</v>
      </c>
    </row>
    <row r="71" spans="1:9" x14ac:dyDescent="0.3">
      <c r="A71">
        <v>14001</v>
      </c>
      <c r="B71">
        <v>0</v>
      </c>
      <c r="C71">
        <v>623.42560000000003</v>
      </c>
      <c r="D71">
        <v>756.22559999999999</v>
      </c>
      <c r="E71">
        <v>15</v>
      </c>
      <c r="F71">
        <v>1161</v>
      </c>
      <c r="G71">
        <v>1255</v>
      </c>
      <c r="I71">
        <f>VLOOKUP(A71,Latency!C71:D141,2,FALSE)</f>
        <v>64</v>
      </c>
    </row>
    <row r="72" spans="1:9" x14ac:dyDescent="0.3">
      <c r="A72">
        <v>15001</v>
      </c>
      <c r="B72">
        <v>0</v>
      </c>
      <c r="C72">
        <v>385.82047999999998</v>
      </c>
      <c r="D72">
        <v>461.02048000000002</v>
      </c>
      <c r="E72">
        <v>16</v>
      </c>
      <c r="F72">
        <v>649</v>
      </c>
      <c r="G72">
        <v>744</v>
      </c>
      <c r="I72">
        <f>VLOOKUP(A72,Latency!C72:D142,2,FALSE)</f>
        <v>32</v>
      </c>
    </row>
    <row r="73" spans="1:9" x14ac:dyDescent="0.3">
      <c r="A73">
        <v>16001</v>
      </c>
      <c r="B73">
        <v>0</v>
      </c>
      <c r="C73">
        <v>193.01024000000001</v>
      </c>
      <c r="D73">
        <v>229.41023999999999</v>
      </c>
      <c r="E73">
        <v>15</v>
      </c>
      <c r="F73">
        <v>337</v>
      </c>
      <c r="G73">
        <v>430</v>
      </c>
      <c r="I73">
        <f>VLOOKUP(A73,Latency!C73:D143,2,FALSE)</f>
        <v>16</v>
      </c>
    </row>
  </sheetData>
  <sheetProtection password="CA63" sheet="1" objects="1" scenarios="1"/>
  <mergeCells count="4">
    <mergeCell ref="A2:G2"/>
    <mergeCell ref="L2:Q2"/>
    <mergeCell ref="M3:N3"/>
    <mergeCell ref="O3:P3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36246-0A14-423F-8C58-6FFB91493CD2}">
  <dimension ref="A1:Q61"/>
  <sheetViews>
    <sheetView workbookViewId="0">
      <selection sqref="A1:XFD1048576"/>
    </sheetView>
  </sheetViews>
  <sheetFormatPr defaultRowHeight="14.4" x14ac:dyDescent="0.3"/>
  <cols>
    <col min="13" max="13" width="14.44140625" customWidth="1"/>
    <col min="14" max="14" width="15.44140625" customWidth="1"/>
    <col min="15" max="15" width="13" customWidth="1"/>
    <col min="16" max="16" width="14.5546875" customWidth="1"/>
    <col min="17" max="17" width="11.44140625" customWidth="1"/>
  </cols>
  <sheetData>
    <row r="1" spans="1:17" ht="15" thickBot="1" x14ac:dyDescent="0.35">
      <c r="A1" t="s">
        <v>103</v>
      </c>
    </row>
    <row r="2" spans="1:17" ht="15.6" thickTop="1" thickBot="1" x14ac:dyDescent="0.35">
      <c r="A2" s="50" t="s">
        <v>99</v>
      </c>
      <c r="B2" s="50"/>
      <c r="C2" s="50"/>
      <c r="D2" s="50"/>
      <c r="E2" s="50"/>
      <c r="F2" s="50"/>
      <c r="G2" s="50"/>
      <c r="L2" s="47" t="s">
        <v>97</v>
      </c>
      <c r="M2" s="48"/>
      <c r="N2" s="48"/>
      <c r="O2" s="48"/>
      <c r="P2" s="48"/>
      <c r="Q2" s="49"/>
    </row>
    <row r="3" spans="1:17" ht="15.6" thickTop="1" thickBot="1" x14ac:dyDescent="0.35">
      <c r="A3" s="5"/>
      <c r="B3" s="5"/>
      <c r="C3" s="5"/>
      <c r="D3" s="5"/>
      <c r="E3" s="5"/>
      <c r="F3" s="5"/>
      <c r="G3" s="5"/>
      <c r="L3" s="5"/>
      <c r="M3" s="50" t="s">
        <v>101</v>
      </c>
      <c r="N3" s="50"/>
      <c r="O3" s="50" t="s">
        <v>102</v>
      </c>
      <c r="P3" s="50"/>
      <c r="Q3" s="5"/>
    </row>
    <row r="4" spans="1:17" ht="15" thickTop="1" x14ac:dyDescent="0.3">
      <c r="A4" t="s">
        <v>89</v>
      </c>
      <c r="B4" t="s">
        <v>90</v>
      </c>
      <c r="C4" t="s">
        <v>91</v>
      </c>
      <c r="D4" t="s">
        <v>92</v>
      </c>
      <c r="E4" t="s">
        <v>93</v>
      </c>
      <c r="F4" t="s">
        <v>94</v>
      </c>
      <c r="G4" t="s">
        <v>95</v>
      </c>
      <c r="I4" t="s">
        <v>13</v>
      </c>
      <c r="L4" s="1" t="s">
        <v>13</v>
      </c>
      <c r="M4" s="1" t="s">
        <v>91</v>
      </c>
      <c r="N4" s="1" t="s">
        <v>92</v>
      </c>
      <c r="O4" s="1" t="s">
        <v>91</v>
      </c>
      <c r="P4" s="1" t="s">
        <v>92</v>
      </c>
      <c r="Q4" s="1" t="s">
        <v>98</v>
      </c>
    </row>
    <row r="5" spans="1:17" x14ac:dyDescent="0.3">
      <c r="A5">
        <v>1</v>
      </c>
      <c r="B5">
        <v>1</v>
      </c>
      <c r="C5">
        <v>364.17633499999999</v>
      </c>
      <c r="D5">
        <v>437.87330400000002</v>
      </c>
      <c r="E5">
        <v>16</v>
      </c>
      <c r="F5">
        <v>649</v>
      </c>
      <c r="G5">
        <v>742</v>
      </c>
      <c r="I5">
        <f>VLOOKUP(A5,Latency!C5:D73,2,FALSE)</f>
        <v>32</v>
      </c>
      <c r="L5">
        <v>8</v>
      </c>
      <c r="M5">
        <f t="shared" ref="M5:M14" si="0">_xlfn.MINIFS(C$5:C$73,$I$5:$I$73,L5)</f>
        <v>91.127412000000007</v>
      </c>
      <c r="N5">
        <f t="shared" ref="N5:N14" si="1">_xlfn.MAXIFS(D$5:D$73,$I$5:$I$73,$L5)</f>
        <v>109.551655</v>
      </c>
      <c r="O5">
        <f>FLOOR(M5,1)</f>
        <v>91</v>
      </c>
      <c r="P5">
        <f>CEILING(N5+(N5-M5)*0.2,1)</f>
        <v>114</v>
      </c>
      <c r="Q5">
        <f>(P5-O5)*40/L5</f>
        <v>115</v>
      </c>
    </row>
    <row r="6" spans="1:17" x14ac:dyDescent="0.3">
      <c r="A6">
        <v>1001</v>
      </c>
      <c r="B6">
        <v>1</v>
      </c>
      <c r="C6">
        <v>181.98211699999999</v>
      </c>
      <c r="D6">
        <v>218.345753</v>
      </c>
      <c r="E6">
        <v>15</v>
      </c>
      <c r="F6">
        <v>337</v>
      </c>
      <c r="G6">
        <v>430</v>
      </c>
      <c r="I6">
        <f>VLOOKUP(A6,Latency!C6:D74,2,FALSE)</f>
        <v>16</v>
      </c>
      <c r="L6">
        <v>10</v>
      </c>
      <c r="M6">
        <f t="shared" si="0"/>
        <v>114.65927499999999</v>
      </c>
      <c r="N6">
        <f t="shared" si="1"/>
        <v>136.47745699999999</v>
      </c>
      <c r="O6">
        <f t="shared" ref="O6:O14" si="2">FLOOR(M6,1)</f>
        <v>114</v>
      </c>
      <c r="P6">
        <f t="shared" ref="P6:P14" si="3">CEILING(N6+(N6-M6)*0.2,1)</f>
        <v>141</v>
      </c>
      <c r="Q6">
        <f t="shared" ref="Q6:Q14" si="4">(P6-O6)*40/L6</f>
        <v>108</v>
      </c>
    </row>
    <row r="7" spans="1:17" x14ac:dyDescent="0.3">
      <c r="A7">
        <v>1002</v>
      </c>
      <c r="B7">
        <v>1</v>
      </c>
      <c r="C7">
        <v>362.206638</v>
      </c>
      <c r="D7">
        <v>438.84300100000002</v>
      </c>
      <c r="E7">
        <v>16</v>
      </c>
      <c r="F7">
        <v>649</v>
      </c>
      <c r="G7">
        <v>924</v>
      </c>
      <c r="I7">
        <f>VLOOKUP(A7,Latency!C7:D75,2,FALSE)</f>
        <v>32</v>
      </c>
      <c r="L7">
        <v>12</v>
      </c>
      <c r="M7">
        <f t="shared" si="0"/>
        <v>137.46384499999999</v>
      </c>
      <c r="N7">
        <f t="shared" si="1"/>
        <v>164.64566400000001</v>
      </c>
      <c r="O7">
        <f t="shared" si="2"/>
        <v>137</v>
      </c>
      <c r="P7">
        <f t="shared" si="3"/>
        <v>171</v>
      </c>
      <c r="Q7">
        <f t="shared" si="4"/>
        <v>113.33333333333333</v>
      </c>
    </row>
    <row r="8" spans="1:17" x14ac:dyDescent="0.3">
      <c r="A8">
        <v>1003</v>
      </c>
      <c r="B8">
        <v>1</v>
      </c>
      <c r="C8">
        <v>542.48014499999999</v>
      </c>
      <c r="D8">
        <v>654.93469100000004</v>
      </c>
      <c r="E8">
        <v>17</v>
      </c>
      <c r="F8">
        <v>993</v>
      </c>
      <c r="G8">
        <v>1346</v>
      </c>
      <c r="I8">
        <f>VLOOKUP(A8,Latency!C8:D76,2,FALSE)</f>
        <v>48</v>
      </c>
      <c r="L8">
        <v>16</v>
      </c>
      <c r="M8">
        <f t="shared" si="0"/>
        <v>181.61848000000001</v>
      </c>
      <c r="N8">
        <f t="shared" si="1"/>
        <v>218.43666200000001</v>
      </c>
      <c r="O8">
        <f t="shared" si="2"/>
        <v>181</v>
      </c>
      <c r="P8">
        <f t="shared" si="3"/>
        <v>226</v>
      </c>
      <c r="Q8">
        <f t="shared" si="4"/>
        <v>112.5</v>
      </c>
    </row>
    <row r="9" spans="1:17" x14ac:dyDescent="0.3">
      <c r="A9">
        <v>1004</v>
      </c>
      <c r="B9">
        <v>1</v>
      </c>
      <c r="C9">
        <v>629.11572899999999</v>
      </c>
      <c r="D9">
        <v>764.87330399999996</v>
      </c>
      <c r="E9">
        <v>15</v>
      </c>
      <c r="F9">
        <v>1161</v>
      </c>
      <c r="G9">
        <v>1550</v>
      </c>
      <c r="I9">
        <f>VLOOKUP(A9,Latency!C9:D77,2,FALSE)</f>
        <v>64</v>
      </c>
      <c r="L9">
        <v>20</v>
      </c>
      <c r="M9">
        <f t="shared" si="0"/>
        <v>227.47006500000001</v>
      </c>
      <c r="N9">
        <f t="shared" si="1"/>
        <v>274.13673199999999</v>
      </c>
      <c r="O9">
        <f t="shared" si="2"/>
        <v>227</v>
      </c>
      <c r="P9">
        <f t="shared" si="3"/>
        <v>284</v>
      </c>
      <c r="Q9">
        <f t="shared" si="4"/>
        <v>114</v>
      </c>
    </row>
    <row r="10" spans="1:17" x14ac:dyDescent="0.3">
      <c r="A10">
        <v>2001</v>
      </c>
      <c r="B10">
        <v>1</v>
      </c>
      <c r="C10">
        <v>91.127412000000007</v>
      </c>
      <c r="D10">
        <v>108.824382</v>
      </c>
      <c r="E10">
        <v>11</v>
      </c>
      <c r="F10">
        <v>165</v>
      </c>
      <c r="G10">
        <v>265</v>
      </c>
      <c r="I10">
        <f>VLOOKUP(A10,Latency!C10:D78,2,FALSE)</f>
        <v>8</v>
      </c>
      <c r="L10">
        <v>24</v>
      </c>
      <c r="M10">
        <f t="shared" si="0"/>
        <v>273.01862</v>
      </c>
      <c r="N10">
        <f t="shared" si="1"/>
        <v>327.56407400000001</v>
      </c>
      <c r="O10">
        <f t="shared" si="2"/>
        <v>273</v>
      </c>
      <c r="P10">
        <f t="shared" si="3"/>
        <v>339</v>
      </c>
      <c r="Q10">
        <f t="shared" si="4"/>
        <v>110</v>
      </c>
    </row>
    <row r="11" spans="1:17" x14ac:dyDescent="0.3">
      <c r="A11">
        <v>2002</v>
      </c>
      <c r="B11">
        <v>1</v>
      </c>
      <c r="C11">
        <v>182.43666200000001</v>
      </c>
      <c r="D11">
        <v>218.31545</v>
      </c>
      <c r="E11">
        <v>15</v>
      </c>
      <c r="F11">
        <v>337</v>
      </c>
      <c r="G11">
        <v>612</v>
      </c>
      <c r="I11">
        <f>VLOOKUP(A11,Latency!C11:D79,2,FALSE)</f>
        <v>16</v>
      </c>
      <c r="L11">
        <v>32</v>
      </c>
      <c r="M11">
        <f t="shared" si="0"/>
        <v>362.206638</v>
      </c>
      <c r="N11">
        <f t="shared" si="1"/>
        <v>438.84300100000002</v>
      </c>
      <c r="O11">
        <f t="shared" si="2"/>
        <v>362</v>
      </c>
      <c r="P11">
        <f t="shared" si="3"/>
        <v>455</v>
      </c>
      <c r="Q11">
        <f t="shared" si="4"/>
        <v>116.25</v>
      </c>
    </row>
    <row r="12" spans="1:17" x14ac:dyDescent="0.3">
      <c r="A12">
        <v>2003</v>
      </c>
      <c r="B12">
        <v>1</v>
      </c>
      <c r="C12">
        <v>273.01862</v>
      </c>
      <c r="D12">
        <v>327.56407400000001</v>
      </c>
      <c r="E12">
        <v>16</v>
      </c>
      <c r="F12">
        <v>501</v>
      </c>
      <c r="G12">
        <v>854</v>
      </c>
      <c r="I12">
        <f>VLOOKUP(A12,Latency!C12:D80,2,FALSE)</f>
        <v>24</v>
      </c>
      <c r="L12">
        <v>40</v>
      </c>
      <c r="M12">
        <f t="shared" si="0"/>
        <v>453.69226600000002</v>
      </c>
      <c r="N12">
        <f t="shared" si="1"/>
        <v>545.81347800000003</v>
      </c>
      <c r="O12">
        <f t="shared" si="2"/>
        <v>453</v>
      </c>
      <c r="P12">
        <f t="shared" si="3"/>
        <v>565</v>
      </c>
      <c r="Q12">
        <f t="shared" si="4"/>
        <v>112</v>
      </c>
    </row>
    <row r="13" spans="1:17" x14ac:dyDescent="0.3">
      <c r="A13">
        <v>2004</v>
      </c>
      <c r="B13">
        <v>1</v>
      </c>
      <c r="C13">
        <v>365.05512199999998</v>
      </c>
      <c r="D13">
        <v>434.96421299999997</v>
      </c>
      <c r="E13">
        <v>16</v>
      </c>
      <c r="F13">
        <v>649</v>
      </c>
      <c r="G13">
        <v>1038</v>
      </c>
      <c r="I13">
        <f>VLOOKUP(A13,Latency!C13:D81,2,FALSE)</f>
        <v>32</v>
      </c>
      <c r="L13">
        <v>48</v>
      </c>
      <c r="M13">
        <f t="shared" si="0"/>
        <v>542.48014499999999</v>
      </c>
      <c r="N13">
        <f t="shared" si="1"/>
        <v>657.571054</v>
      </c>
      <c r="O13">
        <f t="shared" si="2"/>
        <v>542</v>
      </c>
      <c r="P13">
        <f t="shared" si="3"/>
        <v>681</v>
      </c>
      <c r="Q13">
        <f t="shared" si="4"/>
        <v>115.83333333333333</v>
      </c>
    </row>
    <row r="14" spans="1:17" x14ac:dyDescent="0.3">
      <c r="A14">
        <v>2006</v>
      </c>
      <c r="B14">
        <v>1</v>
      </c>
      <c r="C14">
        <v>544.38923599999998</v>
      </c>
      <c r="D14">
        <v>654.93469100000004</v>
      </c>
      <c r="E14">
        <v>17</v>
      </c>
      <c r="F14">
        <v>993</v>
      </c>
      <c r="G14">
        <v>1478</v>
      </c>
      <c r="I14">
        <f>VLOOKUP(A14,Latency!C14:D82,2,FALSE)</f>
        <v>48</v>
      </c>
      <c r="L14">
        <v>64</v>
      </c>
      <c r="M14">
        <f t="shared" si="0"/>
        <v>629.11572899999999</v>
      </c>
      <c r="N14">
        <f t="shared" si="1"/>
        <v>766.35815300000002</v>
      </c>
      <c r="O14">
        <f t="shared" si="2"/>
        <v>629</v>
      </c>
      <c r="P14">
        <f t="shared" si="3"/>
        <v>794</v>
      </c>
      <c r="Q14">
        <f t="shared" si="4"/>
        <v>103.125</v>
      </c>
    </row>
    <row r="15" spans="1:17" x14ac:dyDescent="0.3">
      <c r="A15">
        <v>2008</v>
      </c>
      <c r="B15">
        <v>1</v>
      </c>
      <c r="C15">
        <v>630.87330399999996</v>
      </c>
      <c r="D15">
        <v>760.87330399999996</v>
      </c>
      <c r="E15">
        <v>15</v>
      </c>
      <c r="F15">
        <v>1161</v>
      </c>
      <c r="G15">
        <v>1684</v>
      </c>
      <c r="I15">
        <f>VLOOKUP(A15,Latency!C15:D83,2,FALSE)</f>
        <v>64</v>
      </c>
      <c r="L15">
        <v>96</v>
      </c>
      <c r="M15" t="s">
        <v>100</v>
      </c>
      <c r="N15" t="s">
        <v>100</v>
      </c>
      <c r="O15" t="s">
        <v>100</v>
      </c>
      <c r="P15" t="s">
        <v>100</v>
      </c>
      <c r="Q15" t="s">
        <v>100</v>
      </c>
    </row>
    <row r="16" spans="1:17" x14ac:dyDescent="0.3">
      <c r="A16">
        <v>3002</v>
      </c>
      <c r="B16">
        <v>1</v>
      </c>
      <c r="C16">
        <v>92.097109000000003</v>
      </c>
      <c r="D16">
        <v>109.551655</v>
      </c>
      <c r="E16">
        <v>11</v>
      </c>
      <c r="F16">
        <v>165</v>
      </c>
      <c r="G16">
        <v>448</v>
      </c>
      <c r="I16">
        <f>VLOOKUP(A16,Latency!C16:D84,2,FALSE)</f>
        <v>8</v>
      </c>
      <c r="L16">
        <v>128</v>
      </c>
      <c r="M16" t="s">
        <v>100</v>
      </c>
      <c r="N16" t="s">
        <v>100</v>
      </c>
      <c r="O16" t="s">
        <v>100</v>
      </c>
      <c r="P16" t="s">
        <v>100</v>
      </c>
      <c r="Q16" t="s">
        <v>100</v>
      </c>
    </row>
    <row r="17" spans="1:9" x14ac:dyDescent="0.3">
      <c r="A17">
        <v>3003</v>
      </c>
      <c r="B17">
        <v>1</v>
      </c>
      <c r="C17">
        <v>137.46384499999999</v>
      </c>
      <c r="D17">
        <v>163.554755</v>
      </c>
      <c r="E17">
        <v>13</v>
      </c>
      <c r="F17">
        <v>243</v>
      </c>
      <c r="G17">
        <v>608</v>
      </c>
      <c r="I17">
        <f>VLOOKUP(A17,Latency!C17:D85,2,FALSE)</f>
        <v>12</v>
      </c>
    </row>
    <row r="18" spans="1:9" x14ac:dyDescent="0.3">
      <c r="A18">
        <v>3004</v>
      </c>
      <c r="B18">
        <v>1</v>
      </c>
      <c r="C18">
        <v>183.345753</v>
      </c>
      <c r="D18">
        <v>217.800299</v>
      </c>
      <c r="E18">
        <v>15</v>
      </c>
      <c r="F18">
        <v>337</v>
      </c>
      <c r="G18">
        <v>726</v>
      </c>
      <c r="I18">
        <f>VLOOKUP(A18,Latency!C18:D86,2,FALSE)</f>
        <v>16</v>
      </c>
    </row>
    <row r="19" spans="1:9" x14ac:dyDescent="0.3">
      <c r="A19">
        <v>3006</v>
      </c>
      <c r="B19">
        <v>1</v>
      </c>
      <c r="C19">
        <v>274.38225599999998</v>
      </c>
      <c r="D19">
        <v>327.56407400000001</v>
      </c>
      <c r="E19">
        <v>16</v>
      </c>
      <c r="F19">
        <v>501</v>
      </c>
      <c r="G19">
        <v>986</v>
      </c>
      <c r="I19">
        <f>VLOOKUP(A19,Latency!C19:D87,2,FALSE)</f>
        <v>24</v>
      </c>
    </row>
    <row r="20" spans="1:9" x14ac:dyDescent="0.3">
      <c r="A20">
        <v>3008</v>
      </c>
      <c r="B20">
        <v>1</v>
      </c>
      <c r="C20">
        <v>368.84300100000002</v>
      </c>
      <c r="D20">
        <v>435.87330400000002</v>
      </c>
      <c r="E20">
        <v>16</v>
      </c>
      <c r="F20">
        <v>649</v>
      </c>
      <c r="G20">
        <v>1172</v>
      </c>
      <c r="I20">
        <f>VLOOKUP(A20,Latency!C20:D88,2,FALSE)</f>
        <v>32</v>
      </c>
    </row>
    <row r="21" spans="1:9" x14ac:dyDescent="0.3">
      <c r="A21">
        <v>3012</v>
      </c>
      <c r="B21">
        <v>1</v>
      </c>
      <c r="C21">
        <v>547.29832699999997</v>
      </c>
      <c r="D21">
        <v>655.66196300000001</v>
      </c>
      <c r="E21">
        <v>17</v>
      </c>
      <c r="F21">
        <v>993</v>
      </c>
      <c r="G21">
        <v>1648</v>
      </c>
      <c r="I21">
        <f>VLOOKUP(A21,Latency!C21:D89,2,FALSE)</f>
        <v>48</v>
      </c>
    </row>
    <row r="22" spans="1:9" x14ac:dyDescent="0.3">
      <c r="A22">
        <v>3016</v>
      </c>
      <c r="B22">
        <v>1</v>
      </c>
      <c r="C22">
        <v>640.69148600000005</v>
      </c>
      <c r="D22">
        <v>758.69148600000005</v>
      </c>
      <c r="E22">
        <v>15</v>
      </c>
      <c r="F22">
        <v>1161</v>
      </c>
      <c r="G22">
        <v>1904</v>
      </c>
      <c r="I22">
        <f>VLOOKUP(A22,Latency!C22:D90,2,FALSE)</f>
        <v>64</v>
      </c>
    </row>
    <row r="23" spans="1:9" x14ac:dyDescent="0.3">
      <c r="A23">
        <v>4004</v>
      </c>
      <c r="B23">
        <v>1</v>
      </c>
      <c r="C23">
        <v>93.218321000000003</v>
      </c>
      <c r="D23">
        <v>109.278927</v>
      </c>
      <c r="E23">
        <v>12</v>
      </c>
      <c r="F23">
        <v>173</v>
      </c>
      <c r="G23">
        <v>566</v>
      </c>
      <c r="I23">
        <f>VLOOKUP(A23,Latency!C23:D91,2,FALSE)</f>
        <v>8</v>
      </c>
    </row>
    <row r="24" spans="1:9" x14ac:dyDescent="0.3">
      <c r="A24">
        <v>4006</v>
      </c>
      <c r="B24">
        <v>1</v>
      </c>
      <c r="C24">
        <v>138.282027</v>
      </c>
      <c r="D24">
        <v>164.64566400000001</v>
      </c>
      <c r="E24">
        <v>13</v>
      </c>
      <c r="F24">
        <v>243</v>
      </c>
      <c r="G24">
        <v>746</v>
      </c>
      <c r="I24">
        <f>VLOOKUP(A24,Latency!C24:D92,2,FALSE)</f>
        <v>12</v>
      </c>
    </row>
    <row r="25" spans="1:9" x14ac:dyDescent="0.3">
      <c r="A25">
        <v>4008</v>
      </c>
      <c r="B25">
        <v>1</v>
      </c>
      <c r="C25">
        <v>184.67908700000001</v>
      </c>
      <c r="D25">
        <v>218.345753</v>
      </c>
      <c r="E25">
        <v>15</v>
      </c>
      <c r="F25">
        <v>337</v>
      </c>
      <c r="G25">
        <v>868</v>
      </c>
      <c r="I25">
        <f>VLOOKUP(A25,Latency!C25:D93,2,FALSE)</f>
        <v>16</v>
      </c>
    </row>
    <row r="26" spans="1:9" x14ac:dyDescent="0.3">
      <c r="A26">
        <v>4012</v>
      </c>
      <c r="B26">
        <v>1</v>
      </c>
      <c r="C26">
        <v>277.20043800000002</v>
      </c>
      <c r="D26">
        <v>325.92771099999999</v>
      </c>
      <c r="E26">
        <v>16</v>
      </c>
      <c r="F26">
        <v>501</v>
      </c>
      <c r="G26">
        <v>1168</v>
      </c>
      <c r="I26">
        <f>VLOOKUP(A26,Latency!C26:D94,2,FALSE)</f>
        <v>24</v>
      </c>
    </row>
    <row r="27" spans="1:9" x14ac:dyDescent="0.3">
      <c r="A27">
        <v>4016</v>
      </c>
      <c r="B27">
        <v>1</v>
      </c>
      <c r="C27">
        <v>369.81269800000001</v>
      </c>
      <c r="D27">
        <v>436.90360700000002</v>
      </c>
      <c r="E27">
        <v>16</v>
      </c>
      <c r="F27">
        <v>649</v>
      </c>
      <c r="G27">
        <v>1408</v>
      </c>
      <c r="I27">
        <f>VLOOKUP(A27,Latency!C27:D95,2,FALSE)</f>
        <v>32</v>
      </c>
    </row>
    <row r="28" spans="1:9" x14ac:dyDescent="0.3">
      <c r="A28">
        <v>4024</v>
      </c>
      <c r="B28">
        <v>1</v>
      </c>
      <c r="C28">
        <v>554.84378100000004</v>
      </c>
      <c r="D28">
        <v>652.02560000000005</v>
      </c>
      <c r="E28">
        <v>17</v>
      </c>
      <c r="F28">
        <v>993</v>
      </c>
      <c r="G28">
        <v>1968</v>
      </c>
      <c r="I28">
        <f>VLOOKUP(A28,Latency!C28:D96,2,FALSE)</f>
        <v>48</v>
      </c>
    </row>
    <row r="29" spans="1:9" x14ac:dyDescent="0.3">
      <c r="A29">
        <v>4032</v>
      </c>
      <c r="B29">
        <v>1</v>
      </c>
      <c r="C29">
        <v>636.44906200000003</v>
      </c>
      <c r="D29">
        <v>752.93390999999997</v>
      </c>
      <c r="E29">
        <v>16</v>
      </c>
      <c r="F29">
        <v>1225</v>
      </c>
      <c r="G29">
        <v>2422</v>
      </c>
      <c r="I29">
        <f>VLOOKUP(A29,Latency!C29:D97,2,FALSE)</f>
        <v>64</v>
      </c>
    </row>
    <row r="30" spans="1:9" x14ac:dyDescent="0.3">
      <c r="A30">
        <v>5008</v>
      </c>
      <c r="B30">
        <v>1</v>
      </c>
      <c r="C30">
        <v>94.188018</v>
      </c>
      <c r="D30">
        <v>109.157715</v>
      </c>
      <c r="E30">
        <v>13</v>
      </c>
      <c r="F30">
        <v>181</v>
      </c>
      <c r="G30">
        <v>716</v>
      </c>
      <c r="I30">
        <f>VLOOKUP(A30,Latency!C30:D98,2,FALSE)</f>
        <v>8</v>
      </c>
    </row>
    <row r="31" spans="1:9" x14ac:dyDescent="0.3">
      <c r="A31">
        <v>5012</v>
      </c>
      <c r="B31">
        <v>1</v>
      </c>
      <c r="C31">
        <v>143.827482</v>
      </c>
      <c r="D31">
        <v>163.73657299999999</v>
      </c>
      <c r="E31">
        <v>14</v>
      </c>
      <c r="F31">
        <v>255</v>
      </c>
      <c r="G31">
        <v>916</v>
      </c>
      <c r="I31">
        <f>VLOOKUP(A31,Latency!C31:D99,2,FALSE)</f>
        <v>12</v>
      </c>
    </row>
    <row r="32" spans="1:9" x14ac:dyDescent="0.3">
      <c r="A32">
        <v>5016</v>
      </c>
      <c r="B32">
        <v>1</v>
      </c>
      <c r="C32">
        <v>190.345753</v>
      </c>
      <c r="D32">
        <v>217.25484399999999</v>
      </c>
      <c r="E32">
        <v>15</v>
      </c>
      <c r="F32">
        <v>337</v>
      </c>
      <c r="G32">
        <v>1088</v>
      </c>
      <c r="I32">
        <f>VLOOKUP(A32,Latency!C32:D100,2,FALSE)</f>
        <v>16</v>
      </c>
    </row>
    <row r="33" spans="1:9" x14ac:dyDescent="0.3">
      <c r="A33">
        <v>5024</v>
      </c>
      <c r="B33">
        <v>1</v>
      </c>
      <c r="C33">
        <v>284.10952900000001</v>
      </c>
      <c r="D33">
        <v>326.20043800000002</v>
      </c>
      <c r="E33">
        <v>17</v>
      </c>
      <c r="F33">
        <v>525</v>
      </c>
      <c r="G33">
        <v>1488</v>
      </c>
      <c r="I33">
        <f>VLOOKUP(A33,Latency!C33:D101,2,FALSE)</f>
        <v>24</v>
      </c>
    </row>
    <row r="34" spans="1:9" x14ac:dyDescent="0.3">
      <c r="A34">
        <v>5032</v>
      </c>
      <c r="B34">
        <v>1</v>
      </c>
      <c r="C34">
        <v>376.35815300000002</v>
      </c>
      <c r="D34">
        <v>438.53997099999998</v>
      </c>
      <c r="E34">
        <v>17</v>
      </c>
      <c r="F34">
        <v>681</v>
      </c>
      <c r="G34">
        <v>1878</v>
      </c>
      <c r="I34">
        <f>VLOOKUP(A34,Latency!C34:D102,2,FALSE)</f>
        <v>32</v>
      </c>
    </row>
    <row r="35" spans="1:9" x14ac:dyDescent="0.3">
      <c r="A35">
        <v>5048</v>
      </c>
      <c r="B35">
        <v>1</v>
      </c>
      <c r="C35">
        <v>570.48014499999999</v>
      </c>
      <c r="D35">
        <v>652.93469100000004</v>
      </c>
      <c r="E35">
        <v>18</v>
      </c>
      <c r="F35">
        <v>1041</v>
      </c>
      <c r="G35">
        <v>2646</v>
      </c>
      <c r="I35">
        <f>VLOOKUP(A35,Latency!C35:D103,2,FALSE)</f>
        <v>48</v>
      </c>
    </row>
    <row r="36" spans="1:9" x14ac:dyDescent="0.3">
      <c r="A36">
        <v>5064</v>
      </c>
      <c r="B36">
        <v>1</v>
      </c>
      <c r="C36">
        <v>653.05512199999998</v>
      </c>
      <c r="D36">
        <v>738.14603199999999</v>
      </c>
      <c r="E36">
        <v>16</v>
      </c>
      <c r="F36">
        <v>1225</v>
      </c>
      <c r="G36">
        <v>3362</v>
      </c>
      <c r="I36">
        <f>VLOOKUP(A36,Latency!C36:D104,2,FALSE)</f>
        <v>64</v>
      </c>
    </row>
    <row r="37" spans="1:9" x14ac:dyDescent="0.3">
      <c r="A37">
        <v>6016</v>
      </c>
      <c r="B37">
        <v>1</v>
      </c>
      <c r="C37">
        <v>94.945594</v>
      </c>
      <c r="D37">
        <v>109.30923</v>
      </c>
      <c r="E37">
        <v>14</v>
      </c>
      <c r="F37">
        <v>189</v>
      </c>
      <c r="G37">
        <v>944</v>
      </c>
      <c r="I37">
        <f>VLOOKUP(A37,Latency!C37:D105,2,FALSE)</f>
        <v>8</v>
      </c>
    </row>
    <row r="38" spans="1:9" x14ac:dyDescent="0.3">
      <c r="A38">
        <v>6024</v>
      </c>
      <c r="B38">
        <v>1</v>
      </c>
      <c r="C38">
        <v>142.46384499999999</v>
      </c>
      <c r="D38">
        <v>164.10020900000001</v>
      </c>
      <c r="E38">
        <v>16</v>
      </c>
      <c r="F38">
        <v>279</v>
      </c>
      <c r="G38">
        <v>1248</v>
      </c>
      <c r="I38">
        <f>VLOOKUP(A38,Latency!C38:D106,2,FALSE)</f>
        <v>12</v>
      </c>
    </row>
    <row r="39" spans="1:9" x14ac:dyDescent="0.3">
      <c r="A39">
        <v>6032</v>
      </c>
      <c r="B39">
        <v>1</v>
      </c>
      <c r="C39">
        <v>187.800299</v>
      </c>
      <c r="D39">
        <v>218.43666200000001</v>
      </c>
      <c r="E39">
        <v>16</v>
      </c>
      <c r="F39">
        <v>353</v>
      </c>
      <c r="G39">
        <v>1558</v>
      </c>
      <c r="I39">
        <f>VLOOKUP(A39,Latency!C39:D107,2,FALSE)</f>
        <v>16</v>
      </c>
    </row>
    <row r="40" spans="1:9" x14ac:dyDescent="0.3">
      <c r="A40">
        <v>6048</v>
      </c>
      <c r="B40">
        <v>1</v>
      </c>
      <c r="C40">
        <v>284.29134699999997</v>
      </c>
      <c r="D40">
        <v>327.10952900000001</v>
      </c>
      <c r="E40">
        <v>18</v>
      </c>
      <c r="F40">
        <v>549</v>
      </c>
      <c r="G40">
        <v>2166</v>
      </c>
      <c r="I40">
        <f>VLOOKUP(A40,Latency!C40:D108,2,FALSE)</f>
        <v>24</v>
      </c>
    </row>
    <row r="41" spans="1:9" x14ac:dyDescent="0.3">
      <c r="A41">
        <v>6064</v>
      </c>
      <c r="B41">
        <v>1</v>
      </c>
      <c r="C41">
        <v>376.96421299999997</v>
      </c>
      <c r="D41">
        <v>437.84300100000002</v>
      </c>
      <c r="E41">
        <v>18</v>
      </c>
      <c r="F41">
        <v>713</v>
      </c>
      <c r="G41">
        <v>2850</v>
      </c>
      <c r="I41">
        <f>VLOOKUP(A41,Latency!C41:D111,2,FALSE)</f>
        <v>32</v>
      </c>
    </row>
    <row r="42" spans="1:9" x14ac:dyDescent="0.3">
      <c r="A42">
        <v>6096</v>
      </c>
      <c r="B42">
        <v>1</v>
      </c>
      <c r="C42">
        <v>565.02560000000005</v>
      </c>
      <c r="D42">
        <v>657.571054</v>
      </c>
      <c r="E42">
        <v>20</v>
      </c>
      <c r="F42">
        <v>1137</v>
      </c>
      <c r="G42">
        <v>4098</v>
      </c>
      <c r="I42">
        <f>VLOOKUP(A42,Latency!C42:D112,2,FALSE)</f>
        <v>48</v>
      </c>
    </row>
    <row r="43" spans="1:9" x14ac:dyDescent="0.3">
      <c r="A43">
        <v>6128</v>
      </c>
      <c r="B43">
        <v>1</v>
      </c>
      <c r="C43">
        <v>647.17633499999999</v>
      </c>
      <c r="D43">
        <v>736.05512199999998</v>
      </c>
      <c r="E43">
        <v>17</v>
      </c>
      <c r="F43">
        <v>1289</v>
      </c>
      <c r="G43">
        <v>5410</v>
      </c>
      <c r="I43">
        <f>VLOOKUP(A43,Latency!C43:D113,2,FALSE)</f>
        <v>64</v>
      </c>
    </row>
    <row r="44" spans="1:9" x14ac:dyDescent="0.3">
      <c r="A44">
        <v>7032</v>
      </c>
      <c r="B44">
        <v>1</v>
      </c>
      <c r="C44">
        <v>94.157714999999996</v>
      </c>
      <c r="D44">
        <v>108.915291</v>
      </c>
      <c r="E44">
        <v>16</v>
      </c>
      <c r="F44">
        <v>205</v>
      </c>
      <c r="G44">
        <v>1430</v>
      </c>
      <c r="I44">
        <f>VLOOKUP(A44,Latency!C44:D114,2,FALSE)</f>
        <v>8</v>
      </c>
    </row>
    <row r="45" spans="1:9" x14ac:dyDescent="0.3">
      <c r="A45">
        <v>7048</v>
      </c>
      <c r="B45">
        <v>1</v>
      </c>
      <c r="C45">
        <v>141.91839100000001</v>
      </c>
      <c r="D45">
        <v>163.91839100000001</v>
      </c>
      <c r="E45">
        <v>18</v>
      </c>
      <c r="F45">
        <v>303</v>
      </c>
      <c r="G45">
        <v>1926</v>
      </c>
      <c r="I45">
        <f>VLOOKUP(A45,Latency!C45:D115,2,FALSE)</f>
        <v>12</v>
      </c>
    </row>
    <row r="46" spans="1:9" x14ac:dyDescent="0.3">
      <c r="A46">
        <v>7064</v>
      </c>
      <c r="B46">
        <v>1</v>
      </c>
      <c r="C46">
        <v>190.042723</v>
      </c>
      <c r="D46">
        <v>217.37605600000001</v>
      </c>
      <c r="E46">
        <v>18</v>
      </c>
      <c r="F46">
        <v>385</v>
      </c>
      <c r="G46">
        <v>2530</v>
      </c>
      <c r="I46">
        <f>VLOOKUP(A46,Latency!C46:D116,2,FALSE)</f>
        <v>16</v>
      </c>
    </row>
    <row r="47" spans="1:9" x14ac:dyDescent="0.3">
      <c r="A47">
        <v>7096</v>
      </c>
      <c r="B47">
        <v>1</v>
      </c>
      <c r="C47">
        <v>286.38225599999998</v>
      </c>
      <c r="D47">
        <v>327.56407400000001</v>
      </c>
      <c r="E47">
        <v>20</v>
      </c>
      <c r="F47">
        <v>597</v>
      </c>
      <c r="G47">
        <v>3618</v>
      </c>
      <c r="I47">
        <f>VLOOKUP(A47,Latency!C47:D117,2,FALSE)</f>
        <v>24</v>
      </c>
    </row>
    <row r="48" spans="1:9" x14ac:dyDescent="0.3">
      <c r="A48">
        <v>7128</v>
      </c>
      <c r="B48">
        <v>1</v>
      </c>
      <c r="C48">
        <v>377.29754700000001</v>
      </c>
      <c r="D48">
        <v>436.752092</v>
      </c>
      <c r="E48">
        <v>20</v>
      </c>
      <c r="F48">
        <v>777</v>
      </c>
      <c r="G48">
        <v>4898</v>
      </c>
      <c r="I48">
        <f>VLOOKUP(A48,Latency!C48:D118,2,FALSE)</f>
        <v>32</v>
      </c>
    </row>
    <row r="49" spans="1:9" x14ac:dyDescent="0.3">
      <c r="A49">
        <v>7192</v>
      </c>
      <c r="B49">
        <v>1</v>
      </c>
      <c r="C49">
        <v>564.11650899999995</v>
      </c>
      <c r="D49">
        <v>654.29832699999997</v>
      </c>
      <c r="E49">
        <v>24</v>
      </c>
      <c r="F49">
        <v>1329</v>
      </c>
      <c r="G49">
        <v>7138</v>
      </c>
      <c r="I49">
        <f>VLOOKUP(A49,Latency!C49:D119,2,FALSE)</f>
        <v>48</v>
      </c>
    </row>
    <row r="50" spans="1:9" x14ac:dyDescent="0.3">
      <c r="A50">
        <v>7256</v>
      </c>
      <c r="B50">
        <v>1</v>
      </c>
      <c r="C50">
        <v>647.206638</v>
      </c>
      <c r="D50">
        <v>748.96421299999997</v>
      </c>
      <c r="E50">
        <v>21</v>
      </c>
      <c r="F50">
        <v>1545</v>
      </c>
      <c r="G50">
        <v>9506</v>
      </c>
      <c r="I50">
        <f>VLOOKUP(A50,Latency!C50:D120,2,FALSE)</f>
        <v>64</v>
      </c>
    </row>
    <row r="51" spans="1:9" x14ac:dyDescent="0.3">
      <c r="A51">
        <v>8000.5</v>
      </c>
      <c r="B51">
        <v>1</v>
      </c>
      <c r="C51">
        <v>227.47006500000001</v>
      </c>
      <c r="D51">
        <v>274.13673199999999</v>
      </c>
      <c r="E51">
        <v>17</v>
      </c>
      <c r="F51">
        <v>447</v>
      </c>
      <c r="G51">
        <v>604</v>
      </c>
      <c r="I51">
        <f>VLOOKUP(A51,Latency!C51:D121,2,FALSE)</f>
        <v>20</v>
      </c>
    </row>
    <row r="52" spans="1:9" x14ac:dyDescent="0.3">
      <c r="A52">
        <v>8001</v>
      </c>
      <c r="B52">
        <v>1</v>
      </c>
      <c r="C52">
        <v>453.69226600000002</v>
      </c>
      <c r="D52">
        <v>545.81347800000003</v>
      </c>
      <c r="E52">
        <v>18</v>
      </c>
      <c r="F52">
        <v>877</v>
      </c>
      <c r="G52">
        <v>969</v>
      </c>
      <c r="I52">
        <f>VLOOKUP(A52,Latency!C52:D122,2,FALSE)</f>
        <v>40</v>
      </c>
    </row>
    <row r="53" spans="1:9" x14ac:dyDescent="0.3">
      <c r="A53">
        <v>9001</v>
      </c>
      <c r="B53">
        <v>1</v>
      </c>
      <c r="C53">
        <v>362.236941</v>
      </c>
      <c r="D53">
        <v>438.84300100000002</v>
      </c>
      <c r="E53">
        <v>16</v>
      </c>
      <c r="F53">
        <v>649</v>
      </c>
      <c r="G53">
        <v>742</v>
      </c>
      <c r="I53">
        <f>VLOOKUP(A53,Latency!C53:D123,2,FALSE)</f>
        <v>32</v>
      </c>
    </row>
    <row r="54" spans="1:9" x14ac:dyDescent="0.3">
      <c r="A54">
        <v>10001</v>
      </c>
      <c r="B54">
        <v>1</v>
      </c>
      <c r="C54">
        <v>228.07612599999999</v>
      </c>
      <c r="D54">
        <v>273.53067199999998</v>
      </c>
      <c r="E54">
        <v>17</v>
      </c>
      <c r="F54">
        <v>447</v>
      </c>
      <c r="G54">
        <v>601</v>
      </c>
      <c r="I54">
        <f>VLOOKUP(A54,Latency!C54:D124,2,FALSE)</f>
        <v>20</v>
      </c>
    </row>
    <row r="55" spans="1:9" x14ac:dyDescent="0.3">
      <c r="A55">
        <v>11001</v>
      </c>
      <c r="B55">
        <v>1</v>
      </c>
      <c r="C55">
        <v>181.98211699999999</v>
      </c>
      <c r="D55">
        <v>218.345753</v>
      </c>
      <c r="E55">
        <v>15</v>
      </c>
      <c r="F55">
        <v>337</v>
      </c>
      <c r="G55">
        <v>432</v>
      </c>
      <c r="I55">
        <f>VLOOKUP(A55,Latency!C55:D125,2,FALSE)</f>
        <v>16</v>
      </c>
    </row>
    <row r="56" spans="1:9" x14ac:dyDescent="0.3">
      <c r="A56">
        <v>12001</v>
      </c>
      <c r="B56">
        <v>1</v>
      </c>
      <c r="C56">
        <v>114.65927499999999</v>
      </c>
      <c r="D56">
        <v>136.47745699999999</v>
      </c>
      <c r="E56">
        <v>13</v>
      </c>
      <c r="F56">
        <v>212</v>
      </c>
      <c r="G56">
        <v>338</v>
      </c>
      <c r="I56">
        <f>VLOOKUP(A56,Latency!C56:D126,2,FALSE)</f>
        <v>10</v>
      </c>
    </row>
    <row r="57" spans="1:9" x14ac:dyDescent="0.3">
      <c r="A57">
        <v>13001</v>
      </c>
      <c r="B57">
        <v>1</v>
      </c>
      <c r="C57">
        <v>92.097109000000003</v>
      </c>
      <c r="D57">
        <v>109.551655</v>
      </c>
      <c r="E57">
        <v>11</v>
      </c>
      <c r="F57">
        <v>165</v>
      </c>
      <c r="G57">
        <v>267</v>
      </c>
      <c r="I57">
        <f>VLOOKUP(A57,Latency!C57:D127,2,FALSE)</f>
        <v>8</v>
      </c>
    </row>
    <row r="58" spans="1:9" x14ac:dyDescent="0.3">
      <c r="A58">
        <v>14000.5</v>
      </c>
      <c r="B58">
        <v>1</v>
      </c>
      <c r="C58">
        <v>364.41875900000002</v>
      </c>
      <c r="D58">
        <v>436.17633499999999</v>
      </c>
      <c r="E58">
        <v>16</v>
      </c>
      <c r="F58">
        <v>649</v>
      </c>
      <c r="G58">
        <v>745</v>
      </c>
      <c r="I58">
        <f>VLOOKUP(A58,Latency!C58:D128,2,FALSE)</f>
        <v>32</v>
      </c>
    </row>
    <row r="59" spans="1:9" x14ac:dyDescent="0.3">
      <c r="A59">
        <v>14001</v>
      </c>
      <c r="B59">
        <v>1</v>
      </c>
      <c r="C59">
        <v>632.53997100000004</v>
      </c>
      <c r="D59">
        <v>766.35815300000002</v>
      </c>
      <c r="E59">
        <v>15</v>
      </c>
      <c r="F59">
        <v>1161</v>
      </c>
      <c r="G59">
        <v>1255</v>
      </c>
      <c r="I59">
        <f>VLOOKUP(A59,Latency!C59:D129,2,FALSE)</f>
        <v>64</v>
      </c>
    </row>
    <row r="60" spans="1:9" x14ac:dyDescent="0.3">
      <c r="A60">
        <v>15001</v>
      </c>
      <c r="B60">
        <v>1</v>
      </c>
      <c r="C60">
        <v>363.44906200000003</v>
      </c>
      <c r="D60">
        <v>436.17633499999999</v>
      </c>
      <c r="E60">
        <v>16</v>
      </c>
      <c r="F60">
        <v>649</v>
      </c>
      <c r="G60">
        <v>744</v>
      </c>
      <c r="I60">
        <f>VLOOKUP(A60,Latency!C60:D130,2,FALSE)</f>
        <v>32</v>
      </c>
    </row>
    <row r="61" spans="1:9" x14ac:dyDescent="0.3">
      <c r="A61">
        <v>16001</v>
      </c>
      <c r="B61">
        <v>1</v>
      </c>
      <c r="C61">
        <v>181.61848000000001</v>
      </c>
      <c r="D61">
        <v>217.98211699999999</v>
      </c>
      <c r="E61">
        <v>14</v>
      </c>
      <c r="F61">
        <v>321</v>
      </c>
      <c r="G61">
        <v>414</v>
      </c>
      <c r="I61">
        <f>VLOOKUP(A61,Latency!C61:D131,2,FALSE)</f>
        <v>16</v>
      </c>
    </row>
  </sheetData>
  <sheetProtection password="CA63" sheet="1" objects="1" scenarios="1"/>
  <mergeCells count="4">
    <mergeCell ref="A2:G2"/>
    <mergeCell ref="L2:Q2"/>
    <mergeCell ref="M3:N3"/>
    <mergeCell ref="O3:P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18</vt:i4>
      </vt:variant>
    </vt:vector>
  </HeadingPairs>
  <TitlesOfParts>
    <vt:vector size="22" baseType="lpstr">
      <vt:lpstr>Calculator Interface</vt:lpstr>
      <vt:lpstr>Latency</vt:lpstr>
      <vt:lpstr>8b10b_data</vt:lpstr>
      <vt:lpstr>64b66b_data</vt:lpstr>
      <vt:lpstr>Latency!A</vt:lpstr>
      <vt:lpstr>Latency!DES2X</vt:lpstr>
      <vt:lpstr>Latency!ID</vt:lpstr>
      <vt:lpstr>Latency!JENC</vt:lpstr>
      <vt:lpstr>Latency!JMODE</vt:lpstr>
      <vt:lpstr>Latency!LT</vt:lpstr>
      <vt:lpstr>Latency!M</vt:lpstr>
      <vt:lpstr>Latency!N</vt:lpstr>
      <vt:lpstr>Latency!NCO_EN</vt:lpstr>
      <vt:lpstr>Latency!RBD</vt:lpstr>
      <vt:lpstr>Latency!RD</vt:lpstr>
      <vt:lpstr>TDAC_LAT0_BASE_MAX</vt:lpstr>
      <vt:lpstr>TDAC_LAT0_BASE_MIN</vt:lpstr>
      <vt:lpstr>Latency!TDES2X_LAT</vt:lpstr>
      <vt:lpstr>Latency!TLENACLK</vt:lpstr>
      <vt:lpstr>Latency!TNCO_LAT</vt:lpstr>
      <vt:lpstr>Latency!TSRPROC</vt:lpstr>
      <vt:lpstr>Latency!W</vt:lpstr>
    </vt:vector>
  </TitlesOfParts>
  <Company>Texas Instruments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Kramer, Paul</dc:creator>
  <cp:lastModifiedBy>Windows User</cp:lastModifiedBy>
  <dcterms:created xsi:type="dcterms:W3CDTF">2021-04-21T19:15:06Z</dcterms:created>
  <dcterms:modified xsi:type="dcterms:W3CDTF">2021-11-30T13:05:30Z</dcterms:modified>
</cp:coreProperties>
</file>