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05" windowWidth="14880" windowHeight="7005"/>
  </bookViews>
  <sheets>
    <sheet name="Configuration Calculator" sheetId="1" r:id="rId1"/>
  </sheets>
  <calcPr calcId="145621"/>
</workbook>
</file>

<file path=xl/calcChain.xml><?xml version="1.0" encoding="utf-8"?>
<calcChain xmlns="http://schemas.openxmlformats.org/spreadsheetml/2006/main">
  <c r="F6" i="1" l="1"/>
  <c r="F7" i="1" l="1"/>
  <c r="G6" i="1"/>
  <c r="G7" i="1" s="1"/>
  <c r="F8" i="1" l="1"/>
  <c r="G9" i="1"/>
  <c r="E9" i="1"/>
  <c r="F9" i="1"/>
  <c r="G10" i="1"/>
  <c r="E10" i="1"/>
  <c r="F10" i="1"/>
  <c r="I26" i="1"/>
  <c r="H26" i="1"/>
  <c r="F26" i="1"/>
  <c r="E26" i="1"/>
  <c r="G26" i="1"/>
  <c r="G25" i="1"/>
  <c r="I25" i="1"/>
  <c r="H25" i="1"/>
  <c r="F25" i="1"/>
  <c r="E25" i="1"/>
  <c r="E21" i="1"/>
  <c r="F21" i="1"/>
  <c r="L20" i="1" s="1"/>
  <c r="L21" i="1" s="1"/>
  <c r="G21" i="1"/>
  <c r="M4" i="1" s="1"/>
  <c r="E22" i="1"/>
  <c r="F22" i="1"/>
  <c r="G22" i="1"/>
  <c r="G20" i="1"/>
  <c r="E20" i="1"/>
  <c r="F20" i="1"/>
  <c r="E3" i="1"/>
  <c r="G8" i="1"/>
  <c r="E8" i="1"/>
  <c r="E13" i="1"/>
  <c r="E6" i="1"/>
  <c r="E7" i="1" s="1"/>
  <c r="F13" i="1"/>
  <c r="G3" i="1"/>
  <c r="F3" i="1"/>
  <c r="F4" i="1" s="1"/>
  <c r="G12" i="1" l="1"/>
  <c r="L12" i="1"/>
  <c r="L4" i="1"/>
  <c r="K4" i="1"/>
  <c r="K5" i="1"/>
  <c r="F11" i="1"/>
  <c r="G11" i="1"/>
  <c r="E11" i="1"/>
  <c r="K6" i="1" s="1"/>
  <c r="E12" i="1"/>
  <c r="K7" i="1" s="1"/>
  <c r="Q8" i="1"/>
  <c r="Q4" i="1"/>
  <c r="F12" i="1"/>
  <c r="P5" i="1"/>
  <c r="P4" i="1"/>
  <c r="R7" i="1"/>
  <c r="R4" i="1"/>
  <c r="L14" i="1"/>
  <c r="L13" i="1"/>
  <c r="Q9" i="1"/>
  <c r="Q6" i="1"/>
  <c r="M18" i="1"/>
  <c r="M17" i="1"/>
  <c r="M20" i="1"/>
  <c r="M21" i="1" s="1"/>
  <c r="L10" i="1"/>
  <c r="L17" i="1"/>
  <c r="L9" i="1"/>
  <c r="L5" i="1"/>
  <c r="L16" i="1"/>
  <c r="L18" i="1"/>
  <c r="K16" i="1"/>
  <c r="M5" i="1"/>
  <c r="K10" i="1"/>
  <c r="K9" i="1"/>
  <c r="R8" i="1"/>
  <c r="R5" i="1"/>
  <c r="P8" i="1"/>
  <c r="P9" i="1"/>
  <c r="R9" i="1"/>
  <c r="Q7" i="1"/>
  <c r="P7" i="1"/>
  <c r="Q5" i="1"/>
  <c r="R6" i="1"/>
  <c r="P6" i="1"/>
  <c r="L6" i="1" l="1"/>
  <c r="L7" i="1"/>
  <c r="X35" i="1"/>
  <c r="AD35" i="1"/>
  <c r="AA35" i="1"/>
  <c r="G13" i="1" l="1"/>
  <c r="E4" i="1"/>
  <c r="G4" i="1" l="1"/>
</calcChain>
</file>

<file path=xl/sharedStrings.xml><?xml version="1.0" encoding="utf-8"?>
<sst xmlns="http://schemas.openxmlformats.org/spreadsheetml/2006/main" count="93" uniqueCount="64">
  <si>
    <t>Inputs</t>
  </si>
  <si>
    <t>Intermediate Calculations</t>
  </si>
  <si>
    <t>Outputs</t>
  </si>
  <si>
    <t>Resolver excitation frequency (kHz)</t>
  </si>
  <si>
    <t>Resolver transformation ratio</t>
  </si>
  <si>
    <t>Typical</t>
  </si>
  <si>
    <t>Tolerance (%)</t>
  </si>
  <si>
    <t>Min</t>
  </si>
  <si>
    <t>Max</t>
  </si>
  <si>
    <t>Resolver Exciter input voltage (Vpk-pk)</t>
  </si>
  <si>
    <t>Resolver Sin/Cos output voltage (Vpk-pk)</t>
  </si>
  <si>
    <t>Resolver Exciter input voltage single ended (Vpk)</t>
  </si>
  <si>
    <t>Resolver Sin/Cos output voltage single ended (V)</t>
  </si>
  <si>
    <t>Gain</t>
  </si>
  <si>
    <t>External AFE resistor tolerance (%)</t>
  </si>
  <si>
    <t>VCC</t>
  </si>
  <si>
    <t>RH and RL</t>
  </si>
  <si>
    <t>Nominal exciter amp Vpk-pk (based on EXTOUT and EXTOUT_GL) (Vpk-pk)</t>
  </si>
  <si>
    <t>Max OSIN/OCOS (Vpk-pk)</t>
  </si>
  <si>
    <t>Rg</t>
  </si>
  <si>
    <t>R1</t>
  </si>
  <si>
    <t>RIN (kOhms)</t>
  </si>
  <si>
    <t>Maximum AFE gain needed</t>
  </si>
  <si>
    <t>Short to Ground</t>
  </si>
  <si>
    <t>Short to Battery</t>
  </si>
  <si>
    <t>VIZ1</t>
  </si>
  <si>
    <t>VIZ3</t>
  </si>
  <si>
    <t>VOCOS/VOSIN</t>
  </si>
  <si>
    <t>VOCOS/VOSIN (Vpk-pk)</t>
  </si>
  <si>
    <t>Mutual Short</t>
  </si>
  <si>
    <t>Open</t>
  </si>
  <si>
    <t>VCOMAFE</t>
  </si>
  <si>
    <t>RIN</t>
  </si>
  <si>
    <t>MinMin</t>
  </si>
  <si>
    <t>MinMax</t>
  </si>
  <si>
    <t>MaxMin</t>
  </si>
  <si>
    <t>MaxMax</t>
  </si>
  <si>
    <t>Short to battery voltage</t>
  </si>
  <si>
    <t>Normal</t>
  </si>
  <si>
    <t>Threshold Settings</t>
  </si>
  <si>
    <t>OVIZH</t>
  </si>
  <si>
    <t>OVIZL</t>
  </si>
  <si>
    <t>OSHORTH</t>
  </si>
  <si>
    <t>OSHORTL</t>
  </si>
  <si>
    <t>OOPENTHH</t>
  </si>
  <si>
    <t>OOPENTHL</t>
  </si>
  <si>
    <t>Percent of VCC</t>
  </si>
  <si>
    <t>Short to ground</t>
  </si>
  <si>
    <t>Short to battery</t>
  </si>
  <si>
    <t>Cut-off frequency (kHz)</t>
  </si>
  <si>
    <t>VIZ1 peak to peak</t>
  </si>
  <si>
    <t>VIZ3 peak to peak</t>
  </si>
  <si>
    <t>Threshold set by:</t>
  </si>
  <si>
    <t>&lt;= less than 4.0V</t>
  </si>
  <si>
    <t>AFE Components</t>
  </si>
  <si>
    <t xml:space="preserve">        2.5 V</t>
  </si>
  <si>
    <t>R1 (kOhms)</t>
  </si>
  <si>
    <t>Rg (kOhms)</t>
  </si>
  <si>
    <t>RH and RL (kOhms)</t>
  </si>
  <si>
    <t>PGA411-Q1 Configuration Calculator</t>
  </si>
  <si>
    <t>VIZ3 Max</t>
  </si>
  <si>
    <t>VIZ1 DC Offset</t>
  </si>
  <si>
    <t>VIZ3 DC Offset</t>
  </si>
  <si>
    <t>VIZ1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</si>
</sst>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3" borderId="0" xfId="0" applyFill="1"/>
    <xf numFmtId="0" fontId="6" fillId="5" borderId="0" xfId="0" applyFont="1" applyFill="1"/>
    <xf numFmtId="0" fontId="6" fillId="6" borderId="0" xfId="0" applyFont="1" applyFill="1"/>
    <xf numFmtId="0" fontId="0" fillId="0" borderId="4" xfId="0" applyBorder="1"/>
    <xf numFmtId="0" fontId="0" fillId="0" borderId="0" xfId="0" applyBorder="1"/>
    <xf numFmtId="0" fontId="0" fillId="0" borderId="8" xfId="0" applyBorder="1"/>
    <xf numFmtId="0" fontId="2" fillId="0" borderId="0" xfId="0" applyFont="1"/>
    <xf numFmtId="9" fontId="0" fillId="0" borderId="0" xfId="1" applyFont="1"/>
    <xf numFmtId="0" fontId="4" fillId="5" borderId="0" xfId="0" applyFont="1" applyFill="1"/>
    <xf numFmtId="0" fontId="4" fillId="6" borderId="0" xfId="0" applyFont="1" applyFill="1"/>
    <xf numFmtId="2" fontId="0" fillId="0" borderId="0" xfId="0" applyNumberFormat="1"/>
    <xf numFmtId="2" fontId="0" fillId="0" borderId="0" xfId="0" applyNumberFormat="1" applyBorder="1"/>
    <xf numFmtId="0" fontId="0" fillId="7" borderId="0" xfId="0" applyFill="1" applyAlignment="1"/>
    <xf numFmtId="0" fontId="3" fillId="3" borderId="0" xfId="0" applyFont="1" applyFill="1" applyAlignment="1">
      <alignment horizontal="left"/>
    </xf>
    <xf numFmtId="164" fontId="0" fillId="0" borderId="0" xfId="0" applyNumberFormat="1"/>
    <xf numFmtId="9" fontId="0" fillId="0" borderId="0" xfId="0" applyNumberFormat="1" applyFont="1" applyFill="1"/>
    <xf numFmtId="9" fontId="0" fillId="0" borderId="0" xfId="0" applyNumberFormat="1"/>
    <xf numFmtId="9" fontId="8" fillId="0" borderId="0" xfId="0" applyNumberFormat="1" applyFont="1" applyFill="1"/>
    <xf numFmtId="0" fontId="0" fillId="0" borderId="0" xfId="0" applyAlignment="1">
      <alignment wrapText="1"/>
    </xf>
    <xf numFmtId="0" fontId="8" fillId="0" borderId="0" xfId="0" applyFont="1"/>
    <xf numFmtId="0" fontId="0" fillId="0" borderId="0" xfId="0" applyFill="1" applyBorder="1"/>
    <xf numFmtId="0" fontId="0" fillId="7" borderId="1" xfId="0" applyFill="1" applyBorder="1"/>
    <xf numFmtId="0" fontId="0" fillId="7" borderId="7" xfId="0" applyFill="1" applyBorder="1"/>
    <xf numFmtId="0" fontId="0" fillId="7" borderId="2" xfId="0" applyFill="1" applyBorder="1"/>
    <xf numFmtId="0" fontId="7" fillId="5" borderId="0" xfId="0" applyFont="1" applyFill="1"/>
    <xf numFmtId="0" fontId="0" fillId="0" borderId="0" xfId="0" applyFill="1"/>
    <xf numFmtId="2" fontId="0" fillId="0" borderId="6" xfId="0" applyNumberFormat="1" applyBorder="1"/>
    <xf numFmtId="2" fontId="0" fillId="0" borderId="0" xfId="0" applyNumberFormat="1" applyFill="1" applyBorder="1"/>
    <xf numFmtId="9" fontId="0" fillId="0" borderId="0" xfId="0" applyNumberFormat="1" applyFill="1" applyBorder="1"/>
    <xf numFmtId="10" fontId="0" fillId="0" borderId="0" xfId="0" applyNumberFormat="1" applyFill="1"/>
    <xf numFmtId="9" fontId="0" fillId="0" borderId="0" xfId="0" applyNumberFormat="1" applyFill="1"/>
    <xf numFmtId="10" fontId="0" fillId="0" borderId="0" xfId="0" applyNumberFormat="1" applyFill="1" applyBorder="1"/>
    <xf numFmtId="164" fontId="0" fillId="0" borderId="0" xfId="0" applyNumberFormat="1" applyBorder="1"/>
    <xf numFmtId="164" fontId="8" fillId="0" borderId="0" xfId="0" applyNumberFormat="1" applyFont="1" applyFill="1"/>
    <xf numFmtId="164" fontId="8" fillId="0" borderId="0" xfId="0" applyNumberFormat="1" applyFont="1"/>
    <xf numFmtId="0" fontId="4" fillId="4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0" fillId="0" borderId="6" xfId="0" applyFill="1" applyBorder="1"/>
    <xf numFmtId="0" fontId="0" fillId="0" borderId="4" xfId="0" applyFill="1" applyBorder="1"/>
    <xf numFmtId="0" fontId="0" fillId="7" borderId="1" xfId="0" applyFill="1" applyBorder="1" applyAlignment="1">
      <alignment wrapText="1"/>
    </xf>
    <xf numFmtId="0" fontId="0" fillId="0" borderId="0" xfId="0" applyFill="1" applyAlignment="1"/>
    <xf numFmtId="0" fontId="7" fillId="0" borderId="0" xfId="0" applyFont="1" applyFill="1" applyAlignment="1">
      <alignment wrapText="1"/>
    </xf>
    <xf numFmtId="0" fontId="0" fillId="0" borderId="0" xfId="0" applyFill="1" applyBorder="1" applyAlignment="1">
      <alignment wrapText="1"/>
    </xf>
    <xf numFmtId="0" fontId="4" fillId="4" borderId="0" xfId="0" applyFont="1" applyFill="1"/>
    <xf numFmtId="0" fontId="0" fillId="0" borderId="1" xfId="0" applyBorder="1"/>
    <xf numFmtId="0" fontId="7" fillId="0" borderId="3" xfId="0" applyFont="1" applyFill="1" applyBorder="1"/>
    <xf numFmtId="0" fontId="7" fillId="0" borderId="5" xfId="0" applyFont="1" applyFill="1" applyBorder="1"/>
    <xf numFmtId="0" fontId="7" fillId="7" borderId="7" xfId="0" applyFont="1" applyFill="1" applyBorder="1" applyAlignment="1">
      <alignment wrapText="1"/>
    </xf>
    <xf numFmtId="0" fontId="7" fillId="7" borderId="7" xfId="0" applyFont="1" applyFill="1" applyBorder="1"/>
    <xf numFmtId="0" fontId="7" fillId="7" borderId="2" xfId="0" applyFont="1" applyFill="1" applyBorder="1" applyAlignment="1">
      <alignment wrapText="1"/>
    </xf>
    <xf numFmtId="0" fontId="7" fillId="0" borderId="3" xfId="0" applyFont="1" applyBorder="1"/>
    <xf numFmtId="0" fontId="7" fillId="0" borderId="5" xfId="0" applyFont="1" applyFill="1" applyBorder="1" applyAlignment="1">
      <alignment wrapText="1"/>
    </xf>
    <xf numFmtId="9" fontId="0" fillId="5" borderId="0" xfId="0" applyNumberFormat="1" applyFill="1" applyBorder="1"/>
    <xf numFmtId="10" fontId="0" fillId="5" borderId="0" xfId="0" applyNumberFormat="1" applyFill="1" applyBorder="1"/>
    <xf numFmtId="10" fontId="0" fillId="5" borderId="8" xfId="0" applyNumberFormat="1" applyFill="1" applyBorder="1"/>
    <xf numFmtId="0" fontId="4" fillId="8" borderId="0" xfId="0" applyFont="1" applyFill="1"/>
    <xf numFmtId="0" fontId="0" fillId="0" borderId="0" xfId="0" applyFill="1" applyAlignment="1">
      <alignment wrapText="1"/>
    </xf>
    <xf numFmtId="0" fontId="0" fillId="0" borderId="6" xfId="0" applyBorder="1"/>
    <xf numFmtId="0" fontId="7" fillId="0" borderId="5" xfId="0" applyFont="1" applyBorder="1"/>
    <xf numFmtId="0" fontId="5" fillId="2" borderId="0" xfId="0" applyFont="1" applyFill="1" applyAlignment="1">
      <alignment horizontal="center"/>
    </xf>
    <xf numFmtId="0" fontId="7" fillId="0" borderId="0" xfId="0" applyFont="1" applyFill="1" applyBorder="1"/>
  </cellXfs>
  <cellStyles count="2">
    <cellStyle name="Normal" xfId="0" builtinId="0"/>
    <cellStyle name="Percent" xfId="1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55675</xdr:rowOff>
    </xdr:from>
    <xdr:to>
      <xdr:col>18</xdr:col>
      <xdr:colOff>322024</xdr:colOff>
      <xdr:row>45</xdr:row>
      <xdr:rowOff>159349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485175"/>
          <a:ext cx="10468391" cy="3913674"/>
        </a:xfrm>
        <a:prstGeom prst="rect">
          <a:avLst/>
        </a:prstGeom>
      </xdr:spPr>
    </xdr:pic>
    <xdr:clientData/>
  </xdr:twoCellAnchor>
  <xdr:twoCellAnchor editAs="oneCell">
    <xdr:from>
      <xdr:col>19</xdr:col>
      <xdr:colOff>183393</xdr:colOff>
      <xdr:row>27</xdr:row>
      <xdr:rowOff>79072</xdr:rowOff>
    </xdr:from>
    <xdr:to>
      <xdr:col>31</xdr:col>
      <xdr:colOff>188986</xdr:colOff>
      <xdr:row>44</xdr:row>
      <xdr:rowOff>17388</xdr:rowOff>
    </xdr:to>
    <xdr:pic>
      <xdr:nvPicPr>
        <xdr:cNvPr id="22" name="Picture 21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36" t="16172" r="5018" b="9140"/>
        <a:stretch/>
      </xdr:blipFill>
      <xdr:spPr bwMode="auto">
        <a:xfrm>
          <a:off x="10946643" y="7156147"/>
          <a:ext cx="7187443" cy="317681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19</xdr:col>
      <xdr:colOff>431800</xdr:colOff>
      <xdr:row>25</xdr:row>
      <xdr:rowOff>167217</xdr:rowOff>
    </xdr:from>
    <xdr:to>
      <xdr:col>21</xdr:col>
      <xdr:colOff>568476</xdr:colOff>
      <xdr:row>27</xdr:row>
      <xdr:rowOff>138642</xdr:rowOff>
    </xdr:to>
    <xdr:sp macro="" textlink="">
      <xdr:nvSpPr>
        <xdr:cNvPr id="23" name="TextBox 22"/>
        <xdr:cNvSpPr txBox="1"/>
      </xdr:nvSpPr>
      <xdr:spPr>
        <a:xfrm>
          <a:off x="10697633" y="7596717"/>
          <a:ext cx="1205593" cy="352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 baseline="0"/>
            <a:t>V</a:t>
          </a:r>
          <a:r>
            <a:rPr lang="en-US" sz="1400" b="1" baseline="-25000"/>
            <a:t>OSIN or OCOS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2"/>
  <sheetViews>
    <sheetView tabSelected="1" zoomScale="85" zoomScaleNormal="85" workbookViewId="0">
      <selection activeCell="AB21" sqref="AB21"/>
    </sheetView>
  </sheetViews>
  <sheetFormatPr defaultRowHeight="15" x14ac:dyDescent="0.25"/>
  <cols>
    <col min="1" max="1" width="27.28515625" style="19" customWidth="1"/>
    <col min="3" max="3" width="17.28515625" customWidth="1"/>
    <col min="4" max="4" width="24.5703125" hidden="1" customWidth="1"/>
    <col min="5" max="5" width="14.28515625" hidden="1" customWidth="1"/>
    <col min="6" max="6" width="13.140625" hidden="1" customWidth="1"/>
    <col min="7" max="9" width="11.5703125" hidden="1" customWidth="1"/>
    <col min="10" max="10" width="18.28515625" customWidth="1"/>
    <col min="11" max="11" width="9.140625" customWidth="1"/>
    <col min="12" max="12" width="10.140625" customWidth="1"/>
    <col min="13" max="13" width="10.42578125" customWidth="1"/>
    <col min="14" max="14" width="20.5703125" customWidth="1"/>
    <col min="15" max="16" width="7.5703125" customWidth="1"/>
    <col min="17" max="17" width="8" customWidth="1"/>
    <col min="18" max="18" width="6.5703125" customWidth="1"/>
    <col min="19" max="19" width="13.28515625" customWidth="1"/>
    <col min="20" max="20" width="8.140625" customWidth="1"/>
    <col min="21" max="21" width="7.85546875" customWidth="1"/>
    <col min="22" max="22" width="10.5703125" customWidth="1"/>
    <col min="23" max="23" width="14.5703125" customWidth="1"/>
    <col min="24" max="24" width="9.5703125" customWidth="1"/>
    <col min="25" max="25" width="9.140625" customWidth="1"/>
    <col min="26" max="26" width="6.140625" customWidth="1"/>
    <col min="27" max="27" width="7" customWidth="1"/>
    <col min="28" max="28" width="6.5703125" customWidth="1"/>
    <col min="29" max="29" width="11.42578125" customWidth="1"/>
    <col min="31" max="31" width="7.5703125" customWidth="1"/>
    <col min="32" max="33" width="13" bestFit="1" customWidth="1"/>
    <col min="34" max="34" width="12" customWidth="1"/>
    <col min="35" max="35" width="31.85546875" customWidth="1"/>
  </cols>
  <sheetData>
    <row r="1" spans="1:35" ht="51" customHeight="1" x14ac:dyDescent="0.35">
      <c r="A1" s="60" t="s">
        <v>59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19"/>
      <c r="AH1" s="26"/>
      <c r="AI1" s="26"/>
    </row>
    <row r="2" spans="1:35" ht="19.5" thickBot="1" x14ac:dyDescent="0.35">
      <c r="A2" s="36" t="s">
        <v>0</v>
      </c>
      <c r="B2" s="44" t="s">
        <v>5</v>
      </c>
      <c r="C2" s="44" t="s">
        <v>6</v>
      </c>
      <c r="D2" s="9" t="s">
        <v>1</v>
      </c>
      <c r="E2" s="2" t="s">
        <v>7</v>
      </c>
      <c r="F2" s="2" t="s">
        <v>5</v>
      </c>
      <c r="G2" s="2" t="s">
        <v>8</v>
      </c>
      <c r="H2" s="2"/>
      <c r="I2" s="2"/>
      <c r="J2" s="10" t="s">
        <v>2</v>
      </c>
      <c r="K2" s="3"/>
      <c r="L2" s="3"/>
      <c r="M2" s="3"/>
      <c r="N2" s="56" t="s">
        <v>39</v>
      </c>
      <c r="O2" s="56"/>
      <c r="P2" s="56"/>
      <c r="Q2" s="56"/>
      <c r="R2" s="56"/>
      <c r="S2" s="56"/>
      <c r="AE2" s="15"/>
      <c r="AH2" s="41"/>
      <c r="AI2" s="41"/>
    </row>
    <row r="3" spans="1:35" ht="45" x14ac:dyDescent="0.25">
      <c r="A3" s="19" t="s">
        <v>17</v>
      </c>
      <c r="B3">
        <v>10.57</v>
      </c>
      <c r="C3" s="8">
        <v>0.1</v>
      </c>
      <c r="D3" s="19" t="s">
        <v>9</v>
      </c>
      <c r="E3" s="15">
        <f>$B$3-$B$3*$C$3</f>
        <v>9.5129999999999999</v>
      </c>
      <c r="F3" s="15">
        <f>$B$3</f>
        <v>10.57</v>
      </c>
      <c r="G3" s="15">
        <f>($B$3+$B$3*$C$3)</f>
        <v>11.627000000000001</v>
      </c>
      <c r="H3" s="11"/>
      <c r="I3" s="11"/>
      <c r="J3" s="40" t="s">
        <v>23</v>
      </c>
      <c r="K3" s="23" t="s">
        <v>7</v>
      </c>
      <c r="L3" s="23" t="s">
        <v>5</v>
      </c>
      <c r="M3" s="24" t="s">
        <v>8</v>
      </c>
      <c r="N3" s="45"/>
      <c r="O3" s="48" t="s">
        <v>46</v>
      </c>
      <c r="P3" s="49" t="s">
        <v>7</v>
      </c>
      <c r="Q3" s="49" t="s">
        <v>5</v>
      </c>
      <c r="R3" s="49" t="s">
        <v>8</v>
      </c>
      <c r="S3" s="50" t="s">
        <v>52</v>
      </c>
      <c r="AE3" s="15"/>
      <c r="AH3" s="26"/>
      <c r="AI3" s="26"/>
    </row>
    <row r="4" spans="1:35" ht="33.75" customHeight="1" x14ac:dyDescent="0.25">
      <c r="A4" s="19" t="s">
        <v>3</v>
      </c>
      <c r="B4">
        <v>10</v>
      </c>
      <c r="C4" s="8">
        <v>0.01</v>
      </c>
      <c r="D4" s="19" t="s">
        <v>11</v>
      </c>
      <c r="E4" s="15">
        <f>$E$3/2</f>
        <v>4.7565</v>
      </c>
      <c r="F4" s="15">
        <f>$F$3/2</f>
        <v>5.2850000000000001</v>
      </c>
      <c r="G4" s="15">
        <f>$G$3/2</f>
        <v>5.8135000000000003</v>
      </c>
      <c r="H4" s="11"/>
      <c r="I4" s="11"/>
      <c r="J4" s="46" t="s">
        <v>61</v>
      </c>
      <c r="K4" s="5">
        <f>(E8*E21)/(E21+I26+I25)</f>
        <v>0.35293588975434392</v>
      </c>
      <c r="L4" s="5">
        <f>(F8*F21)/(F21+G26+G25)</f>
        <v>0.43814432989690721</v>
      </c>
      <c r="M4" s="4">
        <f>(G8*G21)/(G21+E26+E25)</f>
        <v>0.56736426072307888</v>
      </c>
      <c r="N4" s="46" t="s">
        <v>48</v>
      </c>
      <c r="O4" s="53">
        <v>0.9</v>
      </c>
      <c r="P4" s="5">
        <f>$E$9*(O4-3%)</f>
        <v>4.2629999999999999</v>
      </c>
      <c r="Q4" s="5">
        <f>O4*$F$9</f>
        <v>4.5</v>
      </c>
      <c r="R4" s="5">
        <f>$G$9*(O4+3%)</f>
        <v>4.7430000000000003</v>
      </c>
      <c r="S4" s="4" t="s">
        <v>40</v>
      </c>
      <c r="AE4" s="15"/>
    </row>
    <row r="5" spans="1:35" ht="30" x14ac:dyDescent="0.25">
      <c r="A5" s="19" t="s">
        <v>4</v>
      </c>
      <c r="B5">
        <v>0.21</v>
      </c>
      <c r="C5" s="8">
        <v>0.1</v>
      </c>
      <c r="D5" s="19"/>
      <c r="E5" s="15"/>
      <c r="F5" s="15"/>
      <c r="G5" s="15"/>
      <c r="H5" s="11"/>
      <c r="I5" s="11"/>
      <c r="J5" s="46" t="s">
        <v>62</v>
      </c>
      <c r="K5" s="5">
        <f>(E8*E21)/(E21+I26+I25)</f>
        <v>0.35293588975434392</v>
      </c>
      <c r="L5" s="5">
        <f>(F8*F21)/(F21+G26+G25)</f>
        <v>0.43814432989690721</v>
      </c>
      <c r="M5" s="4">
        <f>(G8*G21)/(G21+E26+E25)</f>
        <v>0.56736426072307888</v>
      </c>
      <c r="N5" s="46" t="s">
        <v>47</v>
      </c>
      <c r="O5" s="53">
        <v>0.15</v>
      </c>
      <c r="P5" s="5">
        <f>$E$9*(O5-3%)</f>
        <v>0.58799999999999997</v>
      </c>
      <c r="Q5" s="5">
        <f t="shared" ref="Q5:Q9" si="0">O5*$F$9</f>
        <v>0.75</v>
      </c>
      <c r="R5" s="5">
        <f>$G$9*(O5+3%)</f>
        <v>0.91799999999999993</v>
      </c>
      <c r="S5" s="4" t="s">
        <v>41</v>
      </c>
      <c r="AE5" s="15"/>
    </row>
    <row r="6" spans="1:35" ht="18" customHeight="1" x14ac:dyDescent="0.25">
      <c r="A6" s="19" t="s">
        <v>15</v>
      </c>
      <c r="B6">
        <v>5</v>
      </c>
      <c r="C6" s="17">
        <v>0.02</v>
      </c>
      <c r="D6" s="19" t="s">
        <v>10</v>
      </c>
      <c r="E6" s="33">
        <f>($B$3-$B$3*$C$3)*($B$5-$B$5*$C$5)</f>
        <v>1.797957</v>
      </c>
      <c r="F6" s="33">
        <f>$B$3*$B$5</f>
        <v>2.2197</v>
      </c>
      <c r="G6" s="33">
        <f>($B$3+$B$3*$C$3)*($B$5+$B$5*$C$5)</f>
        <v>2.6858369999999998</v>
      </c>
      <c r="H6" s="12"/>
      <c r="I6" s="12"/>
      <c r="J6" s="51" t="s">
        <v>63</v>
      </c>
      <c r="K6" s="5">
        <f>K4+E11/2</f>
        <v>0.70824988439473391</v>
      </c>
      <c r="L6" s="5">
        <f>L4+F11/2</f>
        <v>0.91498643516006517</v>
      </c>
      <c r="M6" s="4"/>
      <c r="N6" s="46" t="s">
        <v>29</v>
      </c>
      <c r="O6" s="53">
        <v>0.7</v>
      </c>
      <c r="P6" s="5">
        <f>$E$9*(O6*0.96)</f>
        <v>3.2927999999999997</v>
      </c>
      <c r="Q6" s="5">
        <f t="shared" si="0"/>
        <v>3.5</v>
      </c>
      <c r="R6" s="5">
        <f>$G$9*(O6*1.04)</f>
        <v>3.7127999999999997</v>
      </c>
      <c r="S6" s="39" t="s">
        <v>42</v>
      </c>
      <c r="AE6" s="15"/>
    </row>
    <row r="7" spans="1:35" ht="15.75" customHeight="1" thickBot="1" x14ac:dyDescent="0.3">
      <c r="A7" s="19" t="s">
        <v>37</v>
      </c>
      <c r="B7">
        <v>8</v>
      </c>
      <c r="C7" s="17">
        <v>0.05</v>
      </c>
      <c r="D7" s="19" t="s">
        <v>12</v>
      </c>
      <c r="E7" s="15">
        <f>$E$6/2</f>
        <v>0.89897850000000001</v>
      </c>
      <c r="F7" s="15">
        <f>$F$6/2</f>
        <v>1.10985</v>
      </c>
      <c r="G7" s="15">
        <f>$G$6/2</f>
        <v>1.3429184999999999</v>
      </c>
      <c r="H7" s="11"/>
      <c r="I7" s="11"/>
      <c r="J7" s="59" t="s">
        <v>60</v>
      </c>
      <c r="K7" s="6">
        <f>K5+E12/2</f>
        <v>0.55803887197365976</v>
      </c>
      <c r="L7" s="6">
        <f>L5+F12/2</f>
        <v>0.74014432989690726</v>
      </c>
      <c r="M7" s="58"/>
      <c r="N7" s="46" t="s">
        <v>29</v>
      </c>
      <c r="O7" s="54">
        <v>0.32500000000000001</v>
      </c>
      <c r="P7" s="5">
        <f>$E$9*(O7*0.96)</f>
        <v>1.5288000000000002</v>
      </c>
      <c r="Q7" s="5">
        <f t="shared" si="0"/>
        <v>1.625</v>
      </c>
      <c r="R7" s="5">
        <f>$G$9*(O7*1.04)</f>
        <v>1.7238</v>
      </c>
      <c r="S7" s="39" t="s">
        <v>43</v>
      </c>
      <c r="AE7" s="15"/>
    </row>
    <row r="8" spans="1:35" ht="30" x14ac:dyDescent="0.25">
      <c r="A8" s="57" t="s">
        <v>18</v>
      </c>
      <c r="B8">
        <v>4</v>
      </c>
      <c r="C8" s="14" t="s">
        <v>53</v>
      </c>
      <c r="D8" s="19" t="s">
        <v>31</v>
      </c>
      <c r="E8" s="15">
        <f>(B6-B6*C6)/2</f>
        <v>2.4500000000000002</v>
      </c>
      <c r="F8" s="15">
        <f>B6/2</f>
        <v>2.5</v>
      </c>
      <c r="G8" s="15">
        <f>(B6+B6*C6)/2</f>
        <v>2.5499999999999998</v>
      </c>
      <c r="H8" s="11"/>
      <c r="I8" s="11"/>
      <c r="J8" s="40" t="s">
        <v>24</v>
      </c>
      <c r="K8" s="23" t="s">
        <v>7</v>
      </c>
      <c r="L8" s="23" t="s">
        <v>5</v>
      </c>
      <c r="M8" s="24" t="s">
        <v>8</v>
      </c>
      <c r="N8" s="46" t="s">
        <v>30</v>
      </c>
      <c r="O8" s="53">
        <v>0.75</v>
      </c>
      <c r="P8" s="5">
        <f>$E$9*(O8*0.96)</f>
        <v>3.528</v>
      </c>
      <c r="Q8" s="5">
        <f t="shared" si="0"/>
        <v>3.75</v>
      </c>
      <c r="R8" s="5">
        <f>$G$9*(O8*1.04)</f>
        <v>3.9779999999999998</v>
      </c>
      <c r="S8" s="39" t="s">
        <v>44</v>
      </c>
      <c r="AE8" s="15"/>
    </row>
    <row r="9" spans="1:35" ht="15.75" thickBot="1" x14ac:dyDescent="0.3">
      <c r="C9" s="18"/>
      <c r="D9" s="19" t="s">
        <v>15</v>
      </c>
      <c r="E9" s="15">
        <f>B6-B6*C6</f>
        <v>4.9000000000000004</v>
      </c>
      <c r="F9" s="15">
        <f>B6</f>
        <v>5</v>
      </c>
      <c r="G9" s="15">
        <f>B6+B6*C6</f>
        <v>5.0999999999999996</v>
      </c>
      <c r="H9" s="11"/>
      <c r="I9" s="11"/>
      <c r="J9" s="46" t="s">
        <v>25</v>
      </c>
      <c r="K9" s="5">
        <f>E8+(E26+E25)*(E10-E8)/(G21+E25+E26)</f>
        <v>6.4541466891278985</v>
      </c>
      <c r="L9" s="5">
        <f>F8+(G26+G25)*(F10-F8)/(F21+G25+G26)</f>
        <v>7.036082474226804</v>
      </c>
      <c r="M9" s="4"/>
      <c r="N9" s="47" t="s">
        <v>30</v>
      </c>
      <c r="O9" s="55">
        <v>0.25</v>
      </c>
      <c r="P9" s="6">
        <f>$E$9*(O9*0.9)</f>
        <v>1.1025</v>
      </c>
      <c r="Q9" s="6">
        <f t="shared" si="0"/>
        <v>1.25</v>
      </c>
      <c r="R9" s="6">
        <f>$G$9*(O9*1.1)</f>
        <v>1.4025000000000001</v>
      </c>
      <c r="S9" s="38" t="s">
        <v>45</v>
      </c>
      <c r="AE9" s="15"/>
    </row>
    <row r="10" spans="1:35" ht="15.75" thickBot="1" x14ac:dyDescent="0.3">
      <c r="D10" s="19" t="s">
        <v>37</v>
      </c>
      <c r="E10" s="34">
        <f>B7-B7*C7</f>
        <v>7.6</v>
      </c>
      <c r="F10" s="34">
        <f>B7</f>
        <v>8</v>
      </c>
      <c r="G10" s="35">
        <f>B7+B7*C7</f>
        <v>8.4</v>
      </c>
      <c r="H10" s="7"/>
      <c r="I10" s="7"/>
      <c r="J10" s="46" t="s">
        <v>26</v>
      </c>
      <c r="K10" s="5">
        <f>E8+(E26+E25)*(E10-E8)/(G21+E25+E26)</f>
        <v>6.4541466891278985</v>
      </c>
      <c r="L10" s="5">
        <f>F8+(G26+G25)*(F10-F8)/(F21+G25+G26)</f>
        <v>7.036082474226804</v>
      </c>
      <c r="M10" s="4"/>
      <c r="AE10" s="15"/>
    </row>
    <row r="11" spans="1:35" x14ac:dyDescent="0.25">
      <c r="D11" s="19" t="s">
        <v>50</v>
      </c>
      <c r="E11" s="26">
        <f>E7*(F26+E25)*(E25+E22)/((G21+F26)*(G21+F26+E25+E22))</f>
        <v>0.71062798928077997</v>
      </c>
      <c r="F11" s="26">
        <f>F7*(G26+G25)*(G25+F22)/((F21+G26)*(F21+G26+G25+F22))</f>
        <v>0.9536842105263158</v>
      </c>
      <c r="G11" s="26">
        <f>G7*(H26+I25)*(I25+G22)/((E21+H26)*(E21+H26+I25+G22))</f>
        <v>1.2175690815764701</v>
      </c>
      <c r="H11" s="26"/>
      <c r="I11" s="26"/>
      <c r="J11" s="40" t="s">
        <v>29</v>
      </c>
      <c r="K11" s="23" t="s">
        <v>7</v>
      </c>
      <c r="L11" s="23" t="s">
        <v>5</v>
      </c>
      <c r="M11" s="24" t="s">
        <v>8</v>
      </c>
      <c r="N11" s="42"/>
      <c r="O11" s="43"/>
      <c r="P11" s="21"/>
      <c r="Q11" s="21"/>
      <c r="R11" s="21"/>
      <c r="AE11" s="15"/>
    </row>
    <row r="12" spans="1:35" x14ac:dyDescent="0.25">
      <c r="A12" s="37" t="s">
        <v>54</v>
      </c>
      <c r="D12" s="19" t="s">
        <v>51</v>
      </c>
      <c r="E12" s="26">
        <f>-2*E7*((F25*(F25+G22)-E26*(G22+2*G21+2*E26+F25))/(2*(G21+E26)*(E26+G21+F25+G22)))</f>
        <v>0.41020596443863155</v>
      </c>
      <c r="F12" s="26">
        <f>-2*F7*(G25*(G25+F22)-G26*(F22+2*F21+2*G26+G25))/(2*(F21+G26)*(G26+F21+G25+F22))</f>
        <v>0.60399999999999998</v>
      </c>
      <c r="G12" s="26">
        <f>-2*G7*((H25*(H25+E22)-I26*(E22+2*E21+2*I26+H25))/(2*(E21+I26)*(I26+E21+H25+E22)))</f>
        <v>0.82086942150252995</v>
      </c>
      <c r="H12" s="26"/>
      <c r="I12" s="26"/>
      <c r="J12" s="51" t="s">
        <v>25</v>
      </c>
      <c r="K12" s="5"/>
      <c r="L12" s="12">
        <f>F8</f>
        <v>2.5</v>
      </c>
      <c r="M12" s="4"/>
      <c r="N12" s="26"/>
      <c r="O12" s="31"/>
      <c r="P12" s="26"/>
      <c r="Q12" s="26"/>
      <c r="R12" s="26"/>
      <c r="AE12" s="15"/>
    </row>
    <row r="13" spans="1:35" ht="19.5" customHeight="1" x14ac:dyDescent="0.25">
      <c r="A13" s="19" t="s">
        <v>57</v>
      </c>
      <c r="B13" s="20">
        <v>20</v>
      </c>
      <c r="C13" s="17">
        <v>0.25</v>
      </c>
      <c r="D13" s="19" t="s">
        <v>22</v>
      </c>
      <c r="E13" s="11">
        <f>$B$8/$G$6</f>
        <v>1.4892936540825077</v>
      </c>
      <c r="F13" s="11">
        <f>$B$8/$F$6</f>
        <v>1.8020453214398342</v>
      </c>
      <c r="G13" s="11">
        <f>$B$8/$E$6</f>
        <v>2.2247473104195485</v>
      </c>
      <c r="H13" s="11"/>
      <c r="I13" s="11"/>
      <c r="J13" s="51" t="s">
        <v>26</v>
      </c>
      <c r="K13" s="5"/>
      <c r="L13" s="12">
        <f>F8</f>
        <v>2.5</v>
      </c>
      <c r="M13" s="4"/>
      <c r="N13" s="26"/>
      <c r="O13" s="31"/>
      <c r="P13" s="26"/>
      <c r="Q13" s="26"/>
      <c r="R13" s="26"/>
      <c r="AE13" s="15"/>
    </row>
    <row r="14" spans="1:35" ht="15.75" thickBot="1" x14ac:dyDescent="0.3">
      <c r="A14" s="19" t="s">
        <v>56</v>
      </c>
      <c r="B14">
        <v>8.5</v>
      </c>
      <c r="C14" s="17">
        <v>0.01</v>
      </c>
      <c r="G14" s="11"/>
      <c r="H14" s="11"/>
      <c r="I14" s="11"/>
      <c r="J14" s="46" t="s">
        <v>27</v>
      </c>
      <c r="K14" s="21"/>
      <c r="L14" s="28">
        <f>F8</f>
        <v>2.5</v>
      </c>
      <c r="M14" s="4"/>
      <c r="O14" s="29"/>
      <c r="P14" s="26"/>
      <c r="Q14" s="26"/>
      <c r="R14" s="26"/>
      <c r="AE14" s="15"/>
    </row>
    <row r="15" spans="1:35" x14ac:dyDescent="0.25">
      <c r="A15" s="19" t="s">
        <v>58</v>
      </c>
      <c r="B15">
        <v>25</v>
      </c>
      <c r="C15" s="17">
        <v>0.01</v>
      </c>
      <c r="J15" s="22" t="s">
        <v>30</v>
      </c>
      <c r="K15" s="23" t="s">
        <v>7</v>
      </c>
      <c r="L15" s="23" t="s">
        <v>5</v>
      </c>
      <c r="M15" s="24" t="s">
        <v>8</v>
      </c>
      <c r="N15" s="21"/>
      <c r="O15" s="30"/>
      <c r="P15" s="26"/>
      <c r="Q15" s="26"/>
      <c r="R15" s="26"/>
      <c r="AE15" s="15"/>
    </row>
    <row r="16" spans="1:35" ht="30" x14ac:dyDescent="0.25">
      <c r="A16" s="19" t="s">
        <v>14</v>
      </c>
      <c r="B16" s="1"/>
      <c r="C16" s="16">
        <v>0.01</v>
      </c>
      <c r="D16" s="19" t="s">
        <v>21</v>
      </c>
      <c r="E16">
        <v>20</v>
      </c>
      <c r="J16" s="46" t="s">
        <v>25</v>
      </c>
      <c r="K16" s="5">
        <f>E8*(E21+E22)/(E21+I25+E22+I26)</f>
        <v>0.9770245896711357</v>
      </c>
      <c r="L16" s="5">
        <f>F8*(F21+F22)/(F21+G25+F22+G26)</f>
        <v>1.1394557823129252</v>
      </c>
      <c r="M16" s="4"/>
      <c r="N16" s="26"/>
      <c r="O16" s="31"/>
      <c r="P16" s="26"/>
      <c r="Q16" s="26"/>
      <c r="R16" s="26"/>
      <c r="AE16" s="15"/>
    </row>
    <row r="17" spans="1:31" x14ac:dyDescent="0.25">
      <c r="A17" s="19" t="s">
        <v>49</v>
      </c>
      <c r="B17">
        <v>40</v>
      </c>
      <c r="J17" s="46" t="s">
        <v>26</v>
      </c>
      <c r="K17" s="5"/>
      <c r="L17" s="5">
        <f>G26*F9/(F21+F22+G26)+F8*(F21+F22)/(F21+G25+F22+G26)</f>
        <v>3.0086146608175981</v>
      </c>
      <c r="M17" s="4">
        <f>I26*G9/(E21+E22+I26)+G8*(E21+E22)/(E21+H25+E22+I26)</f>
        <v>3.2138576839078183</v>
      </c>
      <c r="N17" s="21"/>
      <c r="O17" s="32"/>
      <c r="P17" s="26"/>
      <c r="Q17" s="26"/>
      <c r="R17" s="26"/>
      <c r="AE17" s="15"/>
    </row>
    <row r="18" spans="1:31" ht="15.75" thickBot="1" x14ac:dyDescent="0.3">
      <c r="J18" s="52" t="s">
        <v>27</v>
      </c>
      <c r="K18" s="6"/>
      <c r="L18" s="6">
        <f>F8-(G25*F9)/(F21+F22+G26)</f>
        <v>0.63084112149532712</v>
      </c>
      <c r="M18" s="27">
        <f>G8-(E25*E9)/(G21+G22+F26)</f>
        <v>1.0571595409769472</v>
      </c>
      <c r="N18" s="26"/>
      <c r="O18" s="26"/>
      <c r="P18" s="26"/>
      <c r="Q18" s="26"/>
      <c r="R18" s="26"/>
      <c r="AE18" s="15"/>
    </row>
    <row r="19" spans="1:31" x14ac:dyDescent="0.25">
      <c r="J19" s="22" t="s">
        <v>38</v>
      </c>
      <c r="K19" s="23"/>
      <c r="L19" s="23"/>
      <c r="M19" s="24"/>
      <c r="AE19" s="15"/>
    </row>
    <row r="20" spans="1:31" x14ac:dyDescent="0.25">
      <c r="D20" s="17" t="s">
        <v>19</v>
      </c>
      <c r="E20">
        <f>(B13-B13*C13)*1000</f>
        <v>15000</v>
      </c>
      <c r="F20">
        <f>B13*1000</f>
        <v>20000</v>
      </c>
      <c r="G20">
        <f>(B13+B13*C13)*1000</f>
        <v>25000</v>
      </c>
      <c r="J20" s="46" t="s">
        <v>13</v>
      </c>
      <c r="K20" s="5"/>
      <c r="L20" s="5">
        <f>G25/(G26+F21)</f>
        <v>0.70175438596491224</v>
      </c>
      <c r="M20" s="4">
        <f>I25/(H26+E21)</f>
        <v>0.75723156141147963</v>
      </c>
      <c r="AE20" s="15"/>
    </row>
    <row r="21" spans="1:31" ht="30.75" thickBot="1" x14ac:dyDescent="0.3">
      <c r="D21" t="s">
        <v>20</v>
      </c>
      <c r="E21">
        <f>(B14-B14*C14)*1000</f>
        <v>8415</v>
      </c>
      <c r="F21">
        <f>B14*1000</f>
        <v>8500</v>
      </c>
      <c r="G21">
        <f>(B14+B14*C14)*1000</f>
        <v>8585</v>
      </c>
      <c r="J21" s="52" t="s">
        <v>28</v>
      </c>
      <c r="K21" s="6"/>
      <c r="L21" s="6">
        <f>F6*L20</f>
        <v>1.5576842105263158</v>
      </c>
      <c r="M21" s="58">
        <f>G6*M20</f>
        <v>2.033800545206724</v>
      </c>
      <c r="AE21" s="15"/>
    </row>
    <row r="22" spans="1:31" x14ac:dyDescent="0.25">
      <c r="D22" t="s">
        <v>16</v>
      </c>
      <c r="E22">
        <f>(B15-B15*C15)*1000</f>
        <v>24750</v>
      </c>
      <c r="F22">
        <f>B15*1000</f>
        <v>25000</v>
      </c>
      <c r="G22">
        <f>(B15+B15*C15)*1000</f>
        <v>25250</v>
      </c>
      <c r="J22" s="61"/>
      <c r="K22" s="5"/>
      <c r="L22" s="33"/>
      <c r="M22" s="33"/>
      <c r="AE22" s="15"/>
    </row>
    <row r="23" spans="1:31" x14ac:dyDescent="0.25">
      <c r="J23" s="61"/>
      <c r="K23" s="33"/>
      <c r="L23" s="33"/>
      <c r="M23" s="21"/>
      <c r="AE23" s="15"/>
    </row>
    <row r="24" spans="1:31" x14ac:dyDescent="0.25">
      <c r="D24" s="25"/>
      <c r="E24" s="25" t="s">
        <v>33</v>
      </c>
      <c r="F24" s="25" t="s">
        <v>34</v>
      </c>
      <c r="G24" s="25" t="s">
        <v>5</v>
      </c>
      <c r="H24" s="25" t="s">
        <v>35</v>
      </c>
      <c r="I24" s="25" t="s">
        <v>36</v>
      </c>
      <c r="J24" s="61"/>
      <c r="K24" s="21"/>
      <c r="L24" s="33"/>
      <c r="M24" s="33"/>
      <c r="AE24" s="15"/>
    </row>
    <row r="25" spans="1:31" x14ac:dyDescent="0.25">
      <c r="D25" t="s">
        <v>19</v>
      </c>
      <c r="E25">
        <f>$B$13*0.75*1000</f>
        <v>15000</v>
      </c>
      <c r="F25">
        <f>$B$13*0.77*1000</f>
        <v>15400</v>
      </c>
      <c r="G25">
        <f>B13*1000</f>
        <v>20000</v>
      </c>
      <c r="H25">
        <f>$B$13*1.23*1000</f>
        <v>24600</v>
      </c>
      <c r="I25">
        <f>$B$13*1.25*1000</f>
        <v>25000</v>
      </c>
      <c r="J25" s="61"/>
      <c r="K25" s="33"/>
      <c r="L25" s="33"/>
      <c r="M25" s="21"/>
    </row>
    <row r="26" spans="1:31" x14ac:dyDescent="0.25">
      <c r="D26" t="s">
        <v>32</v>
      </c>
      <c r="E26">
        <f>$E$16*0.75*1000</f>
        <v>15000</v>
      </c>
      <c r="F26">
        <f>$E$16*0.77*1000</f>
        <v>15400</v>
      </c>
      <c r="G26">
        <f>E16*1000</f>
        <v>20000</v>
      </c>
      <c r="H26">
        <f>$E$16*1.23*1000</f>
        <v>24600</v>
      </c>
      <c r="I26">
        <f>$E$16*1.25*1000</f>
        <v>25000</v>
      </c>
    </row>
    <row r="27" spans="1:31" x14ac:dyDescent="0.25">
      <c r="V27" s="19"/>
    </row>
    <row r="28" spans="1:31" x14ac:dyDescent="0.25">
      <c r="V28" s="19"/>
    </row>
    <row r="35" spans="24:35" x14ac:dyDescent="0.25">
      <c r="X35">
        <f>L21</f>
        <v>1.5576842105263158</v>
      </c>
      <c r="AA35">
        <f>L21/2</f>
        <v>0.77884210526315789</v>
      </c>
      <c r="AD35">
        <f>L21/SQRT(2)</f>
        <v>1.1014490682103715</v>
      </c>
    </row>
    <row r="36" spans="24:35" x14ac:dyDescent="0.25">
      <c r="AH36" s="13"/>
      <c r="AI36" s="13"/>
    </row>
    <row r="37" spans="24:35" x14ac:dyDescent="0.25">
      <c r="AF37" t="s">
        <v>55</v>
      </c>
    </row>
    <row r="54" spans="34:35" x14ac:dyDescent="0.25">
      <c r="AH54" s="13"/>
      <c r="AI54" s="13"/>
    </row>
    <row r="55" spans="34:35" x14ac:dyDescent="0.25">
      <c r="AH55" s="11"/>
    </row>
    <row r="56" spans="34:35" x14ac:dyDescent="0.25">
      <c r="AH56" s="11"/>
    </row>
    <row r="57" spans="34:35" x14ac:dyDescent="0.25">
      <c r="AH57" s="11"/>
    </row>
    <row r="58" spans="34:35" x14ac:dyDescent="0.25">
      <c r="AH58" s="11"/>
    </row>
    <row r="59" spans="34:35" x14ac:dyDescent="0.25">
      <c r="AH59" s="11"/>
    </row>
    <row r="60" spans="34:35" x14ac:dyDescent="0.25">
      <c r="AH60" s="11"/>
    </row>
    <row r="61" spans="34:35" x14ac:dyDescent="0.25">
      <c r="AH61" s="11"/>
    </row>
    <row r="62" spans="34:35" x14ac:dyDescent="0.25">
      <c r="AH62" s="11"/>
    </row>
  </sheetData>
  <mergeCells count="1">
    <mergeCell ref="A1:S1"/>
  </mergeCells>
  <conditionalFormatting sqref="M4:M5">
    <cfRule type="cellIs" dxfId="17" priority="18" operator="greaterThan">
      <formula>$P$5</formula>
    </cfRule>
  </conditionalFormatting>
  <conditionalFormatting sqref="K9:K10">
    <cfRule type="cellIs" dxfId="16" priority="17" operator="lessThan">
      <formula>$P$4</formula>
    </cfRule>
  </conditionalFormatting>
  <conditionalFormatting sqref="K16">
    <cfRule type="cellIs" dxfId="15" priority="16" operator="lessThan">
      <formula>$R$5</formula>
    </cfRule>
  </conditionalFormatting>
  <conditionalFormatting sqref="M17">
    <cfRule type="cellIs" dxfId="14" priority="15" operator="greaterThan">
      <formula>$P$4</formula>
    </cfRule>
  </conditionalFormatting>
  <conditionalFormatting sqref="M18">
    <cfRule type="cellIs" dxfId="13" priority="14" operator="greaterThan">
      <formula>$P$9</formula>
    </cfRule>
  </conditionalFormatting>
  <conditionalFormatting sqref="L21:M21">
    <cfRule type="cellIs" dxfId="12" priority="13" operator="greaterThan">
      <formula>3</formula>
    </cfRule>
  </conditionalFormatting>
  <conditionalFormatting sqref="K6:L7">
    <cfRule type="cellIs" dxfId="9" priority="1" operator="greaterThan">
      <formula>$R$5</formula>
    </cfRule>
  </conditionalFormatting>
  <dataValidations count="8">
    <dataValidation type="list" allowBlank="1" showInputMessage="1" showErrorMessage="1" sqref="B3">
      <formula1>"8.38, 8.75, 9.11, 9.47, 9.84, 10.2, 10.57, 10.93, 11.3, 11.66, 12.03, 12.39, 12.75, 13.12, 13.85, 14.69, 15.33, 15.97, 16.61, 17.24, 17.88, 18.52, 19.16, 19.8, 20.44, 21.08, 21.72, 22.35, 22.99, 23.63, 24.27"</formula1>
    </dataValidation>
    <dataValidation type="list" allowBlank="1" showInputMessage="1" showErrorMessage="1" sqref="B13">
      <formula1>"15, 20, 45, 70"</formula1>
    </dataValidation>
    <dataValidation type="list" allowBlank="1" showInputMessage="1" showErrorMessage="1" sqref="O4">
      <formula1>"75%, 80%, 85%, 90%"</formula1>
    </dataValidation>
    <dataValidation type="list" allowBlank="1" showInputMessage="1" showErrorMessage="1" sqref="O5">
      <formula1>"25%, 20%, 15%, 10%"</formula1>
    </dataValidation>
    <dataValidation type="list" allowBlank="1" showInputMessage="1" showErrorMessage="1" sqref="O6">
      <formula1>"52.5%, 55%, 57.5%, 60%, 62.5%, 67.5%, 70%"</formula1>
    </dataValidation>
    <dataValidation type="list" allowBlank="1" showInputMessage="1" showErrorMessage="1" sqref="O7">
      <formula1>"47.5%, 45%, 42.5%, 40%, 37.5%, 35%, 32.5%"</formula1>
    </dataValidation>
    <dataValidation type="list" allowBlank="1" showInputMessage="1" showErrorMessage="1" sqref="O8">
      <formula1>"75%, 77.5%, 80%, 82.5%, 85%, 87.5%, 90%, 92.5%"</formula1>
    </dataValidation>
    <dataValidation type="list" allowBlank="1" showInputMessage="1" showErrorMessage="1" sqref="O9">
      <formula1>"25%, 22.5%, 20%, 17.5%, 15%, 12.5%, 10%, 7.5%"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Configuration Calculator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Scheuermann, Alexander</dc:creator>
  <cp:lastModifiedBy>Soehren, Clancy</cp:lastModifiedBy>
  <dcterms:created xsi:type="dcterms:W3CDTF">2016-07-08T20:47:37Z</dcterms:created>
  <dcterms:modified xsi:type="dcterms:W3CDTF">2016-11-11T20:11:24Z</dcterms:modified>
</cp:coreProperties>
</file>