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J\EMENI\BOARD-2\Power\"/>
    </mc:Choice>
  </mc:AlternateContent>
  <bookViews>
    <workbookView xWindow="0" yWindow="0" windowWidth="28800" windowHeight="13275" tabRatio="599"/>
  </bookViews>
  <sheets>
    <sheet name="66AK2H14" sheetId="1" r:id="rId1"/>
    <sheet name="Calculation sheet" sheetId="2" state="hidden" r:id="rId2"/>
  </sheets>
  <definedNames>
    <definedName name="_xlnm._FilterDatabase" localSheetId="0" hidden="1">'66AK2H14'!$A$1:$F$3</definedName>
    <definedName name="agap0000_cc_cvdd1_11">'Calculation sheet'!$J$92</definedName>
    <definedName name="agap0000_cc_cvdd11">'Calculation sheet'!$E$92</definedName>
    <definedName name="agap0000_cc_cvdd12">'Calculation sheet'!$I$92</definedName>
    <definedName name="agap7912_cvdd11">'Calculation sheet'!#REF!</definedName>
    <definedName name="agap7912_cvdd12">'Calculation sheet'!#REF!</definedName>
    <definedName name="agap7913_cvdd11">'Calculation sheet'!#REF!</definedName>
    <definedName name="agap7913_cvdd12">'Calculation sheet'!#REF!</definedName>
    <definedName name="agap7915_cvdd1_11">'Calculation sheet'!#REF!</definedName>
    <definedName name="agap7915_cvdd11">'Calculation sheet'!#REF!</definedName>
    <definedName name="agap7915_cvdd12">'Calculation sheet'!#REF!</definedName>
    <definedName name="aif_act_tot_cvdd">'Calculation sheet'!$E$455</definedName>
    <definedName name="aif_act_tot_cvdd1">'Calculation sheet'!$F$455</definedName>
    <definedName name="aif_act_tot_dvdd15">'66AK2H14'!#REF!</definedName>
    <definedName name="aif_clk_cvdd">'Calculation sheet'!$E$427</definedName>
    <definedName name="aif_clk_cvdd1">'Calculation sheet'!$F$427</definedName>
    <definedName name="aif_clk_cvddt">'Calculation sheet'!#REF!</definedName>
    <definedName name="aif_clk_cvddt1">'Calculation sheet'!#REF!</definedName>
    <definedName name="aif_clk_dvdd15">'Calculation sheet'!$G$427</definedName>
    <definedName name="aif_en">'66AK2H14'!$B$42</definedName>
    <definedName name="AIF_idle_cvdd">'Calculation sheet'!$E$429</definedName>
    <definedName name="AIF_idle_Cvdd1">'Calculation sheet'!$F$429</definedName>
    <definedName name="AIF_idle_CVDDT1">'Calculation sheet'!#REF!</definedName>
    <definedName name="aif_lanes">'66AK2H14'!$E$42</definedName>
    <definedName name="aif_line_rate">'66AK2H14'!$C$42</definedName>
    <definedName name="aif_prot">'66AK2H14'!$F$42</definedName>
    <definedName name="aif_rate">'66AK2H14'!#REF!</definedName>
    <definedName name="aif_switch">'66AK2H14'!#REF!</definedName>
    <definedName name="aif_switch_per">'Calculation sheet'!$T$455</definedName>
    <definedName name="aif_util">'66AK2H14'!$D$42</definedName>
    <definedName name="aif_util_per">'Calculation sheet'!$R$455</definedName>
    <definedName name="aif2_idle_tot_vddahv">'Calculation sheet'!$H$429</definedName>
    <definedName name="aif2_idle_tot_vddalh">'Calculation sheet'!$I$429</definedName>
    <definedName name="aif2_lane_list">'Calculation sheet'!$P$454:$P$456</definedName>
    <definedName name="aif2_mode_list">'Calculation sheet'!$Q$454:$Q$457</definedName>
    <definedName name="aif2_rate_list">'Calculation sheet'!$S$455</definedName>
    <definedName name="all_cores_cvdd_idle_clk">'Calculation sheet'!$E$112</definedName>
    <definedName name="all_cores_cvdd1_idle_clk">'Calculation sheet'!$F$112</definedName>
    <definedName name="ARM_act_tot_cvdd">'Calculation sheet'!$E$122</definedName>
    <definedName name="ARM_Act_total_cvdd1">'Calculation sheet'!$F$122</definedName>
    <definedName name="ARM_cpuF">'66AK2H14'!$C$16</definedName>
    <definedName name="ARM_idle_CVDD">'Calculation sheet'!#REF!</definedName>
    <definedName name="ARM_IDLE_CVDD1">'Calculation sheet'!#REF!</definedName>
    <definedName name="ARM_idle_CVDDT1">'Calculation sheet'!#REF!</definedName>
    <definedName name="ARM_SS_en">'66AK2H14'!$B$16</definedName>
    <definedName name="ARM_SS_status">'Calculation sheet'!$A$125</definedName>
    <definedName name="ARM_Status">'Calculation sheet'!$B$76:$B$78</definedName>
    <definedName name="ARM_util_0">'66AK2H14'!$D$17</definedName>
    <definedName name="ARM_util_1">'66AK2H14'!$D$18</definedName>
    <definedName name="ARM_util_2">'66AK2H14'!$D$19</definedName>
    <definedName name="ARM_util_3">'66AK2H14'!$D$20</definedName>
    <definedName name="ARM0_en">'66AK2H14'!$B$17</definedName>
    <definedName name="ARM1_en">'66AK2H14'!$B$18</definedName>
    <definedName name="ARM2_en">'66AK2H14'!$B$19</definedName>
    <definedName name="ARM3_en">'66AK2H14'!$B$20</definedName>
    <definedName name="armss_idle_clocking">'Calculation sheet'!$B$75</definedName>
    <definedName name="BCP_Act_cvdd">'Calculation sheet'!$E$512</definedName>
    <definedName name="BCP_Act_cvdd1">'Calculation sheet'!$F$512</definedName>
    <definedName name="BCP_Act_tot_cvdd">'Calculation sheet'!$E$513</definedName>
    <definedName name="BCP_Act_tot_cvdd1">'Calculation sheet'!$F$513</definedName>
    <definedName name="BCP_act_tot_CVDDt">'Calculation sheet'!#REF!</definedName>
    <definedName name="BCP_act_tot_cvddt1">'Calculation sheet'!#REF!</definedName>
    <definedName name="BCP_enable">'66AK2H14'!$B$44</definedName>
    <definedName name="BCP_total_idle">'Calculation sheet'!$E$510</definedName>
    <definedName name="BCP_util">'66AK2H14'!$D$44</definedName>
    <definedName name="BCP_util_per">'Calculation sheet'!$A$510</definedName>
    <definedName name="bit_width_list">'Calculation sheet'!$A$142:$A$146</definedName>
    <definedName name="con_est_gem_act_cvdd">'Calculation sheet'!$E$113</definedName>
    <definedName name="con_est_gem_act_cvdd1">'Calculation sheet'!$N$113</definedName>
    <definedName name="core0_clk_idle_cvdd">'Calculation sheet'!$E$104</definedName>
    <definedName name="core0_clk_idle_cvdd1">'Calculation sheet'!$F$104</definedName>
    <definedName name="core0_en">'Calculation sheet'!$B$95</definedName>
    <definedName name="core1_clk_idle_cvdd">'Calculation sheet'!$E$105</definedName>
    <definedName name="core1_clk_idle_cvdd1">'Calculation sheet'!$F$105</definedName>
    <definedName name="core1_en">'Calculation sheet'!$B$96</definedName>
    <definedName name="core2_clk_idle_cvdd">'Calculation sheet'!$E$106</definedName>
    <definedName name="core2_clk_idle_cvdd1">'Calculation sheet'!$F$106</definedName>
    <definedName name="core2_en">'Calculation sheet'!$B$97</definedName>
    <definedName name="core3_clk_idle_cvdd">'Calculation sheet'!$E$107</definedName>
    <definedName name="core3_clk_idle_cvdd1">'Calculation sheet'!$F$107</definedName>
    <definedName name="core3_en">'Calculation sheet'!$B$98</definedName>
    <definedName name="core4_clk_idle_cvdd">'Calculation sheet'!$E$108</definedName>
    <definedName name="core4_clk_idle_cvdd1">'Calculation sheet'!$F$108</definedName>
    <definedName name="core4_en">'Calculation sheet'!$B$99</definedName>
    <definedName name="core5_clk_idle_cvdd">'Calculation sheet'!$E$109</definedName>
    <definedName name="core5_clk_idle_cvdd1">'Calculation sheet'!$F$109</definedName>
    <definedName name="core5_en">'Calculation sheet'!$B$100</definedName>
    <definedName name="core6_clk_idle_cvdd">'Calculation sheet'!$E$110</definedName>
    <definedName name="core6_clk_idle_cvdd1">'Calculation sheet'!$F$110</definedName>
    <definedName name="core6_en">'Calculation sheet'!$B$101</definedName>
    <definedName name="core7_clk_idle_cvdd">'Calculation sheet'!$E$111</definedName>
    <definedName name="core7_clk_idle_cvdd1">'Calculation sheet'!$F$111</definedName>
    <definedName name="core7_en">'Calculation sheet'!$B$102</definedName>
    <definedName name="cpri_cppi_base">'Calculation sheet'!$E$449</definedName>
    <definedName name="cpri_dio_base">'Calculation sheet'!$E$443</definedName>
    <definedName name="cpu_max_power_test_index">'Calculation sheet'!$B$91</definedName>
    <definedName name="cpu0_ac_util">'66AK2H14'!$D$6</definedName>
    <definedName name="cpu0_ac_util_per">'Calculation sheet'!$M$81</definedName>
    <definedName name="cpu0_cc_util">'66AK2H14'!$E$6</definedName>
    <definedName name="cpu0_cc_util_per">'Calculation sheet'!$N$81</definedName>
    <definedName name="cpu0_idle_per">'Calculation sheet'!$V$81</definedName>
    <definedName name="cpu1_ac_util">'66AK2H14'!$D$7</definedName>
    <definedName name="cpu1_ac_util_per">'Calculation sheet'!$M$82</definedName>
    <definedName name="cpu1_cc_util">'66AK2H14'!$E$7</definedName>
    <definedName name="cpu1_cc_util_per">'Calculation sheet'!$N$82</definedName>
    <definedName name="cpu1_idle_per">'Calculation sheet'!$V$82</definedName>
    <definedName name="cpu2_ac_util">'66AK2H14'!$D$8</definedName>
    <definedName name="cpu2_ac_util_per">'Calculation sheet'!$M$83</definedName>
    <definedName name="cpu2_cc_util">'66AK2H14'!$E$8</definedName>
    <definedName name="cpu2_cc_util_per">'Calculation sheet'!$N$83</definedName>
    <definedName name="cpu2_idle_per">'Calculation sheet'!$V$83</definedName>
    <definedName name="cpu3_ac_util">'66AK2H14'!$D$9</definedName>
    <definedName name="cpu3_ac_util_per">'Calculation sheet'!$M$84</definedName>
    <definedName name="cpu3_cc_util">'66AK2H14'!$E$9</definedName>
    <definedName name="cpu3_cc_util_per">'Calculation sheet'!$N$84</definedName>
    <definedName name="cpu3_idle_per">'Calculation sheet'!$V$84</definedName>
    <definedName name="cpu4_ac_util">'66AK2H14'!$D$10</definedName>
    <definedName name="cpu4_ac_util_per">'Calculation sheet'!$M$85</definedName>
    <definedName name="cpu4_cc_util">'66AK2H14'!$E$10</definedName>
    <definedName name="cpu4_cc_util_per">'Calculation sheet'!$N$85</definedName>
    <definedName name="cpu4_idle_per">'Calculation sheet'!$V$85</definedName>
    <definedName name="cpu5_ac_util">'66AK2H14'!$D$11</definedName>
    <definedName name="cpu5_ac_util_per">'Calculation sheet'!$M$86</definedName>
    <definedName name="cpu5_cc_util">'66AK2H14'!$E$11</definedName>
    <definedName name="cpu5_cc_util_per">'Calculation sheet'!$N$86</definedName>
    <definedName name="cpu5_idle_per">'Calculation sheet'!$V$82+'Calculation sheet'!$V$86</definedName>
    <definedName name="cpu6_ac_util">'66AK2H14'!$D$12</definedName>
    <definedName name="cpu6_ac_util_per">'Calculation sheet'!$M$87</definedName>
    <definedName name="cpu6_cc_util">'66AK2H14'!$E$12</definedName>
    <definedName name="cpu6_cc_util_per">'Calculation sheet'!$N$87</definedName>
    <definedName name="cpu6_idle_per">'Calculation sheet'!$V$87</definedName>
    <definedName name="cpu7_ac_util">'66AK2H14'!$D$13</definedName>
    <definedName name="cpu7_ac_util_per">'Calculation sheet'!$M$88</definedName>
    <definedName name="cpu7_cc_util">'66AK2H14'!$E$13</definedName>
    <definedName name="cpu7_cc_util_per">'Calculation sheet'!$N$88</definedName>
    <definedName name="cpu7_idle_per">'Calculation sheet'!$V$88</definedName>
    <definedName name="cpuF">'66AK2H14'!$C$6</definedName>
    <definedName name="cvdd">'Calculation sheet'!$F$5</definedName>
    <definedName name="cvdd_select">'Calculation sheet'!$F$3</definedName>
    <definedName name="CVDD_SF">'Calculation sheet'!$B$11</definedName>
    <definedName name="CVDD1_SF">'Calculation sheet'!$B$12</definedName>
    <definedName name="ddr_avddlvs_read_base">'Calculation sheet'!#REF!</definedName>
    <definedName name="ddr_avddlvs_write_base">'Calculation sheet'!#REF!</definedName>
    <definedName name="ddr_B_rate">'66AK2H14'!$C$26</definedName>
    <definedName name="ddr_cvdd_read_base">'Calculation sheet'!$E$140</definedName>
    <definedName name="ddr_cvdd_write_base">'Calculation sheet'!$E$146</definedName>
    <definedName name="ddr_cvdd1_read_base">'Calculation sheet'!$F$140</definedName>
    <definedName name="ddr_cvdd1_write_base">'Calculation sheet'!$F$146</definedName>
    <definedName name="ddr_cvddt_read_base">'Calculation sheet'!#REF!</definedName>
    <definedName name="ddr_cvddt_write_base">'Calculation sheet'!#REF!</definedName>
    <definedName name="ddr_cvddt1_read_base">'Calculation sheet'!#REF!</definedName>
    <definedName name="ddr_cvddt1_write_base">'Calculation sheet'!#REF!</definedName>
    <definedName name="ddr_dimm_read_base">'Calculation sheet'!#REF!</definedName>
    <definedName name="ddr_dimm_write_base">'Calculation sheet'!#REF!</definedName>
    <definedName name="ddr_dvdd15_read_base">'Calculation sheet'!$G$140</definedName>
    <definedName name="ddr_dvdd15_write_base">'Calculation sheet'!$G$146</definedName>
    <definedName name="ddr_dvdd18_read_base">'Calculation sheet'!#REF!</definedName>
    <definedName name="ddr_dvdd18_write_base">'Calculation sheet'!#REF!</definedName>
    <definedName name="ddr_dvdd33_read_base">'Calculation sheet'!#REF!</definedName>
    <definedName name="ddr_dvdd33_write_base">'Calculation sheet'!#REF!</definedName>
    <definedName name="ddr_idle_avddlvs">'Calculation sheet'!#REF!</definedName>
    <definedName name="ddr_idle_cvdd">'Calculation sheet'!#REF!</definedName>
    <definedName name="ddr_idle_cvdd1">'Calculation sheet'!#REF!</definedName>
    <definedName name="ddr_idle_cvddt">'Calculation sheet'!#REF!</definedName>
    <definedName name="ddr_idle_cvddt1">'Calculation sheet'!#REF!</definedName>
    <definedName name="ddr_idle_dimm">'Calculation sheet'!#REF!</definedName>
    <definedName name="ddr_idle_dvdd15">'Calculation sheet'!#REF!</definedName>
    <definedName name="ddr_idle_dvdd18">'Calculation sheet'!#REF!</definedName>
    <definedName name="ddr_idle_dvdd33">'Calculation sheet'!#REF!</definedName>
    <definedName name="ddr_read_total_avddlvs">'Calculation sheet'!#REF!</definedName>
    <definedName name="ddr_read_total_cvdd">'Calculation sheet'!$E$144</definedName>
    <definedName name="ddr_read_total_cvdd1">'Calculation sheet'!$F$144</definedName>
    <definedName name="ddr_read_total_cvddt">'Calculation sheet'!#REF!</definedName>
    <definedName name="ddr_read_total_cvddt1">'Calculation sheet'!#REF!</definedName>
    <definedName name="ddr_read_total_dimm">'Calculation sheet'!#REF!</definedName>
    <definedName name="ddr_read_total_dvdd15">'Calculation sheet'!$G$144</definedName>
    <definedName name="ddr_read_total_dvdd18">'Calculation sheet'!#REF!</definedName>
    <definedName name="ddr_read_total_dvdd33">'Calculation sheet'!#REF!</definedName>
    <definedName name="ddr_total_avddlvs">'Calculation sheet'!#REF!</definedName>
    <definedName name="ddr_total_check_dvdd15">'Calculation sheet'!$G$153</definedName>
    <definedName name="ddr_total_check_dvdd18">'Calculation sheet'!#REF!</definedName>
    <definedName name="ddr_total_cvdd">'Calculation sheet'!$E$152</definedName>
    <definedName name="ddr_total_cvdd1">'Calculation sheet'!$F$152</definedName>
    <definedName name="ddr_total_cvddt">'Calculation sheet'!#REF!</definedName>
    <definedName name="ddr_total_cvddt1">'Calculation sheet'!#REF!</definedName>
    <definedName name="ddr_total_dimm">'Calculation sheet'!#REF!</definedName>
    <definedName name="ddr_total_dvdd15">'Calculation sheet'!$G$152</definedName>
    <definedName name="ddr_total_dvdd18">'Calculation sheet'!#REF!</definedName>
    <definedName name="ddr_total_dvdd33">'Calculation sheet'!#REF!</definedName>
    <definedName name="ddr_write_total_avddlvs">'Calculation sheet'!#REF!</definedName>
    <definedName name="ddr_write_total_cvdd">'Calculation sheet'!$E$150</definedName>
    <definedName name="ddr_write_total_cvdd1">'Calculation sheet'!$F$150</definedName>
    <definedName name="ddr_write_total_cvddt">'Calculation sheet'!#REF!</definedName>
    <definedName name="ddr_write_total_cvddt1">'Calculation sheet'!#REF!</definedName>
    <definedName name="ddr_write_total_dimm">'Calculation sheet'!#REF!</definedName>
    <definedName name="ddr_write_total_dvdd15">'Calculation sheet'!$G$150</definedName>
    <definedName name="ddr_write_total_dvdd18">'Calculation sheet'!#REF!</definedName>
    <definedName name="ddr_write_total_dvdd33">'Calculation sheet'!#REF!</definedName>
    <definedName name="ddr3a_cvdd_idle">'Calculation sheet'!$E$139</definedName>
    <definedName name="ddr3a_dvdd15_idle">'Calculation sheet'!$G$139</definedName>
    <definedName name="ddr3a_dvdd18_idle">'Calculation sheet'!$H$139</definedName>
    <definedName name="ddr3a_en">'66AK2H14'!$B$25</definedName>
    <definedName name="ddr3b_cvdd_idle">'Calculation sheet'!$E$158</definedName>
    <definedName name="ddr3b_dvdd15_idle">'Calculation sheet'!$G$158</definedName>
    <definedName name="ddr3b_dvdd18_idle">'Calculation sheet'!$H$158</definedName>
    <definedName name="ddr3b_en">'66AK2H14'!$B$26</definedName>
    <definedName name="ddr3b_writes">'66AK2H14'!$F$26</definedName>
    <definedName name="ddrA_bits">'66AK2H14'!$E$25</definedName>
    <definedName name="ddra_clock">'66AK2H14'!$C$25</definedName>
    <definedName name="ddra_reads_per">'Calculation sheet'!$B$133</definedName>
    <definedName name="ddra_switch">'66AK2H14'!#REF!</definedName>
    <definedName name="ddra_switch_per">'Calculation sheet'!$G$133</definedName>
    <definedName name="ddrA_util">'66AK2H14'!$D$25</definedName>
    <definedName name="ddra_util_per">'Calculation sheet'!$E$133</definedName>
    <definedName name="ddra_writes">'66AK2H14'!$F$25</definedName>
    <definedName name="ddra_writes_per">'Calculation sheet'!$F$133</definedName>
    <definedName name="ddrb_bits">'66AK2H14'!$E$26</definedName>
    <definedName name="ddrb_clock">'66AK2H14'!$C$26</definedName>
    <definedName name="ddrb_cvdd_read_base">'Calculation sheet'!$E$159</definedName>
    <definedName name="ddrb_cvdd_write_base">'Calculation sheet'!$E$165</definedName>
    <definedName name="ddrb_cvdd1_read_base">'Calculation sheet'!$F$159</definedName>
    <definedName name="ddrb_cvdd1_write_base">'Calculation sheet'!$F$165</definedName>
    <definedName name="ddrb_dvdd15_read_base">'Calculation sheet'!$G$159</definedName>
    <definedName name="ddrb_dvdd15_read_total">'Calculation sheet'!$G$163</definedName>
    <definedName name="ddrb_dvdd15_write_base">'Calculation sheet'!$G$165</definedName>
    <definedName name="ddrb_dvdd15_write_total">'Calculation sheet'!$G$169</definedName>
    <definedName name="ddrb_read_total_cvdd">'Calculation sheet'!$E$163</definedName>
    <definedName name="ddrb_read_total_cvdd1">'Calculation sheet'!$F$163</definedName>
    <definedName name="ddrb_reads_per">'Calculation sheet'!$B$135</definedName>
    <definedName name="ddrb_switch">'66AK2H14'!#REF!</definedName>
    <definedName name="ddrb_switch_per">'Calculation sheet'!$G$135</definedName>
    <definedName name="ddrb_util_per">'Calculation sheet'!$E$135</definedName>
    <definedName name="ddrb_wr_per">'Calculation sheet'!$F$135</definedName>
    <definedName name="ddrb_write_total_cvdd">'Calculation sheet'!$E$169</definedName>
    <definedName name="ddrb_write_total_cvdd1">'Calculation sheet'!$F$169</definedName>
    <definedName name="ddrF_a">'66AK2H14'!$C$25</definedName>
    <definedName name="Device_Var">'Calculation sheet'!$B$1</definedName>
    <definedName name="EMIF_Act_Total_Cvdd">'Calculation sheet'!$E$366</definedName>
    <definedName name="EMIF_Act_Total_Cvdd1">'Calculation sheet'!$F$366</definedName>
    <definedName name="EMIF_Act_Total_Cvddt">'Calculation sheet'!#REF!</definedName>
    <definedName name="EMIF_Act_Total_Cvddt1">'Calculation sheet'!#REF!</definedName>
    <definedName name="EMIF_Clk_AVDDLVS">'Calculation sheet'!#REF!</definedName>
    <definedName name="EMIF_Clk_CVDD">'Calculation sheet'!$E$357</definedName>
    <definedName name="EMIF_Clk_CVDD1">'Calculation sheet'!$F$357</definedName>
    <definedName name="EMIF_Clk_CVDDT">'Calculation sheet'!#REF!</definedName>
    <definedName name="EMIF_Clk_CVDDT1">'Calculation sheet'!#REF!</definedName>
    <definedName name="EMIF_Clk_DIMM">'Calculation sheet'!#REF!</definedName>
    <definedName name="EMIF_Clk_DVDD15">'Calculation sheet'!#REF!</definedName>
    <definedName name="EMIF_Clk_DVDD18">'Calculation sheet'!#REF!</definedName>
    <definedName name="EMIF_Clk_DVDD33">'Calculation sheet'!#REF!</definedName>
    <definedName name="EMIF_IDLE_Total_AVDDLVS">'Calculation sheet'!#REF!</definedName>
    <definedName name="EMIF_IDLE_Total_CVDD">'Calculation sheet'!$E$358</definedName>
    <definedName name="EMIF_IDLE_Total_CVDD1">'Calculation sheet'!$F$358</definedName>
    <definedName name="EMIF_IDLE_Total_CVDDT">'Calculation sheet'!#REF!</definedName>
    <definedName name="EMIF_IDLE_Total_CVDDT1">'Calculation sheet'!#REF!</definedName>
    <definedName name="EMIF_IDLE_Total_DIMM">'Calculation sheet'!#REF!</definedName>
    <definedName name="EMIF_IDLE_Total_DVDD15">'Calculation sheet'!#REF!</definedName>
    <definedName name="EMIF_IDLE_Total_DVDD18">'Calculation sheet'!#REF!</definedName>
    <definedName name="EMIF_IDLE_Total_DVDD33">'Calculation sheet'!#REF!</definedName>
    <definedName name="EMIF_Util">'66AK2H14'!$D$27</definedName>
    <definedName name="EMIF_Wr_Total_avddlvs">'Calculation sheet'!#REF!</definedName>
    <definedName name="EMIF_Wr_Total_Cvdd">'Calculation sheet'!$E$362</definedName>
    <definedName name="EMIF_Wr_Total_Cvdd1">'Calculation sheet'!$F$362</definedName>
    <definedName name="EMIF_Wr_Total_Cvddt">'Calculation sheet'!#REF!</definedName>
    <definedName name="EMIF_Wr_Total_Cvddt1">'Calculation sheet'!#REF!</definedName>
    <definedName name="EMIF_Wr_Total_dimm">'Calculation sheet'!#REF!</definedName>
    <definedName name="EMIF_Wr_Total_dvdd15">'Calculation sheet'!#REF!</definedName>
    <definedName name="EMIF_Wr_Total_dvdd18">'Calculation sheet'!#REF!</definedName>
    <definedName name="EMIF_Wr_Total_dvdd33">'Calculation sheet'!#REF!</definedName>
    <definedName name="EMIF16_EN">'66AK2H14'!$B$27</definedName>
    <definedName name="EMIF16_RD_per">'Calculation sheet'!$N$356</definedName>
    <definedName name="EMIF16_SW">'66AK2H14'!#REF!</definedName>
    <definedName name="EMIF16_SW_per">'Calculation sheet'!$P$356</definedName>
    <definedName name="EMIF16_util">'66AK2H14'!$D$27</definedName>
    <definedName name="EMIF16_Util_per">'Calculation sheet'!$L$356</definedName>
    <definedName name="EMIF16_WR">'66AK2H14'!$F$27</definedName>
    <definedName name="EMIF16_WR_per">'Calculation sheet'!$M$356</definedName>
    <definedName name="FFTC_0_enable">'66AK2H14'!$B$46</definedName>
    <definedName name="FFTC_0_util">'66AK2H14'!$D$46</definedName>
    <definedName name="FFTC_0_util_per">'Calculation sheet'!$A$467</definedName>
    <definedName name="FFTC_1_enable">'66AK2H14'!$B$47</definedName>
    <definedName name="FFTC_1_util">'66AK2H14'!$D$47</definedName>
    <definedName name="FFTC_1_util_per">'Calculation sheet'!$A$468</definedName>
    <definedName name="FFTC_2_enable">'66AK2H14'!$B$48</definedName>
    <definedName name="FFTC_2_util">'66AK2H14'!$D$48</definedName>
    <definedName name="FFTC_2_util_per">'Calculation sheet'!$A$469</definedName>
    <definedName name="FFTC_3_enable">'66AK2H14'!$B$49</definedName>
    <definedName name="FFTC_3_util">'66AK2H14'!$D$49</definedName>
    <definedName name="FFTC_3_util_per">'Calculation sheet'!$A$470</definedName>
    <definedName name="FFTC_4_enable">'66AK2H14'!$B$50</definedName>
    <definedName name="FFTC_4_util">'66AK2H14'!$D$50</definedName>
    <definedName name="FFTC_4_util_per">'Calculation sheet'!$A$471</definedName>
    <definedName name="FFTC_5_enable">'66AK2H14'!$B$51</definedName>
    <definedName name="FFTC_5_util">'66AK2H14'!$D$51</definedName>
    <definedName name="FFTC_5_util_per">'Calculation sheet'!$A$472</definedName>
    <definedName name="FFTC_A_Act_cvdd">'66AK2H14'!#REF!</definedName>
    <definedName name="FFTC_A_Act_cvdd1">'66AK2H14'!#REF!</definedName>
    <definedName name="FFTC_A_clock_cvdd">'66AK2H14'!#REF!</definedName>
    <definedName name="FFTC_A_clock_cvdd1">'66AK2H14'!#REF!</definedName>
    <definedName name="FFTC_Act_tot">'66AK2H14'!#REF!</definedName>
    <definedName name="FFTC_Act_tot_cvdd">'Calculation sheet'!$E$484</definedName>
    <definedName name="FFTC_Act_tot_cvdd1">'Calculation sheet'!$F$484</definedName>
    <definedName name="FFTC_Act_tot_cvddT">'Calculation sheet'!#REF!</definedName>
    <definedName name="FFTC_Act_tot_cvddt1">'Calculation sheet'!#REF!</definedName>
    <definedName name="FFTC_Act_tot_dvdd15">'Calculation sheet'!#REF!</definedName>
    <definedName name="FFTC_Act_tot_dvdd18">'Calculation sheet'!#REF!</definedName>
    <definedName name="FFTC_Act_tot_dvdd33">'Calculation sheet'!#REF!</definedName>
    <definedName name="FFTC_clock_cvdd">'Calculation sheet'!$E$469</definedName>
    <definedName name="FFTC_clock_cvdd1">'Calculation sheet'!$F$469</definedName>
    <definedName name="FFTC_clock_cvddt">'Calculation sheet'!#REF!</definedName>
    <definedName name="FFTC_clock_cvddt1">'Calculation sheet'!#REF!</definedName>
    <definedName name="FFTC_clock_dvdd15">'Calculation sheet'!#REF!</definedName>
    <definedName name="FFTC_clock_dvdd18">'Calculation sheet'!#REF!</definedName>
    <definedName name="FFTC_clock_dvdd33">'Calculation sheet'!#REF!</definedName>
    <definedName name="FFTC_enable">'66AK2H14'!$B$46</definedName>
    <definedName name="FFTC_Idle_tot_cvdd">'Calculation sheet'!$E$476</definedName>
    <definedName name="FFTC_idle_tot_cvdd1">'Calculation sheet'!$F$476</definedName>
    <definedName name="FFTC_leak_cvdd">'Calculation sheet'!$E$468</definedName>
    <definedName name="FFTC_leak_cvdd1">'Calculation sheet'!$F$468</definedName>
    <definedName name="FFTC_leak_cvddT">'Calculation sheet'!#REF!</definedName>
    <definedName name="FFTC_leak_cvddt1">'Calculation sheet'!#REF!</definedName>
    <definedName name="FFTC_leak_dvdd15">'Calculation sheet'!#REF!</definedName>
    <definedName name="FFTC_leak_dvdd18">'Calculation sheet'!#REF!</definedName>
    <definedName name="FFTC_leak_dvdd33">'Calculation sheet'!#REF!</definedName>
    <definedName name="FFTC_util">'66AK2H14'!$D$46</definedName>
    <definedName name="FFTC_util_per">'Calculation sheet'!$A$467</definedName>
    <definedName name="gem_est_sel">'Calculation sheet'!$M$114</definedName>
    <definedName name="I2C_Act_avddlvs">'Calculation sheet'!#REF!</definedName>
    <definedName name="I2C_Act_cvdd">'Calculation sheet'!$E$299</definedName>
    <definedName name="I2C_Act_cvdd1">'Calculation sheet'!$F$299</definedName>
    <definedName name="I2C_Act_cvddt">'Calculation sheet'!#REF!</definedName>
    <definedName name="I2C_Act_cvddt1">'Calculation sheet'!#REF!</definedName>
    <definedName name="I2C_Act_dimm">'Calculation sheet'!#REF!</definedName>
    <definedName name="I2C_Act_dvdd15">'Calculation sheet'!#REF!</definedName>
    <definedName name="I2C_Act_dvdd18">'Calculation sheet'!#REF!</definedName>
    <definedName name="I2C_Act_dvdd33">'Calculation sheet'!#REF!</definedName>
    <definedName name="I2C_Act_final_cvdd">'Calculation sheet'!$E$301</definedName>
    <definedName name="I2C_Act_total_cvdd">'Calculation sheet'!$E$300</definedName>
    <definedName name="I2C_clk_avddlvs">'Calculation sheet'!#REF!</definedName>
    <definedName name="I2C_Clk_cvdd">'Calculation sheet'!$E$296</definedName>
    <definedName name="I2C_Clk_cvdd1">'Calculation sheet'!$F$296</definedName>
    <definedName name="i2C_clk_cvddt">'Calculation sheet'!#REF!</definedName>
    <definedName name="I2C_clk_cvddt1">'Calculation sheet'!#REF!</definedName>
    <definedName name="I2C_clk_dimm">'Calculation sheet'!#REF!</definedName>
    <definedName name="I2C_clk_dvdd15">'Calculation sheet'!#REF!</definedName>
    <definedName name="I2C_clk_dvdd18">'Calculation sheet'!#REF!</definedName>
    <definedName name="I2C_clk_dvdd33">'Calculation sheet'!#REF!</definedName>
    <definedName name="I2C_Clk_tot_cvdd">'Calculation sheet'!$E$297</definedName>
    <definedName name="I2C_Clk_tot_cvdd1">'Calculation sheet'!$F$297</definedName>
    <definedName name="I2C_Clk_tot_CvddT">'Calculation sheet'!#REF!</definedName>
    <definedName name="I2C_Clk_tot_CvddT1">'Calculation sheet'!#REF!</definedName>
    <definedName name="I2C_Clk_tot_dvdd15">'Calculation sheet'!#REF!</definedName>
    <definedName name="I2C_Clk_tot_dvdd18">'Calculation sheet'!#REF!</definedName>
    <definedName name="I2C_Clk_tot_dvdd33">'Calculation sheet'!#REF!</definedName>
    <definedName name="I2C_en">'66AK2H14'!$B$77</definedName>
    <definedName name="i2c_num">'66AK2H14'!$E$77</definedName>
    <definedName name="i2c_num_list">'Calculation sheet'!$A$298:$A$300</definedName>
    <definedName name="I2C_util">'66AK2H14'!$D$77</definedName>
    <definedName name="I2C_util_per">'Calculation sheet'!$A$295</definedName>
    <definedName name="idle_leak_comp_avddlvs">'66AK2H14'!#REF!</definedName>
    <definedName name="idle_leak_comp_cvdd">'66AK2H14'!#REF!</definedName>
    <definedName name="idle_leak_comp_cvdd1">'66AK2H14'!#REF!</definedName>
    <definedName name="idle_leak_comp_cvddt">'66AK2H14'!#REF!</definedName>
    <definedName name="idle_leak_comp_cvddt1">'66AK2H14'!#REF!</definedName>
    <definedName name="idle_leak_comp_dimm">'66AK2H14'!#REF!</definedName>
    <definedName name="idle_leak_comp_dvdd15">'Calculation sheet'!$B$64</definedName>
    <definedName name="idle_leak_comp_dvdd18">'66AK2H14'!#REF!</definedName>
    <definedName name="idle_leak_comp_dvdd33">'66AK2H14'!#REF!</definedName>
    <definedName name="mcm_base_avddlvs">'Calculation sheet'!#REF!</definedName>
    <definedName name="mcm_base_cvdd">'Calculation sheet'!$E$219</definedName>
    <definedName name="mcm_base_cvdd1">'Calculation sheet'!$F$219</definedName>
    <definedName name="mcm_base_cvddT">'Calculation sheet'!#REF!</definedName>
    <definedName name="mcm_base_cvddt1">'Calculation sheet'!#REF!</definedName>
    <definedName name="mcm_base_dimm">'Calculation sheet'!#REF!</definedName>
    <definedName name="mcm_base_dvdd15">'Calculation sheet'!$G$219</definedName>
    <definedName name="mcm_base_dvdd18">'Calculation sheet'!$H$219</definedName>
    <definedName name="mcm_base_dvdd33">'Calculation sheet'!$I$219</definedName>
    <definedName name="mcm_cpuf_cvdd">'Calculation sheet'!$E$220</definedName>
    <definedName name="mcm_cpuf_cvddT1">'Calculation sheet'!#REF!</definedName>
    <definedName name="mcm_en">'66AK2H14'!$B$33</definedName>
    <definedName name="mcm_idle_tot_avddlvs">'Calculation sheet'!#REF!</definedName>
    <definedName name="mcm_idle_tot_cvdd">'Calculation sheet'!$E$217</definedName>
    <definedName name="mcm_idle_tot_cvdd1">'Calculation sheet'!$F$217</definedName>
    <definedName name="mcm_idle_tot_cvddt1">'Calculation sheet'!#REF!</definedName>
    <definedName name="mcm_idle_tot_dimm">'Calculation sheet'!#REF!</definedName>
    <definedName name="mcm_idle_tot_dvdd15">'Calculation sheet'!$G$217</definedName>
    <definedName name="mcm_idle_tot_dvdd18">'Calculation sheet'!$H$217</definedName>
    <definedName name="mcm_idle_tot_dvdd33">'Calculation sheet'!$I$217</definedName>
    <definedName name="mcm_idle_tot_vddahv">'Calculation sheet'!$H$217</definedName>
    <definedName name="mcm_idle_tot_vddalh">'Calculation sheet'!$I$217</definedName>
    <definedName name="mcm_ioFreq_cvdd">'Calculation sheet'!$E$221</definedName>
    <definedName name="mcm_ioFreq_cvddT1">'Calculation sheet'!#REF!</definedName>
    <definedName name="mcm_line_rate">'66AK2H14'!$C$33</definedName>
    <definedName name="MCM_switch">'66AK2H14'!#REF!</definedName>
    <definedName name="MCM_switch_per">'Calculation sheet'!$D$211</definedName>
    <definedName name="mcm_total_cvdd">'Calculation sheet'!$E$222</definedName>
    <definedName name="mcm_total_cvdd1">'Calculation sheet'!$F$222</definedName>
    <definedName name="mcm_total_cvddt1">'Calculation sheet'!#REF!</definedName>
    <definedName name="mcm_util">'66AK2H14'!$D$33</definedName>
    <definedName name="mcm_util_per">'Calculation sheet'!$B$211</definedName>
    <definedName name="MSMC_Act_avddlvs">'Calculation sheet'!#REF!</definedName>
    <definedName name="MSMC_act_cvdd">'Calculation sheet'!$E$313</definedName>
    <definedName name="MSMC_act_cvdd1">'Calculation sheet'!$F$313</definedName>
    <definedName name="MSMC_act_CVDDT">'Calculation sheet'!#REF!</definedName>
    <definedName name="MSMC_Act_CVDDT1">'Calculation sheet'!#REF!</definedName>
    <definedName name="MSMC_Act_Dimm">'Calculation sheet'!#REF!</definedName>
    <definedName name="MSMC_Act_DVDD15">'Calculation sheet'!#REF!</definedName>
    <definedName name="MSMC_Act_DVDD18">'Calculation sheet'!#REF!</definedName>
    <definedName name="MSMC_Act_DVDD33">'Calculation sheet'!#REF!</definedName>
    <definedName name="MSMC_enable">'66AK2H14'!$B$22</definedName>
    <definedName name="MSMC_idle_tot_avddlvs">'Calculation sheet'!#REF!</definedName>
    <definedName name="MSMC_idle_tot_CVDD">'Calculation sheet'!$E$311</definedName>
    <definedName name="MSMC_idle_tot_CVDD1">'Calculation sheet'!$F$311</definedName>
    <definedName name="MSMC_idle_tot_Dimm">'Calculation sheet'!#REF!</definedName>
    <definedName name="MSMC_idle_tot_DVDD15">'Calculation sheet'!#REF!</definedName>
    <definedName name="MSMC_idle_tot_DVDD18">'Calculation sheet'!#REF!</definedName>
    <definedName name="MSMC_idle_tot_DVDD33">'Calculation sheet'!#REF!</definedName>
    <definedName name="MSMC_IDLE_Total_CVDDT">'Calculation sheet'!#REF!</definedName>
    <definedName name="MSMC_IDLE_Total_CVDDT1">'Calculation sheet'!#REF!</definedName>
    <definedName name="MSMC_util">'66AK2H14'!$D$22</definedName>
    <definedName name="MSMC_util_per">'Calculation sheet'!$A$310</definedName>
    <definedName name="mW_mA_sel_cvdd">'Calculation sheet'!$M$3</definedName>
    <definedName name="mW_mA_sel_cvdd1">'Calculation sheet'!$N$3</definedName>
    <definedName name="mW_mA_sel_cvddt">'66AK2H14'!#REF!</definedName>
    <definedName name="mW_mA_sel_cvddt1">'66AK2H14'!#REF!</definedName>
    <definedName name="mW_mA_sel_dvdd15">'Calculation sheet'!$O$3</definedName>
    <definedName name="mW_mA_sel_dvdd18">'Calculation sheet'!$P$3</definedName>
    <definedName name="mW_mA_sel_dvdd33">'Calculation sheet'!$Q$3</definedName>
    <definedName name="mW_mA_sel_vddahv">'Calculation sheet'!$R$3</definedName>
    <definedName name="mW_mA_sel_vddalh">'Calculation sheet'!$S$3</definedName>
    <definedName name="mW_mA_seldvdd18">'Calculation sheet'!$V$2</definedName>
    <definedName name="Netcp_Act_Final_AVDDLVS">'Calculation sheet'!#REF!</definedName>
    <definedName name="Netcp_Act_Final_CVDD">'Calculation sheet'!$E$331</definedName>
    <definedName name="Netcp_Act_Final_CVDD1">'Calculation sheet'!$F$331</definedName>
    <definedName name="Netcp_Act_Final_CVDDT">'Calculation sheet'!#REF!</definedName>
    <definedName name="Netcp_Act_Final_CVDDT1">'Calculation sheet'!#REF!</definedName>
    <definedName name="Netcp_Act_Final_DIMM">'Calculation sheet'!#REF!</definedName>
    <definedName name="Netcp_Act_Final_DVDD15">'Calculation sheet'!#REF!</definedName>
    <definedName name="Netcp_Act_Final_DVDD18">'Calculation sheet'!#REF!</definedName>
    <definedName name="Netcp_Act_Final_DVDD33">'Calculation sheet'!#REF!</definedName>
    <definedName name="NETCP_IDLE_AVDDLVS">'Calculation sheet'!#REF!</definedName>
    <definedName name="NETCP_Idle_CVDD">'Calculation sheet'!$E$324</definedName>
    <definedName name="NETCP_IDLE_CVDD1">'Calculation sheet'!$F$324</definedName>
    <definedName name="NETCP_IDLE_CVDDT">'Calculation sheet'!#REF!</definedName>
    <definedName name="NETCP_IDLE_CVDDT1">'Calculation sheet'!#REF!</definedName>
    <definedName name="NETCP_IDLE_DIMM">'Calculation sheet'!#REF!</definedName>
    <definedName name="NETCP_IDLE_DVDD15">'Calculation sheet'!#REF!</definedName>
    <definedName name="NETCP_IDLE_DVDD18">'Calculation sheet'!#REF!</definedName>
    <definedName name="NETCP_IDLE_DVDD33">'Calculation sheet'!#REF!</definedName>
    <definedName name="netcp_mode_list">'Calculation sheet'!$E$317</definedName>
    <definedName name="Netcp_Total_avddlvs">'Calculation sheet'!#REF!</definedName>
    <definedName name="Netcp_Total_CVDD">'Calculation sheet'!$E$330</definedName>
    <definedName name="Netcp_Total_CVDD1">'Calculation sheet'!$F$330</definedName>
    <definedName name="Netcp_Total_CVDDT">'Calculation sheet'!#REF!</definedName>
    <definedName name="Netcp_Total_CVDDT1">'Calculation sheet'!#REF!</definedName>
    <definedName name="Netcp_Total_Dimm">'Calculation sheet'!#REF!</definedName>
    <definedName name="Netcp_Total_DVDD15">'Calculation sheet'!#REF!</definedName>
    <definedName name="Netcp_Total_DVDD18">'Calculation sheet'!#REF!</definedName>
    <definedName name="Netcp_Total_DVDD33">'Calculation sheet'!#REF!</definedName>
    <definedName name="num_aif2">'66AK2H14'!#REF!</definedName>
    <definedName name="num_ARM_cores_WFI">'Calculation sheet'!$B$73</definedName>
    <definedName name="num_dis_ARM_cores">'Calculation sheet'!$B$60</definedName>
    <definedName name="num_fftc">'66AK2H14'!$E$46</definedName>
    <definedName name="Num_of_Hyperlink">'66AK2H14'!$E$33</definedName>
    <definedName name="num_RACs">'66AK2H14'!#REF!</definedName>
    <definedName name="num_RACs1">'66AK2H14'!#REF!</definedName>
    <definedName name="num_tcp">'66AK2H14'!$E$60</definedName>
    <definedName name="obsai_cppi_base">'Calculation sheet'!$E$437</definedName>
    <definedName name="obsai_dio_base">'Calculation sheet'!$E$431</definedName>
    <definedName name="OM_num_pks">'66AK2H14'!#REF!</definedName>
    <definedName name="Operating_freq">'Calculation sheet'!$D$3</definedName>
    <definedName name="PA_ACT_AVDDLVS">'Calculation sheet'!#REF!</definedName>
    <definedName name="PA_Act_CVDD">'Calculation sheet'!$E$326</definedName>
    <definedName name="PA_ACT_CVDD1">'Calculation sheet'!$F$326</definedName>
    <definedName name="PA_ACT_CVDDT">'Calculation sheet'!#REF!</definedName>
    <definedName name="PA_ACT_CVDDT1">'Calculation sheet'!#REF!</definedName>
    <definedName name="PA_ACT_DIMM">'Calculation sheet'!#REF!</definedName>
    <definedName name="PA_ACT_DVDD15">'Calculation sheet'!#REF!</definedName>
    <definedName name="PA_ACT_DVDD18">'Calculation sheet'!#REF!</definedName>
    <definedName name="PA_ACT_DVDD33">'Calculation sheet'!#REF!</definedName>
    <definedName name="pa_idle_tot_vddahv">'Calculation sheet'!$G$324</definedName>
    <definedName name="pa_idle_tot_vddalh">'Calculation sheet'!$H$324</definedName>
    <definedName name="pass_act_tot_cvdd">'Calculation sheet'!$E$329</definedName>
    <definedName name="pass_act_tot_cvdd1">'Calculation sheet'!$F$329</definedName>
    <definedName name="PASS_en">'66AK2H14'!$B$38</definedName>
    <definedName name="pass_mode">'66AK2H14'!$F$38</definedName>
    <definedName name="pass_switch">'66AK2H14'!#REF!</definedName>
    <definedName name="pass_switch_per">'Calculation sheet'!$H$318</definedName>
    <definedName name="pass_util">'66AK2H14'!$D$38</definedName>
    <definedName name="pass_util_per">'Calculation sheet'!$F$318</definedName>
    <definedName name="pcie_act_tot_dvdd18">'Calculation sheet'!#REF!</definedName>
    <definedName name="Pcie_act_tot_dvdd33">'Calculation sheet'!#REF!</definedName>
    <definedName name="pcie_act_total_avddlvs">'Calculation sheet'!#REF!</definedName>
    <definedName name="PCIe_Act_total_cvdd">'Calculation sheet'!$E$237</definedName>
    <definedName name="PCIe_Act_total_cvdd1">'Calculation sheet'!$F$237</definedName>
    <definedName name="PCIe_Act_Total_CVDDT">'Calculation sheet'!#REF!</definedName>
    <definedName name="PCIe_Act_Total_CVDDT1">'Calculation sheet'!#REF!</definedName>
    <definedName name="pcie_act_total_dimm">'Calculation sheet'!#REF!</definedName>
    <definedName name="PCIe_Act_total_dvdd15">'Calculation sheet'!#REF!</definedName>
    <definedName name="pcie_clk_avddlvs">'Calculation sheet'!#REF!</definedName>
    <definedName name="PCIe_clk_cvdd">'Calculation sheet'!$E$232</definedName>
    <definedName name="PCIe_clk_cvdd1">'Calculation sheet'!$F$232</definedName>
    <definedName name="PCIe_Clk_CVDDT">'Calculation sheet'!#REF!</definedName>
    <definedName name="PCIe_clk_CVDDT1">'Calculation sheet'!#REF!</definedName>
    <definedName name="pcie_clk_dimm">'Calculation sheet'!#REF!</definedName>
    <definedName name="PCIe_clk_dvdd15">'Calculation sheet'!#REF!</definedName>
    <definedName name="Pcie_clk_dvdd18">'Calculation sheet'!#REF!</definedName>
    <definedName name="Pcie_clk_dvdd33">'Calculation sheet'!#REF!</definedName>
    <definedName name="PCIe_en">'66AK2H14'!$B$34</definedName>
    <definedName name="PCIe_idle_tot_cvdd">'Calculation sheet'!$E$233</definedName>
    <definedName name="PCIe_idle_tot_cvdd1">'Calculation sheet'!$F$233</definedName>
    <definedName name="PCIe_idle_tot_dvdd15">'Calculation sheet'!#REF!</definedName>
    <definedName name="pcie_idle_tot_vddahv">'Calculation sheet'!$H$233</definedName>
    <definedName name="pcie_idle_tot_vddalh">'Calculation sheet'!$I$233</definedName>
    <definedName name="Pcie_Idle_Total_CVDDT">'Calculation sheet'!#REF!</definedName>
    <definedName name="Pcie_Idle_Total_CVDDT1">'Calculation sheet'!#REF!</definedName>
    <definedName name="pcie_read_avddlvs">'Calculation sheet'!#REF!</definedName>
    <definedName name="PCIe_read_cvdd">'Calculation sheet'!$E$236</definedName>
    <definedName name="PCIe_read_cvdd1">'Calculation sheet'!$F$236</definedName>
    <definedName name="PCIE_Read_CVDDT">'Calculation sheet'!#REF!</definedName>
    <definedName name="PCIE_READ_CVDDT1">'Calculation sheet'!#REF!</definedName>
    <definedName name="pcie_read_dimm">'Calculation sheet'!#REF!</definedName>
    <definedName name="PCIe_read_dvdd15">'Calculation sheet'!#REF!</definedName>
    <definedName name="pcie_read_dvdd18">'Calculation sheet'!#REF!</definedName>
    <definedName name="pcie_read_dvdd33">'Calculation sheet'!#REF!</definedName>
    <definedName name="PCIe_reads_per">'66AK2H14'!#REF!</definedName>
    <definedName name="PCIe_switch">'66AK2H14'!#REF!</definedName>
    <definedName name="Pcie_switch_per">'Calculation sheet'!$D$227</definedName>
    <definedName name="PCIe_util">'66AK2H14'!$D$34</definedName>
    <definedName name="PCIe_util_per">'Calculation sheet'!$B$227</definedName>
    <definedName name="pcie_write_avddlvs">'Calculation sheet'!#REF!</definedName>
    <definedName name="PCIe_write_cvdd">'Calculation sheet'!$E$235</definedName>
    <definedName name="PCIe_write_cvdd1">'Calculation sheet'!$F$235</definedName>
    <definedName name="PCIE_write_CVDDT">'Calculation sheet'!#REF!</definedName>
    <definedName name="PCIE_write_CVDDT1">'Calculation sheet'!#REF!</definedName>
    <definedName name="pcie_write_dimm">'Calculation sheet'!#REF!</definedName>
    <definedName name="PCIe_write_dvdd15">'Calculation sheet'!#REF!</definedName>
    <definedName name="pcie_write_dvdd18">'Calculation sheet'!#REF!</definedName>
    <definedName name="pcie_write_dvdd33">'Calculation sheet'!#REF!</definedName>
    <definedName name="PCIe_writes">'66AK2H14'!#REF!</definedName>
    <definedName name="PCIe_writes_per">'66AK2H14'!#REF!</definedName>
    <definedName name="PD_10GBE_LEAK_AVDDLVS">'66AK2H14'!#REF!</definedName>
    <definedName name="PD_10GBE_LEAK_AVDDLVS_25">'66AK2H14'!#REF!</definedName>
    <definedName name="PD_10GBE_LEAK_CVDD">'66AK2H14'!#REF!</definedName>
    <definedName name="PD_10GBE_LEAK_CVDD_25">'66AK2H14'!#REF!</definedName>
    <definedName name="PD_10GBE_LEAK_CVDD1">'66AK2H14'!#REF!</definedName>
    <definedName name="PD_10GBE_LEAK_CVDD1_25">'66AK2H14'!#REF!</definedName>
    <definedName name="PD_10GBE_Leak_cvddt">'66AK2H14'!#REF!</definedName>
    <definedName name="PD_10GBE_LEAK_CVDDT_25">'66AK2H14'!#REF!</definedName>
    <definedName name="PD_10GBE_LEAK_CVDDT1">'Calculation sheet'!$K$50</definedName>
    <definedName name="PD_10GBE_LEAK_CVDDT1_25">'66AK2H14'!#REF!</definedName>
    <definedName name="PD_10GBE_LEAK_DIMM">'66AK2H14'!#REF!</definedName>
    <definedName name="PD_10GBE_LEAK_DIMM_25">'66AK2H14'!#REF!</definedName>
    <definedName name="PD_10GBE_LEAK_DVDD15">'66AK2H14'!#REF!</definedName>
    <definedName name="PD_10GBE_LEAK_DVDD15_25">'66AK2H14'!#REF!</definedName>
    <definedName name="PD_10GBE_LEAK_DVDD18">'66AK2H14'!#REF!</definedName>
    <definedName name="PD_10GBE_LEAK_DVDD18_25">'66AK2H14'!#REF!</definedName>
    <definedName name="PD_10GBE_LEAK_DVDD33">'66AK2H14'!#REF!</definedName>
    <definedName name="PD_10GBE_LEAK_DVDD33_25">'Calculation sheet'!$B$50</definedName>
    <definedName name="PD_AIF2_LEAK_AVDDLVS">'66AK2H14'!#REF!</definedName>
    <definedName name="PD_AIF2_LEAK_avddlvs_25">'66AK2H14'!#REF!</definedName>
    <definedName name="PD_AIF2_LEAK_CVDD">'66AK2H14'!#REF!</definedName>
    <definedName name="PD_AIF2_LEAK_cvdd_25">'66AK2H14'!#REF!</definedName>
    <definedName name="PD_AIF2_LEAK_cvdd1">'66AK2H14'!#REF!</definedName>
    <definedName name="PD_AIF2_LEAK_cvdd1_25">'66AK2H14'!#REF!</definedName>
    <definedName name="PD_AIF2_LEAK_cvdd11_25">'66AK2H14'!#REF!</definedName>
    <definedName name="PD_AIF2_LEAK_CVDDT">'66AK2H14'!#REF!</definedName>
    <definedName name="PD_AIF2_LEAK_cvddt_25">'66AK2H14'!#REF!</definedName>
    <definedName name="PD_AIF2_LEAK_CVDDT1">'Calculation sheet'!$K$42</definedName>
    <definedName name="PD_AIF2_LEAK_cvddt1_25">'66AK2H14'!#REF!</definedName>
    <definedName name="PD_AIF2_LEAK_DIMM">'66AK2H14'!#REF!</definedName>
    <definedName name="PD_AIF2_LEAK_dimm_25">'66AK2H14'!#REF!</definedName>
    <definedName name="PD_AIF2_LEAK_DVDD15">'66AK2H14'!#REF!</definedName>
    <definedName name="PD_AIF2_LEAK_dvdd15_25">'66AK2H14'!#REF!</definedName>
    <definedName name="PD_AIF2_LEAK_DVDD18">'66AK2H14'!#REF!</definedName>
    <definedName name="PD_AIF2_LEAK_dvdd18_25">'66AK2H14'!#REF!</definedName>
    <definedName name="PD_AIF2_LEAK_DVDD33">'66AK2H14'!#REF!</definedName>
    <definedName name="PD_AIF2_LEAK_dvdd33_25">'Calculation sheet'!$B$42</definedName>
    <definedName name="PD_ARM_COREPAC_LEAK_AVDDLVS">'66AK2H14'!#REF!</definedName>
    <definedName name="PD_ARM_COREPAC_LEAK_CVDD">'66AK2H14'!#REF!</definedName>
    <definedName name="PD_ARM_COREPAC_LEAK_CVDD1">'66AK2H14'!#REF!</definedName>
    <definedName name="PD_ARM_COREPAC_Leak_cvddt">'66AK2H14'!#REF!</definedName>
    <definedName name="PD_ARM_COREPAC_LEAK_CVDDT1">'Calculation sheet'!$K$52</definedName>
    <definedName name="PD_ARM_COREPAC_LEAK_DIMM">'66AK2H14'!#REF!</definedName>
    <definedName name="PD_ARM_COREPAC_LEAK_DVDD15">'66AK2H14'!#REF!</definedName>
    <definedName name="PD_ARM_COREPAC_LEAK_DVDD18">'66AK2H14'!#REF!</definedName>
    <definedName name="PD_ARM_COREPAC_LEAK_DVDD33">'66AK2H14'!#REF!</definedName>
    <definedName name="PD_ARM_SMARTREFLEX_LEAK_AVDDLVS">'66AK2H14'!#REF!</definedName>
    <definedName name="PD_ARM_SMARTREFLEX_Leak_cvdd">'66AK2H14'!#REF!</definedName>
    <definedName name="PD_ARM_SMARTREFLEX_LEAK_CVDD1">'66AK2H14'!#REF!</definedName>
    <definedName name="PD_ARM_SMARTREFLEX_LEAK_CVDDT">'66AK2H14'!#REF!</definedName>
    <definedName name="PD_ARM_SMARTREFLEX_LEAK_CVDDT1">'Calculation sheet'!$K$51</definedName>
    <definedName name="PD_ARM_SMARTREFLEX_LEAK_DIMM">'66AK2H14'!#REF!</definedName>
    <definedName name="PD_ARM_SMARTREFLEX_LEAK_DVDD15">'66AK2H14'!#REF!</definedName>
    <definedName name="PD_ARM_SMARTREFLEX_LEAK_DVDD18">'66AK2H14'!#REF!</definedName>
    <definedName name="PD_ARM_SMARTREFLEX_LEAK_DVDD33">'66AK2H14'!#REF!</definedName>
    <definedName name="PD_BCP_LEAK_AVDDLVS">'66AK2H14'!#REF!</definedName>
    <definedName name="PD_BCP_LEAK_AVDDLVS_25">'66AK2H14'!#REF!</definedName>
    <definedName name="PD_BCP_Leak_cvdd">'66AK2H14'!#REF!</definedName>
    <definedName name="PD_BCP_LEAK_CVDD_25">'66AK2H14'!#REF!</definedName>
    <definedName name="PD_BCP_LEAK_CVDD1">'66AK2H14'!#REF!</definedName>
    <definedName name="PD_BCP_LEAK_cvdd1_25">'66AK2H14'!#REF!</definedName>
    <definedName name="PD_BCP_LEAK_CVDDT">'66AK2H14'!#REF!</definedName>
    <definedName name="PD_BCP_LEAK_CVDDt_25">'66AK2H14'!#REF!</definedName>
    <definedName name="PD_BCP_LEAK_CVDDT1">'Calculation sheet'!$K$47</definedName>
    <definedName name="PD_BCP_LEAK_cvddt1_25">'66AK2H14'!#REF!</definedName>
    <definedName name="PD_BCP_LEAK_DIMM">'66AK2H14'!#REF!</definedName>
    <definedName name="PD_BCP_LEAK_DIMM_25">'66AK2H14'!#REF!</definedName>
    <definedName name="PD_BCP_LEAK_DVDD15">'66AK2H14'!#REF!</definedName>
    <definedName name="PD_BCP_LEAK_DVDD15_25">'66AK2H14'!#REF!</definedName>
    <definedName name="PD_BCP_LEAK_DVDD18">'66AK2H14'!#REF!</definedName>
    <definedName name="PD_BCP_LEAK_DVDD18_25">'66AK2H14'!#REF!</definedName>
    <definedName name="PD_BCP_LEAK_DVDD33">'66AK2H14'!#REF!</definedName>
    <definedName name="PD_BCP_LEAK_DVDD33_25">'Calculation sheet'!$B$47</definedName>
    <definedName name="PD_CORE0_LEAK_AVDDLVS">'66AK2H14'!#REF!</definedName>
    <definedName name="PD_CORE0_leak_cvdd">'66AK2H14'!#REF!</definedName>
    <definedName name="PD_Core0_Leak_CVDD_25">'66AK2H14'!#REF!</definedName>
    <definedName name="PD_CORE0_LEAK_CVDD1">'66AK2H14'!#REF!</definedName>
    <definedName name="PD_Core0_leak_cvdd1_25">'66AK2H14'!#REF!</definedName>
    <definedName name="PD_CORE0_Leak_cvddT">'66AK2H14'!#REF!</definedName>
    <definedName name="PD_Core0_Leak_CVDDT_25">'66AK2H14'!#REF!</definedName>
    <definedName name="PD_Core0_Leak_CVDDT1">'Calculation sheet'!$K$29</definedName>
    <definedName name="PD_Core0_Leak_CVDDT1_25">'66AK2H14'!#REF!</definedName>
    <definedName name="PD_CORE0_LEAK_DIMM">'66AK2H14'!#REF!</definedName>
    <definedName name="PD_CORE0_LEAK_DVDD15">'66AK2H14'!#REF!</definedName>
    <definedName name="PD_CORE0_LEAK_DVDD18">'66AK2H14'!#REF!</definedName>
    <definedName name="PD_CORE0_LEAK_DVDD33">'66AK2H14'!#REF!</definedName>
    <definedName name="PD_CORE1_LEAK_AVDDLVS">'66AK2H14'!#REF!</definedName>
    <definedName name="PD_Core1_Leak_CVDD">'66AK2H14'!#REF!</definedName>
    <definedName name="PD_Core1_Leak_CVDD_25">'66AK2H14'!#REF!</definedName>
    <definedName name="PD_Core1_Leak_CVDD1">'66AK2H14'!#REF!</definedName>
    <definedName name="PD_Core1_Leak_Cvdd1_25">'66AK2H14'!#REF!</definedName>
    <definedName name="PD_Core1_Leak_CvddT">'66AK2H14'!#REF!</definedName>
    <definedName name="PD_Core1_Leak_CVDDT_25">'66AK2H14'!#REF!</definedName>
    <definedName name="PD_Core1_Leak_CVDDT1">'Calculation sheet'!$K$30</definedName>
    <definedName name="PD_Core1_Leak_CVDDT1_25">'66AK2H14'!#REF!</definedName>
    <definedName name="PD_CORE1_LEAK_DIMM">'66AK2H14'!#REF!</definedName>
    <definedName name="PD_CORE1_LEAK_DVDD15">'66AK2H14'!#REF!</definedName>
    <definedName name="PD_CORE1_LEAK_DVDD18">'66AK2H14'!#REF!</definedName>
    <definedName name="PD_CORE1_LEAK_DVDD33">'66AK2H14'!#REF!</definedName>
    <definedName name="PD_CORE2_LEAK_AVDDLVS">'66AK2H14'!#REF!</definedName>
    <definedName name="PD_Core2_Leak_CVDD">'66AK2H14'!#REF!</definedName>
    <definedName name="PD_Core2_Leak_Cvdd_25">'66AK2H14'!#REF!</definedName>
    <definedName name="PD_Core2_Leak_CVDD1">'66AK2H14'!#REF!</definedName>
    <definedName name="PD_Core2_Leak_Cvdd1_25">'66AK2H14'!#REF!</definedName>
    <definedName name="PD_Core2_Leak_CVDDT">'66AK2H14'!#REF!</definedName>
    <definedName name="PD_Core2_Leak_CVDDT_25">'66AK2H14'!#REF!</definedName>
    <definedName name="PD_Core2_Leak_CVDDT1">'Calculation sheet'!$K$31</definedName>
    <definedName name="PD_Core2_Leak_CVDDT1_25">'66AK2H14'!#REF!</definedName>
    <definedName name="PD_CORE2_LEAK_DIMM">'66AK2H14'!#REF!</definedName>
    <definedName name="PD_CORE2_LEAK_DVDD15">'66AK2H14'!#REF!</definedName>
    <definedName name="PD_CORE2_LEAK_DVDD18">'66AK2H14'!#REF!</definedName>
    <definedName name="PD_CORE2_LEAK_DVDD33">'66AK2H14'!#REF!</definedName>
    <definedName name="PD_CORE3_LEAK_AVDDLVS">'66AK2H14'!#REF!</definedName>
    <definedName name="PD_CORE3_Leak_cvdd">'66AK2H14'!#REF!</definedName>
    <definedName name="PD_Core3_Leak_CVDD_25">'66AK2H14'!#REF!</definedName>
    <definedName name="PD_CORE3_LEAK_CVDD1">'66AK2H14'!#REF!</definedName>
    <definedName name="PD_Core3_Leak_CVDD1_25">'66AK2H14'!#REF!</definedName>
    <definedName name="PD_CORE3_Leak_cvddt">'66AK2H14'!#REF!</definedName>
    <definedName name="PD_Core3_Leak_CVDDT_25">'66AK2H14'!#REF!</definedName>
    <definedName name="PD_CORE3_LEAK_CVDDT1">'Calculation sheet'!$K$32</definedName>
    <definedName name="PD_Core3_Leak_CVDDT1_25">'66AK2H14'!#REF!</definedName>
    <definedName name="PD_CORE3_LEAK_DIMM">'66AK2H14'!#REF!</definedName>
    <definedName name="PD_CORE3_LEAK_DVDD15">'66AK2H14'!#REF!</definedName>
    <definedName name="PD_CORE3_LEAK_DVDD18">'66AK2H14'!#REF!</definedName>
    <definedName name="PD_CORE3_LEAK_DVDD33">'66AK2H14'!#REF!</definedName>
    <definedName name="PD_CORE4_LEAK_AVDDLVS">'66AK2H14'!#REF!</definedName>
    <definedName name="PD_CORE4_Leak_cvdd">'66AK2H14'!#REF!</definedName>
    <definedName name="PD_Core4_Leak_CVDD_25">'66AK2H14'!#REF!</definedName>
    <definedName name="PD_CORE4_LEAK_CVDD1">'66AK2H14'!#REF!</definedName>
    <definedName name="PD_Core4_Leak_CVDD1_25">'66AK2H14'!#REF!</definedName>
    <definedName name="PD_CORE4_Leak_cvddt">'66AK2H14'!#REF!</definedName>
    <definedName name="PD_Core4_Leak_CVDDT_25">'66AK2H14'!#REF!</definedName>
    <definedName name="PD_CORE4_LEAK_CVDDT1">'Calculation sheet'!$K$33</definedName>
    <definedName name="PD_Core4_Leak_CVDDT1_25">'66AK2H14'!#REF!</definedName>
    <definedName name="PD_CORE4_LEAK_DIMM">'66AK2H14'!#REF!</definedName>
    <definedName name="PD_CORE4_LEAK_DVDD15">'66AK2H14'!#REF!</definedName>
    <definedName name="PD_CORE4_LEAK_DVDD18">'66AK2H14'!#REF!</definedName>
    <definedName name="PD_CORE4_LEAK_DVDD33">'66AK2H14'!#REF!</definedName>
    <definedName name="PD_CORE5_LEAK_AVDDLVS">'66AK2H14'!#REF!</definedName>
    <definedName name="PD_CORE5_Leak_cvdd">'66AK2H14'!#REF!</definedName>
    <definedName name="PD_Core5_Leak_CVDD_25">'66AK2H14'!#REF!</definedName>
    <definedName name="PD_CORE5_LEAK_CVDD1">'66AK2H14'!#REF!</definedName>
    <definedName name="PD_Core5_Leak_CVDD1_25">'66AK2H14'!#REF!</definedName>
    <definedName name="PD_CORE5_Leak_cvddt">'66AK2H14'!#REF!</definedName>
    <definedName name="PD_Core5_Leak_CVDDT_25">'66AK2H14'!#REF!</definedName>
    <definedName name="PD_CORE5_LEAK_CVDDT1">'Calculation sheet'!$K$34</definedName>
    <definedName name="PD_Core5_Leak_CVDDT1_25">'66AK2H14'!#REF!</definedName>
    <definedName name="PD_CORE5_LEAK_DIMM">'66AK2H14'!#REF!</definedName>
    <definedName name="PD_CORE5_LEAK_DVDD15">'66AK2H14'!#REF!</definedName>
    <definedName name="PD_CORE5_LEAK_DVDD18">'66AK2H14'!#REF!</definedName>
    <definedName name="PD_CORE5_LEAK_DVDD33">'66AK2H14'!#REF!</definedName>
    <definedName name="PD_CORE6_LEAK_AVDDLVS">'66AK2H14'!#REF!</definedName>
    <definedName name="PD_CORE6_Leak_cvdd">'66AK2H14'!#REF!</definedName>
    <definedName name="PD_Core6_Leak_CVDD_25">'66AK2H14'!#REF!</definedName>
    <definedName name="PD_CORE6_LEAK_CVDD1">'66AK2H14'!#REF!</definedName>
    <definedName name="PD_Core6_Leak_CVDD1_25">'66AK2H14'!#REF!</definedName>
    <definedName name="PD_CORE6_leak_cvddt">'66AK2H14'!#REF!</definedName>
    <definedName name="PD_Core6_Leak_CVDDT_25">'66AK2H14'!#REF!</definedName>
    <definedName name="PD_CORE6_LEAK_CVDDT1">'Calculation sheet'!$K$35</definedName>
    <definedName name="PD_Core6_Leak_CVDDT1_25">'66AK2H14'!#REF!</definedName>
    <definedName name="PD_CORE6_LEAK_DIMM">'66AK2H14'!#REF!</definedName>
    <definedName name="PD_CORE6_LEAK_DVDD15">'66AK2H14'!#REF!</definedName>
    <definedName name="PD_CORE6_LEAK_DVDD18">'66AK2H14'!#REF!</definedName>
    <definedName name="PD_CORE6_LEAK_DVDD33">'66AK2H14'!#REF!</definedName>
    <definedName name="PD_CORE7_LEAK_AVDDLVS">'66AK2H14'!#REF!</definedName>
    <definedName name="PD_CORE7_leak_cvdd">'66AK2H14'!#REF!</definedName>
    <definedName name="PD_Core7_Leak_CVDD_25">'66AK2H14'!#REF!</definedName>
    <definedName name="PD_CORE7_LEAK_CVDD1">'66AK2H14'!#REF!</definedName>
    <definedName name="PD_Core7_Leak_CVDD1_25">'66AK2H14'!#REF!</definedName>
    <definedName name="PD_CORE7_leak_cvddt">'66AK2H14'!#REF!</definedName>
    <definedName name="PD_Core7_Leak_CVDDT_25">'66AK2H14'!#REF!</definedName>
    <definedName name="PD_CORE7_LEAK_CVDDT1">'Calculation sheet'!$K$36</definedName>
    <definedName name="PD_Core7_Leak_CVDDT1_25">'66AK2H14'!#REF!</definedName>
    <definedName name="PD_CORE7_LEAK_DIMM">'66AK2H14'!#REF!</definedName>
    <definedName name="PD_CORE7_LEAK_DVDD15">'66AK2H14'!#REF!</definedName>
    <definedName name="PD_CORE7_LEAK_DVDD18">'66AK2H14'!#REF!</definedName>
    <definedName name="PD_CORE7_LEAK_DVDD33">'66AK2H14'!#REF!</definedName>
    <definedName name="PD_EMIF_LEAK_AVDDLVS">'66AK2H14'!#REF!</definedName>
    <definedName name="PD_EMIF_LEAK_AVDDLVS_25">'66AK2H14'!#REF!</definedName>
    <definedName name="PD_EMIF_Leak_cvdd">'66AK2H14'!#REF!</definedName>
    <definedName name="PD_EMIF_LEAK_CVDD_25">'66AK2H14'!#REF!</definedName>
    <definedName name="PD_EMIF_LEAK_CVDD1">'66AK2H14'!#REF!</definedName>
    <definedName name="PD_EMIF_LEAK_CVDD1_25">'66AK2H14'!#REF!</definedName>
    <definedName name="PD_EMIF_Leak_cvddt">'66AK2H14'!#REF!</definedName>
    <definedName name="PD_EMIF_LEAK_CVDDT_25">'66AK2H14'!#REF!</definedName>
    <definedName name="PD_EMIF_LEAK_CVDDT1">'Calculation sheet'!$K$37</definedName>
    <definedName name="PD_EMIF_LEAK_CVDDT1_25">'66AK2H14'!#REF!</definedName>
    <definedName name="PD_EMIF_LEAK_DIMM">'66AK2H14'!#REF!</definedName>
    <definedName name="PD_EMIF_LEAK_DIMM_25">'66AK2H14'!#REF!</definedName>
    <definedName name="PD_EMIF_LEAK_DVDD15">'66AK2H14'!#REF!</definedName>
    <definedName name="PD_EMIF_LEAK_DVDD15_25">'66AK2H14'!#REF!</definedName>
    <definedName name="PD_EMIF_LEAK_DVDD18">'66AK2H14'!#REF!</definedName>
    <definedName name="PD_EMIF_LEAK_DVDD18_25">'66AK2H14'!#REF!</definedName>
    <definedName name="PD_EMIF_LEAK_DVDD33">'66AK2H14'!#REF!</definedName>
    <definedName name="PD_EMIF_LEAK_DVDD33_25">'Calculation sheet'!$B$37</definedName>
    <definedName name="PD_FFTC_0_1_Leak_cvddt">'66AK2H14'!#REF!</definedName>
    <definedName name="PD_FFTC0_1_LEAK_AVDDLVS">'66AK2H14'!#REF!</definedName>
    <definedName name="PD_FFTC0_1_LEAK_AVDDLVS_25">'66AK2H14'!#REF!</definedName>
    <definedName name="PD_FFTC0_1_Leak_cvdd">'66AK2H14'!#REF!</definedName>
    <definedName name="PD_FFTC0_1_LEAK_CVDD_25">'66AK2H14'!#REF!</definedName>
    <definedName name="PD_FFTC0_1_LEAK_CVDD1">'66AK2H14'!#REF!</definedName>
    <definedName name="PD_FFTC0_1_LEAK_CVDD1_25">'66AK2H14'!#REF!</definedName>
    <definedName name="PD_FFTC0_1_LEAK_CVDDT_25">'66AK2H14'!#REF!</definedName>
    <definedName name="PD_FFTC0_1_LEAK_CVDDT1">'Calculation sheet'!$K$40</definedName>
    <definedName name="PD_FFTC0_1_LEAK_CVDDT1_25">'66AK2H14'!#REF!</definedName>
    <definedName name="PD_FFTC0_1_LEAK_DIMM">'66AK2H14'!#REF!</definedName>
    <definedName name="PD_FFTC0_1_LEAK_DIMM_25">'66AK2H14'!#REF!</definedName>
    <definedName name="PD_FFTC0_1_LEAK_DVDD15">'66AK2H14'!#REF!</definedName>
    <definedName name="PD_FFTC0_1_LEAK_DVDD15_25">'66AK2H14'!#REF!</definedName>
    <definedName name="PD_FFTC0_1_LEAK_DVDD18">'66AK2H14'!#REF!</definedName>
    <definedName name="PD_FFTC0_1_LEAK_DVDD18_25">'66AK2H14'!#REF!</definedName>
    <definedName name="PD_FFTC0_1_LEAK_DVDD33">'66AK2H14'!#REF!</definedName>
    <definedName name="PD_FFTC0_1_LEAK_DVDD33_25">'Calculation sheet'!$B$40</definedName>
    <definedName name="PD_FFTC2345_LEAK_AVDDLVS">'66AK2H14'!#REF!</definedName>
    <definedName name="PD_FFTC2345_LEAK_AVDDLVS_25">'66AK2H14'!#REF!</definedName>
    <definedName name="PD_FFTC2345_LEAK_CVDD">'66AK2H14'!#REF!</definedName>
    <definedName name="PD_FFTC2345_LEAK_CVDD_25">'66AK2H14'!#REF!</definedName>
    <definedName name="PD_FFTC2345_LEAK_CVDD1">'66AK2H14'!#REF!</definedName>
    <definedName name="PD_FFTC2345_LEAK_CVDD1_25">'66AK2H14'!#REF!</definedName>
    <definedName name="PD_FFTC2345_Leak_cvddt">'66AK2H14'!#REF!</definedName>
    <definedName name="PD_FFTC2345_LEAK_CVDDT_25">'66AK2H14'!#REF!</definedName>
    <definedName name="PD_FFTC2345_LEAK_CVDDT1">'Calculation sheet'!$K$41</definedName>
    <definedName name="PD_FFTC2345_LEAK_CVDDT1_25">'66AK2H14'!#REF!</definedName>
    <definedName name="PD_FFTC2345_LEAK_DIMM">'66AK2H14'!#REF!</definedName>
    <definedName name="PD_FFTC2345_LEAK_DIMM_25">'66AK2H14'!#REF!</definedName>
    <definedName name="PD_FFTC2345_LEAK_DVDD15">'66AK2H14'!#REF!</definedName>
    <definedName name="PD_FFTC2345_LEAK_DVDD15_25">'66AK2H14'!#REF!</definedName>
    <definedName name="PD_FFTC2345_LEAK_DVDD18">'66AK2H14'!#REF!</definedName>
    <definedName name="PD_FFTC2345_LEAK_DVDD18_25">'66AK2H14'!#REF!</definedName>
    <definedName name="PD_FFTC2345_LEAK_DVDD33">'66AK2H14'!#REF!</definedName>
    <definedName name="PD_FFTC2345_LEAK_DVDD33_25">'Calculation sheet'!$B$41</definedName>
    <definedName name="PD_HYPERLINK0_LEAK_AVDDLVS">'66AK2H14'!#REF!</definedName>
    <definedName name="PD_HYPERLINK0_LEAK_AVDDLVS_25">'66AK2H14'!#REF!</definedName>
    <definedName name="PD_Hyperlink0_LEAK_cvdd">'66AK2H14'!#REF!</definedName>
    <definedName name="PD_Hyperlink0_LEAK_cvdd_25">'66AK2H14'!#REF!</definedName>
    <definedName name="PD_Hyperlink0_LEAK_cvdd1">'66AK2H14'!#REF!</definedName>
    <definedName name="PD_Hyperlink0_LEAK_cvdd1_25">'66AK2H14'!#REF!</definedName>
    <definedName name="PD_HYPERLINK0_LEAK_cvddt">'66AK2H14'!#REF!</definedName>
    <definedName name="PD_Hyperlink0_Leak_CVDDT_25">'66AK2H14'!#REF!</definedName>
    <definedName name="PD_Hyperlink0_Leak_CVDDT1">'Calculation sheet'!$K$26</definedName>
    <definedName name="PD_Hyperlink0_Leak_CVDDT1_25">'66AK2H14'!#REF!</definedName>
    <definedName name="PD_HYPERLINK0_LEAK_DIMM">'66AK2H14'!#REF!</definedName>
    <definedName name="PD_HYPERLINK0_LEAK_DIMM_25">'66AK2H14'!#REF!</definedName>
    <definedName name="PD_HYPERLINK0_LEAK_DVDD15">'66AK2H14'!#REF!</definedName>
    <definedName name="PD_HYPERLINK0_LEAK_DVDD15_25">'66AK2H14'!#REF!</definedName>
    <definedName name="PD_HYPERLINK0_LEAK_DVDD18">'66AK2H14'!#REF!</definedName>
    <definedName name="PD_HYPERLINK0_LEAK_DVDD18_25">'66AK2H14'!#REF!</definedName>
    <definedName name="PD_HYPERLINK0_LEAK_DVDD33">'66AK2H14'!#REF!</definedName>
    <definedName name="PD_HYPERLINK0_LEAK_DVDD33_25">'Calculation sheet'!$B$26</definedName>
    <definedName name="PD_HYPERLINK1_LEAK_AVDDLVS">'66AK2H14'!#REF!</definedName>
    <definedName name="PD_HYPERLINK1_LEAK_CVDD">'66AK2H14'!#REF!</definedName>
    <definedName name="PD_HYPERLINK1_LEAK_CVDD1">'66AK2H14'!#REF!</definedName>
    <definedName name="PD_HYPERLINK1_Leak_cvddt">'66AK2H14'!#REF!</definedName>
    <definedName name="PD_HYPERLINK1_LEAK_CVDDT1">'Calculation sheet'!$K$49</definedName>
    <definedName name="PD_HYPERLINK1_LEAK_DIMM">'66AK2H14'!#REF!</definedName>
    <definedName name="PD_HYPERLINK1_LEAK_DVDD15">'66AK2H14'!#REF!</definedName>
    <definedName name="PD_HYPERLINK1_LEAK_DVDD18">'66AK2H14'!#REF!</definedName>
    <definedName name="PD_HYPERLINK1_LEAK_DVDD33">'66AK2H14'!#REF!</definedName>
    <definedName name="PD_L2SRAM_LEAK_cvdd_25">'66AK2H14'!#REF!</definedName>
    <definedName name="PD_L2SRAM_LEAK_cvdd1">'66AK2H14'!#REF!</definedName>
    <definedName name="PD_MSMC_LEAK_AVDDLVS">'66AK2H14'!#REF!</definedName>
    <definedName name="PD_MSMC_LEAK_AVDDLVS_25">'66AK2H14'!#REF!</definedName>
    <definedName name="PD_MSMC_LEAK_CVDD">'66AK2H14'!#REF!</definedName>
    <definedName name="PD_MSMC_LEAK_cvdd_25">'66AK2H14'!#REF!</definedName>
    <definedName name="PD_MSMC_LEAK_CVDD1">'66AK2H14'!#REF!</definedName>
    <definedName name="PD_MSMC_LEAK_cvdd1_25">'66AK2H14'!#REF!</definedName>
    <definedName name="PD_MSMC_LEAK_CVDDT">'66AK2H14'!#REF!</definedName>
    <definedName name="PD_MSMC_LEAK_CVDDT_25">'66AK2H14'!#REF!</definedName>
    <definedName name="PD_MSMC_LEAK_CVDDT1">'Calculation sheet'!$K$28</definedName>
    <definedName name="PD_MSMC_LEAK_CVDDT1_25">'66AK2H14'!#REF!</definedName>
    <definedName name="PD_MSMC_LEAK_DIMM">'66AK2H14'!#REF!</definedName>
    <definedName name="PD_MSMC_LEAK_DIMM_25">'66AK2H14'!#REF!</definedName>
    <definedName name="PD_MSMC_LEAK_DVDD15">'66AK2H14'!#REF!</definedName>
    <definedName name="PD_MSMC_LEAK_DVDD15_25">'66AK2H14'!#REF!</definedName>
    <definedName name="PD_MSMC_LEAK_DVDD18">'66AK2H14'!#REF!</definedName>
    <definedName name="PD_MSMC_LEAK_DVDD18_25">'66AK2H14'!#REF!</definedName>
    <definedName name="PD_MSMC_LEAK_DVDD33">'66AK2H14'!#REF!</definedName>
    <definedName name="PD_MSMC_LEAK_DVDD33_25">'Calculation sheet'!$B$28</definedName>
    <definedName name="PD_MSMC_RAM_cvddt">'66AK2H14'!#REF!</definedName>
    <definedName name="PD_NETCP_LEAK_AVDDLVS">'66AK2H14'!#REF!</definedName>
    <definedName name="PD_NETCP_LEAK_AVDDLVS_25">'66AK2H14'!#REF!</definedName>
    <definedName name="PD_NETCP_LEAK_CVDD">'66AK2H14'!#REF!</definedName>
    <definedName name="PD_NETCP_Leak_CVDD_25">'66AK2H14'!#REF!</definedName>
    <definedName name="PD_NETCP_Leak_CVDD1">'66AK2H14'!#REF!</definedName>
    <definedName name="PD_NETCP_Leak_CVDD1_25">'66AK2H14'!#REF!</definedName>
    <definedName name="PD_NETCP_LEAK_CVDDT">'66AK2H14'!#REF!</definedName>
    <definedName name="PD_NETCP_LEAK_CVDDT_25">'66AK2H14'!#REF!</definedName>
    <definedName name="PD_NETCP_LEAK_CVDDT1">'Calculation sheet'!$K$23</definedName>
    <definedName name="PD_NETCP_LEAK_CVDDT1_25">'66AK2H14'!#REF!</definedName>
    <definedName name="PD_NETCP_LEAK_DIMM">'66AK2H14'!#REF!</definedName>
    <definedName name="PD_NETCP_LEAK_DIMM_25">'66AK2H14'!#REF!</definedName>
    <definedName name="PD_NETCP_LEAK_DVDD15">'66AK2H14'!#REF!</definedName>
    <definedName name="PD_NETCP_LEAK_DVDD15_25">'66AK2H14'!#REF!</definedName>
    <definedName name="PD_NETCP_LEAK_DVDD18">'66AK2H14'!#REF!</definedName>
    <definedName name="PD_NETCP_LEAK_DVDD18_25">'66AK2H14'!#REF!</definedName>
    <definedName name="PD_NETCP_LEAK_DVDD33">'66AK2H14'!#REF!</definedName>
    <definedName name="PD_NETCP_LEAK_DVDD33_25">'Calculation sheet'!$B$23</definedName>
    <definedName name="PD_PCIE_LEAK_AVDDLVS">'66AK2H14'!#REF!</definedName>
    <definedName name="PD_PCIE_LEAK_AVDDLVS_25">'66AK2H14'!#REF!</definedName>
    <definedName name="PD_PCIE_LEAK_cvdd">'66AK2H14'!#REF!</definedName>
    <definedName name="PD_PCIE_LEAK_cvdd_25">'66AK2H14'!#REF!</definedName>
    <definedName name="PD_PCIE_LEAK_cvdd1">'66AK2H14'!#REF!</definedName>
    <definedName name="PD_PCIE_LEAK_cvdd1_25">'66AK2H14'!#REF!</definedName>
    <definedName name="PD_PCIE_LEAK_CVDDT">'66AK2H14'!#REF!</definedName>
    <definedName name="PD_PCIE_LEAK_CVDDT_25">'66AK2H14'!#REF!</definedName>
    <definedName name="PD_PCIE_LEAK_CVDDT1">'Calculation sheet'!$K$24</definedName>
    <definedName name="PD_PCIE_LEAK_CVDDT1_25">'66AK2H14'!#REF!</definedName>
    <definedName name="PD_PCIE_LEAK_DIMM">'66AK2H14'!#REF!</definedName>
    <definedName name="PD_PCIe_LEAK_DIMM_25">'66AK2H14'!#REF!</definedName>
    <definedName name="PD_PCIE_LEAK_DVDD15">'66AK2H14'!#REF!</definedName>
    <definedName name="PD_PCIE_LEAK_DVDD15_25">'66AK2H14'!#REF!</definedName>
    <definedName name="PD_PCIE_LEAK_DVDD18">'66AK2H14'!#REF!</definedName>
    <definedName name="PD_PCIE_LEAK_DVDD18_25">'66AK2H14'!#REF!</definedName>
    <definedName name="PD_PCIE_LEAK_DVDD33">'66AK2H14'!#REF!</definedName>
    <definedName name="PD_PCIE_LEAK_DVDD33_25">'Calculation sheet'!$B$24</definedName>
    <definedName name="PD_RAC_2_3_Leak_cvddt">'66AK2H14'!#REF!</definedName>
    <definedName name="PD_RAC_TAC_LEAK_cvdd1">'66AK2H14'!#REF!</definedName>
    <definedName name="PD_RAC_TAC_LEAK_cvdd1_25">'66AK2H14'!#REF!</definedName>
    <definedName name="PD_RAC_TAC_LEAK_cvdd11_25">'66AK2H14'!#REF!</definedName>
    <definedName name="PD_RAC01_TAC_DVDD15">'66AK2H14'!#REF!</definedName>
    <definedName name="PD_RAC01_TAC_DVDD18">'66AK2H14'!#REF!</definedName>
    <definedName name="PD_RAC01_TAC_DVDD33">'66AK2H14'!#REF!</definedName>
    <definedName name="PD_RAC01_TAC_LEAK_AVDDLVS">'66AK2H14'!#REF!</definedName>
    <definedName name="PD_RAC01_TAC_LEAK_AVDDLVS_25">'66AK2H14'!#REF!</definedName>
    <definedName name="PD_RAC01_TAC_Leak_cvdd">'66AK2H14'!#REF!</definedName>
    <definedName name="PD_RAC01_TAC_LEAK_CVDD_25">'66AK2H14'!#REF!</definedName>
    <definedName name="PD_RAC01_TAC_LEAK_CVDD1">'66AK2H14'!#REF!</definedName>
    <definedName name="PD_RAC01_TAC_LEAK_CVDD1_25">'66AK2H14'!#REF!</definedName>
    <definedName name="PD_RAC01_TAC_LEAK_CVDDT">'66AK2H14'!#REF!</definedName>
    <definedName name="PD_RAC01_TAC_LEAK_CVDDT_25">'66AK2H14'!#REF!</definedName>
    <definedName name="PD_RAC01_TAC_LEAK_CVDDT1">'Calculation sheet'!$K$38</definedName>
    <definedName name="PD_RAC01_TAC_LEAK_CVDDT1_25">'66AK2H14'!#REF!</definedName>
    <definedName name="PD_RAC01_TAC_LEAK_DIMM">'66AK2H14'!#REF!</definedName>
    <definedName name="PD_RAC01_TAC_LEAK_DIMM_25">'66AK2H14'!#REF!</definedName>
    <definedName name="PD_RAC01_TAC_LEAK_DVDD15_25">'66AK2H14'!#REF!</definedName>
    <definedName name="PD_RAC01_TAC_LEAK_DVDD18_25">'66AK2H14'!#REF!</definedName>
    <definedName name="PD_RAC01_TAC_LEAK_DVDD33_25">'Calculation sheet'!$B$38</definedName>
    <definedName name="PD_RAC2_3_LEAK_AVDDLVS">'66AK2H14'!#REF!</definedName>
    <definedName name="PD_RAC2_3_LEAK_AVDDLVS_25">'66AK2H14'!#REF!</definedName>
    <definedName name="PD_RAC2_3_Leak_cvdd">'66AK2H14'!#REF!</definedName>
    <definedName name="PD_RAC2_3_LEAK_CVDD_25">'66AK2H14'!#REF!</definedName>
    <definedName name="PD_RAC2_3_LEAK_CVDD1">'66AK2H14'!#REF!</definedName>
    <definedName name="PD_RAC2_3_LEAK_CVDD1_25">'66AK2H14'!#REF!</definedName>
    <definedName name="PD_RAC2_3_LEAK_CVDDT">'66AK2H14'!#REF!</definedName>
    <definedName name="PD_RAC2_3_LEAK_CVDDT_25">'66AK2H14'!#REF!</definedName>
    <definedName name="PD_RAC2_3_LEAK_CVDDT1">'Calculation sheet'!$K$39</definedName>
    <definedName name="PD_RAC2_3_LEAK_CVDDT1_25">'66AK2H14'!#REF!</definedName>
    <definedName name="PD_RAC2_3_LEAK_DIMM">'66AK2H14'!#REF!</definedName>
    <definedName name="PD_RAC2_3_LEAK_DIMM_25">'66AK2H14'!#REF!</definedName>
    <definedName name="PD_RAC2_3_LEAK_DVDD15">'66AK2H14'!#REF!</definedName>
    <definedName name="PD_RAC2_3_LEAK_DVDD15_25">'66AK2H14'!#REF!</definedName>
    <definedName name="PD_RAC2_3_LEAK_DVDD18">'66AK2H14'!#REF!</definedName>
    <definedName name="PD_RAC2_3_LEAK_DVDD18_25">'66AK2H14'!#REF!</definedName>
    <definedName name="PD_RAC2_3_LEAK_DVDD33">'66AK2H14'!#REF!</definedName>
    <definedName name="PD_RAC2_3_LEAK_DVDD33_25">'Calculation sheet'!$B$39</definedName>
    <definedName name="PD_Reserved_2_Leak_cvdd">'66AK2H14'!#REF!</definedName>
    <definedName name="PD_RESERVED_cvddt">'66AK2H14'!#REF!</definedName>
    <definedName name="PD_RESERVED_Leak_cvdd">'66AK2H14'!#REF!</definedName>
    <definedName name="PD_RESERVED2_LEAK_AVDDLVS">"0+'6638'!$AC$52"</definedName>
    <definedName name="PD_RESERVED2_LEAK_CVDD1">'66AK2H14'!#REF!</definedName>
    <definedName name="PD_RESERVED2_LEAK_CVDDT">'66AK2H14'!#REF!</definedName>
    <definedName name="PD_RESERVED2_LEAK_CVDDT1">'Calculation sheet'!$K$48</definedName>
    <definedName name="PD_RESERVED2_LEAK_DIMM">'66AK2H14'!#REF!</definedName>
    <definedName name="PD_RESERVED2_LEAK_DVDD15">'66AK2H14'!#REF!</definedName>
    <definedName name="PD_RESERVED2_LEAK_DVDD18">'66AK2H14'!#REF!</definedName>
    <definedName name="PD_RESERVED2_LEAK_DVDD33">'66AK2H14'!#REF!</definedName>
    <definedName name="PD_SRIO_LEAK_AVDDLVS">'66AK2H14'!#REF!</definedName>
    <definedName name="PD_SRIO_LEAK_AVDDLVS_25">'66AK2H14'!#REF!</definedName>
    <definedName name="PD_SRIO_LEAK_cvdd">'66AK2H14'!#REF!</definedName>
    <definedName name="PD_SRIO_LEAK_cvdd_25">'66AK2H14'!#REF!</definedName>
    <definedName name="PD_SRIO_LEAK_cvdd1">'66AK2H14'!#REF!</definedName>
    <definedName name="PD_SRIO_LEAK_cvdd1_25">'66AK2H14'!#REF!</definedName>
    <definedName name="PD_SRIO_LEAK_CVDDT">'66AK2H14'!#REF!</definedName>
    <definedName name="PD_SRIO_LEAK_CVDDT_25">'66AK2H14'!#REF!</definedName>
    <definedName name="PD_SRIO_LEAK_CVDDT1">'Calculation sheet'!$K$25</definedName>
    <definedName name="PD_SRIO_LEAK_CVDDT1_25">'66AK2H14'!#REF!</definedName>
    <definedName name="PD_SRIO_LEAK_DIMM">'66AK2H14'!#REF!</definedName>
    <definedName name="PD_SRIO_LEAK_DIMM_25">'66AK2H14'!#REF!</definedName>
    <definedName name="PD_SRIO_LEAK_DVDD15">'66AK2H14'!#REF!</definedName>
    <definedName name="PD_SRIO_LEAK_DVDD15_25">'66AK2H14'!#REF!</definedName>
    <definedName name="PD_SRIO_LEAK_DVDD18">'66AK2H14'!#REF!</definedName>
    <definedName name="PD_SRIO_LEAK_DVDD18_25">'66AK2H14'!#REF!</definedName>
    <definedName name="PD_SRIO_LEAK_DVDD33">'66AK2H14'!#REF!</definedName>
    <definedName name="PD_SRIO_LEAK_DVDD33_25">'Calculation sheet'!$B$25</definedName>
    <definedName name="PD_TCP0_1_LEAK_AVDDLVS">'66AK2H14'!#REF!</definedName>
    <definedName name="PD_TCP0_1_LEAK_CVDD">'66AK2H14'!#REF!</definedName>
    <definedName name="PD_TCP0_1_Leak_cvddt">'66AK2H14'!#REF!</definedName>
    <definedName name="PD_TCP0_1_LEAK_CVDDT1">'Calculation sheet'!$K$43</definedName>
    <definedName name="PD_TCP0_1_LEAK_DIMM">'66AK2H14'!#REF!</definedName>
    <definedName name="PD_TCP0_1_LEAK_DVDD15">'66AK2H14'!#REF!</definedName>
    <definedName name="PD_TCP0_1_LEAK_DVDD18">'66AK2H14'!#REF!</definedName>
    <definedName name="PD_TCP0_1_LEAK_DVDD33">'66AK2H14'!#REF!</definedName>
    <definedName name="PD_TCP2_3_LEAK_AVDDLVS">'66AK2H14'!#REF!</definedName>
    <definedName name="PD_TCP2_3_LEAK_CVDD">'66AK2H14'!#REF!</definedName>
    <definedName name="PD_TCP2_3_LEAK_CVDD1">'66AK2H14'!#REF!</definedName>
    <definedName name="PD_TCP2_3_Leak_cvddt">'66AK2H14'!#REF!</definedName>
    <definedName name="PD_TCP2_3_LEAK_CVDDT1">'Calculation sheet'!$K$44</definedName>
    <definedName name="PD_TCP2_3_LEAK_DIMM">'66AK2H14'!#REF!</definedName>
    <definedName name="PD_TCP2_3_LEAK_DVDD15">'66AK2H14'!#REF!</definedName>
    <definedName name="PD_TCP2_3_LEAK_DVDD18">'66AK2H14'!#REF!</definedName>
    <definedName name="PD_TCP2_3_LEAK_DVDD33">'66AK2H14'!#REF!</definedName>
    <definedName name="PD_TCP3D_A_LEAK_AVDDLVS_25">'66AK2H14'!#REF!</definedName>
    <definedName name="PD_TCP3D_A_LEAK_cvdd_25">'66AK2H14'!#REF!</definedName>
    <definedName name="PD_TCP3D_A_LEAK_cvdd1">'66AK2H14'!#REF!</definedName>
    <definedName name="PD_TCP3D_A_LEAK_cvdd1_25">'66AK2H14'!#REF!</definedName>
    <definedName name="PD_TCP3D_A_LEAK_CVDDT_25">'66AK2H14'!#REF!</definedName>
    <definedName name="PD_TCP3D_A_LEAK_CVDDT1_25">'66AK2H14'!#REF!</definedName>
    <definedName name="PD_TCP3D_A_LEAK_DIMM_25">'66AK2H14'!#REF!</definedName>
    <definedName name="PD_TCP3D_A_LEAK_DVDD15_25">'66AK2H14'!#REF!</definedName>
    <definedName name="PD_TCP3D_A_LEAK_DVDD18_25">'66AK2H14'!#REF!</definedName>
    <definedName name="PD_TCP3D_A_LEAK_DVDD33_25">'Calculation sheet'!$B$43</definedName>
    <definedName name="PD_TCP3D_B_LEAK_AVDDLVS_25">'66AK2H14'!#REF!</definedName>
    <definedName name="PD_TCP3D_B_LEAK_CVDD_25">'66AK2H14'!#REF!</definedName>
    <definedName name="PD_TCP3D_B_LEAK_CVDD1_25">'66AK2H14'!#REF!</definedName>
    <definedName name="PD_TCP3D_B_LEAK_CVDDT_25">'66AK2H14'!#REF!</definedName>
    <definedName name="PD_TCP3D_B_LEAK_CVDDt1_25">'66AK2H14'!#REF!</definedName>
    <definedName name="PD_TCP3D_B_LEAK_DIMM_25">'66AK2H14'!#REF!</definedName>
    <definedName name="PD_TCP3D_B_LEAK_DVDD15_25">'66AK2H14'!#REF!</definedName>
    <definedName name="PD_TCP3D_B_LEAK_DVDD18_25">'66AK2H14'!#REF!</definedName>
    <definedName name="PD_TCP3D_B_LEAK_DVDD33_25">'Calculation sheet'!$B$44</definedName>
    <definedName name="PD_TETB_Leak_cvddt">'66AK2H14'!#REF!</definedName>
    <definedName name="PD_VCP_4_5_6_7_LEAK_AVDDLVS">'66AK2H14'!#REF!</definedName>
    <definedName name="PD_VCP_4_5_6_7_Leak_cvdd">'66AK2H14'!#REF!</definedName>
    <definedName name="PD_VCP_4_5_6_7_LEAK_CVDD1">'66AK2H14'!#REF!</definedName>
    <definedName name="PD_VCP_4_5_6_7_LEAK_CVDDT">'66AK2H14'!#REF!</definedName>
    <definedName name="PD_VCP_4_5_6_7_LEAK_CVDDT1">'Calculation sheet'!$K$46</definedName>
    <definedName name="PD_VCP_4_5_6_7_LEAK_DIMM">'66AK2H14'!#REF!</definedName>
    <definedName name="PD_VCP_4_5_6_7_LEAK_DVDD15">'66AK2H14'!#REF!</definedName>
    <definedName name="PD_VCP_4_5_6_7_LEAK_DVDD18">'66AK2H14'!#REF!</definedName>
    <definedName name="PD_VCP_4_5_6_7_LEAK_DVDD33">'66AK2H14'!#REF!</definedName>
    <definedName name="PD_VCP0_1_2_3_LEAK_AVDDLVS">'66AK2H14'!#REF!</definedName>
    <definedName name="PD_VCP0_1_2_3_LEAK_avddlvs_25">'66AK2H14'!#REF!</definedName>
    <definedName name="PD_VCP0_1_2_3_Leak_cvdd">'66AK2H14'!#REF!</definedName>
    <definedName name="PD_VCP0_1_2_3_LEAK_cvdd_25">'66AK2H14'!#REF!</definedName>
    <definedName name="PD_VCP0_1_2_3_LEAK_CVDD1">'66AK2H14'!#REF!</definedName>
    <definedName name="PD_VCP0_1_2_3_LEAK_cvdd1_25">'66AK2H14'!#REF!</definedName>
    <definedName name="PD_VCP0_1_2_3_Leak_cvddt">'66AK2H14'!#REF!</definedName>
    <definedName name="PD_VCP0_1_2_3_LEAK_cvddt_25">'66AK2H14'!#REF!</definedName>
    <definedName name="PD_VCP0_1_2_3_LEAK_CVDDT1">'Calculation sheet'!$K$45</definedName>
    <definedName name="PD_VCP0_1_2_3_LEAK_cvddt1_25">'66AK2H14'!#REF!</definedName>
    <definedName name="PD_VCP0_1_2_3_LEAK_DIMM">'66AK2H14'!#REF!</definedName>
    <definedName name="PD_VCP0_1_2_3_LEAK_dimm_25">'66AK2H14'!#REF!</definedName>
    <definedName name="PD_VCP0_1_2_3_LEAK_DVDD15">'66AK2H14'!#REF!+'66AK2H14'!#REF!</definedName>
    <definedName name="PD_VCP0_1_2_3_LEAK_dvdd15_25">'66AK2H14'!#REF!</definedName>
    <definedName name="PD_VCP0_1_2_3_LEAK_DVDD18">'66AK2H14'!#REF!</definedName>
    <definedName name="PD_VCP0_1_2_3_LEAK_dvdd18_25">'66AK2H14'!#REF!</definedName>
    <definedName name="PD_VCP0_1_2_3_LEAK_DVDD33">'66AK2H14'!#REF!</definedName>
    <definedName name="PD_VCP0_1_2_3_LEAK_dvdd33_25">'Calculation sheet'!$B$45</definedName>
    <definedName name="PD_VCP4567_leak_avddlvs_25">'66AK2H14'!#REF!</definedName>
    <definedName name="PD_VCP4567_leak_cvdd_25">'66AK2H14'!#REF!</definedName>
    <definedName name="PD_VCP4567_leak_cvdd1_25">'66AK2H14'!#REF!</definedName>
    <definedName name="PD_VCP4567_leak_cvddt_25">'66AK2H14'!#REF!</definedName>
    <definedName name="PD_VCP4567_leak_cvddt1_25">'66AK2H14'!#REF!</definedName>
    <definedName name="PD_VCP4567_leak_dimm_25">'66AK2H14'!#REF!</definedName>
    <definedName name="PD_VCP4567_leak_dvdd15_25">'66AK2H14'!#REF!</definedName>
    <definedName name="PD_VCP4567_leak_dvdd18_25">'66AK2H14'!#REF!</definedName>
    <definedName name="PD_VCP4567_leak_dvdd33_25">'Calculation sheet'!$B$46</definedName>
    <definedName name="QM_Act_100Pks_cvdd">'Calculation sheet'!$E$344</definedName>
    <definedName name="QM_Act_100Pks_cvdd1">'Calculation sheet'!$F$344</definedName>
    <definedName name="QM_Act_16Pks_cvdd">'Calculation sheet'!$E$343</definedName>
    <definedName name="QM_Act_16Pks_cvdd1">'Calculation sheet'!$F$343</definedName>
    <definedName name="QM_Act_400Pks_cvdd">'Calculation sheet'!$E$345</definedName>
    <definedName name="QM_Act_400Pks_cvdd1">'Calculation sheet'!$F$345</definedName>
    <definedName name="QM_Act_Max_cvdd">'Calculation sheet'!$E$346</definedName>
    <definedName name="QM_Act_MAX_cvdd1">'Calculation sheet'!$F$346</definedName>
    <definedName name="QM_clock_avddlvs">'Calculation sheet'!#REF!</definedName>
    <definedName name="QM_clock_cvdd">'Calculation sheet'!$E$339</definedName>
    <definedName name="QM_clock_cvdd1">'Calculation sheet'!$F$339</definedName>
    <definedName name="QM_clock_cvddt">'Calculation sheet'!#REF!</definedName>
    <definedName name="QM_clock_cvddt1">'Calculation sheet'!#REF!</definedName>
    <definedName name="QM_clock_dimm">'Calculation sheet'!#REF!</definedName>
    <definedName name="QM_clock_dvdd15">'Calculation sheet'!#REF!</definedName>
    <definedName name="QM_clock_dvdd18">'Calculation sheet'!#REF!</definedName>
    <definedName name="QM_clock_dvdd33">'Calculation sheet'!#REF!</definedName>
    <definedName name="QM_EN">'66AK2H14'!$B$29</definedName>
    <definedName name="QM_idle_tot_avddlvs">'Calculation sheet'!#REF!</definedName>
    <definedName name="QM_idle_tot_cvdd">'Calculation sheet'!$E$340</definedName>
    <definedName name="QM_idle_tot_cvdd1">'Calculation sheet'!$F$340</definedName>
    <definedName name="QM_idle_tot_cvddT">'Calculation sheet'!#REF!</definedName>
    <definedName name="QM_idle_tot_cvddt1">'Calculation sheet'!#REF!</definedName>
    <definedName name="QM_idle_tot_dimm">'Calculation sheet'!#REF!</definedName>
    <definedName name="QM_idle_tot_dvdd15">'Calculation sheet'!#REF!</definedName>
    <definedName name="QM_idle_tot_dvdd18">'Calculation sheet'!#REF!</definedName>
    <definedName name="QM_idle_tot_dvdd33">'Calculation sheet'!#REF!</definedName>
    <definedName name="QM_util">'66AK2H14'!$D$29</definedName>
    <definedName name="QM_util_per">'Calculation sheet'!$A$342</definedName>
    <definedName name="RAC_0_1_en">'66AK2H14'!$B$55</definedName>
    <definedName name="RAC_0_1_total_idle">'Calculation sheet'!$E$523</definedName>
    <definedName name="RAC_0_util">'66AK2H14'!$D$55</definedName>
    <definedName name="RAC_0_util_per">'Calculation sheet'!$A$522</definedName>
    <definedName name="RAC_1_en">'66AK2H14'!$B$56</definedName>
    <definedName name="RAC_1_util">'66AK2H14'!$D$56</definedName>
    <definedName name="RAC_1_util_per">'Calculation sheet'!$A$523</definedName>
    <definedName name="RAC_2_3_en">'66AK2H14'!$B$57</definedName>
    <definedName name="RAC_2_3_enable">'66AK2H14'!#REF!</definedName>
    <definedName name="RAC_2_3_util">'66AK2H14'!#REF!</definedName>
    <definedName name="RAC_2_3_util_per">'66AK2H14'!#REF!</definedName>
    <definedName name="RAC_2_util">'66AK2H14'!$D$57</definedName>
    <definedName name="RAC_2_util_per">'Calculation sheet'!$A$524</definedName>
    <definedName name="RAC_3_en">'66AK2H14'!$B$58</definedName>
    <definedName name="RAC_3_util">'66AK2H14'!$D$58</definedName>
    <definedName name="RAC_3_util_per">'Calculation sheet'!$A$525</definedName>
    <definedName name="RAC_Act_cvdd">'Calculation sheet'!$E$532</definedName>
    <definedName name="RAC_Act_cvdd1">'Calculation sheet'!$F$529</definedName>
    <definedName name="RAC_Act_cvddt">'Calculation sheet'!#REF!</definedName>
    <definedName name="RAC_Act_cvddt1">'Calculation sheet'!$G$529</definedName>
    <definedName name="RAC_Act_total_cvdd">'Calculation sheet'!$E$531+'Calculation sheet'!#REF!</definedName>
    <definedName name="RAC_Clock_avddlvs">'Calculation sheet'!#REF!</definedName>
    <definedName name="RAC_clock_cvdd">'Calculation sheet'!$E$525</definedName>
    <definedName name="RAC_clock_cvdd1">'Calculation sheet'!$F$525</definedName>
    <definedName name="RAC_Clock_cvddt">'Calculation sheet'!#REF!</definedName>
    <definedName name="RAC_Clock_cvddt1">'Calculation sheet'!$G$525</definedName>
    <definedName name="RAC_Clock_dimm">'Calculation sheet'!#REF!</definedName>
    <definedName name="RAC_Clock_dvdd15">'Calculation sheet'!#REF!</definedName>
    <definedName name="RAC_Clock_dvdd18">'Calculation sheet'!#REF!</definedName>
    <definedName name="RAC_Clock_dvdd33">'Calculation sheet'!#REF!</definedName>
    <definedName name="RAC_util">'66AK2H14'!#REF!</definedName>
    <definedName name="rev_list">'Calculation sheet'!$H$3:$H$4</definedName>
    <definedName name="RSA_A_CP1_Act_cvdd">'Calculation sheet'!$E$449</definedName>
    <definedName name="RSA_A_CP2_en">'66AK2H14'!#REF!</definedName>
    <definedName name="RSA_B_CP1_Act_cvdd1_11">'66AK2H14'!#REF!</definedName>
    <definedName name="RSA_B_CP1_Act_cvdd11">'Calculation sheet'!$E$450</definedName>
    <definedName name="RSA_B_CP2_en">'66AK2H14'!#REF!</definedName>
    <definedName name="RSA_CP1_Act_cvdd1_11">'66AK2H14'!#REF!</definedName>
    <definedName name="RSA_CP1_Act_final_tot_cvdd1_11">'66AK2H14'!#REF!</definedName>
    <definedName name="RSA_CP1_Act_final_tot_cvdd11">'Calculation sheet'!$E$452</definedName>
    <definedName name="RSA_CP1_Act_total_cvdd1_11">'66AK2H14'!#REF!</definedName>
    <definedName name="RSA_CP1_Act_total_cvdd11">'Calculation sheet'!$E$451</definedName>
    <definedName name="RSA_CP1_clock_cvdd1_11">'66AK2H14'!#REF!</definedName>
    <definedName name="RSA_CP1_clock_cvdd11">'Calculation sheet'!$E$446</definedName>
    <definedName name="RSA_cp1_idle_tot_cvdd1_11">'66AK2H14'!#REF!</definedName>
    <definedName name="RSA_cp1_idle_tot_cvdd11">'Calculation sheet'!$E$447</definedName>
    <definedName name="RSA_CP1_util_per">'Calculation sheet'!#REF!</definedName>
    <definedName name="RSA_CP2_util">'66AK2H14'!#REF!</definedName>
    <definedName name="SA_ACT_AVDDLVS">'Calculation sheet'!#REF!</definedName>
    <definedName name="SA_ACT_CVDD">'Calculation sheet'!$E$327</definedName>
    <definedName name="SA_ACT_CVDD1">'Calculation sheet'!$F$327</definedName>
    <definedName name="SA_ACT_CVDDT">'Calculation sheet'!#REF!</definedName>
    <definedName name="SA_ACT_CVDDT1">'Calculation sheet'!#REF!</definedName>
    <definedName name="SA_ACT_DIMM">'Calculation sheet'!#REF!</definedName>
    <definedName name="SA_ACT_DVDD15">'Calculation sheet'!#REF!</definedName>
    <definedName name="SA_ACT_DVDD18">'Calculation sheet'!#REF!</definedName>
    <definedName name="SA_ACT_DVDD33">'Calculation sheet'!#REF!</definedName>
    <definedName name="sb">'Calculation sheet'!$P$177</definedName>
    <definedName name="SGMII_ACT_AVDDLVS">'Calculation sheet'!#REF!</definedName>
    <definedName name="SGMII_ACT_CVDD">'Calculation sheet'!$E$328</definedName>
    <definedName name="SGMII_Act_CVDD1">'Calculation sheet'!$F$328</definedName>
    <definedName name="SGMII_ACT_CVDDT">'Calculation sheet'!#REF!</definedName>
    <definedName name="SGMII_ACT_CVDDT1">'Calculation sheet'!#REF!</definedName>
    <definedName name="SGMII_ACT_DIMM">'Calculation sheet'!#REF!</definedName>
    <definedName name="SGMII_ACT_DVDD15">'Calculation sheet'!#REF!</definedName>
    <definedName name="SGMII_ACT_DVDD18">'Calculation sheet'!#REF!</definedName>
    <definedName name="SGMII_ACT_DVDD33">'Calculation sheet'!#REF!</definedName>
    <definedName name="sio_mp_total_cvddt1">'Calculation sheet'!$G$192</definedName>
    <definedName name="speed_grade">'Calculation sheet'!$D$2</definedName>
    <definedName name="SPI_Act_tot_avddlvs">'Calculation sheet'!#REF!</definedName>
    <definedName name="SPI_Act_tot_cvdd">'Calculation sheet'!$E$250</definedName>
    <definedName name="SPI_Act_tot_cvdd1">'Calculation sheet'!$F$250</definedName>
    <definedName name="SPI_Act_tot_cvddt">'Calculation sheet'!#REF!</definedName>
    <definedName name="SPI_Act_tot_cvddt1">'Calculation sheet'!#REF!</definedName>
    <definedName name="SPI_Act_tot_DIMM">'Calculation sheet'!#REF!</definedName>
    <definedName name="SPI_Act_tot_dvdd15">'Calculation sheet'!#REF!</definedName>
    <definedName name="SPI_Act_tot_dvdd18">'Calculation sheet'!#REF!</definedName>
    <definedName name="SPI_Act_tot_dvdd33">'Calculation sheet'!#REF!</definedName>
    <definedName name="spi_clk_avddlvs">'Calculation sheet'!#REF!</definedName>
    <definedName name="SPI_clk_cvdd">'Calculation sheet'!$E$246</definedName>
    <definedName name="SPI_clk_cvdd1">'Calculation sheet'!$F$246</definedName>
    <definedName name="SPI_clk_cvddt">'Calculation sheet'!#REF!</definedName>
    <definedName name="spi_clk_cvddT1">'Calculation sheet'!#REF!</definedName>
    <definedName name="spi_clk_dimm">'Calculation sheet'!#REF!</definedName>
    <definedName name="spi_clk_dvdd15">'Calculation sheet'!#REF!</definedName>
    <definedName name="SPI_clk_dvdd18">'Calculation sheet'!#REF!</definedName>
    <definedName name="spi_clk_dvdd33">'Calculation sheet'!#REF!</definedName>
    <definedName name="SPI_en">'66AK2H14'!$B$75</definedName>
    <definedName name="spi_idle_tot_avddlvs">'Calculation sheet'!#REF!</definedName>
    <definedName name="spi_idle_tot_cvdd">'Calculation sheet'!$E$247</definedName>
    <definedName name="spi_idle_tot_cvdd1">'Calculation sheet'!$F$247</definedName>
    <definedName name="spi_idle_tot_cvddt">'Calculation sheet'!#REF!</definedName>
    <definedName name="spi_idle_tot_cvddt1">'Calculation sheet'!#REF!</definedName>
    <definedName name="spi_idle_tot_dimm">'Calculation sheet'!#REF!</definedName>
    <definedName name="spi_idle_tot_dvdd15">'Calculation sheet'!#REF!</definedName>
    <definedName name="spi_idle_tot_dvdd18">'Calculation sheet'!#REF!</definedName>
    <definedName name="spi_idle_tot_dvdd33">'Calculation sheet'!#REF!</definedName>
    <definedName name="spi_num">'66AK2H14'!$E$75</definedName>
    <definedName name="spi_num_list">'Calculation sheet'!$A$248:$A$250</definedName>
    <definedName name="spi_util">'66AK2H14'!$D$75</definedName>
    <definedName name="spi_util_per">'Calculation sheet'!$A$245</definedName>
    <definedName name="srio_dio_base_avddlvs">'Calculation sheet'!#REF!</definedName>
    <definedName name="srio_dio_base_cvdd">'Calculation sheet'!$E$198</definedName>
    <definedName name="srio_dio_base_cvdd1">'Calculation sheet'!$F$198</definedName>
    <definedName name="Srio_DIO_Base_CVDDT">'Calculation sheet'!#REF!</definedName>
    <definedName name="Srio_DIO_Base_CVDDT1">'Calculation sheet'!$G$198</definedName>
    <definedName name="srio_dio_base_dimm">'Calculation sheet'!#REF!</definedName>
    <definedName name="srio_dio_base_dvdd15">'Calculation sheet'!$H$198</definedName>
    <definedName name="srio_dio_base_dvdd18">'Calculation sheet'!#REF!</definedName>
    <definedName name="srio_dio_base_dvdd33">'Calculation sheet'!#REF!</definedName>
    <definedName name="srio_dio_cpuf_cvdd">'Calculation sheet'!$E$199</definedName>
    <definedName name="srio_dio_cpuf_cvdd1">'Calculation sheet'!$F$199</definedName>
    <definedName name="SRIO_DIO_cpuf_CVDDT">'Calculation sheet'!#REF!</definedName>
    <definedName name="SRIO_DIO_cpuF_CVDDT1">'Calculation sheet'!$G$199</definedName>
    <definedName name="srio_dio_cpuf_dvdd15">'Calculation sheet'!$H$199</definedName>
    <definedName name="srio_DIO_idle_avddlvs">'Calculation sheet'!#REF!</definedName>
    <definedName name="srio_DIO_idle_cvdd">'Calculation sheet'!$E$195</definedName>
    <definedName name="SRIO_DIO_Idle_CVDD1">'Calculation sheet'!$F$195</definedName>
    <definedName name="SRIO_DIO_Idle_CVDDT">'Calculation sheet'!#REF!</definedName>
    <definedName name="SRIO_DIO_Idle_CVDDT1">'Calculation sheet'!$G$195</definedName>
    <definedName name="srio_DIO_idle_dimm">'Calculation sheet'!#REF!</definedName>
    <definedName name="srio_DIO_idle_dvdd15">'Calculation sheet'!$H$195</definedName>
    <definedName name="srio_DIO_idle_dvdd18">'Calculation sheet'!#REF!</definedName>
    <definedName name="srio_DIO_idle_dvdd33">'Calculation sheet'!#REF!</definedName>
    <definedName name="srio_dio_iofreq_cvdd">'Calculation sheet'!$E$200</definedName>
    <definedName name="srio_dio_iofreq_cvdd1">'Calculation sheet'!$F$200</definedName>
    <definedName name="Srio_dio_Iofreq_CVDDT">'Calculation sheet'!#REF!</definedName>
    <definedName name="Srio_DIO_iofreq_CVDDT1">'Calculation sheet'!$G$200</definedName>
    <definedName name="srio_dio_iofreq_dvdd15">'Calculation sheet'!$H$200</definedName>
    <definedName name="srio_dio_ports_cvdd">'Calculation sheet'!$E$201</definedName>
    <definedName name="srio_dio_ports_cvdd1">'Calculation sheet'!$F$201</definedName>
    <definedName name="SRIO_DIO_ports_CVDDT">'Calculation sheet'!#REF!</definedName>
    <definedName name="SRIO_DIO_Ports_CVDDT1">'Calculation sheet'!$G$201</definedName>
    <definedName name="srio_dio_ports_dvdd15">'Calculation sheet'!$H$201</definedName>
    <definedName name="srio_dio_total_avddlvs">'Calculation sheet'!#REF!</definedName>
    <definedName name="srio_dio_total_cvdd">'Calculation sheet'!$E$202</definedName>
    <definedName name="srio_dio_total_cvdd1">'Calculation sheet'!$F$202</definedName>
    <definedName name="SRIO_DIO_total_CVDDT">'Calculation sheet'!#REF!</definedName>
    <definedName name="SRIO_DIO_total_CVDDT1">'Calculation sheet'!$G$202</definedName>
    <definedName name="srio_dio_total_dimm">'Calculation sheet'!#REF!</definedName>
    <definedName name="srio_dio_total_dvdd15">'Calculation sheet'!$H$202</definedName>
    <definedName name="srio_dio_total_dvdd18">'Calculation sheet'!#REF!</definedName>
    <definedName name="srio_dio_total_dvdd33">'Calculation sheet'!#REF!</definedName>
    <definedName name="srio_en">'66AK2H14'!$B$32</definedName>
    <definedName name="srio_final_avddlvs">'Calculation sheet'!#REF!</definedName>
    <definedName name="srio_final_cvdd">'Calculation sheet'!$E$206</definedName>
    <definedName name="srio_final_cvdd1">'Calculation sheet'!$F$206</definedName>
    <definedName name="Srio_Final_CVDDT">'Calculation sheet'!#REF!</definedName>
    <definedName name="Srio_Final_CVDDT1">'Calculation sheet'!$G$206</definedName>
    <definedName name="srio_final_dimm">'Calculation sheet'!#REF!</definedName>
    <definedName name="srio_final_dvdd15">'Calculation sheet'!$H$206</definedName>
    <definedName name="srio_final_dvdd18">'Calculation sheet'!#REF!</definedName>
    <definedName name="srio_final_dvdd33">'Calculation sheet'!#REF!</definedName>
    <definedName name="srio_idle_avddlvs">'Calculation sheet'!#REF!</definedName>
    <definedName name="srio_idle_cvdd">'Calculation sheet'!$E$185</definedName>
    <definedName name="srio_idle_cvdd1">'Calculation sheet'!$F$185</definedName>
    <definedName name="Srio_Idle_CVDDT">'Calculation sheet'!#REF!</definedName>
    <definedName name="SRIO_Idle_CVDDT1">'Calculation sheet'!$G$185</definedName>
    <definedName name="srio_idle_dimm">'Calculation sheet'!#REF!</definedName>
    <definedName name="srio_idle_dvdd15">'Calculation sheet'!$H$185</definedName>
    <definedName name="Srio_idle_dvdd18">'Calculation sheet'!#REF!</definedName>
    <definedName name="srio_idle_dvdd33">'Calculation sheet'!#REF!</definedName>
    <definedName name="srio_idle_total_avddlvs">'Calculation sheet'!#REF!</definedName>
    <definedName name="srio_idle_total_cvdd">'Calculation sheet'!$E$197</definedName>
    <definedName name="srio_idle_total_cvdd1">'Calculation sheet'!$F$197</definedName>
    <definedName name="Srio_Idle_total_CVDDT">'Calculation sheet'!#REF!</definedName>
    <definedName name="Srio_idle_total_CVDDT1">'Calculation sheet'!$G$197</definedName>
    <definedName name="srio_idle_total_dimm">'Calculation sheet'!#REF!</definedName>
    <definedName name="srio_idle_total_dvdd15">'Calculation sheet'!$H$197</definedName>
    <definedName name="srio_idle_total_dvdd18">'Calculation sheet'!#REF!</definedName>
    <definedName name="srio_idle_total_dvdd33">'Calculation sheet'!#REF!</definedName>
    <definedName name="srio_idle_vddahv">'Calculation sheet'!$G$186</definedName>
    <definedName name="srio_idle_vddalh">'Calculation sheet'!$H$186</definedName>
    <definedName name="srio_lane_list">'Calculation sheet'!$T$186</definedName>
    <definedName name="srio_lanes">'66AK2H14'!$E$32</definedName>
    <definedName name="srio_mode">'66AK2H14'!$F$32</definedName>
    <definedName name="srio_mode_list">'Calculation sheet'!$U$182:$U$183</definedName>
    <definedName name="srio_mp_base_avddlvs">'Calculation sheet'!#REF!</definedName>
    <definedName name="srio_mp_base_cvdd1">'Calculation sheet'!$F$188</definedName>
    <definedName name="srio_mp_base_cvdd11">'Calculation sheet'!$E$188</definedName>
    <definedName name="Srio_Mp_Base_CVDDT">'Calculation sheet'!#REF!</definedName>
    <definedName name="SRIO_MP_Base_CVDDT1">'Calculation sheet'!$G$188</definedName>
    <definedName name="srio_mp_base_dimm">'Calculation sheet'!#REF!</definedName>
    <definedName name="srio_mp_base_dvdd15">'Calculation sheet'!$H$188</definedName>
    <definedName name="srio_mp_base_dvdd18">'Calculation sheet'!#REF!</definedName>
    <definedName name="srio_mp_base_dvdd33">'Calculation sheet'!#REF!</definedName>
    <definedName name="srio_mp_cpuf_cvdd">'Calculation sheet'!$E$189</definedName>
    <definedName name="srio_mp_cpuf_cvdd1">'Calculation sheet'!$F$189</definedName>
    <definedName name="Srio_Mp_CpuF_CVDDT">'Calculation sheet'!#REF!</definedName>
    <definedName name="Srio_MP_cpuF_CVDDT1">'Calculation sheet'!$G$189</definedName>
    <definedName name="srio_mp_cpuf_dvdd15">'Calculation sheet'!$H$189</definedName>
    <definedName name="srio_mp_iofreq_cvdd">'Calculation sheet'!$E$190</definedName>
    <definedName name="srio_mp_iofreq_cvdd1">'Calculation sheet'!$F$190</definedName>
    <definedName name="Srio_mp_iofreq_CVDDT">'Calculation sheet'!#REF!</definedName>
    <definedName name="SRIO_MP_iofreq_CVDDT1">'Calculation sheet'!$G$190</definedName>
    <definedName name="srio_mp_iofreq_dvdd15">'Calculation sheet'!$H$190</definedName>
    <definedName name="srio_mp_ports_cvdd">'Calculation sheet'!$E$191</definedName>
    <definedName name="srio_mp_ports_cvdd1">'Calculation sheet'!$F$191</definedName>
    <definedName name="SRIO_MP_Ports_CVDDT">'Calculation sheet'!#REF!</definedName>
    <definedName name="SRIO_MP_Ports_CVDDT1">'Calculation sheet'!$G$191</definedName>
    <definedName name="srio_mp_ports_dvdd15">'Calculation sheet'!$H$191</definedName>
    <definedName name="srio_mp_total_cvdd">'Calculation sheet'!$E$192</definedName>
    <definedName name="srio_mp_total_cvdd1">'Calculation sheet'!$F$192</definedName>
    <definedName name="srio_mp_total_cvddt">'Calculation sheet'!#REF!</definedName>
    <definedName name="srio_mp_total_dvdd15">'Calculation sheet'!$H$192</definedName>
    <definedName name="srio_rate">'66AK2H14'!$C$32</definedName>
    <definedName name="srio_rate_list">'Calculation sheet'!$S$184</definedName>
    <definedName name="srio_switch">'66AK2H14'!#REF!</definedName>
    <definedName name="srio_switch_per">'Calculation sheet'!$X$183</definedName>
    <definedName name="srio_total_avddlvs">'Calculation sheet'!#REF!</definedName>
    <definedName name="srio_total_cvdd">'Calculation sheet'!$E$204</definedName>
    <definedName name="srio_total_cvdd1">'Calculation sheet'!$F$204</definedName>
    <definedName name="SRIO_total_CVDDT">'Calculation sheet'!#REF!</definedName>
    <definedName name="Srio_Total_cvddt1">'Calculation sheet'!$G$204</definedName>
    <definedName name="srio_total_dimm">'Calculation sheet'!#REF!</definedName>
    <definedName name="srio_total_dvdd15">'Calculation sheet'!$H$204</definedName>
    <definedName name="srio_total_dvdd18">'Calculation sheet'!#REF!</definedName>
    <definedName name="srio_total_dvdd33">'Calculation sheet'!#REF!</definedName>
    <definedName name="srio_util">'66AK2H14'!$D$32</definedName>
    <definedName name="srio_util_per">'Calculation sheet'!$V$183</definedName>
    <definedName name="Status">'Calculation sheet'!$A$76:$A$77</definedName>
    <definedName name="sub_comp_avddlvs">'66AK2H14'!#REF!</definedName>
    <definedName name="sub_comp_cvdd">'Calculation sheet'!$F$63</definedName>
    <definedName name="sub_comp_cvdd1">'Calculation sheet'!$G$63</definedName>
    <definedName name="sub_comp_cvdd11">'66AK2H14'!#REF!</definedName>
    <definedName name="Sub_Comp_CVDDT">'Calculation sheet'!$H$63</definedName>
    <definedName name="Sub_Comp_CVDDT1">'66AK2H14'!#REF!</definedName>
    <definedName name="sub_comp_dimm">'66AK2H14'!#REF!</definedName>
    <definedName name="sub_comp_dvdd15">'Calculation sheet'!$B$63</definedName>
    <definedName name="sub_comp_dvdd18">'66AK2H14'!#REF!</definedName>
    <definedName name="sub_comp_dvdd33">'66AK2H14'!#REF!</definedName>
    <definedName name="TAC_Act_cvdd">'Calculation sheet'!$E$546</definedName>
    <definedName name="TAC_Act_cvdd1">'Calculation sheet'!$F$546</definedName>
    <definedName name="TAC_Act_tot_cvdd">'Calculation sheet'!$E$531</definedName>
    <definedName name="TAC_Act_tot_cvdd1_11">'Calculation sheet'!#REF!</definedName>
    <definedName name="TAC_enable">'66AK2H14'!$B$53</definedName>
    <definedName name="TAC_final_act_cvdd1">'Calculation sheet'!$F$548</definedName>
    <definedName name="TAC_total_idle">'Calculation sheet'!$E$544</definedName>
    <definedName name="TAC_util">'66AK2H14'!$D$53</definedName>
    <definedName name="TAC_util_per">'Calculation sheet'!$A$543</definedName>
    <definedName name="tcp_idle_total_cvdd">'Calculation sheet'!$E$413</definedName>
    <definedName name="tcp3d_0_enable">'66AK2H14'!$B$60</definedName>
    <definedName name="tcp3d_0_util">'66AK2H14'!$D$60</definedName>
    <definedName name="tcp3d_0_util_per">'Calculation sheet'!$A$404</definedName>
    <definedName name="tcp3d_1_enable">'66AK2H14'!$B$61</definedName>
    <definedName name="tcp3d_1_util">'66AK2H14'!$D$61</definedName>
    <definedName name="tcp3d_1_util_per">'Calculation sheet'!$A$405</definedName>
    <definedName name="tcp3d_2_enable">'66AK2H14'!$B$62</definedName>
    <definedName name="tcp3d_2_util">'66AK2H14'!$D$62</definedName>
    <definedName name="tcp3d_2_util_per">'Calculation sheet'!$A$406</definedName>
    <definedName name="tcp3d_3_enable">'66AK2H14'!$B$63</definedName>
    <definedName name="tcp3d_3_util">'66AK2H14'!$D$63</definedName>
    <definedName name="tcp3d_3_util_per">'Calculation sheet'!$A$407</definedName>
    <definedName name="tcp3d_A_act_cvdd1">'Calculation sheet'!$F$415</definedName>
    <definedName name="tcp3d_A_act_cvddt">'Calculation sheet'!#REF!</definedName>
    <definedName name="tcp3d_A_act_cvddt1">'Calculation sheet'!#REF!</definedName>
    <definedName name="tcp3d_A_act_dvdd15">'Calculation sheet'!#REF!</definedName>
    <definedName name="tcp3d_A_act_dvdd18">'Calculation sheet'!#REF!</definedName>
    <definedName name="tcp3d_A_act_dvdd33">'Calculation sheet'!#REF!</definedName>
    <definedName name="tcp3d_A_clock_cvdd">'Calculation sheet'!#REF!</definedName>
    <definedName name="tcp3d_A_clock_cvdd1">'Calculation sheet'!#REF!</definedName>
    <definedName name="tcp3d_A_leak_dvdd33">'Calculation sheet'!#REF!</definedName>
    <definedName name="tcp3d_Act_total">'Calculation sheet'!$E$416</definedName>
    <definedName name="tcp3d_B_act_cvdd11">'Calculation sheet'!#REF!</definedName>
    <definedName name="TCP3d_idle_tot_cvdd">'Calculation sheet'!$E$409</definedName>
    <definedName name="TCP3d_idle_tot_cvdd1">'Calculation sheet'!$F$409</definedName>
    <definedName name="TCP3d_idle_tot_cvddt">'Calculation sheet'!#REF!</definedName>
    <definedName name="TCP3d_idle_tot_cvddt1">'Calculation sheet'!#REF!</definedName>
    <definedName name="TCP3d_idle_tot_dvdd15">'Calculation sheet'!#REF!</definedName>
    <definedName name="TCP3d_idle_tot_dvdd18">'Calculation sheet'!#REF!</definedName>
    <definedName name="TCP3d_idle_tot_dvdd33">'Calculation sheet'!#REF!</definedName>
    <definedName name="TCP3d_sw">'66AK2H14'!#REF!</definedName>
    <definedName name="tcp3d_total_leak_cvdd">'Calculation sheet'!$E$407</definedName>
    <definedName name="tcp3d_total_leak_cvdd1">'Calculation sheet'!$F$407</definedName>
    <definedName name="tcp3d_total_leak_cvddt">'Calculation sheet'!#REF!</definedName>
    <definedName name="tcp3d_total_leak_cvddt1">'Calculation sheet'!#REF!</definedName>
    <definedName name="tcp3d_total_leak_dvdd15">'Calculation sheet'!#REF!</definedName>
    <definedName name="tcp3d_total_leak_dvdd18">'Calculation sheet'!#REF!</definedName>
    <definedName name="tcp3d_util">'66AK2H14'!$D$60</definedName>
    <definedName name="tcp3d_util_per">'Calculation sheet'!$A$404</definedName>
    <definedName name="Tdut">'66AK2H14'!$C$3</definedName>
    <definedName name="Timer_act_avddlvs">'Calculation sheet'!#REF!</definedName>
    <definedName name="Timer_Act_cvdd">'Calculation sheet'!$E$287</definedName>
    <definedName name="Timer_act_cvdd1">'Calculation sheet'!$F$287</definedName>
    <definedName name="Timer_act_cvddt">'Calculation sheet'!#REF!</definedName>
    <definedName name="Timer_act_cvddt1">'Calculation sheet'!#REF!</definedName>
    <definedName name="Timer_act_dimm">'Calculation sheet'!#REF!</definedName>
    <definedName name="Timer_act_dvdd15">'Calculation sheet'!#REF!</definedName>
    <definedName name="Timer_act_dvdd18">'Calculation sheet'!#REF!</definedName>
    <definedName name="Timer_act_dvdd33">'Calculation sheet'!#REF!</definedName>
    <definedName name="Timer_act_final_avddlvs">'Calculation sheet'!#REF!</definedName>
    <definedName name="Timer_Act_final_cvdd">'Calculation sheet'!$E$289</definedName>
    <definedName name="Timer_act_final_cvdd1">'Calculation sheet'!$F$289</definedName>
    <definedName name="Timer_act_final_cvddt">'Calculation sheet'!#REF!</definedName>
    <definedName name="Timer_act_final_cvddt1">'Calculation sheet'!#REF!</definedName>
    <definedName name="Timer_act_final_dimm">'Calculation sheet'!#REF!</definedName>
    <definedName name="Timer_act_final_dvdd15">'Calculation sheet'!#REF!</definedName>
    <definedName name="Timer_act_final_dvdd18">'Calculation sheet'!#REF!</definedName>
    <definedName name="Timer_act_final_dvdd33">'Calculation sheet'!#REF!</definedName>
    <definedName name="Timer_Act_tot_avddlvs">'Calculation sheet'!#REF!</definedName>
    <definedName name="Timer_Act_tot_cvdd">'Calculation sheet'!$E$288</definedName>
    <definedName name="Timer_Act_tot_cvdd1">'Calculation sheet'!$F$288</definedName>
    <definedName name="Timer_Act_tot_cvddt">'Calculation sheet'!#REF!</definedName>
    <definedName name="Timer_Act_tot_cvddt1">'Calculation sheet'!#REF!</definedName>
    <definedName name="Timer_Act_tot_dimm">'Calculation sheet'!#REF!</definedName>
    <definedName name="Timer_Act_tot_dvdd15">'Calculation sheet'!#REF!</definedName>
    <definedName name="Timer_Act_tot_dvdd18">'Calculation sheet'!#REF!</definedName>
    <definedName name="Timer_Act_tot_dvdd33">'Calculation sheet'!#REF!</definedName>
    <definedName name="Timer_Clk_cvdd">'Calculation sheet'!$E$284</definedName>
    <definedName name="timer_clk_tot_avddlvs">'Calculation sheet'!#REF!</definedName>
    <definedName name="Timer_Clk_tot_cvdd">'Calculation sheet'!$E$285</definedName>
    <definedName name="timer_clk_tot_cvdd1">'Calculation sheet'!$F$285</definedName>
    <definedName name="timer_clk_tot_cvddt">'Calculation sheet'!#REF!</definedName>
    <definedName name="timer_clk_tot_cvddt1">'Calculation sheet'!#REF!</definedName>
    <definedName name="timer_clk_tot_dimm">'Calculation sheet'!#REF!</definedName>
    <definedName name="timer_clk_tot_dvdd15">'Calculation sheet'!#REF!</definedName>
    <definedName name="timer_clk_tot_dvdd18">'Calculation sheet'!#REF!</definedName>
    <definedName name="timer_clk_tot_dvdd33">'Calculation sheet'!#REF!</definedName>
    <definedName name="Timer_en">'66AK2H14'!$B$74</definedName>
    <definedName name="timer_num_list">'Calculation sheet'!$A$286</definedName>
    <definedName name="Timer_total_en">'66AK2H14'!$E$74</definedName>
    <definedName name="Timer_util">'66AK2H14'!$D$74</definedName>
    <definedName name="Timer_util_per">'Calculation sheet'!$A$284</definedName>
    <definedName name="two_core_select">'Calculation sheet'!$B$8</definedName>
    <definedName name="UART_Act_avddlvs">'Calculation sheet'!#REF!</definedName>
    <definedName name="UART_Act_CVDD">'Calculation sheet'!$E$273</definedName>
    <definedName name="Uart_act_cvdd1">'Calculation sheet'!$F$273</definedName>
    <definedName name="UART_Act_CVDDt">'Calculation sheet'!#REF!</definedName>
    <definedName name="UART_Act_CVDDt1">'Calculation sheet'!#REF!</definedName>
    <definedName name="UART_Act_dimm">'Calculation sheet'!#REF!</definedName>
    <definedName name="UART_Act_dvdd15">'Calculation sheet'!#REF!</definedName>
    <definedName name="UART_Act_dvdd18">'Calculation sheet'!#REF!</definedName>
    <definedName name="UART_Act_dvdd33">'Calculation sheet'!#REF!</definedName>
    <definedName name="uart_Act_final_avddlvs">'Calculation sheet'!#REF!</definedName>
    <definedName name="UART_Act_final_cvdd">'Calculation sheet'!$E$275</definedName>
    <definedName name="uart_Act_final_cvdd1">'Calculation sheet'!$F$275</definedName>
    <definedName name="uart_Act_final_cvddt">'Calculation sheet'!#REF!</definedName>
    <definedName name="uart_Act_final_cvddt1">'Calculation sheet'!#REF!</definedName>
    <definedName name="uart_Act_final_dimm">'Calculation sheet'!#REF!</definedName>
    <definedName name="uart_Act_final_dvdd15">'Calculation sheet'!#REF!</definedName>
    <definedName name="uart_Act_final_dvdd18">'Calculation sheet'!#REF!</definedName>
    <definedName name="uart_Act_final_dvdd33">'Calculation sheet'!#REF!</definedName>
    <definedName name="UART_Act_tot_avddlvs">'Calculation sheet'!#REF!</definedName>
    <definedName name="UART_Act_tot_cvdd">'Calculation sheet'!$E$274</definedName>
    <definedName name="UART_Act_tot_cvdd1">'Calculation sheet'!$F$274</definedName>
    <definedName name="UART_Act_tot_cvddt">'Calculation sheet'!#REF!</definedName>
    <definedName name="UART_Act_tot_cvddt1">'Calculation sheet'!#REF!</definedName>
    <definedName name="UART_Act_tot_dimm">'Calculation sheet'!#REF!</definedName>
    <definedName name="UART_Act_tot_dvdd15">'Calculation sheet'!#REF!</definedName>
    <definedName name="UART_Act_tot_dvdd18">'Calculation sheet'!#REF!</definedName>
    <definedName name="UART_Act_tot_dvdd33">'Calculation sheet'!#REF!</definedName>
    <definedName name="UART_clk_avddlvs">'Calculation sheet'!#REF!</definedName>
    <definedName name="UART_Clk_cvdd">'Calculation sheet'!$E$269</definedName>
    <definedName name="UART_Clk_cvdd1">'Calculation sheet'!$F$269</definedName>
    <definedName name="UART_clk_cvddt">'Calculation sheet'!#REF!</definedName>
    <definedName name="UART_clk_cvddt1">'Calculation sheet'!#REF!</definedName>
    <definedName name="UART_clk_dimm">'Calculation sheet'!#REF!</definedName>
    <definedName name="UART_clk_dvdd15">'Calculation sheet'!#REF!</definedName>
    <definedName name="UART_clk_dvdd18">'Calculation sheet'!#REF!+'Calculation sheet'!#REF!</definedName>
    <definedName name="UART_clk_dvdd33">'Calculation sheet'!#REF!</definedName>
    <definedName name="UART_en">'66AK2H14'!$B$76</definedName>
    <definedName name="UART_Idle_tot_avddlvs">'Calculation sheet'!#REF!</definedName>
    <definedName name="UART_Idle_tot_cvdd">'Calculation sheet'!$E$271</definedName>
    <definedName name="UART_Idle_tot_cvdd1">'Calculation sheet'!$F$271</definedName>
    <definedName name="UART_Idle_tot_cvddt">'Calculation sheet'!#REF!</definedName>
    <definedName name="UART_Idle_tot_cvddt1">'Calculation sheet'!#REF!</definedName>
    <definedName name="UART_Idle_tot_dimm">'Calculation sheet'!#REF!</definedName>
    <definedName name="UART_Idle_tot_dvdd15">'Calculation sheet'!#REF!</definedName>
    <definedName name="UART_Idle_tot_dvdd18">'Calculation sheet'!#REF!</definedName>
    <definedName name="UART_Idle_tot_dvdd33">'Calculation sheet'!#REF!</definedName>
    <definedName name="UART_num">'66AK2H14'!$E$76</definedName>
    <definedName name="uart_num_list">'Calculation sheet'!$A$271:$A$272</definedName>
    <definedName name="UART_util">'66AK2H14'!$D$76</definedName>
    <definedName name="Uart_util_per">'Calculation sheet'!$A$268</definedName>
    <definedName name="unit_list">'Calculation sheet'!$G$3:$G$4</definedName>
    <definedName name="univ_sw">'Calculation sheet'!$D$129</definedName>
    <definedName name="USB_Enable">'66AK2H14'!$B$36</definedName>
    <definedName name="USB_SW">'66AK2H14'!#REF!</definedName>
    <definedName name="USB_SW_per">'Calculation sheet'!$S$501</definedName>
    <definedName name="USB_tot_idle_dvdd33">'Calculation sheet'!$H$495</definedName>
    <definedName name="USB_tot_idle_vddalh">'Calculation sheet'!$I$495</definedName>
    <definedName name="USB_total_idle">'Calculation sheet'!$E$495</definedName>
    <definedName name="USB_total_idle_CVDD1">'Calculation sheet'!$F$495</definedName>
    <definedName name="USB_Util">'66AK2H14'!$D$36</definedName>
    <definedName name="USB_util_per">'Calculation sheet'!$R$501</definedName>
    <definedName name="var">'66AK2H14'!$E$3</definedName>
    <definedName name="var_select">'Calculation sheet'!$E$6</definedName>
    <definedName name="vcp2_0_enable">'66AK2H14'!$B$65</definedName>
    <definedName name="vcp2_0_util">'66AK2H14'!$D$65</definedName>
    <definedName name="vcp2_0_util_per">'Calculation sheet'!$A$375</definedName>
    <definedName name="vcp2_1_enable">'66AK2H14'!$B$66</definedName>
    <definedName name="vcp2_1_util">'66AK2H14'!$D$66</definedName>
    <definedName name="vcp2_1_util_per">'Calculation sheet'!$A$376</definedName>
    <definedName name="vcp2_2_enable">'66AK2H14'!$B$67</definedName>
    <definedName name="vcp2_2_util">'66AK2H14'!$D$67</definedName>
    <definedName name="vcp2_2_util_per">'Calculation sheet'!$A$377</definedName>
    <definedName name="vcp2_3_enable">'66AK2H14'!$B$68</definedName>
    <definedName name="vcp2_3_util">'66AK2H14'!$D$68</definedName>
    <definedName name="vcp2_3_util_per">'Calculation sheet'!$A$378</definedName>
    <definedName name="vcp2_4_enable">'66AK2H14'!$B$69</definedName>
    <definedName name="vcp2_4_util">'66AK2H14'!$D$69</definedName>
    <definedName name="vcp2_4_util_per">'Calculation sheet'!$A$379</definedName>
    <definedName name="vcp2_5_enable">'66AK2H14'!$B$70</definedName>
    <definedName name="vcp2_5_util">'66AK2H14'!$D$70</definedName>
    <definedName name="vcp2_5_util_per">'Calculation sheet'!$A$380</definedName>
    <definedName name="vcp2_6_enable">'66AK2H14'!$B$71</definedName>
    <definedName name="vcp2_6_util">'66AK2H14'!$D$71</definedName>
    <definedName name="vcp2_6_util_per">'Calculation sheet'!$A$381</definedName>
    <definedName name="vcp2_7_enable">'66AK2H14'!$B$72</definedName>
    <definedName name="vcp2_7_util">'66AK2H14'!$D$72</definedName>
    <definedName name="vcp2_7_util_per">'Calculation sheet'!$A$382</definedName>
    <definedName name="vcp2_act_cvdd">'Calculation sheet'!$E$389</definedName>
    <definedName name="vcp2_act_cvdd1">'Calculation sheet'!$F$389</definedName>
    <definedName name="vcp2_act_cvddt">'Calculation sheet'!#REF!</definedName>
    <definedName name="vcp2_act_cvddt1">'Calculation sheet'!#REF!</definedName>
    <definedName name="vcp2_clock_cvdd">'Calculation sheet'!$E$377</definedName>
    <definedName name="vcp2_clock_cvdd1">'Calculation sheet'!$F$377</definedName>
    <definedName name="vcp2_clock_cvddt">'Calculation sheet'!#REF!</definedName>
    <definedName name="vcp2_clock_cvddt1">'Calculation sheet'!#REF!</definedName>
    <definedName name="vcp2_enable">'66AK2H14'!$B$65</definedName>
    <definedName name="vcp2_idle_cvdd">'Calculation sheet'!$E$378</definedName>
    <definedName name="vcp2_idle_cvdd1">'Calculation sheet'!$F$378</definedName>
    <definedName name="vcp2_idle_cvddt">'Calculation sheet'!#REF!</definedName>
    <definedName name="vcp2_idle_cvddt1">'Calculation sheet'!#REF!</definedName>
    <definedName name="vcp2_idle_en_cvdd">'Calculation sheet'!$E$379</definedName>
    <definedName name="vcp2_idle_en_cvdd1">'Calculation sheet'!$F$379</definedName>
    <definedName name="vcp2_idle_en_cvddt">'Calculation sheet'!#REF!</definedName>
    <definedName name="vcp2_idle_en_cvddt1">'Calculation sheet'!#REF!</definedName>
    <definedName name="vcp2_idle_total_cvdd">'Calculation sheet'!$E$387</definedName>
    <definedName name="vcp2_leak_avddlvs">'Calculation sheet'!#REF!</definedName>
    <definedName name="vcp2_leak_cvdd">'Calculation sheet'!$E$376</definedName>
    <definedName name="vcp2_leak_cvdd1">'Calculation sheet'!$F$376</definedName>
    <definedName name="vcp2_leak_cvddt">'Calculation sheet'!#REF!</definedName>
    <definedName name="vcp2_leak_cvddt1">'Calculation sheet'!#REF!</definedName>
    <definedName name="vcp2_leak_dimm">'Calculation sheet'!#REF!</definedName>
    <definedName name="vcp2_leak_dvdd15">'Calculation sheet'!#REF!</definedName>
    <definedName name="vcp2_leak_dvdd18">'Calculation sheet'!#REF!</definedName>
    <definedName name="vcp2_leak_dvdd33">'Calculation sheet'!#REF!</definedName>
    <definedName name="vcp2_total_en">'66AK2H14'!$E$65</definedName>
    <definedName name="vcp2_util">'66AK2H14'!$D$65</definedName>
    <definedName name="vcp2_util_per">'Calculation sheet'!$A$375</definedName>
    <definedName name="vusr_lane_list">'Calculation sheet'!$F$211</definedName>
    <definedName name="vusr_rate_list">'Calculation sheet'!$E$211</definedName>
    <definedName name="wfi_per_core">'Calculation sheet'!$B$74</definedName>
    <definedName name="XG_en">'66AK2H14'!$B$35</definedName>
    <definedName name="XG_util">'66AK2H14'!$D$35</definedName>
    <definedName name="XG_util_per">'Calculation sheet'!$K$253</definedName>
    <definedName name="xge_idle_tot_vddahv">'Calculation sheet'!$G$259</definedName>
    <definedName name="xge_idle_tot_vddalh">'Calculation sheet'!$H$259</definedName>
    <definedName name="XGE_Idle_total_CVDD">'Calculation sheet'!$E$259</definedName>
    <definedName name="XGE_idle_total_CVDD1">'Calculation sheet'!$F$259</definedName>
    <definedName name="xge_lane_list">'Calculation sheet'!$I$254</definedName>
    <definedName name="xge_rate_list">'Calculation sheet'!$H$253</definedName>
    <definedName name="XGE_select">'Calculation sheet'!$B$7</definedName>
  </definedNames>
  <calcPr calcId="162913"/>
</workbook>
</file>

<file path=xl/calcChain.xml><?xml version="1.0" encoding="utf-8"?>
<calcChain xmlns="http://schemas.openxmlformats.org/spreadsheetml/2006/main">
  <c r="B75" i="2" l="1"/>
  <c r="B74" i="2" l="1"/>
  <c r="G158" i="2" l="1"/>
  <c r="G139" i="2"/>
  <c r="C1" i="1" l="1"/>
  <c r="B2" i="1"/>
  <c r="B3" i="1"/>
  <c r="M258" i="2"/>
  <c r="B2" i="2" l="1"/>
  <c r="B72" i="2"/>
  <c r="B71" i="2"/>
  <c r="B70" i="2"/>
  <c r="B69" i="2"/>
  <c r="B57" i="2"/>
  <c r="B56" i="2"/>
  <c r="W495" i="2"/>
  <c r="C157" i="2"/>
  <c r="C138" i="2"/>
  <c r="E139" i="2" l="1"/>
  <c r="E158" i="2"/>
  <c r="B7" i="2"/>
  <c r="I429" i="2"/>
  <c r="H429" i="2"/>
  <c r="B8" i="2"/>
  <c r="B73" i="2"/>
  <c r="O457" i="2"/>
  <c r="N457" i="2"/>
  <c r="O456" i="2"/>
  <c r="N456" i="2"/>
  <c r="O323" i="2"/>
  <c r="M323" i="2"/>
  <c r="O258" i="2"/>
  <c r="R232" i="2"/>
  <c r="P232" i="2"/>
  <c r="R216" i="2"/>
  <c r="P216" i="2"/>
  <c r="Q185" i="2"/>
  <c r="O185" i="2"/>
  <c r="A3" i="1" l="1"/>
  <c r="A33" i="2"/>
  <c r="A35" i="2"/>
  <c r="A36" i="2"/>
  <c r="B59" i="2"/>
  <c r="A34" i="2"/>
  <c r="B58" i="2"/>
  <c r="A2" i="1"/>
  <c r="B60" i="2" l="1"/>
  <c r="G66" i="2"/>
  <c r="S501" i="2" l="1"/>
  <c r="T455" i="2"/>
  <c r="P356" i="2"/>
  <c r="H318" i="2"/>
  <c r="D211" i="2"/>
  <c r="X183" i="2"/>
  <c r="S162" i="2" l="1"/>
  <c r="R162" i="2" s="1"/>
  <c r="S143" i="2"/>
  <c r="Q143" i="2" s="1"/>
  <c r="Q162" i="2" l="1"/>
  <c r="E168" i="2" s="1"/>
  <c r="G168" i="2"/>
  <c r="G162" i="2"/>
  <c r="R143" i="2"/>
  <c r="G143" i="2" s="1"/>
  <c r="E143" i="2"/>
  <c r="E149" i="2"/>
  <c r="H66" i="2"/>
  <c r="H158" i="2"/>
  <c r="G149" i="2" l="1"/>
  <c r="E162" i="2"/>
  <c r="P439" i="2"/>
  <c r="P438" i="2"/>
  <c r="R439" i="2"/>
  <c r="R438" i="2"/>
  <c r="R427" i="2" l="1"/>
  <c r="P427" i="2"/>
  <c r="A47" i="2" l="1"/>
  <c r="E408" i="2"/>
  <c r="E512" i="2"/>
  <c r="F450" i="2"/>
  <c r="F438" i="2"/>
  <c r="A50" i="2"/>
  <c r="F427" i="2"/>
  <c r="E544" i="2"/>
  <c r="F389" i="2"/>
  <c r="E427" i="2"/>
  <c r="E438" i="2"/>
  <c r="E450" i="2"/>
  <c r="E509" i="2"/>
  <c r="E389" i="2"/>
  <c r="F415" i="2"/>
  <c r="F432" i="2"/>
  <c r="F444" i="2"/>
  <c r="E477" i="2"/>
  <c r="E522" i="2"/>
  <c r="F546" i="2"/>
  <c r="E415" i="2"/>
  <c r="E432" i="2"/>
  <c r="E444" i="2"/>
  <c r="E469" i="2"/>
  <c r="F512" i="2"/>
  <c r="E546" i="2"/>
  <c r="A41" i="2"/>
  <c r="A45" i="2"/>
  <c r="A40" i="2"/>
  <c r="A44" i="2"/>
  <c r="A46" i="2"/>
  <c r="A39" i="2"/>
  <c r="A43" i="2"/>
  <c r="A38" i="2"/>
  <c r="A42" i="2"/>
  <c r="F103" i="2" l="1"/>
  <c r="E103" i="2"/>
  <c r="E65" i="2" s="1"/>
  <c r="D227" i="2"/>
  <c r="G135" i="2"/>
  <c r="G133" i="2"/>
  <c r="K13" i="2"/>
  <c r="J13" i="2"/>
  <c r="I13" i="2"/>
  <c r="N3" i="2"/>
  <c r="I36" i="1" s="1"/>
  <c r="O3" i="2"/>
  <c r="F135" i="2"/>
  <c r="M4" i="1"/>
  <c r="S1" i="2"/>
  <c r="R1" i="2"/>
  <c r="Q1" i="2"/>
  <c r="P1" i="2"/>
  <c r="O1" i="2"/>
  <c r="N1" i="2"/>
  <c r="M1" i="2"/>
  <c r="H65" i="2"/>
  <c r="E433" i="2"/>
  <c r="E434" i="2"/>
  <c r="E439" i="2"/>
  <c r="E440" i="2"/>
  <c r="E445" i="2"/>
  <c r="E446" i="2"/>
  <c r="E451" i="2"/>
  <c r="E452" i="2"/>
  <c r="V158" i="2" l="1"/>
  <c r="V139" i="2"/>
  <c r="I48" i="1"/>
  <c r="I49" i="1"/>
  <c r="I51" i="1"/>
  <c r="I47" i="1"/>
  <c r="I50" i="1"/>
  <c r="I46" i="1"/>
  <c r="E435" i="2"/>
  <c r="E441" i="2"/>
  <c r="E453" i="2"/>
  <c r="E447" i="2"/>
  <c r="A125" i="2" l="1"/>
  <c r="G427" i="2"/>
  <c r="G428" i="2" s="1"/>
  <c r="F428" i="2"/>
  <c r="F429" i="2" s="1"/>
  <c r="E428" i="2"/>
  <c r="E429" i="2" s="1"/>
  <c r="F236" i="2"/>
  <c r="F235" i="2"/>
  <c r="E236" i="2"/>
  <c r="E235" i="2"/>
  <c r="F232" i="2"/>
  <c r="E232" i="2"/>
  <c r="H258" i="2"/>
  <c r="H259" i="2" s="1"/>
  <c r="G258" i="2"/>
  <c r="G259" i="2" s="1"/>
  <c r="I500" i="2"/>
  <c r="H500" i="2"/>
  <c r="R494" i="2"/>
  <c r="I494" i="2" s="1"/>
  <c r="I495" i="2" s="1"/>
  <c r="P494" i="2"/>
  <c r="H494" i="2" s="1"/>
  <c r="H495" i="2" s="1"/>
  <c r="M459" i="2"/>
  <c r="O458" i="2"/>
  <c r="O459" i="2" s="1"/>
  <c r="N458" i="2"/>
  <c r="N459" i="2" s="1"/>
  <c r="M458" i="2"/>
  <c r="L458" i="2"/>
  <c r="L459" i="2" s="1"/>
  <c r="H323" i="2"/>
  <c r="H324" i="2" s="1"/>
  <c r="G323" i="2"/>
  <c r="G324" i="2" s="1"/>
  <c r="I232" i="2"/>
  <c r="I233" i="2" s="1"/>
  <c r="H232" i="2"/>
  <c r="H233" i="2" s="1"/>
  <c r="I221" i="2"/>
  <c r="H221" i="2"/>
  <c r="G221" i="2"/>
  <c r="I220" i="2"/>
  <c r="H220" i="2"/>
  <c r="G220" i="2"/>
  <c r="I216" i="2"/>
  <c r="I217" i="2" s="1"/>
  <c r="H216" i="2"/>
  <c r="H217" i="2" s="1"/>
  <c r="G216" i="2"/>
  <c r="G217" i="2" s="1"/>
  <c r="H191" i="2"/>
  <c r="G191" i="2"/>
  <c r="H190" i="2"/>
  <c r="G190" i="2"/>
  <c r="H189" i="2"/>
  <c r="G189" i="2"/>
  <c r="H188" i="2"/>
  <c r="G188" i="2"/>
  <c r="H185" i="2"/>
  <c r="H186" i="2" s="1"/>
  <c r="G185" i="2"/>
  <c r="G186" i="2" s="1"/>
  <c r="V183" i="2"/>
  <c r="K66" i="2" l="1"/>
  <c r="J66" i="2"/>
  <c r="I66" i="2"/>
  <c r="I67" i="2" s="1"/>
  <c r="F121" i="2"/>
  <c r="E121" i="2"/>
  <c r="G429" i="2"/>
  <c r="I427" i="2"/>
  <c r="H427" i="2"/>
  <c r="E122" i="2"/>
  <c r="F122" i="2"/>
  <c r="A295" i="2"/>
  <c r="A268" i="2"/>
  <c r="A245" i="2"/>
  <c r="A284" i="2"/>
  <c r="S3" i="2"/>
  <c r="Z259" i="2" s="1"/>
  <c r="R3" i="2"/>
  <c r="Y324" i="2" s="1"/>
  <c r="W324" i="2" s="1"/>
  <c r="K38" i="1" s="1"/>
  <c r="Q3" i="2"/>
  <c r="Q6" i="2" s="1"/>
  <c r="Y259" i="2" l="1"/>
  <c r="W259" i="2" s="1"/>
  <c r="K35" i="1" s="1"/>
  <c r="J67" i="2"/>
  <c r="F125" i="2"/>
  <c r="F126" i="2"/>
  <c r="E123" i="2"/>
  <c r="E126" i="2"/>
  <c r="E125" i="2"/>
  <c r="F123" i="2"/>
  <c r="F124" i="2"/>
  <c r="E124" i="2"/>
  <c r="Y211" i="2"/>
  <c r="W211" i="2" s="1"/>
  <c r="K33" i="1" s="1"/>
  <c r="X495" i="2"/>
  <c r="L36" i="1" s="1"/>
  <c r="Q10" i="2" s="1"/>
  <c r="L80" i="1" s="1"/>
  <c r="S4" i="2"/>
  <c r="S6" i="2"/>
  <c r="Z227" i="2"/>
  <c r="M34" i="1" s="1"/>
  <c r="Z324" i="2"/>
  <c r="M38" i="1" s="1"/>
  <c r="Y227" i="2"/>
  <c r="W227" i="2" s="1"/>
  <c r="K34" i="1" s="1"/>
  <c r="Z495" i="2"/>
  <c r="M36" i="1" s="1"/>
  <c r="Z188" i="2"/>
  <c r="M32" i="1" s="1"/>
  <c r="Z211" i="2"/>
  <c r="M33" i="1" s="1"/>
  <c r="M35" i="1"/>
  <c r="Y188" i="2"/>
  <c r="W188" i="2" s="1"/>
  <c r="K32" i="1" s="1"/>
  <c r="K67" i="2"/>
  <c r="R4" i="2"/>
  <c r="G65" i="2"/>
  <c r="O6" i="2" s="1"/>
  <c r="C14" i="2"/>
  <c r="C62" i="2" s="1"/>
  <c r="B14" i="2"/>
  <c r="F19" i="2"/>
  <c r="E19" i="2"/>
  <c r="H18" i="2"/>
  <c r="H13" i="2" s="1"/>
  <c r="G18" i="2"/>
  <c r="G13" i="2" s="1"/>
  <c r="Q4" i="2"/>
  <c r="P3" i="2"/>
  <c r="P6" i="2" s="1"/>
  <c r="M3" i="2"/>
  <c r="F544" i="2"/>
  <c r="J527" i="2"/>
  <c r="F527" i="2" s="1"/>
  <c r="H527" i="2"/>
  <c r="E527" i="2" s="1"/>
  <c r="F522" i="2"/>
  <c r="F523" i="2" s="1"/>
  <c r="E523" i="2"/>
  <c r="A543" i="2"/>
  <c r="A525" i="2"/>
  <c r="A524" i="2"/>
  <c r="A523" i="2"/>
  <c r="A522" i="2"/>
  <c r="A510" i="2"/>
  <c r="F50" i="2" l="1"/>
  <c r="F52" i="2"/>
  <c r="B62" i="2"/>
  <c r="E14" i="2"/>
  <c r="H16" i="1"/>
  <c r="N16" i="1" s="1"/>
  <c r="E50" i="2"/>
  <c r="E52" i="2"/>
  <c r="P10" i="2"/>
  <c r="S10" i="2"/>
  <c r="M80" i="1" s="1"/>
  <c r="H17" i="1"/>
  <c r="T139" i="2"/>
  <c r="T158" i="2"/>
  <c r="M6" i="2"/>
  <c r="P4" i="2"/>
  <c r="Q14" i="2"/>
  <c r="E42" i="2"/>
  <c r="S8" i="2"/>
  <c r="M81" i="1" s="1"/>
  <c r="F23" i="2"/>
  <c r="F14" i="2"/>
  <c r="E23" i="2"/>
  <c r="H67" i="2"/>
  <c r="F40" i="2"/>
  <c r="F25" i="2"/>
  <c r="F49" i="2"/>
  <c r="F46" i="2"/>
  <c r="F42" i="2"/>
  <c r="E529" i="2"/>
  <c r="H56" i="1" s="1"/>
  <c r="F38" i="2"/>
  <c r="F27" i="2"/>
  <c r="F44" i="2"/>
  <c r="Q12" i="2"/>
  <c r="L82" i="1" s="1"/>
  <c r="E26" i="2"/>
  <c r="E39" i="2"/>
  <c r="E45" i="2"/>
  <c r="E47" i="2"/>
  <c r="O4" i="2"/>
  <c r="F24" i="2"/>
  <c r="F26" i="2"/>
  <c r="F39" i="2"/>
  <c r="F41" i="2"/>
  <c r="F43" i="2"/>
  <c r="F45" i="2"/>
  <c r="F47" i="2"/>
  <c r="E24" i="2"/>
  <c r="E41" i="2"/>
  <c r="E43" i="2"/>
  <c r="Q8" i="2"/>
  <c r="L81" i="1" s="1"/>
  <c r="E25" i="2"/>
  <c r="E27" i="2"/>
  <c r="E38" i="2"/>
  <c r="E40" i="2"/>
  <c r="E44" i="2"/>
  <c r="E46" i="2"/>
  <c r="E49" i="2"/>
  <c r="F530" i="2"/>
  <c r="I57" i="1" s="1"/>
  <c r="E528" i="2"/>
  <c r="H55" i="1" s="1"/>
  <c r="E530" i="2"/>
  <c r="H57" i="1" s="1"/>
  <c r="F529" i="2"/>
  <c r="I56" i="1" s="1"/>
  <c r="E531" i="2"/>
  <c r="H58" i="1" s="1"/>
  <c r="F531" i="2"/>
  <c r="I58" i="1" s="1"/>
  <c r="F528" i="2"/>
  <c r="I55" i="1" s="1"/>
  <c r="F524" i="2"/>
  <c r="F525" i="2" s="1"/>
  <c r="E524" i="2"/>
  <c r="E525" i="2" s="1"/>
  <c r="E474" i="2"/>
  <c r="A472" i="2"/>
  <c r="A471" i="2"/>
  <c r="A470" i="2"/>
  <c r="A469" i="2"/>
  <c r="A468" i="2"/>
  <c r="A467" i="2"/>
  <c r="K80" i="1" l="1"/>
  <c r="S14" i="2"/>
  <c r="S12" i="2"/>
  <c r="M82" i="1" s="1"/>
  <c r="P14" i="2"/>
  <c r="N55" i="1"/>
  <c r="H10" i="2"/>
  <c r="P8" i="2"/>
  <c r="N57" i="1"/>
  <c r="N56" i="1"/>
  <c r="E482" i="2"/>
  <c r="E478" i="2"/>
  <c r="E483" i="2"/>
  <c r="E479" i="2"/>
  <c r="E480" i="2"/>
  <c r="E481" i="2"/>
  <c r="N58" i="1"/>
  <c r="E473" i="2"/>
  <c r="E472" i="2"/>
  <c r="E471" i="2"/>
  <c r="E475" i="2"/>
  <c r="E470" i="2"/>
  <c r="R455" i="2"/>
  <c r="R458" i="2"/>
  <c r="A405" i="2"/>
  <c r="A407" i="2"/>
  <c r="A406" i="2"/>
  <c r="A404" i="2"/>
  <c r="F386" i="2"/>
  <c r="F385" i="2"/>
  <c r="F384" i="2"/>
  <c r="F383" i="2"/>
  <c r="F382" i="2"/>
  <c r="F381" i="2"/>
  <c r="F380" i="2"/>
  <c r="F379" i="2"/>
  <c r="E377" i="2"/>
  <c r="A382" i="2"/>
  <c r="A381" i="2"/>
  <c r="A380" i="2"/>
  <c r="A379" i="2"/>
  <c r="A378" i="2"/>
  <c r="A377" i="2"/>
  <c r="A376" i="2"/>
  <c r="A375" i="2"/>
  <c r="F318" i="2"/>
  <c r="R501" i="2"/>
  <c r="K253" i="2"/>
  <c r="B227" i="2"/>
  <c r="B211" i="2"/>
  <c r="A342" i="2"/>
  <c r="L356" i="2"/>
  <c r="M356" i="2"/>
  <c r="N356" i="2" s="1"/>
  <c r="B135" i="2"/>
  <c r="E135" i="2"/>
  <c r="F133" i="2"/>
  <c r="E133" i="2"/>
  <c r="A310" i="2"/>
  <c r="B102" i="2"/>
  <c r="B101" i="2"/>
  <c r="B100" i="2"/>
  <c r="B99" i="2"/>
  <c r="B98" i="2"/>
  <c r="B97" i="2"/>
  <c r="B96" i="2"/>
  <c r="B95" i="2"/>
  <c r="E34" i="2" l="1"/>
  <c r="E109" i="2"/>
  <c r="F109" i="2"/>
  <c r="F34" i="2"/>
  <c r="E36" i="2"/>
  <c r="F111" i="2"/>
  <c r="F36" i="2"/>
  <c r="E111" i="2"/>
  <c r="F110" i="2"/>
  <c r="E35" i="2"/>
  <c r="F35" i="2"/>
  <c r="E110" i="2"/>
  <c r="F108" i="2"/>
  <c r="F33" i="2"/>
  <c r="E108" i="2"/>
  <c r="E33" i="2"/>
  <c r="E107" i="2"/>
  <c r="F107" i="2"/>
  <c r="F106" i="2"/>
  <c r="E106" i="2"/>
  <c r="F104" i="2"/>
  <c r="E104" i="2"/>
  <c r="F105" i="2"/>
  <c r="E105" i="2"/>
  <c r="E476" i="2"/>
  <c r="F29" i="2"/>
  <c r="E29" i="2"/>
  <c r="N88" i="2"/>
  <c r="M88" i="2"/>
  <c r="M83" i="2"/>
  <c r="N83" i="2"/>
  <c r="M87" i="2"/>
  <c r="N87" i="2"/>
  <c r="N82" i="2"/>
  <c r="M82" i="2"/>
  <c r="N86" i="2"/>
  <c r="M86" i="2"/>
  <c r="N81" i="2"/>
  <c r="M81" i="2"/>
  <c r="N85" i="2"/>
  <c r="M85" i="2"/>
  <c r="N84" i="2"/>
  <c r="M84" i="2"/>
  <c r="G222" i="2"/>
  <c r="I222" i="2"/>
  <c r="H222" i="2"/>
  <c r="F30" i="2"/>
  <c r="E30" i="2"/>
  <c r="F32" i="2"/>
  <c r="E32" i="2"/>
  <c r="E31" i="2"/>
  <c r="F31" i="2"/>
  <c r="F387" i="2"/>
  <c r="E393" i="2"/>
  <c r="E396" i="2"/>
  <c r="E391" i="2"/>
  <c r="E395" i="2"/>
  <c r="E390" i="2"/>
  <c r="E392" i="2"/>
  <c r="E394" i="2"/>
  <c r="E397" i="2"/>
  <c r="L4" i="1"/>
  <c r="F143" i="2"/>
  <c r="E112" i="2" l="1"/>
  <c r="F112" i="2"/>
  <c r="F65" i="2"/>
  <c r="N6" i="2" s="1"/>
  <c r="E18" i="2"/>
  <c r="F18" i="2"/>
  <c r="F13" i="2" s="1"/>
  <c r="F216" i="2"/>
  <c r="F217" i="2" s="1"/>
  <c r="K4" i="1"/>
  <c r="G452" i="2"/>
  <c r="G451" i="2"/>
  <c r="F453" i="2"/>
  <c r="G446" i="2"/>
  <c r="G445" i="2"/>
  <c r="F447" i="2"/>
  <c r="F441" i="2"/>
  <c r="G440" i="2"/>
  <c r="G439" i="2"/>
  <c r="F435" i="2"/>
  <c r="E13" i="2" l="1"/>
  <c r="M4" i="2" s="1"/>
  <c r="N4" i="2"/>
  <c r="H68" i="1"/>
  <c r="H51" i="1"/>
  <c r="N51" i="1" s="1"/>
  <c r="H50" i="1"/>
  <c r="N50" i="1" s="1"/>
  <c r="H48" i="1"/>
  <c r="N48" i="1" s="1"/>
  <c r="H47" i="1"/>
  <c r="N47" i="1" s="1"/>
  <c r="H49" i="1"/>
  <c r="N49" i="1" s="1"/>
  <c r="H46" i="1"/>
  <c r="H72" i="1"/>
  <c r="H71" i="1"/>
  <c r="H66" i="1"/>
  <c r="H69" i="1"/>
  <c r="H67" i="1"/>
  <c r="H70" i="1"/>
  <c r="H65" i="1"/>
  <c r="G447" i="2"/>
  <c r="G453" i="2"/>
  <c r="T4" i="2" l="1"/>
  <c r="G498" i="2"/>
  <c r="G500" i="2" s="1"/>
  <c r="F498" i="2"/>
  <c r="F500" i="2" s="1"/>
  <c r="E498" i="2"/>
  <c r="E500" i="2" s="1"/>
  <c r="E468" i="2"/>
  <c r="F378" i="2"/>
  <c r="E346" i="2"/>
  <c r="F326" i="2"/>
  <c r="E326" i="2"/>
  <c r="F323" i="2"/>
  <c r="F324" i="2" s="1"/>
  <c r="U324" i="2" s="1"/>
  <c r="E323" i="2"/>
  <c r="E324" i="2" s="1"/>
  <c r="T324" i="2" s="1"/>
  <c r="H260" i="2"/>
  <c r="G260" i="2"/>
  <c r="G261" i="2" s="1"/>
  <c r="F260" i="2"/>
  <c r="F261" i="2" s="1"/>
  <c r="I35" i="1" s="1"/>
  <c r="E260" i="2"/>
  <c r="E261" i="2" s="1"/>
  <c r="H261" i="2" l="1"/>
  <c r="G142" i="2"/>
  <c r="F142" i="2"/>
  <c r="E161" i="2"/>
  <c r="E160" i="2"/>
  <c r="E148" i="2"/>
  <c r="E142" i="2"/>
  <c r="G67" i="2"/>
  <c r="E216" i="2"/>
  <c r="E217" i="2" s="1"/>
  <c r="T211" i="2" s="1"/>
  <c r="G10" i="2" l="1"/>
  <c r="E200" i="2"/>
  <c r="E190" i="2"/>
  <c r="E185" i="2"/>
  <c r="G147" i="2"/>
  <c r="G148" i="2"/>
  <c r="J126" i="2"/>
  <c r="J125" i="2"/>
  <c r="J124" i="2"/>
  <c r="J123" i="2"/>
  <c r="I126" i="2"/>
  <c r="I125" i="2"/>
  <c r="I124" i="2"/>
  <c r="I123" i="2"/>
  <c r="H126" i="2"/>
  <c r="H125" i="2"/>
  <c r="H124" i="2"/>
  <c r="H123" i="2"/>
  <c r="G126" i="2"/>
  <c r="G125" i="2"/>
  <c r="G124" i="2"/>
  <c r="G123" i="2"/>
  <c r="I19" i="1"/>
  <c r="H18" i="1"/>
  <c r="F93" i="2"/>
  <c r="E93" i="2"/>
  <c r="F92" i="2"/>
  <c r="E92" i="2"/>
  <c r="F547" i="2"/>
  <c r="I53" i="1" s="1"/>
  <c r="E547" i="2"/>
  <c r="F509" i="2"/>
  <c r="F510" i="2" s="1"/>
  <c r="E510" i="2"/>
  <c r="F494" i="2"/>
  <c r="F495" i="2" s="1"/>
  <c r="E494" i="2"/>
  <c r="E493" i="2"/>
  <c r="F493" i="2"/>
  <c r="F484" i="2"/>
  <c r="F476" i="2"/>
  <c r="G441" i="2"/>
  <c r="G434" i="2"/>
  <c r="G433" i="2"/>
  <c r="F455" i="2"/>
  <c r="F408" i="2"/>
  <c r="F364" i="2"/>
  <c r="F365" i="2" s="1"/>
  <c r="E364" i="2"/>
  <c r="F361" i="2"/>
  <c r="F362" i="2" s="1"/>
  <c r="E361" i="2"/>
  <c r="E362" i="2" s="1"/>
  <c r="F346" i="2"/>
  <c r="F345" i="2"/>
  <c r="E345" i="2"/>
  <c r="F344" i="2"/>
  <c r="E344" i="2"/>
  <c r="F343" i="2"/>
  <c r="E343" i="2"/>
  <c r="F339" i="2"/>
  <c r="E339" i="2"/>
  <c r="E338" i="2"/>
  <c r="F338" i="2"/>
  <c r="F329" i="2"/>
  <c r="F313" i="2"/>
  <c r="E313" i="2"/>
  <c r="E299" i="2"/>
  <c r="E300" i="2" s="1"/>
  <c r="E295" i="2"/>
  <c r="F295" i="2"/>
  <c r="F300" i="2"/>
  <c r="F301" i="2" s="1"/>
  <c r="E284" i="2"/>
  <c r="E283" i="2"/>
  <c r="F283" i="2"/>
  <c r="F285" i="2" s="1"/>
  <c r="E287" i="2"/>
  <c r="F289" i="2"/>
  <c r="F273" i="2"/>
  <c r="E273" i="2"/>
  <c r="F270" i="2"/>
  <c r="E270" i="2"/>
  <c r="F269" i="2"/>
  <c r="E269" i="2"/>
  <c r="E268" i="2"/>
  <c r="F268" i="2"/>
  <c r="F258" i="2"/>
  <c r="F259" i="2" s="1"/>
  <c r="E258" i="2"/>
  <c r="E259" i="2" s="1"/>
  <c r="F249" i="2"/>
  <c r="E249" i="2"/>
  <c r="F246" i="2"/>
  <c r="E246" i="2"/>
  <c r="E245" i="2"/>
  <c r="F245" i="2"/>
  <c r="F221" i="2"/>
  <c r="E221" i="2"/>
  <c r="F220" i="2"/>
  <c r="E220" i="2"/>
  <c r="F201" i="2"/>
  <c r="E201" i="2"/>
  <c r="F200" i="2"/>
  <c r="F199" i="2"/>
  <c r="E199" i="2"/>
  <c r="F195" i="2"/>
  <c r="E195" i="2"/>
  <c r="F191" i="2"/>
  <c r="E191" i="2"/>
  <c r="F190" i="2"/>
  <c r="F189" i="2"/>
  <c r="E189" i="2"/>
  <c r="F141" i="2"/>
  <c r="B133" i="2"/>
  <c r="F147" i="2"/>
  <c r="F148" i="2"/>
  <c r="F149" i="2"/>
  <c r="F160" i="2"/>
  <c r="F161" i="2"/>
  <c r="F162" i="2"/>
  <c r="F166" i="2"/>
  <c r="F167" i="2"/>
  <c r="F168" i="2"/>
  <c r="G141" i="2"/>
  <c r="G160" i="2"/>
  <c r="G161" i="2"/>
  <c r="G166" i="2"/>
  <c r="G167" i="2"/>
  <c r="E166" i="2"/>
  <c r="E167" i="2"/>
  <c r="E141" i="2"/>
  <c r="E147" i="2"/>
  <c r="E87" i="2"/>
  <c r="E86" i="2"/>
  <c r="E85" i="2"/>
  <c r="E83" i="2"/>
  <c r="E81" i="2"/>
  <c r="G38" i="1"/>
  <c r="G27" i="1"/>
  <c r="N4" i="1"/>
  <c r="J4" i="1"/>
  <c r="I4" i="1"/>
  <c r="H4" i="1"/>
  <c r="E99" i="2" l="1"/>
  <c r="H10" i="1" s="1"/>
  <c r="E101" i="2"/>
  <c r="H12" i="1" s="1"/>
  <c r="E102" i="2"/>
  <c r="H13" i="1" s="1"/>
  <c r="E100" i="2"/>
  <c r="H11" i="1" s="1"/>
  <c r="F99" i="2"/>
  <c r="I10" i="1" s="1"/>
  <c r="F100" i="2"/>
  <c r="I11" i="1" s="1"/>
  <c r="F101" i="2"/>
  <c r="I12" i="1" s="1"/>
  <c r="F102" i="2"/>
  <c r="I13" i="1" s="1"/>
  <c r="T259" i="2"/>
  <c r="H35" i="1" s="1"/>
  <c r="N35" i="1" s="1"/>
  <c r="O8" i="2"/>
  <c r="E418" i="2"/>
  <c r="H62" i="1" s="1"/>
  <c r="E416" i="2"/>
  <c r="H60" i="1" s="1"/>
  <c r="E417" i="2"/>
  <c r="H61" i="1" s="1"/>
  <c r="E419" i="2"/>
  <c r="H63" i="1" s="1"/>
  <c r="F419" i="2"/>
  <c r="I63" i="1" s="1"/>
  <c r="F417" i="2"/>
  <c r="I61" i="1" s="1"/>
  <c r="F418" i="2"/>
  <c r="I62" i="1" s="1"/>
  <c r="F416" i="2"/>
  <c r="I60" i="1" s="1"/>
  <c r="E409" i="2"/>
  <c r="E412" i="2"/>
  <c r="E410" i="2"/>
  <c r="E411" i="2"/>
  <c r="F397" i="2"/>
  <c r="F394" i="2"/>
  <c r="F392" i="2"/>
  <c r="F390" i="2"/>
  <c r="F396" i="2"/>
  <c r="F395" i="2"/>
  <c r="F393" i="2"/>
  <c r="F391" i="2"/>
  <c r="F457" i="2"/>
  <c r="F456" i="2"/>
  <c r="I42" i="1" s="1"/>
  <c r="E495" i="2"/>
  <c r="T495" i="2" s="1"/>
  <c r="H36" i="1" s="1"/>
  <c r="N36" i="1" s="1"/>
  <c r="F222" i="2"/>
  <c r="F223" i="2" s="1"/>
  <c r="I33" i="1" s="1"/>
  <c r="E222" i="2"/>
  <c r="I17" i="1"/>
  <c r="N17" i="1" s="1"/>
  <c r="H20" i="1"/>
  <c r="I20" i="1"/>
  <c r="J98" i="2"/>
  <c r="J102" i="2"/>
  <c r="F95" i="2"/>
  <c r="I6" i="1" s="1"/>
  <c r="J99" i="2"/>
  <c r="H99" i="2"/>
  <c r="E329" i="2"/>
  <c r="E330" i="2" s="1"/>
  <c r="E331" i="2" s="1"/>
  <c r="H38" i="1" s="1"/>
  <c r="H95" i="2"/>
  <c r="J95" i="2"/>
  <c r="G99" i="2"/>
  <c r="I99" i="2"/>
  <c r="J96" i="2"/>
  <c r="G95" i="2"/>
  <c r="I95" i="2"/>
  <c r="E95" i="2"/>
  <c r="H6" i="1" s="1"/>
  <c r="E98" i="2"/>
  <c r="H9" i="1" s="1"/>
  <c r="F98" i="2"/>
  <c r="I9" i="1" s="1"/>
  <c r="G98" i="2"/>
  <c r="G102" i="2"/>
  <c r="H98" i="2"/>
  <c r="H102" i="2"/>
  <c r="I98" i="2"/>
  <c r="I102" i="2"/>
  <c r="E97" i="2"/>
  <c r="H8" i="1" s="1"/>
  <c r="F97" i="2"/>
  <c r="I8" i="1" s="1"/>
  <c r="G97" i="2"/>
  <c r="G101" i="2"/>
  <c r="H97" i="2"/>
  <c r="H101" i="2"/>
  <c r="I97" i="2"/>
  <c r="I101" i="2"/>
  <c r="J97" i="2"/>
  <c r="J101" i="2"/>
  <c r="E288" i="2"/>
  <c r="E289" i="2" s="1"/>
  <c r="E96" i="2"/>
  <c r="H7" i="1" s="1"/>
  <c r="F96" i="2"/>
  <c r="I7" i="1" s="1"/>
  <c r="G96" i="2"/>
  <c r="G100" i="2"/>
  <c r="H96" i="2"/>
  <c r="H100" i="2"/>
  <c r="I96" i="2"/>
  <c r="I100" i="2"/>
  <c r="J100" i="2"/>
  <c r="F247" i="2"/>
  <c r="E250" i="2"/>
  <c r="E251" i="2" s="1"/>
  <c r="H75" i="1" s="1"/>
  <c r="N75" i="1" s="1"/>
  <c r="E274" i="2"/>
  <c r="E275" i="2" s="1"/>
  <c r="H76" i="1" s="1"/>
  <c r="E311" i="2"/>
  <c r="E348" i="2"/>
  <c r="E349" i="2" s="1"/>
  <c r="H29" i="1" s="1"/>
  <c r="V81" i="2"/>
  <c r="V83" i="2"/>
  <c r="E150" i="2"/>
  <c r="F250" i="2"/>
  <c r="F251" i="2" s="1"/>
  <c r="F314" i="2"/>
  <c r="F315" i="2" s="1"/>
  <c r="I22" i="1" s="1"/>
  <c r="E513" i="2"/>
  <c r="H44" i="1" s="1"/>
  <c r="P12" i="2"/>
  <c r="K82" i="1" s="1"/>
  <c r="E163" i="2"/>
  <c r="F150" i="2"/>
  <c r="F144" i="2"/>
  <c r="E247" i="2"/>
  <c r="F271" i="2"/>
  <c r="V84" i="2"/>
  <c r="V88" i="2"/>
  <c r="F348" i="2"/>
  <c r="F349" i="2" s="1"/>
  <c r="I29" i="1" s="1"/>
  <c r="E407" i="2"/>
  <c r="F186" i="2"/>
  <c r="U188" i="2" s="1"/>
  <c r="F274" i="2"/>
  <c r="F275" i="2" s="1"/>
  <c r="I76" i="1" s="1"/>
  <c r="E301" i="2"/>
  <c r="E88" i="2"/>
  <c r="E144" i="2"/>
  <c r="E169" i="2"/>
  <c r="E192" i="2"/>
  <c r="E202" i="2"/>
  <c r="E204" i="2" s="1"/>
  <c r="E206" i="2" s="1"/>
  <c r="E207" i="2" s="1"/>
  <c r="F202" i="2"/>
  <c r="F204" i="2" s="1"/>
  <c r="F206" i="2" s="1"/>
  <c r="F207" i="2" s="1"/>
  <c r="F330" i="2"/>
  <c r="F331" i="2" s="1"/>
  <c r="I38" i="1" s="1"/>
  <c r="E340" i="2"/>
  <c r="E455" i="2"/>
  <c r="E456" i="2" s="1"/>
  <c r="H42" i="1" s="1"/>
  <c r="E196" i="2"/>
  <c r="E197" i="2" s="1"/>
  <c r="F340" i="2"/>
  <c r="E84" i="2"/>
  <c r="F169" i="2"/>
  <c r="E237" i="2"/>
  <c r="E238" i="2" s="1"/>
  <c r="V87" i="2"/>
  <c r="G169" i="2"/>
  <c r="F163" i="2"/>
  <c r="E186" i="2"/>
  <c r="F237" i="2"/>
  <c r="F238" i="2" s="1"/>
  <c r="I34" i="1" s="1"/>
  <c r="F513" i="2"/>
  <c r="I44" i="1" s="1"/>
  <c r="V86" i="2"/>
  <c r="G163" i="2"/>
  <c r="G150" i="2"/>
  <c r="F192" i="2"/>
  <c r="E314" i="2"/>
  <c r="E315" i="2" s="1"/>
  <c r="H22" i="1" s="1"/>
  <c r="G435" i="2"/>
  <c r="G455" i="2" s="1"/>
  <c r="H53" i="1"/>
  <c r="E82" i="2"/>
  <c r="V85" i="2"/>
  <c r="F196" i="2"/>
  <c r="F197" i="2" s="1"/>
  <c r="E271" i="2"/>
  <c r="F311" i="2"/>
  <c r="E233" i="2"/>
  <c r="T227" i="2" s="1"/>
  <c r="E285" i="2"/>
  <c r="E297" i="2"/>
  <c r="E358" i="2"/>
  <c r="V82" i="2"/>
  <c r="F233" i="2"/>
  <c r="F297" i="2"/>
  <c r="F358" i="2"/>
  <c r="F407" i="2"/>
  <c r="F366" i="2"/>
  <c r="F367" i="2" s="1"/>
  <c r="F468" i="2"/>
  <c r="E366" i="2"/>
  <c r="E367" i="2" s="1"/>
  <c r="H27" i="1" s="1"/>
  <c r="N27" i="1" s="1"/>
  <c r="E365" i="2"/>
  <c r="I32" i="1" l="1"/>
  <c r="G171" i="2"/>
  <c r="G172" i="2" s="1"/>
  <c r="J26" i="1" s="1"/>
  <c r="T188" i="2"/>
  <c r="H32" i="1" s="1"/>
  <c r="N22" i="1"/>
  <c r="N29" i="1"/>
  <c r="N9" i="1"/>
  <c r="N38" i="1"/>
  <c r="N12" i="1"/>
  <c r="N11" i="1"/>
  <c r="H34" i="1"/>
  <c r="N34" i="1" s="1"/>
  <c r="E152" i="2"/>
  <c r="E153" i="2" s="1"/>
  <c r="H25" i="1" s="1"/>
  <c r="N13" i="1"/>
  <c r="N10" i="1"/>
  <c r="N76" i="1"/>
  <c r="N8" i="1"/>
  <c r="N7" i="1"/>
  <c r="N20" i="1"/>
  <c r="E171" i="2"/>
  <c r="E172" i="2" s="1"/>
  <c r="H26" i="1" s="1"/>
  <c r="F66" i="2"/>
  <c r="F67" i="2" s="1"/>
  <c r="H74" i="1"/>
  <c r="N74" i="1" s="1"/>
  <c r="I66" i="1"/>
  <c r="N66" i="1" s="1"/>
  <c r="I65" i="1"/>
  <c r="N65" i="1" s="1"/>
  <c r="I71" i="1"/>
  <c r="N71" i="1" s="1"/>
  <c r="I70" i="1"/>
  <c r="N70" i="1" s="1"/>
  <c r="I69" i="1"/>
  <c r="N69" i="1" s="1"/>
  <c r="I72" i="1"/>
  <c r="N72" i="1" s="1"/>
  <c r="H77" i="1"/>
  <c r="N77" i="1" s="1"/>
  <c r="H19" i="1"/>
  <c r="N19" i="1" s="1"/>
  <c r="I68" i="1"/>
  <c r="N68" i="1" s="1"/>
  <c r="I67" i="1"/>
  <c r="N67" i="1" s="1"/>
  <c r="E413" i="2"/>
  <c r="N62" i="1"/>
  <c r="N61" i="1"/>
  <c r="N63" i="1"/>
  <c r="I18" i="1"/>
  <c r="N18" i="1" s="1"/>
  <c r="G456" i="2"/>
  <c r="G457" i="2" s="1"/>
  <c r="E457" i="2"/>
  <c r="N42" i="1" s="1"/>
  <c r="N53" i="1"/>
  <c r="N44" i="1"/>
  <c r="F171" i="2"/>
  <c r="F172" i="2" s="1"/>
  <c r="N46" i="1"/>
  <c r="F152" i="2"/>
  <c r="F153" i="2" s="1"/>
  <c r="E223" i="2"/>
  <c r="H33" i="1" s="1"/>
  <c r="N33" i="1" s="1"/>
  <c r="N60" i="1"/>
  <c r="N32" i="1" l="1"/>
  <c r="N26" i="1"/>
  <c r="N6" i="1"/>
  <c r="N10" i="2"/>
  <c r="F10" i="2"/>
  <c r="J81" i="1"/>
  <c r="M10" i="2" l="1"/>
  <c r="I80" i="1"/>
  <c r="N14" i="2"/>
  <c r="N12" i="2"/>
  <c r="I82" i="1" s="1"/>
  <c r="N8" i="2"/>
  <c r="I81" i="1" s="1"/>
  <c r="K81" i="1"/>
  <c r="H80" i="1" l="1"/>
  <c r="G144" i="2"/>
  <c r="G152" i="2" l="1"/>
  <c r="G153" i="2" s="1"/>
  <c r="J25" i="1" s="1"/>
  <c r="N25" i="1" s="1"/>
  <c r="O10" i="2" l="1"/>
  <c r="T10" i="2" s="1"/>
  <c r="E383" i="2"/>
  <c r="E380" i="2"/>
  <c r="E384" i="2"/>
  <c r="E385" i="2"/>
  <c r="E382" i="2"/>
  <c r="E381" i="2"/>
  <c r="E386" i="2"/>
  <c r="E379" i="2"/>
  <c r="O14" i="2" l="1"/>
  <c r="J80" i="1"/>
  <c r="O12" i="2"/>
  <c r="J82" i="1" s="1"/>
  <c r="N80" i="1"/>
  <c r="E387" i="2"/>
  <c r="E66" i="2" s="1"/>
  <c r="E67" i="2" l="1"/>
  <c r="E10" i="2" l="1"/>
  <c r="T6" i="2" l="1"/>
  <c r="T14" i="2" s="1"/>
  <c r="M12" i="2"/>
  <c r="H82" i="1" s="1"/>
  <c r="M14" i="2"/>
  <c r="M8" i="2"/>
  <c r="H81" i="1" s="1"/>
  <c r="T12" i="2" l="1"/>
  <c r="N82" i="1" s="1"/>
  <c r="T8" i="2"/>
  <c r="N81" i="1"/>
</calcChain>
</file>

<file path=xl/comments1.xml><?xml version="1.0" encoding="utf-8"?>
<comments xmlns="http://schemas.openxmlformats.org/spreadsheetml/2006/main">
  <authors>
    <author>a0271977</author>
    <author>Jayanth Rangaraju</author>
    <author>Kelsch, Katherine</author>
    <author>Kelsch, Kat</author>
  </authors>
  <commentList>
    <comment ref="R1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There is no data here for VDDAHV since we have lumped it with DVDD18 under DVDD18</t>
        </r>
      </text>
    </comment>
    <comment ref="P6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Lumping VDDAHV and DVDD18 supplies.</t>
        </r>
      </text>
    </comment>
    <comment ref="B14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This is the contribution of the baseline leakage as % of total device leakage.
Subtracting core0 leakage since it is accounted for in domain leakage.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This is the contribution of the baseline leakage as % of total device leakage.
Subtracting core0 leakage since it is accounted for in domain leakage.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Equation assumes watts. X1000 to get in mW.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Equation assumes watts. X1000 to get in mW.</t>
        </r>
      </text>
    </comment>
    <comment ref="B53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The above percentages are the average contribution of the power domains as a % of total device leakage across temps. This is the sum of that and the remaining contribution is due to the baseline testcase.</t>
        </r>
      </text>
    </comment>
    <comment ref="C53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The above percentages are the average contribution of the power domains as a % of total device leakage across temps. This is the sum of that and the remaining contribution is due to the baseline testcase.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All core clocking is part of baseline. But In oder to be consistent, we are subtracting core clocking from the baseline and adding it to peripheral clocking.</t>
        </r>
      </text>
    </comment>
    <comment ref="F65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All core clocking is part of baseline. But In oder to be consistent, we are subtracting core clocking from the baseline and adding it to peripheral clocking.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The 50mW is constant power on the AVDDx rail that gets added to the baseline. It does not change with frequency.</t>
        </r>
      </text>
    </comment>
    <comment ref="B75" authorId="0" shapeId="0">
      <text>
        <r>
          <rPr>
            <b/>
            <sz val="9"/>
            <color indexed="81"/>
            <rFont val="Tahoma"/>
            <charset val="1"/>
          </rPr>
          <t>a0271977:</t>
        </r>
        <r>
          <rPr>
            <sz val="9"/>
            <color indexed="81"/>
            <rFont val="Tahoma"/>
            <charset val="1"/>
          </rPr>
          <t xml:space="preserve">
ARM subsystem clocking is subtracted out from the baseline clocking above since it appears as a separate line item in the main display</t>
        </r>
      </text>
    </comment>
    <comment ref="E113" authorId="1" shapeId="0">
      <text>
        <r>
          <rPr>
            <b/>
            <sz val="8"/>
            <color indexed="81"/>
            <rFont val="Tahoma"/>
            <family val="2"/>
          </rPr>
          <t>Jayanth Rangaraju:</t>
        </r>
        <r>
          <rPr>
            <sz val="8"/>
            <color indexed="81"/>
            <rFont val="Tahoma"/>
            <family val="2"/>
          </rPr>
          <t xml:space="preserve">
This value gets deducted from all co-processor activty numbers that have GEM Active (EXCEPT TCP3e and VCP)</t>
        </r>
      </text>
    </comment>
    <comment ref="M113" authorId="1" shapeId="0">
      <text>
        <r>
          <rPr>
            <b/>
            <sz val="8"/>
            <color indexed="81"/>
            <rFont val="Tahoma"/>
            <family val="2"/>
          </rPr>
          <t>Jayanth Rangaraju:</t>
        </r>
        <r>
          <rPr>
            <sz val="8"/>
            <color indexed="81"/>
            <rFont val="Tahoma"/>
            <family val="2"/>
          </rPr>
          <t xml:space="preserve">
Select =1 -&gt; 2 func units
Select = 2 -&gt; 1 func unit</t>
        </r>
      </text>
    </comment>
    <comment ref="E146" authorId="2" shapeId="0">
      <text>
        <r>
          <rPr>
            <b/>
            <sz val="9"/>
            <color indexed="81"/>
            <rFont val="Tahoma"/>
            <family val="2"/>
          </rPr>
          <t>Kelsch, Katherine:</t>
        </r>
        <r>
          <rPr>
            <sz val="9"/>
            <color indexed="81"/>
            <rFont val="Tahoma"/>
            <family val="2"/>
          </rPr>
          <t xml:space="preserve">
Edited such that the Write total is equal to the highest write power, in this case cpuF</t>
        </r>
      </text>
    </comment>
    <comment ref="E231" authorId="1" shapeId="0">
      <text>
        <r>
          <rPr>
            <b/>
            <sz val="8"/>
            <color indexed="81"/>
            <rFont val="Tahoma"/>
            <family val="2"/>
          </rPr>
          <t>Jayanth Rangaraju:</t>
        </r>
        <r>
          <rPr>
            <sz val="8"/>
            <color indexed="81"/>
            <rFont val="Tahoma"/>
            <family val="2"/>
          </rPr>
          <t xml:space="preserve">
PD 3 Leakage</t>
        </r>
      </text>
    </comment>
    <comment ref="E245" authorId="1" shapeId="0">
      <text>
        <r>
          <rPr>
            <b/>
            <sz val="8"/>
            <color indexed="81"/>
            <rFont val="Tahoma"/>
            <family val="2"/>
          </rPr>
          <t>a0271977</t>
        </r>
        <r>
          <rPr>
            <sz val="8"/>
            <color indexed="81"/>
            <rFont val="Tahoma"/>
            <family val="2"/>
          </rPr>
          <t>: 
SPI is part of the Always ON PD. No Leakage.</t>
        </r>
      </text>
    </comment>
    <comment ref="E271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UART is on Always ON. Included in baseline clocking.</t>
        </r>
      </text>
    </comment>
    <comment ref="E285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Timer is on Always ON. Included in baseline clocking.</t>
        </r>
      </text>
    </comment>
    <comment ref="E295" authorId="1" shapeId="0">
      <text>
        <r>
          <rPr>
            <sz val="8"/>
            <color indexed="81"/>
            <rFont val="Tahoma"/>
            <family val="2"/>
          </rPr>
          <t>Kat Kelsch: 
I2C is part of the Always ON PD. No Leakage.</t>
        </r>
      </text>
    </comment>
    <comment ref="E340" authorId="0" shapeId="0">
      <text>
        <r>
          <rPr>
            <b/>
            <sz val="9"/>
            <color indexed="81"/>
            <rFont val="Tahoma"/>
            <family val="2"/>
          </rPr>
          <t>a0271977:</t>
        </r>
        <r>
          <rPr>
            <sz val="9"/>
            <color indexed="81"/>
            <rFont val="Tahoma"/>
            <family val="2"/>
          </rPr>
          <t xml:space="preserve">
In Always ON. Included as part of baseline clocking.</t>
        </r>
      </text>
    </comment>
    <comment ref="E374" authorId="3" shapeId="0">
      <text>
        <r>
          <rPr>
            <b/>
            <sz val="9"/>
            <color indexed="81"/>
            <rFont val="Tahoma"/>
            <family val="2"/>
          </rPr>
          <t>Kelsch, Kat:</t>
        </r>
        <r>
          <rPr>
            <sz val="9"/>
            <color indexed="81"/>
            <rFont val="Tahoma"/>
            <family val="2"/>
          </rPr>
          <t xml:space="preserve">
VCP is shared over 2 domains. Must apply leakage according to VCP # choices vs p. domain</t>
        </r>
      </text>
    </comment>
    <comment ref="E375" authorId="3" shapeId="0">
      <text>
        <r>
          <rPr>
            <b/>
            <sz val="9"/>
            <color indexed="81"/>
            <rFont val="Tahoma"/>
            <family val="2"/>
          </rPr>
          <t>Kelsch, Kat:</t>
        </r>
        <r>
          <rPr>
            <sz val="9"/>
            <color indexed="81"/>
            <rFont val="Tahoma"/>
            <family val="2"/>
          </rPr>
          <t xml:space="preserve">
This leakage is only if the PD 25 with the VDP # &gt;3 is used. </t>
        </r>
      </text>
    </comment>
    <comment ref="E493" authorId="1" shapeId="0">
      <text>
        <r>
          <rPr>
            <b/>
            <sz val="8"/>
            <color indexed="81"/>
            <rFont val="Tahoma"/>
            <family val="2"/>
          </rPr>
          <t>Kat Kelsch: 
Always on.</t>
        </r>
      </text>
    </comment>
    <comment ref="E521" authorId="1" shapeId="0">
      <text>
        <r>
          <rPr>
            <b/>
            <sz val="8"/>
            <color indexed="81"/>
            <rFont val="Tahoma"/>
            <family val="2"/>
          </rPr>
          <t>Jayanth Rangaraju:</t>
        </r>
        <r>
          <rPr>
            <sz val="8"/>
            <color indexed="81"/>
            <rFont val="Tahoma"/>
            <family val="2"/>
          </rPr>
          <t xml:space="preserve">
PD 8 Leakage</t>
        </r>
      </text>
    </comment>
    <comment ref="E542" authorId="1" shapeId="0">
      <text>
        <r>
          <rPr>
            <b/>
            <sz val="8"/>
            <color indexed="81"/>
            <rFont val="Tahoma"/>
            <family val="2"/>
          </rPr>
          <t>Jayanth Rangaraju:</t>
        </r>
        <r>
          <rPr>
            <sz val="8"/>
            <color indexed="81"/>
            <rFont val="Tahoma"/>
            <family val="2"/>
          </rPr>
          <t xml:space="preserve">
TAC  shares PD 17 with RAC</t>
        </r>
      </text>
    </comment>
  </commentList>
</comments>
</file>

<file path=xl/sharedStrings.xml><?xml version="1.0" encoding="utf-8"?>
<sst xmlns="http://schemas.openxmlformats.org/spreadsheetml/2006/main" count="1383" uniqueCount="455">
  <si>
    <t>Case Temp ( C )</t>
  </si>
  <si>
    <t>Voltage</t>
  </si>
  <si>
    <t>Variable</t>
  </si>
  <si>
    <t xml:space="preserve">For information about how to use this spreadsheet and how to interpret its results, refer to </t>
  </si>
  <si>
    <t>SmartReflex</t>
  </si>
  <si>
    <t>Power</t>
  </si>
  <si>
    <t>Module</t>
  </si>
  <si>
    <t>Temp Vals</t>
  </si>
  <si>
    <t>CGEM1</t>
  </si>
  <si>
    <t>cvdd vals</t>
  </si>
  <si>
    <t>cvdd select</t>
  </si>
  <si>
    <t>Var Divider</t>
  </si>
  <si>
    <t>Current</t>
  </si>
  <si>
    <t>LEAKAGE</t>
  </si>
  <si>
    <t>BASELINE</t>
  </si>
  <si>
    <t>CVDD</t>
  </si>
  <si>
    <t>CVDD1</t>
  </si>
  <si>
    <t>DVDD15</t>
  </si>
  <si>
    <t>DVDD18</t>
  </si>
  <si>
    <t>Baseline</t>
  </si>
  <si>
    <t>Leakage Total</t>
  </si>
  <si>
    <t>Adjustment Pading</t>
  </si>
  <si>
    <t>Power Domain Leakage Total</t>
  </si>
  <si>
    <t>0 PD Always ON</t>
  </si>
  <si>
    <t>Total Clocking</t>
  </si>
  <si>
    <t>Total</t>
  </si>
  <si>
    <t>CorePacs</t>
  </si>
  <si>
    <t>Frequency</t>
  </si>
  <si>
    <t>% SP Util</t>
  </si>
  <si>
    <t>% CC Util</t>
  </si>
  <si>
    <t>CorePac 0</t>
  </si>
  <si>
    <t>-</t>
  </si>
  <si>
    <t>Max CC</t>
  </si>
  <si>
    <t>% Util CPU</t>
  </si>
  <si>
    <t>% Util CC</t>
  </si>
  <si>
    <t>% Util Idle</t>
  </si>
  <si>
    <t>min</t>
  </si>
  <si>
    <t>max</t>
  </si>
  <si>
    <t>Total CPU0</t>
  </si>
  <si>
    <t>Total CPU1</t>
  </si>
  <si>
    <t>Total CPU2</t>
  </si>
  <si>
    <t>Total CPU3</t>
  </si>
  <si>
    <t>Baud Rate/Freq</t>
  </si>
  <si>
    <t>Mode</t>
  </si>
  <si>
    <t>%Utilization</t>
  </si>
  <si>
    <t>%Writes</t>
  </si>
  <si>
    <t>Bit Widths</t>
  </si>
  <si>
    <t>Idle</t>
  </si>
  <si>
    <t>Read</t>
  </si>
  <si>
    <t>Base</t>
  </si>
  <si>
    <t>cpuF</t>
  </si>
  <si>
    <t>ddrF</t>
  </si>
  <si>
    <t>bits</t>
  </si>
  <si>
    <t>Read Total</t>
  </si>
  <si>
    <t>Write</t>
  </si>
  <si>
    <t>Write Total</t>
  </si>
  <si>
    <t>Grand Total</t>
  </si>
  <si>
    <t>Check Total &gt; 0</t>
  </si>
  <si>
    <t>SRIO</t>
  </si>
  <si>
    <t>DIO</t>
  </si>
  <si>
    <t>Enabled</t>
  </si>
  <si>
    <t>Rate</t>
  </si>
  <si>
    <t>Lanes</t>
  </si>
  <si>
    <t>MP</t>
  </si>
  <si>
    <t>SRIO % Util</t>
  </si>
  <si>
    <t>SRIO % SW</t>
  </si>
  <si>
    <t>Disabled</t>
  </si>
  <si>
    <t>MP tests</t>
  </si>
  <si>
    <t>DIO Tests</t>
  </si>
  <si>
    <t>Power Dom Leak</t>
  </si>
  <si>
    <t>Power Dom Clock MP</t>
  </si>
  <si>
    <t>Activity MP</t>
  </si>
  <si>
    <t>ioFreq</t>
  </si>
  <si>
    <t>ports</t>
  </si>
  <si>
    <t>MP Total</t>
  </si>
  <si>
    <t>Power Dom Clock DIO</t>
  </si>
  <si>
    <t>MP vs DIO</t>
  </si>
  <si>
    <t>Activity DIO</t>
  </si>
  <si>
    <t>DIO Total</t>
  </si>
  <si>
    <t>Mode Select</t>
  </si>
  <si>
    <t>Grand Totals</t>
  </si>
  <si>
    <t>PASS % SW</t>
  </si>
  <si>
    <t>Pwr Dom Leak</t>
  </si>
  <si>
    <t>Pwr Dom Clk+Idle</t>
  </si>
  <si>
    <t>Idle Total</t>
  </si>
  <si>
    <t xml:space="preserve"> Activity</t>
  </si>
  <si>
    <t>Total_en</t>
  </si>
  <si>
    <t>HyperLink</t>
  </si>
  <si>
    <t>HyperLink % Util</t>
  </si>
  <si>
    <t>MCM % SW</t>
  </si>
  <si>
    <t>Hyperlink</t>
  </si>
  <si>
    <t>Activity</t>
  </si>
  <si>
    <t>Cpuf</t>
  </si>
  <si>
    <t>PCIe</t>
  </si>
  <si>
    <t>PCIe % Util</t>
  </si>
  <si>
    <t>PCIe % SW</t>
  </si>
  <si>
    <t>SPI</t>
  </si>
  <si>
    <t>SPI % Util</t>
  </si>
  <si>
    <t>UART</t>
  </si>
  <si>
    <t>UART % Util</t>
  </si>
  <si>
    <t>TAC</t>
  </si>
  <si>
    <t>Timer</t>
  </si>
  <si>
    <t>Timer % Util</t>
  </si>
  <si>
    <t>I2C</t>
  </si>
  <si>
    <t>I2C % Util</t>
  </si>
  <si>
    <t>MSMC</t>
  </si>
  <si>
    <t>MSMC % Util</t>
  </si>
  <si>
    <t>MSMC Idle</t>
  </si>
  <si>
    <t>Idle delta</t>
  </si>
  <si>
    <t>Navigator</t>
  </si>
  <si>
    <t>QMSS</t>
  </si>
  <si>
    <t>QM % Util</t>
  </si>
  <si>
    <t>QM</t>
  </si>
  <si>
    <t>20 Pks</t>
  </si>
  <si>
    <t>100 Pks</t>
  </si>
  <si>
    <t>400 Pks</t>
  </si>
  <si>
    <t>Max Activity Power</t>
  </si>
  <si>
    <t>Act Total</t>
  </si>
  <si>
    <t>EMIF16</t>
  </si>
  <si>
    <t>EMIF16 % Util</t>
  </si>
  <si>
    <t>EMIF16 % WR</t>
  </si>
  <si>
    <t>EMIF16 % RD</t>
  </si>
  <si>
    <t>EMIF16 % SW</t>
  </si>
  <si>
    <t>Idle total</t>
  </si>
  <si>
    <t>Write total</t>
  </si>
  <si>
    <t>Act total</t>
  </si>
  <si>
    <t>VCP2</t>
  </si>
  <si>
    <t>VCP2 % Util</t>
  </si>
  <si>
    <t>VCP2 Pwr Dom Leak</t>
  </si>
  <si>
    <t>VCP2 Pwr Dom Clk+Idle</t>
  </si>
  <si>
    <t>TCP3d</t>
  </si>
  <si>
    <t>TCP3d % Util</t>
  </si>
  <si>
    <t>Totals</t>
  </si>
  <si>
    <t>TOTALS</t>
  </si>
  <si>
    <t xml:space="preserve">                     </t>
  </si>
  <si>
    <t>1 PD_TETB</t>
  </si>
  <si>
    <t>2 PD_NETCP</t>
  </si>
  <si>
    <t>3 PD_PCIE</t>
  </si>
  <si>
    <t>4 PD_SRIO</t>
  </si>
  <si>
    <t>5 PD_HYPERLINK0</t>
  </si>
  <si>
    <t>6 PD_RESERVED</t>
  </si>
  <si>
    <t>7 PD_MSMC_RAM</t>
  </si>
  <si>
    <t>8 PD_CORE0</t>
  </si>
  <si>
    <t>9 PD_CORE1</t>
  </si>
  <si>
    <t>10 PD_CORE2</t>
  </si>
  <si>
    <t>11 PD_CORE3</t>
  </si>
  <si>
    <t>16 PD_EMIF(DDRA/B)</t>
  </si>
  <si>
    <t>27 PD_RESERVED</t>
  </si>
  <si>
    <t>28 PD_HYPERLINK1</t>
  </si>
  <si>
    <t>30 PD_ARM_SMARTREFLEX</t>
  </si>
  <si>
    <t>31 PD_ARM_COREPAC</t>
  </si>
  <si>
    <t xml:space="preserve">CorePac 1 </t>
  </si>
  <si>
    <t>CorePac 2</t>
  </si>
  <si>
    <t>CorePac 3</t>
  </si>
  <si>
    <t>CorePac 4</t>
  </si>
  <si>
    <t>CorePac 5</t>
  </si>
  <si>
    <t>CorePac 6</t>
  </si>
  <si>
    <t>CorePac 7</t>
  </si>
  <si>
    <t>Total CPU4</t>
  </si>
  <si>
    <t>Total CPU5</t>
  </si>
  <si>
    <t>Total CPU6</t>
  </si>
  <si>
    <t>Total CPU7</t>
  </si>
  <si>
    <t>TCP3d  Pwr Dom Clk+Idle</t>
  </si>
  <si>
    <t>TCP3d Pwr Dom Leak</t>
  </si>
  <si>
    <t>PA+SA+SGMII</t>
  </si>
  <si>
    <t>PASS % Util</t>
  </si>
  <si>
    <t>PASS</t>
  </si>
  <si>
    <t>Cvdd</t>
  </si>
  <si>
    <t>Network CoProcessor</t>
  </si>
  <si>
    <t>66AK2H12</t>
  </si>
  <si>
    <t>TCI6638K2K</t>
  </si>
  <si>
    <t>Choice</t>
  </si>
  <si>
    <t>Clocking</t>
  </si>
  <si>
    <t>Max Power</t>
  </si>
  <si>
    <t>DVDD33</t>
  </si>
  <si>
    <t>AVDDLVS</t>
  </si>
  <si>
    <t>DDRA</t>
  </si>
  <si>
    <t>DDRB</t>
  </si>
  <si>
    <t># of SPIs</t>
  </si>
  <si>
    <t>Number of UARTs</t>
  </si>
  <si>
    <t># of I2C</t>
  </si>
  <si>
    <t>PD 24 Leak</t>
  </si>
  <si>
    <t>PD 25 Leak</t>
  </si>
  <si>
    <t>Total Leakage</t>
  </si>
  <si>
    <t>PD 22 Leak</t>
  </si>
  <si>
    <t>PD 23 Leak</t>
  </si>
  <si>
    <t>AIF2</t>
  </si>
  <si>
    <t>CPRI_DIO</t>
  </si>
  <si>
    <t>OBSAI_DIO</t>
  </si>
  <si>
    <t>AIF % Util</t>
  </si>
  <si>
    <t>Max Util %</t>
  </si>
  <si>
    <t>AIF % SW</t>
  </si>
  <si>
    <t>OBSAI_CPPI</t>
  </si>
  <si>
    <t>CPRI_CPPI</t>
  </si>
  <si>
    <t>AIF</t>
  </si>
  <si>
    <t>FFTC</t>
  </si>
  <si>
    <t>FFTC Pwr Dom Leak</t>
  </si>
  <si>
    <t>FFTC Activity</t>
  </si>
  <si>
    <t>PD 19 Leak</t>
  </si>
  <si>
    <t>PD 20 Leak</t>
  </si>
  <si>
    <t>BCP</t>
  </si>
  <si>
    <t>BCP % Util</t>
  </si>
  <si>
    <t>ARM</t>
  </si>
  <si>
    <t>RAC</t>
  </si>
  <si>
    <t>TAC % Util</t>
  </si>
  <si>
    <t xml:space="preserve"> TAC Activity</t>
  </si>
  <si>
    <t>PD 17 leakage</t>
  </si>
  <si>
    <t>XGE speeds</t>
  </si>
  <si>
    <t>XGE Lanes</t>
  </si>
  <si>
    <t>XGE</t>
  </si>
  <si>
    <t>USB</t>
  </si>
  <si>
    <t>USB 3.0</t>
  </si>
  <si>
    <t>CorePac 1</t>
  </si>
  <si>
    <t>6638K2K_10152013_MultiIP_Rev2D.xls</t>
  </si>
  <si>
    <t>zimcggp0001yz-ckdg0000</t>
  </si>
  <si>
    <t>zimcggp7912yz-ckdg5000</t>
  </si>
  <si>
    <t>DDR3A</t>
  </si>
  <si>
    <t>DDR3B</t>
  </si>
  <si>
    <t>DDRA % Util</t>
  </si>
  <si>
    <t>DDRA % WR</t>
  </si>
  <si>
    <t>DDRB % Util</t>
  </si>
  <si>
    <t>DDRA % RD</t>
  </si>
  <si>
    <t>DDRA % SW</t>
  </si>
  <si>
    <t>DDRB % RD</t>
  </si>
  <si>
    <t>DDRB % SW</t>
  </si>
  <si>
    <t>DDRB % WR</t>
  </si>
  <si>
    <t>A</t>
  </si>
  <si>
    <t>B</t>
  </si>
  <si>
    <t>CorePac Status</t>
  </si>
  <si>
    <t>GEM Activity</t>
  </si>
  <si>
    <t>Slope</t>
  </si>
  <si>
    <t>Intercept</t>
  </si>
  <si>
    <t>ARM A15x4 activity</t>
  </si>
  <si>
    <t>DDR3A/B</t>
  </si>
  <si>
    <t>NETCP</t>
  </si>
  <si>
    <t>USB3.0</t>
  </si>
  <si>
    <t>DV Test</t>
  </si>
  <si>
    <t>ACT</t>
  </si>
  <si>
    <t>CONTROL</t>
  </si>
  <si>
    <t>Subtracting out the VT compensated IDLE from VT compensated activity tests show good consistency across temps (6638K2K_11112013_MultiIP_Rev1D jr121813 r3_ak121913.xls). Use the raw measurement data at 30C since temp compensation across other IPs does not show any improvement and CVDD variations are insignificant.</t>
  </si>
  <si>
    <t>DVDD_33</t>
  </si>
  <si>
    <t>MAX_SPL</t>
  </si>
  <si>
    <t>SLOPE</t>
  </si>
  <si>
    <t>INTERCEPT</t>
  </si>
  <si>
    <t>REFERENCE</t>
  </si>
  <si>
    <t>6638K2K_11112013_MultiIP_Rev1D jr121813 r3_ak121913.xls!'GEM activity'</t>
  </si>
  <si>
    <t>6638K2K_11112013_MultiIP_Rev1D jr121813 r3_ak121913.xls!'ARM activity'</t>
  </si>
  <si>
    <t>zincatf8007az-ckda1000</t>
  </si>
  <si>
    <t>zincatf8101az-ckda1000</t>
  </si>
  <si>
    <t>DHRYSTONE_CACHE</t>
  </si>
  <si>
    <t>WHILE1</t>
  </si>
  <si>
    <t>p416195711_ak_12192013 jr131217.xlsx (Design estimates)</t>
  </si>
  <si>
    <t>6638K2K_11112013_MultiIP_Rev1D jr121813 r3_ak121913.xls!'DDR activity'</t>
  </si>
  <si>
    <t>10GE</t>
  </si>
  <si>
    <t>Gauss_Timer.xls. Not in design estimates.</t>
  </si>
  <si>
    <t>Always ON</t>
  </si>
  <si>
    <t>6638_01092014_MSMC_rev1D.xls</t>
  </si>
  <si>
    <t>Not in design estimates, was already populated with no reference</t>
  </si>
  <si>
    <t/>
  </si>
  <si>
    <t>6638K2K_11112013_MultiIP_Rev1D jr121813 r3_ak121913.xls!'FFTC'</t>
  </si>
  <si>
    <t>LS</t>
  </si>
  <si>
    <t>HS</t>
  </si>
  <si>
    <t>FS</t>
  </si>
  <si>
    <t>SS</t>
  </si>
  <si>
    <t>From Gauss. (not in design estimates)</t>
  </si>
  <si>
    <t>C66x CorePacs</t>
  </si>
  <si>
    <t>ARM A15 CorePacs</t>
  </si>
  <si>
    <t>A15 CorePac 0</t>
  </si>
  <si>
    <t>A15 CorePac 1</t>
  </si>
  <si>
    <t>A15 CorePac 2</t>
  </si>
  <si>
    <t>A15 CorePac 3</t>
  </si>
  <si>
    <t>10-GbE Switch Subsystem</t>
  </si>
  <si>
    <t>Multicore Navigator</t>
  </si>
  <si>
    <t>Radio Acceleration PACs</t>
  </si>
  <si>
    <t>C66x CorePac 0</t>
  </si>
  <si>
    <t>C66x CorePac 1</t>
  </si>
  <si>
    <t>C66x CorePac 2</t>
  </si>
  <si>
    <t>C66x CorePac 3</t>
  </si>
  <si>
    <t>C66x CorePac 4</t>
  </si>
  <si>
    <t>C66x CorePac 5</t>
  </si>
  <si>
    <t>C66x CorePac 6</t>
  </si>
  <si>
    <t>C66x CorePac 7</t>
  </si>
  <si>
    <t>ARM A15 CorePac0</t>
  </si>
  <si>
    <t>ARM A15 CorePac1</t>
  </si>
  <si>
    <t>ARM A15 CorePac2</t>
  </si>
  <si>
    <t>ARM A15 CorePac3</t>
  </si>
  <si>
    <t>Baseline Clocking</t>
  </si>
  <si>
    <t>Peripheral Clocking</t>
  </si>
  <si>
    <t>64-bit Timer</t>
  </si>
  <si>
    <t>External memory interfaces</t>
  </si>
  <si>
    <t>High Speed Peripherals</t>
  </si>
  <si>
    <t>External Memory Interfaces</t>
  </si>
  <si>
    <t>VDDAHV</t>
  </si>
  <si>
    <t>VDDALH</t>
  </si>
  <si>
    <t>Baseline Leakage cvdd</t>
  </si>
  <si>
    <t>Leakage curve model from PE</t>
  </si>
  <si>
    <t>CVDD leakage scaling</t>
  </si>
  <si>
    <t>CVDD1 leakage scaling</t>
  </si>
  <si>
    <t>VDDAVH</t>
  </si>
  <si>
    <t>VCP2_0</t>
  </si>
  <si>
    <t>VCP2_1</t>
  </si>
  <si>
    <t>VCP2_2</t>
  </si>
  <si>
    <t>VCP2_3</t>
  </si>
  <si>
    <t>VCP2_4</t>
  </si>
  <si>
    <t>VCP2_5</t>
  </si>
  <si>
    <t>VCP2_6</t>
  </si>
  <si>
    <t>VCP2_7</t>
  </si>
  <si>
    <t>Enable status for Core0</t>
  </si>
  <si>
    <t>Enable status for Core1</t>
  </si>
  <si>
    <t>Enable status for Core2</t>
  </si>
  <si>
    <t>Enable status for Core3</t>
  </si>
  <si>
    <t>Enable status for Core4</t>
  </si>
  <si>
    <t>Enable status for Core5</t>
  </si>
  <si>
    <t>Enable status for Core6</t>
  </si>
  <si>
    <t>Enable status for Core7</t>
  </si>
  <si>
    <t xml:space="preserve">ARM Subsystem </t>
  </si>
  <si>
    <t>rate</t>
  </si>
  <si>
    <t>lanes</t>
  </si>
  <si>
    <t>XGE % Util</t>
  </si>
  <si>
    <t>Status</t>
  </si>
  <si>
    <t>Idle clocking vcp0</t>
  </si>
  <si>
    <t>Idle clocking vcp1</t>
  </si>
  <si>
    <t>Idle clocking vcp2</t>
  </si>
  <si>
    <t>Idle clocking vcp3</t>
  </si>
  <si>
    <t>Idle clocking vcp4</t>
  </si>
  <si>
    <t>Idle clocking vcp5</t>
  </si>
  <si>
    <t>Idle clocking vcp6</t>
  </si>
  <si>
    <t>Idle clocking vcp7</t>
  </si>
  <si>
    <t>Total idle clocking</t>
  </si>
  <si>
    <t>TCP3d_0</t>
  </si>
  <si>
    <t>TCP3d_1</t>
  </si>
  <si>
    <t>TCP3d_2</t>
  </si>
  <si>
    <t>TCP3d_3</t>
  </si>
  <si>
    <t>TCP3d_0 idle clocking</t>
  </si>
  <si>
    <t>TCP3d_1 idle clocking</t>
  </si>
  <si>
    <t>TCP3d_2 idle clocking</t>
  </si>
  <si>
    <t>TCP3d_3 idle clocking</t>
  </si>
  <si>
    <t>Idle clocking per TCP</t>
  </si>
  <si>
    <t>Activity per TCP</t>
  </si>
  <si>
    <t>Activity TCP3d_0</t>
  </si>
  <si>
    <t>Activity TCP3d_1</t>
  </si>
  <si>
    <t>Activity TCP3d_2</t>
  </si>
  <si>
    <t>Activity TCP3d_3</t>
  </si>
  <si>
    <t>FFTC_0</t>
  </si>
  <si>
    <t>FFTC_1</t>
  </si>
  <si>
    <t>FFTC_2</t>
  </si>
  <si>
    <t>FFTC_3</t>
  </si>
  <si>
    <t>FFTC_4</t>
  </si>
  <si>
    <t>FFTC_5</t>
  </si>
  <si>
    <t>FFTC % Util</t>
  </si>
  <si>
    <t>Idle clocking FFTC0</t>
  </si>
  <si>
    <t>Idle clocking FFTC1</t>
  </si>
  <si>
    <t>Idle clocking FFTC2</t>
  </si>
  <si>
    <t>Idle clocking FFTC3</t>
  </si>
  <si>
    <t>Idle clocking FFTC4</t>
  </si>
  <si>
    <t>Idle clocking FFTC5</t>
  </si>
  <si>
    <t>Activity FFTC0</t>
  </si>
  <si>
    <t>Activity FFTC1</t>
  </si>
  <si>
    <t>Activity FFTC2</t>
  </si>
  <si>
    <t>Activity FFTC3</t>
  </si>
  <si>
    <t>Activity FFTC4</t>
  </si>
  <si>
    <t>Activity FFTC5</t>
  </si>
  <si>
    <t>Idle clocking total</t>
  </si>
  <si>
    <t>Idle clocking per FFTC</t>
  </si>
  <si>
    <t>Activity per FFTC</t>
  </si>
  <si>
    <t>RAC_0</t>
  </si>
  <si>
    <t>RAC_1</t>
  </si>
  <si>
    <t>RAC_2</t>
  </si>
  <si>
    <t>RAC_3</t>
  </si>
  <si>
    <t>RAC % Util</t>
  </si>
  <si>
    <t>Idle clocking for two RACs</t>
  </si>
  <si>
    <t>idle clocking RAC_0_1</t>
  </si>
  <si>
    <t>RAC_0_1 and RAC_2_3</t>
  </si>
  <si>
    <t>idle clocking RAC_2_3</t>
  </si>
  <si>
    <t>Activity RAC_0</t>
  </si>
  <si>
    <t>Activity per RAC</t>
  </si>
  <si>
    <t>Activity RAC_1</t>
  </si>
  <si>
    <t>Activity RAC_2</t>
  </si>
  <si>
    <t>Activity RAC_3</t>
  </si>
  <si>
    <t># of Timers</t>
  </si>
  <si>
    <t>Keystone-II Power Consumption Summary</t>
  </si>
  <si>
    <t>Power Model (Active)</t>
  </si>
  <si>
    <t>Power Model (Reset)</t>
  </si>
  <si>
    <t>0.85V</t>
  </si>
  <si>
    <t>1.8V</t>
  </si>
  <si>
    <t>4 lanes</t>
  </si>
  <si>
    <t>B8</t>
  </si>
  <si>
    <t>2 lanes</t>
  </si>
  <si>
    <t>B4</t>
  </si>
  <si>
    <t>6 lanes</t>
  </si>
  <si>
    <t>B4+B8</t>
  </si>
  <si>
    <t>--</t>
  </si>
  <si>
    <t>ARM_SS_status</t>
  </si>
  <si>
    <t>WFI</t>
  </si>
  <si>
    <t>Bits</t>
  </si>
  <si>
    <t>DDR Clock</t>
  </si>
  <si>
    <t>#modules/lane select</t>
  </si>
  <si>
    <t>Universal switch percentage</t>
  </si>
  <si>
    <t>% util</t>
  </si>
  <si>
    <t>% sw</t>
  </si>
  <si>
    <t>Idle clocking CPU0</t>
  </si>
  <si>
    <t>Idle clocking CPU1</t>
  </si>
  <si>
    <t>Idle clocking CPU2</t>
  </si>
  <si>
    <t>Idle clocking CPU3</t>
  </si>
  <si>
    <t>Idle clocking CPU4</t>
  </si>
  <si>
    <t>Idle clocking CPU5</t>
  </si>
  <si>
    <t>Idle clocking CPU6</t>
  </si>
  <si>
    <t>Idle clocking CPU7</t>
  </si>
  <si>
    <t>Idle clocking per core</t>
  </si>
  <si>
    <t>Total C66x clocking</t>
  </si>
  <si>
    <t>6638_12092013_clktree_lkg_rev3D_update_ak1222014.xls!All power _clock domain calc!A157:B170</t>
  </si>
  <si>
    <t>Device variants supported</t>
  </si>
  <si>
    <t>TOTAL</t>
  </si>
  <si>
    <t>DYNAMIC</t>
  </si>
  <si>
    <t>Dhrystone/Mix Conversion</t>
  </si>
  <si>
    <t>Base (Idle)</t>
  </si>
  <si>
    <t>DDR3A Idle</t>
  </si>
  <si>
    <t>DDR3B Idle</t>
  </si>
  <si>
    <t>hs_io</t>
  </si>
  <si>
    <t>suspend</t>
  </si>
  <si>
    <t>BASELINE CLOCKING</t>
  </si>
  <si>
    <t>TOTAL BASELINE</t>
  </si>
  <si>
    <t>TOTAL DYNAMIC</t>
  </si>
  <si>
    <t>(activity + idle clocking)</t>
  </si>
  <si>
    <t>ddr3a total clocking</t>
  </si>
  <si>
    <t>ddr3b total clocking</t>
  </si>
  <si>
    <t>srio total idle clocking</t>
  </si>
  <si>
    <t>mcm idle total clocking</t>
  </si>
  <si>
    <t>pcie idle total clocking</t>
  </si>
  <si>
    <t>xge total idle clocking</t>
  </si>
  <si>
    <t>netcp total idle clocking</t>
  </si>
  <si>
    <t>usb total idle clocking</t>
  </si>
  <si>
    <r>
      <t xml:space="preserve">leakage contribution/core as % of </t>
    </r>
    <r>
      <rPr>
        <b/>
        <sz val="10"/>
        <rFont val="Arial"/>
        <family val="2"/>
      </rPr>
      <t>baseline</t>
    </r>
    <r>
      <rPr>
        <sz val="10"/>
        <rFont val="Arial"/>
        <family val="2"/>
      </rPr>
      <t xml:space="preserve"> lkg (same across temp and vltg)</t>
    </r>
  </si>
  <si>
    <t># of ARM cores off</t>
  </si>
  <si>
    <t>ARM core0 disable status</t>
  </si>
  <si>
    <t>ARM core1 disable status</t>
  </si>
  <si>
    <t>ARM core2 disable status</t>
  </si>
  <si>
    <t>ARM core3 disable status</t>
  </si>
  <si>
    <t>ARM core0 WFI status</t>
  </si>
  <si>
    <t>ARM core1 WFI status</t>
  </si>
  <si>
    <t>ARM core2 WFI status</t>
  </si>
  <si>
    <t>ARM core3 WFI status</t>
  </si>
  <si>
    <t># ARM cores in WFI</t>
  </si>
  <si>
    <t>66AK2H14</t>
  </si>
  <si>
    <t>66AK2H06</t>
  </si>
  <si>
    <t>Total contribution of non-baseline (sum of above)</t>
  </si>
  <si>
    <t>To decide XGE inclusion</t>
  </si>
  <si>
    <t>To decide 4 v/s 2 GEM and ARM cores</t>
  </si>
  <si>
    <t>Rev 1.0.3</t>
  </si>
  <si>
    <t>Rev list</t>
  </si>
  <si>
    <t>1.x</t>
  </si>
  <si>
    <t>Savings due to WFI clock gating in mW/MHz per core</t>
  </si>
  <si>
    <t>ARM Subsystem clocking power (mW/mHz)</t>
  </si>
  <si>
    <t>ARM Subsystem</t>
  </si>
  <si>
    <r>
      <t xml:space="preserve">leakage contribution/core as % of </t>
    </r>
    <r>
      <rPr>
        <b/>
        <sz val="10"/>
        <rFont val="Arial"/>
        <family val="2"/>
      </rPr>
      <t>ARMCorePac lkg</t>
    </r>
    <r>
      <rPr>
        <sz val="10"/>
        <rFont val="Arial"/>
        <family val="2"/>
      </rPr>
      <t xml:space="preserve"> (same across temp and vltg)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</si>
</sst>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name val="Arial"/>
      <family val="2"/>
    </font>
    <font>
      <u/>
      <sz val="8.5"/>
      <color theme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color rgb="FF9C6500"/>
      <name val="Calibri"/>
      <family val="2"/>
    </font>
    <font>
      <sz val="11"/>
      <color rgb="FF215968"/>
      <name val="Calibri"/>
      <family val="2"/>
    </font>
    <font>
      <sz val="9"/>
      <color rgb="FFFF0000"/>
      <name val="Arial"/>
      <family val="2"/>
    </font>
    <font>
      <sz val="11"/>
      <color rgb="FF3F3F76"/>
      <name val="Calibri"/>
      <family val="2"/>
      <scheme val="minor"/>
    </font>
    <font>
      <sz val="10"/>
      <color theme="0" tint="-0.24994659260841701"/>
      <name val="Arial"/>
      <family val="2"/>
    </font>
    <font>
      <b/>
      <sz val="11"/>
      <color rgb="FF3F3F3F"/>
      <name val="Calibri"/>
      <family val="2"/>
      <scheme val="minor"/>
    </font>
    <font>
      <b/>
      <sz val="16"/>
      <color rgb="FFC0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rgb="FF92CDDC"/>
        <bgColor indexed="64"/>
      </patternFill>
    </fill>
    <fill>
      <patternFill patternType="solid">
        <fgColor rgb="FFFFCC99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2">
    <xf numFmtId="0" fontId="0" fillId="0" borderId="0"/>
    <xf numFmtId="9" fontId="7" fillId="0" borderId="0" applyFont="0" applyFill="0" applyBorder="0" applyAlignment="0" applyProtection="0"/>
    <xf numFmtId="0" fontId="6" fillId="2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3" fillId="0" borderId="0"/>
    <xf numFmtId="0" fontId="24" fillId="27" borderId="20" applyNumberFormat="0" applyAlignment="0" applyProtection="0"/>
    <xf numFmtId="9" fontId="25" fillId="0" borderId="0" applyFont="0" applyFill="0" applyBorder="0" applyAlignment="0" applyProtection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21" fillId="0" borderId="0"/>
    <xf numFmtId="0" fontId="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29" borderId="20" applyNumberFormat="0" applyAlignment="0" applyProtection="0"/>
    <xf numFmtId="0" fontId="34" fillId="27" borderId="26" applyNumberFormat="0" applyAlignment="0" applyProtection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4">
    <xf numFmtId="0" fontId="0" fillId="0" borderId="0" xfId="0"/>
    <xf numFmtId="0" fontId="8" fillId="3" borderId="0" xfId="0" applyFont="1" applyFill="1" applyAlignment="1" applyProtection="1">
      <alignment horizontal="center"/>
      <protection hidden="1"/>
    </xf>
    <xf numFmtId="0" fontId="7" fillId="3" borderId="0" xfId="0" applyFont="1" applyFill="1" applyAlignment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0" fontId="7" fillId="3" borderId="0" xfId="0" applyFont="1" applyFill="1" applyProtection="1">
      <protection hidden="1"/>
    </xf>
    <xf numFmtId="0" fontId="7" fillId="4" borderId="0" xfId="0" applyFont="1" applyFill="1" applyProtection="1">
      <protection hidden="1"/>
    </xf>
    <xf numFmtId="0" fontId="9" fillId="3" borderId="0" xfId="0" applyFont="1" applyFill="1" applyBorder="1" applyAlignment="1" applyProtection="1">
      <protection hidden="1"/>
    </xf>
    <xf numFmtId="0" fontId="7" fillId="3" borderId="0" xfId="0" applyFont="1" applyFill="1" applyBorder="1" applyProtection="1">
      <protection hidden="1"/>
    </xf>
    <xf numFmtId="0" fontId="7" fillId="4" borderId="0" xfId="0" applyFont="1" applyFill="1" applyBorder="1" applyProtection="1">
      <protection hidden="1"/>
    </xf>
    <xf numFmtId="0" fontId="9" fillId="6" borderId="3" xfId="0" applyFont="1" applyFill="1" applyBorder="1" applyAlignment="1" applyProtection="1">
      <alignment horizontal="center"/>
      <protection hidden="1"/>
    </xf>
    <xf numFmtId="0" fontId="9" fillId="3" borderId="0" xfId="0" applyFont="1" applyFill="1" applyBorder="1" applyProtection="1">
      <protection hidden="1"/>
    </xf>
    <xf numFmtId="0" fontId="7" fillId="6" borderId="5" xfId="0" applyFont="1" applyFill="1" applyBorder="1" applyAlignment="1" applyProtection="1">
      <alignment horizontal="center"/>
      <protection hidden="1"/>
    </xf>
    <xf numFmtId="2" fontId="7" fillId="6" borderId="6" xfId="0" applyNumberFormat="1" applyFont="1" applyFill="1" applyBorder="1" applyAlignment="1" applyProtection="1">
      <alignment horizontal="center"/>
      <protection hidden="1"/>
    </xf>
    <xf numFmtId="0" fontId="11" fillId="3" borderId="0" xfId="0" applyFont="1" applyFill="1" applyBorder="1" applyProtection="1">
      <protection hidden="1"/>
    </xf>
    <xf numFmtId="2" fontId="7" fillId="3" borderId="0" xfId="0" applyNumberFormat="1" applyFont="1" applyFill="1" applyAlignment="1" applyProtection="1">
      <alignment horizontal="center"/>
      <protection hidden="1"/>
    </xf>
    <xf numFmtId="2" fontId="9" fillId="6" borderId="6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6" borderId="5" xfId="0" applyFont="1" applyFill="1" applyBorder="1" applyAlignment="1" applyProtection="1">
      <alignment horizontal="center"/>
      <protection hidden="1"/>
    </xf>
    <xf numFmtId="0" fontId="7" fillId="7" borderId="3" xfId="0" applyFont="1" applyFill="1" applyBorder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2" fontId="7" fillId="0" borderId="0" xfId="0" applyNumberFormat="1" applyFont="1" applyFill="1" applyAlignment="1" applyProtection="1">
      <alignment horizontal="center"/>
      <protection hidden="1"/>
    </xf>
    <xf numFmtId="0" fontId="7" fillId="6" borderId="6" xfId="0" applyFont="1" applyFill="1" applyBorder="1" applyAlignment="1" applyProtection="1">
      <alignment horizontal="center"/>
      <protection hidden="1"/>
    </xf>
    <xf numFmtId="2" fontId="7" fillId="3" borderId="0" xfId="0" applyNumberFormat="1" applyFont="1" applyFill="1" applyProtection="1">
      <protection hidden="1"/>
    </xf>
    <xf numFmtId="0" fontId="12" fillId="0" borderId="0" xfId="0" applyFont="1" applyAlignment="1" applyProtection="1">
      <alignment horizontal="center"/>
      <protection hidden="1"/>
    </xf>
    <xf numFmtId="0" fontId="7" fillId="8" borderId="3" xfId="0" applyFont="1" applyFill="1" applyBorder="1" applyAlignment="1" applyProtection="1">
      <alignment horizontal="center"/>
      <protection hidden="1"/>
    </xf>
    <xf numFmtId="0" fontId="7" fillId="10" borderId="3" xfId="0" applyFont="1" applyFill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164" fontId="7" fillId="11" borderId="3" xfId="0" applyNumberFormat="1" applyFont="1" applyFill="1" applyBorder="1" applyAlignment="1" applyProtection="1">
      <alignment horizontal="center"/>
      <protection hidden="1"/>
    </xf>
    <xf numFmtId="0" fontId="7" fillId="12" borderId="3" xfId="0" applyFont="1" applyFill="1" applyBorder="1" applyAlignment="1" applyProtection="1">
      <alignment horizontal="center"/>
      <protection hidden="1"/>
    </xf>
    <xf numFmtId="2" fontId="7" fillId="8" borderId="3" xfId="0" applyNumberFormat="1" applyFont="1" applyFill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7" fillId="3" borderId="3" xfId="0" applyFont="1" applyFill="1" applyBorder="1" applyAlignment="1" applyProtection="1">
      <alignment horizontal="center"/>
      <protection hidden="1"/>
    </xf>
    <xf numFmtId="0" fontId="7" fillId="3" borderId="0" xfId="0" applyFont="1" applyFill="1" applyBorder="1" applyAlignment="1" applyProtection="1">
      <alignment horizontal="center"/>
      <protection hidden="1"/>
    </xf>
    <xf numFmtId="0" fontId="7" fillId="6" borderId="3" xfId="0" applyFont="1" applyFill="1" applyBorder="1" applyAlignment="1" applyProtection="1">
      <alignment horizontal="center"/>
      <protection locked="0" hidden="1"/>
    </xf>
    <xf numFmtId="2" fontId="7" fillId="6" borderId="2" xfId="0" applyNumberFormat="1" applyFont="1" applyFill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7" fillId="14" borderId="3" xfId="0" applyFont="1" applyFill="1" applyBorder="1" applyAlignment="1" applyProtection="1">
      <alignment horizontal="center"/>
      <protection hidden="1"/>
    </xf>
    <xf numFmtId="0" fontId="7" fillId="13" borderId="3" xfId="0" applyFont="1" applyFill="1" applyBorder="1" applyAlignment="1" applyProtection="1">
      <alignment horizontal="center"/>
      <protection hidden="1"/>
    </xf>
    <xf numFmtId="0" fontId="14" fillId="0" borderId="0" xfId="0" applyFont="1" applyFill="1" applyAlignment="1" applyProtection="1">
      <alignment horizontal="center"/>
      <protection hidden="1"/>
    </xf>
    <xf numFmtId="0" fontId="14" fillId="14" borderId="3" xfId="0" applyFont="1" applyFill="1" applyBorder="1" applyAlignment="1" applyProtection="1">
      <alignment horizontal="center"/>
      <protection hidden="1"/>
    </xf>
    <xf numFmtId="0" fontId="14" fillId="0" borderId="6" xfId="0" applyFont="1" applyFill="1" applyBorder="1" applyAlignment="1" applyProtection="1">
      <alignment horizontal="center"/>
      <protection hidden="1"/>
    </xf>
    <xf numFmtId="0" fontId="14" fillId="4" borderId="0" xfId="0" applyFont="1" applyFill="1" applyProtection="1">
      <protection hidden="1"/>
    </xf>
    <xf numFmtId="0" fontId="7" fillId="9" borderId="8" xfId="0" applyFont="1" applyFill="1" applyBorder="1" applyAlignment="1" applyProtection="1">
      <alignment horizontal="center"/>
      <protection hidden="1"/>
    </xf>
    <xf numFmtId="0" fontId="7" fillId="9" borderId="9" xfId="0" applyFont="1" applyFill="1" applyBorder="1" applyAlignment="1" applyProtection="1">
      <alignment horizontal="center"/>
      <protection hidden="1"/>
    </xf>
    <xf numFmtId="0" fontId="7" fillId="9" borderId="12" xfId="0" applyFont="1" applyFill="1" applyBorder="1" applyAlignment="1" applyProtection="1">
      <alignment horizontal="center"/>
      <protection hidden="1"/>
    </xf>
    <xf numFmtId="0" fontId="7" fillId="9" borderId="13" xfId="0" applyFont="1" applyFill="1" applyBorder="1" applyAlignment="1" applyProtection="1">
      <alignment horizontal="center"/>
      <protection hidden="1"/>
    </xf>
    <xf numFmtId="0" fontId="7" fillId="0" borderId="3" xfId="0" applyFont="1" applyFill="1" applyBorder="1" applyAlignment="1" applyProtection="1">
      <alignment horizontal="center"/>
      <protection locked="0" hidden="1"/>
    </xf>
    <xf numFmtId="0" fontId="7" fillId="0" borderId="3" xfId="0" applyFont="1" applyBorder="1" applyAlignment="1" applyProtection="1">
      <alignment horizontal="center"/>
      <protection locked="0" hidden="1"/>
    </xf>
    <xf numFmtId="0" fontId="12" fillId="0" borderId="0" xfId="0" applyFont="1" applyFill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locked="0" hidden="1"/>
    </xf>
    <xf numFmtId="0" fontId="7" fillId="0" borderId="2" xfId="0" applyFont="1" applyBorder="1" applyAlignment="1" applyProtection="1">
      <alignment horizontal="center"/>
      <protection locked="0" hidden="1"/>
    </xf>
    <xf numFmtId="2" fontId="0" fillId="6" borderId="6" xfId="0" applyNumberFormat="1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7" fillId="16" borderId="3" xfId="0" applyFont="1" applyFill="1" applyBorder="1" applyAlignment="1" applyProtection="1">
      <alignment horizontal="center"/>
      <protection hidden="1"/>
    </xf>
    <xf numFmtId="0" fontId="0" fillId="16" borderId="3" xfId="0" applyFill="1" applyBorder="1" applyAlignment="1" applyProtection="1">
      <alignment horizontal="center"/>
      <protection hidden="1"/>
    </xf>
    <xf numFmtId="0" fontId="0" fillId="0" borderId="5" xfId="0" applyFill="1" applyBorder="1" applyAlignment="1" applyProtection="1">
      <alignment horizontal="center"/>
      <protection hidden="1"/>
    </xf>
    <xf numFmtId="0" fontId="0" fillId="0" borderId="0" xfId="0" applyFill="1" applyAlignment="1" applyProtection="1">
      <alignment horizontal="center"/>
      <protection hidden="1"/>
    </xf>
    <xf numFmtId="0" fontId="7" fillId="4" borderId="0" xfId="0" applyFont="1" applyFill="1" applyBorder="1" applyAlignment="1" applyProtection="1">
      <alignment horizontal="center"/>
      <protection hidden="1"/>
    </xf>
    <xf numFmtId="0" fontId="7" fillId="10" borderId="2" xfId="0" applyFont="1" applyFill="1" applyBorder="1" applyAlignment="1" applyProtection="1">
      <alignment horizontal="center"/>
      <protection hidden="1"/>
    </xf>
    <xf numFmtId="0" fontId="7" fillId="10" borderId="5" xfId="0" applyFont="1" applyFill="1" applyBorder="1" applyAlignment="1" applyProtection="1">
      <alignment horizontal="center"/>
      <protection hidden="1"/>
    </xf>
    <xf numFmtId="0" fontId="7" fillId="13" borderId="2" xfId="0" applyFont="1" applyFill="1" applyBorder="1" applyAlignment="1" applyProtection="1">
      <alignment horizontal="center"/>
      <protection hidden="1"/>
    </xf>
    <xf numFmtId="0" fontId="7" fillId="0" borderId="0" xfId="4" applyBorder="1" applyAlignment="1" applyProtection="1">
      <alignment horizontal="center"/>
      <protection hidden="1"/>
    </xf>
    <xf numFmtId="10" fontId="7" fillId="0" borderId="0" xfId="0" applyNumberFormat="1" applyFont="1" applyAlignment="1" applyProtection="1">
      <alignment horizontal="center"/>
      <protection hidden="1"/>
    </xf>
    <xf numFmtId="0" fontId="9" fillId="3" borderId="18" xfId="0" applyFont="1" applyFill="1" applyBorder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/>
      <protection hidden="1"/>
    </xf>
    <xf numFmtId="0" fontId="0" fillId="0" borderId="3" xfId="0" applyFill="1" applyBorder="1" applyAlignment="1" applyProtection="1">
      <alignment horizontal="center"/>
      <protection locked="0" hidden="1"/>
    </xf>
    <xf numFmtId="0" fontId="0" fillId="0" borderId="2" xfId="0" applyBorder="1" applyAlignment="1" applyProtection="1">
      <alignment horizontal="center"/>
      <protection locked="0" hidden="1"/>
    </xf>
    <xf numFmtId="0" fontId="0" fillId="0" borderId="0" xfId="0" applyBorder="1" applyAlignment="1" applyProtection="1">
      <alignment horizontal="center"/>
      <protection hidden="1"/>
    </xf>
    <xf numFmtId="9" fontId="0" fillId="0" borderId="0" xfId="1" applyFont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9" fillId="0" borderId="5" xfId="0" applyFont="1" applyFill="1" applyBorder="1" applyAlignment="1" applyProtection="1">
      <alignment horizontal="center"/>
      <protection hidden="1"/>
    </xf>
    <xf numFmtId="0" fontId="7" fillId="14" borderId="1" xfId="0" applyFont="1" applyFill="1" applyBorder="1" applyAlignment="1" applyProtection="1">
      <alignment horizontal="center"/>
      <protection hidden="1"/>
    </xf>
    <xf numFmtId="0" fontId="7" fillId="12" borderId="1" xfId="0" applyFont="1" applyFill="1" applyBorder="1" applyAlignment="1" applyProtection="1">
      <alignment horizontal="center"/>
      <protection hidden="1"/>
    </xf>
    <xf numFmtId="0" fontId="9" fillId="3" borderId="0" xfId="0" applyFont="1" applyFill="1" applyAlignment="1" applyProtection="1">
      <protection hidden="1"/>
    </xf>
    <xf numFmtId="2" fontId="7" fillId="6" borderId="3" xfId="0" applyNumberFormat="1" applyFont="1" applyFill="1" applyBorder="1" applyAlignment="1" applyProtection="1">
      <alignment horizontal="center"/>
      <protection hidden="1"/>
    </xf>
    <xf numFmtId="2" fontId="7" fillId="3" borderId="0" xfId="0" applyNumberFormat="1" applyFont="1" applyFill="1" applyBorder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0" borderId="0" xfId="0" applyFont="1" applyFill="1" applyAlignment="1" applyProtection="1">
      <alignment horizontal="left"/>
      <protection hidden="1"/>
    </xf>
    <xf numFmtId="0" fontId="0" fillId="7" borderId="3" xfId="0" applyFont="1" applyFill="1" applyBorder="1" applyAlignment="1" applyProtection="1">
      <alignment horizontal="center"/>
      <protection hidden="1"/>
    </xf>
    <xf numFmtId="0" fontId="9" fillId="5" borderId="3" xfId="0" applyFont="1" applyFill="1" applyBorder="1" applyAlignment="1" applyProtection="1">
      <alignment horizontal="center"/>
      <protection hidden="1"/>
    </xf>
    <xf numFmtId="0" fontId="0" fillId="14" borderId="3" xfId="0" applyFont="1" applyFill="1" applyBorder="1" applyAlignment="1" applyProtection="1">
      <alignment horizontal="center"/>
      <protection hidden="1"/>
    </xf>
    <xf numFmtId="0" fontId="7" fillId="4" borderId="0" xfId="0" applyFont="1" applyFill="1" applyAlignment="1" applyProtection="1">
      <alignment horizontal="center"/>
      <protection hidden="1"/>
    </xf>
    <xf numFmtId="0" fontId="0" fillId="3" borderId="0" xfId="0" applyFill="1" applyProtection="1">
      <protection hidden="1"/>
    </xf>
    <xf numFmtId="0" fontId="0" fillId="0" borderId="3" xfId="0" applyFill="1" applyBorder="1" applyProtection="1">
      <protection locked="0" hidden="1"/>
    </xf>
    <xf numFmtId="0" fontId="9" fillId="6" borderId="5" xfId="0" applyFont="1" applyFill="1" applyBorder="1" applyProtection="1">
      <protection hidden="1"/>
    </xf>
    <xf numFmtId="2" fontId="0" fillId="6" borderId="6" xfId="0" applyNumberFormat="1" applyFill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13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0" fillId="6" borderId="5" xfId="0" applyFill="1" applyBorder="1" applyProtection="1">
      <protection hidden="1"/>
    </xf>
    <xf numFmtId="10" fontId="0" fillId="0" borderId="0" xfId="0" applyNumberFormat="1" applyProtection="1">
      <protection hidden="1"/>
    </xf>
    <xf numFmtId="0" fontId="7" fillId="0" borderId="0" xfId="0" applyFont="1" applyFill="1" applyBorder="1" applyProtection="1">
      <protection hidden="1"/>
    </xf>
    <xf numFmtId="0" fontId="0" fillId="3" borderId="0" xfId="0" applyFont="1" applyFill="1" applyAlignment="1" applyProtection="1">
      <alignment horizontal="center"/>
      <protection hidden="1"/>
    </xf>
    <xf numFmtId="0" fontId="21" fillId="14" borderId="3" xfId="0" applyFont="1" applyFill="1" applyBorder="1" applyAlignment="1" applyProtection="1">
      <alignment horizontal="center"/>
      <protection hidden="1"/>
    </xf>
    <xf numFmtId="0" fontId="0" fillId="0" borderId="0" xfId="0" applyFont="1" applyFill="1" applyAlignment="1" applyProtection="1">
      <alignment horizontal="center"/>
      <protection hidden="1"/>
    </xf>
    <xf numFmtId="0" fontId="0" fillId="0" borderId="0" xfId="0" applyFont="1" applyAlignment="1" applyProtection="1">
      <alignment horizontal="center"/>
      <protection hidden="1"/>
    </xf>
    <xf numFmtId="2" fontId="0" fillId="6" borderId="6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7" fillId="13" borderId="1" xfId="0" applyFont="1" applyFill="1" applyBorder="1" applyAlignment="1" applyProtection="1">
      <alignment horizontal="center"/>
      <protection hidden="1"/>
    </xf>
    <xf numFmtId="0" fontId="0" fillId="15" borderId="3" xfId="0" applyFill="1" applyBorder="1" applyAlignment="1" applyProtection="1">
      <alignment horizontal="center"/>
      <protection hidden="1"/>
    </xf>
    <xf numFmtId="0" fontId="16" fillId="0" borderId="0" xfId="2" applyFont="1" applyFill="1" applyBorder="1" applyAlignment="1" applyProtection="1">
      <alignment horizontal="center"/>
      <protection hidden="1"/>
    </xf>
    <xf numFmtId="0" fontId="6" fillId="0" borderId="0" xfId="2" applyFont="1" applyFill="1" applyBorder="1" applyAlignment="1" applyProtection="1">
      <alignment horizontal="center"/>
      <protection hidden="1"/>
    </xf>
    <xf numFmtId="0" fontId="0" fillId="9" borderId="3" xfId="0" applyFont="1" applyFill="1" applyBorder="1" applyAlignment="1" applyProtection="1">
      <alignment horizontal="center"/>
      <protection hidden="1"/>
    </xf>
    <xf numFmtId="0" fontId="7" fillId="18" borderId="3" xfId="0" applyFont="1" applyFill="1" applyBorder="1" applyAlignment="1" applyProtection="1">
      <alignment horizontal="center"/>
      <protection hidden="1"/>
    </xf>
    <xf numFmtId="0" fontId="7" fillId="9" borderId="3" xfId="0" applyFont="1" applyFill="1" applyBorder="1" applyAlignment="1" applyProtection="1">
      <alignment horizontal="center"/>
      <protection hidden="1"/>
    </xf>
    <xf numFmtId="0" fontId="7" fillId="19" borderId="3" xfId="0" applyFont="1" applyFill="1" applyBorder="1" applyAlignment="1" applyProtection="1">
      <alignment horizontal="center"/>
      <protection hidden="1"/>
    </xf>
    <xf numFmtId="0" fontId="0" fillId="18" borderId="3" xfId="0" applyFill="1" applyBorder="1" applyProtection="1">
      <protection hidden="1"/>
    </xf>
    <xf numFmtId="0" fontId="7" fillId="20" borderId="3" xfId="0" applyFont="1" applyFill="1" applyBorder="1" applyAlignment="1" applyProtection="1">
      <alignment horizontal="center"/>
      <protection hidden="1"/>
    </xf>
    <xf numFmtId="0" fontId="0" fillId="21" borderId="3" xfId="0" applyFill="1" applyBorder="1" applyProtection="1">
      <protection hidden="1"/>
    </xf>
    <xf numFmtId="0" fontId="0" fillId="20" borderId="3" xfId="0" applyFill="1" applyBorder="1" applyProtection="1">
      <protection hidden="1"/>
    </xf>
    <xf numFmtId="0" fontId="0" fillId="21" borderId="3" xfId="0" applyFont="1" applyFill="1" applyBorder="1" applyAlignment="1" applyProtection="1">
      <alignment horizontal="center"/>
      <protection hidden="1"/>
    </xf>
    <xf numFmtId="0" fontId="16" fillId="21" borderId="3" xfId="2" applyFont="1" applyFill="1" applyBorder="1" applyAlignment="1" applyProtection="1">
      <alignment horizontal="center"/>
      <protection hidden="1"/>
    </xf>
    <xf numFmtId="0" fontId="0" fillId="0" borderId="0" xfId="0" applyFont="1" applyFill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 vertical="center"/>
      <protection locked="0" hidden="1"/>
    </xf>
    <xf numFmtId="2" fontId="7" fillId="6" borderId="6" xfId="0" applyNumberFormat="1" applyFont="1" applyFill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10" fontId="7" fillId="0" borderId="0" xfId="0" applyNumberFormat="1" applyFont="1" applyAlignment="1" applyProtection="1">
      <alignment horizontal="center" vertical="center"/>
      <protection hidden="1"/>
    </xf>
    <xf numFmtId="0" fontId="7" fillId="0" borderId="0" xfId="0" applyNumberFormat="1" applyFont="1" applyProtection="1">
      <protection hidden="1"/>
    </xf>
    <xf numFmtId="0" fontId="7" fillId="12" borderId="3" xfId="0" applyFont="1" applyFill="1" applyBorder="1" applyProtection="1">
      <protection hidden="1"/>
    </xf>
    <xf numFmtId="10" fontId="7" fillId="0" borderId="0" xfId="0" applyNumberFormat="1" applyFont="1" applyProtection="1">
      <protection hidden="1"/>
    </xf>
    <xf numFmtId="0" fontId="7" fillId="14" borderId="3" xfId="0" applyFont="1" applyFill="1" applyBorder="1" applyProtection="1">
      <protection hidden="1"/>
    </xf>
    <xf numFmtId="2" fontId="7" fillId="6" borderId="0" xfId="0" applyNumberFormat="1" applyFont="1" applyFill="1" applyBorder="1" applyAlignment="1" applyProtection="1">
      <alignment horizontal="left"/>
      <protection hidden="1"/>
    </xf>
    <xf numFmtId="0" fontId="7" fillId="18" borderId="3" xfId="0" applyFont="1" applyFill="1" applyBorder="1" applyProtection="1">
      <protection hidden="1"/>
    </xf>
    <xf numFmtId="0" fontId="7" fillId="19" borderId="3" xfId="0" applyFont="1" applyFill="1" applyBorder="1" applyProtection="1">
      <protection hidden="1"/>
    </xf>
    <xf numFmtId="0" fontId="0" fillId="18" borderId="3" xfId="0" applyFont="1" applyFill="1" applyBorder="1" applyProtection="1">
      <protection hidden="1"/>
    </xf>
    <xf numFmtId="0" fontId="7" fillId="17" borderId="3" xfId="0" applyFont="1" applyFill="1" applyBorder="1" applyProtection="1">
      <protection hidden="1"/>
    </xf>
    <xf numFmtId="0" fontId="12" fillId="0" borderId="0" xfId="0" applyFont="1" applyProtection="1">
      <protection hidden="1"/>
    </xf>
    <xf numFmtId="0" fontId="9" fillId="0" borderId="5" xfId="0" applyFont="1" applyFill="1" applyBorder="1" applyProtection="1">
      <protection hidden="1"/>
    </xf>
    <xf numFmtId="2" fontId="7" fillId="0" borderId="6" xfId="0" applyNumberFormat="1" applyFont="1" applyFill="1" applyBorder="1" applyAlignment="1" applyProtection="1">
      <alignment horizontal="left"/>
      <protection hidden="1"/>
    </xf>
    <xf numFmtId="0" fontId="7" fillId="22" borderId="3" xfId="0" applyFont="1" applyFill="1" applyBorder="1" applyProtection="1">
      <protection hidden="1"/>
    </xf>
    <xf numFmtId="0" fontId="7" fillId="20" borderId="3" xfId="0" applyFont="1" applyFill="1" applyBorder="1" applyProtection="1">
      <protection hidden="1"/>
    </xf>
    <xf numFmtId="0" fontId="0" fillId="14" borderId="3" xfId="0" applyFill="1" applyBorder="1" applyProtection="1">
      <protection hidden="1"/>
    </xf>
    <xf numFmtId="0" fontId="0" fillId="14" borderId="3" xfId="0" applyFill="1" applyBorder="1" applyAlignment="1" applyProtection="1">
      <alignment horizontal="center"/>
      <protection hidden="1"/>
    </xf>
    <xf numFmtId="0" fontId="0" fillId="14" borderId="3" xfId="0" applyFont="1" applyFill="1" applyBorder="1" applyProtection="1">
      <protection hidden="1"/>
    </xf>
    <xf numFmtId="0" fontId="0" fillId="13" borderId="3" xfId="0" applyFont="1" applyFill="1" applyBorder="1" applyAlignment="1" applyProtection="1">
      <alignment horizontal="center"/>
      <protection hidden="1"/>
    </xf>
    <xf numFmtId="0" fontId="9" fillId="23" borderId="3" xfId="0" applyFont="1" applyFill="1" applyBorder="1" applyAlignment="1" applyProtection="1">
      <alignment horizontal="center"/>
      <protection hidden="1"/>
    </xf>
    <xf numFmtId="0" fontId="0" fillId="24" borderId="3" xfId="0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center"/>
      <protection hidden="1"/>
    </xf>
    <xf numFmtId="0" fontId="7" fillId="17" borderId="3" xfId="0" applyFont="1" applyFill="1" applyBorder="1" applyAlignment="1" applyProtection="1">
      <alignment horizontal="center"/>
      <protection hidden="1"/>
    </xf>
    <xf numFmtId="0" fontId="0" fillId="21" borderId="3" xfId="0" applyFill="1" applyBorder="1" applyAlignment="1" applyProtection="1">
      <alignment horizontal="right"/>
      <protection hidden="1"/>
    </xf>
    <xf numFmtId="0" fontId="0" fillId="22" borderId="3" xfId="0" applyFill="1" applyBorder="1" applyAlignment="1" applyProtection="1">
      <alignment horizontal="center"/>
      <protection hidden="1"/>
    </xf>
    <xf numFmtId="0" fontId="0" fillId="25" borderId="3" xfId="0" applyFill="1" applyBorder="1" applyAlignment="1" applyProtection="1">
      <alignment horizontal="center"/>
      <protection hidden="1"/>
    </xf>
    <xf numFmtId="0" fontId="0" fillId="19" borderId="3" xfId="0" applyFont="1" applyFill="1" applyBorder="1" applyProtection="1">
      <protection hidden="1"/>
    </xf>
    <xf numFmtId="0" fontId="0" fillId="22" borderId="0" xfId="0" applyFill="1" applyBorder="1" applyAlignment="1" applyProtection="1">
      <alignment horizontal="center"/>
      <protection hidden="1"/>
    </xf>
    <xf numFmtId="0" fontId="9" fillId="3" borderId="0" xfId="0" applyFont="1" applyFill="1" applyBorder="1" applyAlignment="1" applyProtection="1">
      <alignment horizontal="center"/>
      <protection hidden="1"/>
    </xf>
    <xf numFmtId="0" fontId="9" fillId="26" borderId="3" xfId="0" applyFont="1" applyFill="1" applyBorder="1" applyAlignment="1" applyProtection="1">
      <alignment horizontal="center"/>
      <protection hidden="1"/>
    </xf>
    <xf numFmtId="0" fontId="7" fillId="10" borderId="17" xfId="0" applyFont="1" applyFill="1" applyBorder="1" applyAlignment="1" applyProtection="1">
      <alignment horizontal="center"/>
      <protection hidden="1"/>
    </xf>
    <xf numFmtId="0" fontId="0" fillId="15" borderId="1" xfId="0" applyFill="1" applyBorder="1" applyAlignment="1" applyProtection="1">
      <alignment horizontal="center"/>
      <protection hidden="1"/>
    </xf>
    <xf numFmtId="0" fontId="16" fillId="14" borderId="3" xfId="2" applyFont="1" applyFill="1" applyBorder="1" applyAlignment="1" applyProtection="1">
      <alignment horizontal="center"/>
      <protection hidden="1"/>
    </xf>
    <xf numFmtId="0" fontId="7" fillId="10" borderId="1" xfId="0" applyFont="1" applyFill="1" applyBorder="1" applyAlignment="1" applyProtection="1">
      <alignment horizontal="center"/>
      <protection hidden="1"/>
    </xf>
    <xf numFmtId="0" fontId="9" fillId="3" borderId="3" xfId="0" applyFont="1" applyFill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locked="0" hidden="1"/>
    </xf>
    <xf numFmtId="0" fontId="7" fillId="22" borderId="3" xfId="0" applyFont="1" applyFill="1" applyBorder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0" fillId="14" borderId="3" xfId="0" quotePrefix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vertical="top"/>
      <protection hidden="1"/>
    </xf>
    <xf numFmtId="0" fontId="9" fillId="6" borderId="3" xfId="0" applyFont="1" applyFill="1" applyBorder="1" applyProtection="1">
      <protection hidden="1"/>
    </xf>
    <xf numFmtId="0" fontId="7" fillId="0" borderId="2" xfId="0" applyFont="1" applyBorder="1" applyAlignment="1" applyProtection="1">
      <alignment horizontal="center" vertical="center"/>
      <protection locked="0" hidden="1"/>
    </xf>
    <xf numFmtId="0" fontId="7" fillId="4" borderId="17" xfId="0" applyFont="1" applyFill="1" applyBorder="1" applyProtection="1">
      <protection hidden="1"/>
    </xf>
    <xf numFmtId="0" fontId="0" fillId="6" borderId="3" xfId="0" applyFill="1" applyBorder="1" applyAlignment="1" applyProtection="1">
      <alignment horizontal="center"/>
      <protection locked="0" hidden="1"/>
    </xf>
    <xf numFmtId="0" fontId="26" fillId="3" borderId="3" xfId="0" applyFont="1" applyFill="1" applyBorder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2" fontId="7" fillId="0" borderId="5" xfId="0" applyNumberFormat="1" applyFont="1" applyFill="1" applyBorder="1" applyAlignment="1" applyProtection="1">
      <alignment horizontal="center"/>
      <protection hidden="1"/>
    </xf>
    <xf numFmtId="2" fontId="0" fillId="6" borderId="5" xfId="0" applyNumberFormat="1" applyFont="1" applyFill="1" applyBorder="1" applyAlignment="1" applyProtection="1">
      <alignment horizontal="center"/>
      <protection hidden="1"/>
    </xf>
    <xf numFmtId="2" fontId="0" fillId="6" borderId="5" xfId="0" applyNumberFormat="1" applyFill="1" applyBorder="1" applyAlignment="1" applyProtection="1">
      <alignment horizontal="center"/>
      <protection hidden="1"/>
    </xf>
    <xf numFmtId="2" fontId="0" fillId="6" borderId="19" xfId="0" applyNumberFormat="1" applyFill="1" applyBorder="1" applyAlignment="1" applyProtection="1">
      <alignment horizontal="center"/>
      <protection hidden="1"/>
    </xf>
    <xf numFmtId="2" fontId="0" fillId="6" borderId="3" xfId="0" applyNumberFormat="1" applyFill="1" applyBorder="1" applyAlignment="1" applyProtection="1">
      <alignment horizontal="center"/>
      <protection hidden="1"/>
    </xf>
    <xf numFmtId="10" fontId="7" fillId="0" borderId="0" xfId="0" applyNumberFormat="1" applyFont="1" applyBorder="1" applyAlignment="1" applyProtection="1">
      <alignment horizontal="center" vertic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9" fillId="3" borderId="21" xfId="0" applyFont="1" applyFill="1" applyBorder="1" applyAlignment="1" applyProtection="1">
      <alignment horizontal="center"/>
      <protection hidden="1"/>
    </xf>
    <xf numFmtId="0" fontId="0" fillId="13" borderId="2" xfId="0" applyFont="1" applyFill="1" applyBorder="1" applyAlignment="1" applyProtection="1">
      <alignment horizontal="center"/>
      <protection hidden="1"/>
    </xf>
    <xf numFmtId="0" fontId="0" fillId="12" borderId="3" xfId="0" applyFill="1" applyBorder="1" applyAlignment="1" applyProtection="1">
      <alignment horizontal="center"/>
      <protection hidden="1"/>
    </xf>
    <xf numFmtId="0" fontId="0" fillId="12" borderId="3" xfId="0" applyFill="1" applyBorder="1" applyProtection="1">
      <protection hidden="1"/>
    </xf>
    <xf numFmtId="0" fontId="0" fillId="14" borderId="0" xfId="0" applyFont="1" applyFill="1" applyBorder="1" applyAlignment="1" applyProtection="1">
      <alignment horizontal="center"/>
      <protection hidden="1"/>
    </xf>
    <xf numFmtId="0" fontId="0" fillId="8" borderId="3" xfId="0" applyFill="1" applyBorder="1" applyAlignment="1" applyProtection="1">
      <alignment horizontal="center" wrapText="1"/>
      <protection hidden="1"/>
    </xf>
    <xf numFmtId="2" fontId="0" fillId="5" borderId="3" xfId="0" applyNumberFormat="1" applyFill="1" applyBorder="1" applyAlignment="1" applyProtection="1">
      <alignment horizontal="center"/>
      <protection hidden="1"/>
    </xf>
    <xf numFmtId="0" fontId="27" fillId="3" borderId="0" xfId="0" applyFont="1" applyFill="1" applyAlignment="1" applyProtection="1">
      <protection hidden="1"/>
    </xf>
    <xf numFmtId="1" fontId="7" fillId="0" borderId="0" xfId="1" applyNumberFormat="1" applyFont="1" applyAlignment="1" applyProtection="1">
      <alignment horizontal="center"/>
      <protection hidden="1"/>
    </xf>
    <xf numFmtId="0" fontId="7" fillId="8" borderId="19" xfId="0" applyFont="1" applyFill="1" applyBorder="1" applyAlignment="1" applyProtection="1">
      <alignment horizontal="center"/>
      <protection hidden="1"/>
    </xf>
    <xf numFmtId="0" fontId="7" fillId="8" borderId="5" xfId="0" applyFont="1" applyFill="1" applyBorder="1" applyAlignment="1" applyProtection="1">
      <alignment horizontal="center"/>
      <protection hidden="1"/>
    </xf>
    <xf numFmtId="0" fontId="9" fillId="6" borderId="3" xfId="0" applyFont="1" applyFill="1" applyBorder="1" applyAlignment="1" applyProtection="1">
      <alignment horizontal="center" vertical="center"/>
      <protection hidden="1"/>
    </xf>
    <xf numFmtId="2" fontId="7" fillId="0" borderId="3" xfId="0" applyNumberFormat="1" applyFont="1" applyFill="1" applyBorder="1" applyAlignment="1" applyProtection="1">
      <alignment horizontal="center"/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2" fontId="33" fillId="3" borderId="0" xfId="0" applyNumberFormat="1" applyFont="1" applyFill="1" applyAlignment="1" applyProtection="1">
      <alignment horizontal="center"/>
      <protection hidden="1"/>
    </xf>
    <xf numFmtId="0" fontId="32" fillId="29" borderId="20" xfId="40" applyAlignment="1" applyProtection="1">
      <alignment horizontal="center" vertical="center"/>
      <protection hidden="1"/>
    </xf>
    <xf numFmtId="2" fontId="34" fillId="27" borderId="26" xfId="41" applyNumberFormat="1" applyAlignment="1" applyProtection="1">
      <alignment horizontal="center" vertical="center"/>
      <protection hidden="1"/>
    </xf>
    <xf numFmtId="0" fontId="34" fillId="27" borderId="26" xfId="4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locked="0" hidden="1"/>
    </xf>
    <xf numFmtId="0" fontId="9" fillId="6" borderId="3" xfId="0" applyFont="1" applyFill="1" applyBorder="1" applyAlignment="1" applyProtection="1">
      <alignment horizontal="center" wrapText="1"/>
      <protection hidden="1"/>
    </xf>
    <xf numFmtId="0" fontId="9" fillId="3" borderId="0" xfId="0" applyFont="1" applyFill="1" applyProtection="1">
      <protection hidden="1"/>
    </xf>
    <xf numFmtId="0" fontId="9" fillId="3" borderId="0" xfId="0" applyFont="1" applyFill="1" applyAlignment="1" applyProtection="1">
      <alignment wrapText="1"/>
      <protection hidden="1"/>
    </xf>
    <xf numFmtId="0" fontId="9" fillId="3" borderId="0" xfId="0" applyFont="1" applyFill="1" applyAlignment="1" applyProtection="1">
      <alignment horizontal="center" wrapText="1"/>
      <protection hidden="1"/>
    </xf>
    <xf numFmtId="0" fontId="9" fillId="3" borderId="0" xfId="0" applyFont="1" applyFill="1" applyBorder="1" applyAlignment="1" applyProtection="1">
      <alignment horizontal="center" wrapText="1"/>
      <protection hidden="1"/>
    </xf>
    <xf numFmtId="0" fontId="9" fillId="3" borderId="0" xfId="0" applyFont="1" applyFill="1" applyAlignment="1" applyProtection="1">
      <alignment horizontal="center"/>
      <protection hidden="1"/>
    </xf>
    <xf numFmtId="2" fontId="9" fillId="3" borderId="0" xfId="0" applyNumberFormat="1" applyFont="1" applyFill="1" applyProtection="1">
      <protection hidden="1"/>
    </xf>
    <xf numFmtId="0" fontId="0" fillId="6" borderId="5" xfId="0" applyFont="1" applyFill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 vertical="center"/>
      <protection locked="0"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7" fillId="4" borderId="17" xfId="0" applyFont="1" applyFill="1" applyBorder="1" applyAlignment="1" applyProtection="1">
      <alignment horizontal="center"/>
      <protection hidden="1"/>
    </xf>
    <xf numFmtId="0" fontId="7" fillId="3" borderId="19" xfId="0" applyFont="1" applyFill="1" applyBorder="1" applyAlignment="1" applyProtection="1">
      <alignment horizontal="center"/>
      <protection hidden="1"/>
    </xf>
    <xf numFmtId="0" fontId="7" fillId="0" borderId="0" xfId="0" applyFont="1" applyBorder="1" applyProtection="1">
      <protection hidden="1"/>
    </xf>
    <xf numFmtId="0" fontId="0" fillId="0" borderId="19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center"/>
      <protection hidden="1"/>
    </xf>
    <xf numFmtId="0" fontId="7" fillId="0" borderId="0" xfId="0" applyFont="1" applyFill="1" applyProtection="1">
      <protection hidden="1"/>
    </xf>
    <xf numFmtId="0" fontId="9" fillId="3" borderId="3" xfId="0" applyFont="1" applyFill="1" applyBorder="1" applyAlignment="1" applyProtection="1">
      <alignment horizontal="center" vertical="center"/>
      <protection hidden="1"/>
    </xf>
    <xf numFmtId="0" fontId="9" fillId="4" borderId="3" xfId="0" applyFont="1" applyFill="1" applyBorder="1" applyAlignment="1" applyProtection="1">
      <alignment horizontal="center"/>
      <protection hidden="1"/>
    </xf>
    <xf numFmtId="0" fontId="7" fillId="5" borderId="3" xfId="0" applyFont="1" applyFill="1" applyBorder="1" applyAlignment="1" applyProtection="1">
      <alignment horizontal="center"/>
      <protection locked="0" hidden="1"/>
    </xf>
    <xf numFmtId="0" fontId="9" fillId="6" borderId="19" xfId="0" applyFont="1" applyFill="1" applyBorder="1" applyAlignment="1" applyProtection="1">
      <alignment horizontal="center"/>
      <protection hidden="1"/>
    </xf>
    <xf numFmtId="2" fontId="7" fillId="6" borderId="19" xfId="0" applyNumberFormat="1" applyFont="1" applyFill="1" applyBorder="1" applyAlignment="1" applyProtection="1">
      <alignment horizontal="center"/>
      <protection hidden="1"/>
    </xf>
    <xf numFmtId="2" fontId="7" fillId="6" borderId="5" xfId="0" applyNumberFormat="1" applyFont="1" applyFill="1" applyBorder="1" applyAlignment="1" applyProtection="1">
      <alignment horizontal="center"/>
      <protection hidden="1"/>
    </xf>
    <xf numFmtId="0" fontId="9" fillId="6" borderId="18" xfId="0" applyFont="1" applyFill="1" applyBorder="1" applyAlignment="1" applyProtection="1">
      <alignment horizontal="center"/>
      <protection hidden="1"/>
    </xf>
    <xf numFmtId="2" fontId="7" fillId="6" borderId="18" xfId="0" applyNumberFormat="1" applyFont="1" applyFill="1" applyBorder="1" applyAlignment="1" applyProtection="1">
      <alignment horizontal="center"/>
      <protection hidden="1"/>
    </xf>
    <xf numFmtId="0" fontId="7" fillId="0" borderId="18" xfId="0" applyFont="1" applyBorder="1" applyProtection="1">
      <protection hidden="1"/>
    </xf>
    <xf numFmtId="0" fontId="9" fillId="5" borderId="5" xfId="0" applyFont="1" applyFill="1" applyBorder="1" applyAlignment="1" applyProtection="1">
      <alignment horizontal="center"/>
      <protection hidden="1"/>
    </xf>
    <xf numFmtId="2" fontId="7" fillId="5" borderId="5" xfId="0" applyNumberFormat="1" applyFont="1" applyFill="1" applyBorder="1" applyAlignment="1" applyProtection="1">
      <alignment horizontal="center"/>
      <protection hidden="1"/>
    </xf>
    <xf numFmtId="2" fontId="0" fillId="5" borderId="5" xfId="0" applyNumberFormat="1" applyFill="1" applyBorder="1" applyAlignment="1" applyProtection="1">
      <alignment horizontal="center"/>
      <protection hidden="1"/>
    </xf>
    <xf numFmtId="0" fontId="0" fillId="20" borderId="3" xfId="0" applyFont="1" applyFill="1" applyBorder="1" applyAlignment="1" applyProtection="1">
      <alignment horizontal="center"/>
      <protection hidden="1"/>
    </xf>
    <xf numFmtId="0" fontId="7" fillId="20" borderId="3" xfId="0" applyNumberFormat="1" applyFont="1" applyFill="1" applyBorder="1" applyAlignment="1" applyProtection="1">
      <alignment horizontal="center"/>
      <protection hidden="1"/>
    </xf>
    <xf numFmtId="0" fontId="7" fillId="26" borderId="3" xfId="0" applyFont="1" applyFill="1" applyBorder="1" applyAlignment="1" applyProtection="1">
      <alignment horizontal="center"/>
      <protection hidden="1"/>
    </xf>
    <xf numFmtId="0" fontId="7" fillId="26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0" fillId="24" borderId="3" xfId="0" applyFill="1" applyBorder="1" applyProtection="1">
      <protection hidden="1"/>
    </xf>
    <xf numFmtId="0" fontId="7" fillId="24" borderId="3" xfId="0" applyFont="1" applyFill="1" applyBorder="1" applyProtection="1">
      <protection hidden="1"/>
    </xf>
    <xf numFmtId="10" fontId="25" fillId="0" borderId="0" xfId="27" applyNumberFormat="1" applyProtection="1">
      <protection hidden="1"/>
    </xf>
    <xf numFmtId="10" fontId="0" fillId="0" borderId="0" xfId="0" applyNumberFormat="1" applyFont="1" applyProtection="1">
      <protection hidden="1"/>
    </xf>
    <xf numFmtId="0" fontId="25" fillId="0" borderId="0" xfId="27" applyProtection="1">
      <protection hidden="1"/>
    </xf>
    <xf numFmtId="0" fontId="0" fillId="0" borderId="0" xfId="0" applyFill="1" applyProtection="1">
      <protection hidden="1"/>
    </xf>
    <xf numFmtId="0" fontId="7" fillId="0" borderId="0" xfId="4" applyProtection="1">
      <protection hidden="1"/>
    </xf>
    <xf numFmtId="0" fontId="24" fillId="27" borderId="20" xfId="6" applyProtection="1">
      <protection hidden="1"/>
    </xf>
    <xf numFmtId="0" fontId="5" fillId="0" borderId="0" xfId="5" applyFont="1" applyFill="1" applyBorder="1" applyProtection="1">
      <protection hidden="1"/>
    </xf>
    <xf numFmtId="0" fontId="24" fillId="27" borderId="20" xfId="6" applyAlignment="1" applyProtection="1">
      <alignment horizontal="center"/>
      <protection hidden="1"/>
    </xf>
    <xf numFmtId="0" fontId="7" fillId="14" borderId="0" xfId="0" applyFont="1" applyFill="1" applyBorder="1" applyAlignment="1" applyProtection="1">
      <alignment horizontal="center"/>
      <protection hidden="1"/>
    </xf>
    <xf numFmtId="0" fontId="14" fillId="14" borderId="1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9" fillId="9" borderId="10" xfId="0" applyFont="1" applyFill="1" applyBorder="1" applyAlignment="1" applyProtection="1">
      <alignment horizontal="center"/>
      <protection hidden="1"/>
    </xf>
    <xf numFmtId="0" fontId="7" fillId="9" borderId="11" xfId="0" applyFont="1" applyFill="1" applyBorder="1" applyAlignment="1" applyProtection="1">
      <alignment horizontal="center"/>
      <protection hidden="1"/>
    </xf>
    <xf numFmtId="0" fontId="7" fillId="9" borderId="0" xfId="0" applyFont="1" applyFill="1" applyBorder="1" applyAlignment="1" applyProtection="1">
      <alignment horizontal="center"/>
      <protection hidden="1"/>
    </xf>
    <xf numFmtId="0" fontId="9" fillId="9" borderId="14" xfId="0" applyFont="1" applyFill="1" applyBorder="1" applyAlignment="1" applyProtection="1">
      <alignment horizontal="center"/>
      <protection hidden="1"/>
    </xf>
    <xf numFmtId="0" fontId="7" fillId="9" borderId="15" xfId="0" applyFont="1" applyFill="1" applyBorder="1" applyAlignment="1" applyProtection="1">
      <alignment horizontal="center"/>
      <protection hidden="1"/>
    </xf>
    <xf numFmtId="0" fontId="0" fillId="0" borderId="0" xfId="0" applyFont="1" applyFill="1" applyBorder="1" applyProtection="1">
      <protection hidden="1"/>
    </xf>
    <xf numFmtId="0" fontId="1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24" fillId="27" borderId="0" xfId="6" applyBorder="1" applyAlignment="1" applyProtection="1">
      <protection hidden="1"/>
    </xf>
    <xf numFmtId="0" fontId="25" fillId="22" borderId="0" xfId="27" applyFill="1" applyProtection="1">
      <protection hidden="1"/>
    </xf>
    <xf numFmtId="0" fontId="24" fillId="27" borderId="0" xfId="6" applyBorder="1" applyProtection="1">
      <protection hidden="1"/>
    </xf>
    <xf numFmtId="14" fontId="12" fillId="0" borderId="0" xfId="0" applyNumberFormat="1" applyFont="1" applyProtection="1">
      <protection hidden="1"/>
    </xf>
    <xf numFmtId="9" fontId="7" fillId="0" borderId="0" xfId="1" applyFont="1" applyAlignment="1" applyProtection="1">
      <alignment horizontal="center"/>
      <protection hidden="1"/>
    </xf>
    <xf numFmtId="0" fontId="22" fillId="23" borderId="3" xfId="0" applyFont="1" applyFill="1" applyBorder="1" applyAlignment="1" applyProtection="1">
      <alignment horizontal="center"/>
      <protection hidden="1"/>
    </xf>
    <xf numFmtId="0" fontId="7" fillId="23" borderId="3" xfId="0" applyFont="1" applyFill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/>
      <protection hidden="1"/>
    </xf>
    <xf numFmtId="0" fontId="0" fillId="20" borderId="3" xfId="0" applyFill="1" applyBorder="1" applyAlignment="1" applyProtection="1">
      <alignment horizontal="center"/>
      <protection hidden="1"/>
    </xf>
    <xf numFmtId="0" fontId="0" fillId="14" borderId="0" xfId="0" applyFill="1" applyProtection="1">
      <protection hidden="1"/>
    </xf>
    <xf numFmtId="0" fontId="22" fillId="26" borderId="3" xfId="0" applyFont="1" applyFill="1" applyBorder="1" applyAlignment="1" applyProtection="1">
      <alignment horizontal="center"/>
      <protection hidden="1"/>
    </xf>
    <xf numFmtId="0" fontId="0" fillId="26" borderId="3" xfId="0" applyFill="1" applyBorder="1" applyAlignment="1" applyProtection="1">
      <alignment horizontal="center"/>
      <protection hidden="1"/>
    </xf>
    <xf numFmtId="0" fontId="0" fillId="26" borderId="3" xfId="0" applyFont="1" applyFill="1" applyBorder="1" applyAlignment="1" applyProtection="1">
      <alignment horizontal="center"/>
      <protection hidden="1"/>
    </xf>
    <xf numFmtId="0" fontId="7" fillId="14" borderId="3" xfId="4" applyFill="1" applyBorder="1" applyProtection="1">
      <protection hidden="1"/>
    </xf>
    <xf numFmtId="0" fontId="29" fillId="0" borderId="0" xfId="0" applyFont="1" applyProtection="1">
      <protection hidden="1"/>
    </xf>
    <xf numFmtId="0" fontId="7" fillId="14" borderId="2" xfId="0" applyFont="1" applyFill="1" applyBorder="1" applyAlignment="1" applyProtection="1">
      <alignment horizontal="center"/>
      <protection hidden="1"/>
    </xf>
    <xf numFmtId="0" fontId="7" fillId="13" borderId="3" xfId="0" applyFont="1" applyFill="1" applyBorder="1" applyAlignment="1" applyProtection="1">
      <alignment horizontal="center" wrapText="1"/>
      <protection hidden="1"/>
    </xf>
    <xf numFmtId="0" fontId="7" fillId="14" borderId="3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0" xfId="27" applyFont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5" fillId="14" borderId="3" xfId="2" applyFont="1" applyFill="1" applyBorder="1" applyAlignment="1" applyProtection="1">
      <alignment horizontal="center"/>
      <protection hidden="1"/>
    </xf>
    <xf numFmtId="0" fontId="15" fillId="0" borderId="0" xfId="2" applyFont="1" applyFill="1" applyBorder="1" applyAlignment="1" applyProtection="1">
      <alignment horizontal="center"/>
      <protection hidden="1"/>
    </xf>
    <xf numFmtId="0" fontId="15" fillId="16" borderId="1" xfId="2" applyFont="1" applyFill="1" applyBorder="1" applyAlignment="1" applyProtection="1">
      <alignment horizontal="center"/>
      <protection hidden="1"/>
    </xf>
    <xf numFmtId="0" fontId="0" fillId="25" borderId="1" xfId="0" applyFill="1" applyBorder="1" applyAlignment="1" applyProtection="1">
      <alignment horizontal="center"/>
      <protection hidden="1"/>
    </xf>
    <xf numFmtId="0" fontId="7" fillId="22" borderId="0" xfId="0" applyFont="1" applyFill="1" applyProtection="1">
      <protection hidden="1"/>
    </xf>
    <xf numFmtId="0" fontId="0" fillId="22" borderId="1" xfId="0" applyFill="1" applyBorder="1" applyAlignment="1" applyProtection="1">
      <alignment horizontal="center"/>
      <protection hidden="1"/>
    </xf>
    <xf numFmtId="0" fontId="0" fillId="16" borderId="1" xfId="0" applyFill="1" applyBorder="1" applyAlignment="1" applyProtection="1">
      <alignment horizontal="center"/>
      <protection hidden="1"/>
    </xf>
    <xf numFmtId="0" fontId="0" fillId="7" borderId="1" xfId="0" applyFill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13" borderId="0" xfId="0" applyFont="1" applyFill="1" applyAlignment="1" applyProtection="1">
      <alignment horizontal="center"/>
      <protection hidden="1"/>
    </xf>
    <xf numFmtId="0" fontId="0" fillId="14" borderId="0" xfId="0" applyFont="1" applyFill="1" applyBorder="1" applyProtection="1">
      <protection hidden="1"/>
    </xf>
    <xf numFmtId="0" fontId="7" fillId="6" borderId="5" xfId="0" applyFont="1" applyFill="1" applyBorder="1" applyProtection="1">
      <protection hidden="1"/>
    </xf>
    <xf numFmtId="0" fontId="30" fillId="28" borderId="15" xfId="0" applyFont="1" applyFill="1" applyBorder="1" applyAlignment="1" applyProtection="1">
      <alignment horizontal="center" wrapText="1"/>
      <protection hidden="1"/>
    </xf>
    <xf numFmtId="9" fontId="7" fillId="0" borderId="0" xfId="1" applyFont="1" applyFill="1" applyBorder="1" applyAlignment="1" applyProtection="1">
      <alignment horizontal="center"/>
      <protection hidden="1"/>
    </xf>
    <xf numFmtId="0" fontId="7" fillId="6" borderId="3" xfId="0" applyFont="1" applyFill="1" applyBorder="1" applyAlignment="1" applyProtection="1">
      <alignment horizontal="center"/>
      <protection locked="0" hidden="1"/>
    </xf>
    <xf numFmtId="0" fontId="7" fillId="0" borderId="3" xfId="0" applyFont="1" applyBorder="1" applyAlignment="1" applyProtection="1">
      <alignment horizontal="center"/>
      <protection locked="0" hidden="1"/>
    </xf>
    <xf numFmtId="0" fontId="0" fillId="6" borderId="5" xfId="0" applyFill="1" applyBorder="1" applyAlignment="1" applyProtection="1">
      <alignment horizontal="center"/>
      <protection hidden="1"/>
    </xf>
    <xf numFmtId="1" fontId="7" fillId="6" borderId="2" xfId="0" applyNumberFormat="1" applyFont="1" applyFill="1" applyBorder="1" applyAlignment="1" applyProtection="1">
      <alignment horizontal="center"/>
      <protection hidden="1"/>
    </xf>
    <xf numFmtId="1" fontId="7" fillId="6" borderId="16" xfId="0" applyNumberFormat="1" applyFont="1" applyFill="1" applyBorder="1" applyAlignment="1" applyProtection="1">
      <alignment horizontal="center"/>
      <protection hidden="1"/>
    </xf>
    <xf numFmtId="1" fontId="7" fillId="6" borderId="3" xfId="0" applyNumberFormat="1" applyFont="1" applyFill="1" applyBorder="1" applyAlignment="1" applyProtection="1">
      <alignment horizontal="center"/>
      <protection hidden="1"/>
    </xf>
    <xf numFmtId="1" fontId="7" fillId="6" borderId="6" xfId="0" applyNumberFormat="1" applyFont="1" applyFill="1" applyBorder="1" applyAlignment="1" applyProtection="1">
      <alignment horizontal="center"/>
      <protection hidden="1"/>
    </xf>
    <xf numFmtId="1" fontId="0" fillId="6" borderId="6" xfId="0" applyNumberFormat="1" applyFill="1" applyBorder="1" applyAlignment="1" applyProtection="1">
      <alignment horizontal="center"/>
      <protection hidden="1"/>
    </xf>
    <xf numFmtId="1" fontId="9" fillId="8" borderId="3" xfId="0" applyNumberFormat="1" applyFont="1" applyFill="1" applyBorder="1" applyAlignment="1" applyProtection="1">
      <alignment horizontal="center"/>
      <protection hidden="1"/>
    </xf>
    <xf numFmtId="1" fontId="9" fillId="12" borderId="3" xfId="0" applyNumberFormat="1" applyFont="1" applyFill="1" applyBorder="1" applyAlignment="1" applyProtection="1">
      <alignment horizontal="center"/>
      <protection hidden="1"/>
    </xf>
    <xf numFmtId="1" fontId="9" fillId="11" borderId="3" xfId="0" applyNumberFormat="1" applyFont="1" applyFill="1" applyBorder="1" applyAlignment="1" applyProtection="1">
      <alignment horizontal="center"/>
      <protection hidden="1"/>
    </xf>
    <xf numFmtId="2" fontId="7" fillId="6" borderId="6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6" borderId="5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7" fillId="0" borderId="0" xfId="0" applyFont="1" applyProtection="1"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1" fontId="7" fillId="6" borderId="2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7" fillId="0" borderId="0" xfId="0" applyFont="1" applyProtection="1"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2" fontId="7" fillId="6" borderId="6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2" fontId="0" fillId="6" borderId="5" xfId="0" applyNumberFormat="1" applyFont="1" applyFill="1" applyBorder="1" applyAlignment="1" applyProtection="1">
      <alignment horizontal="center"/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1" fontId="0" fillId="6" borderId="19" xfId="0" applyNumberFormat="1" applyFill="1" applyBorder="1" applyAlignment="1" applyProtection="1">
      <alignment horizontal="center"/>
      <protection hidden="1"/>
    </xf>
    <xf numFmtId="1" fontId="7" fillId="6" borderId="19" xfId="0" applyNumberFormat="1" applyFont="1" applyFill="1" applyBorder="1" applyAlignment="1" applyProtection="1">
      <alignment horizontal="center"/>
      <protection hidden="1"/>
    </xf>
    <xf numFmtId="1" fontId="7" fillId="6" borderId="5" xfId="0" applyNumberFormat="1" applyFont="1" applyFill="1" applyBorder="1" applyAlignment="1" applyProtection="1">
      <alignment horizontal="center"/>
      <protection hidden="1"/>
    </xf>
    <xf numFmtId="1" fontId="0" fillId="6" borderId="5" xfId="0" applyNumberFormat="1" applyFill="1" applyBorder="1" applyAlignment="1" applyProtection="1">
      <alignment horizontal="center"/>
      <protection hidden="1"/>
    </xf>
    <xf numFmtId="0" fontId="0" fillId="0" borderId="0" xfId="0"/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0" fontId="0" fillId="0" borderId="0" xfId="0"/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2" fontId="7" fillId="6" borderId="6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9" fillId="6" borderId="5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2" fontId="7" fillId="0" borderId="0" xfId="0" applyNumberFormat="1" applyFont="1" applyAlignment="1" applyProtection="1">
      <alignment horizontal="center"/>
      <protection hidden="1"/>
    </xf>
    <xf numFmtId="0" fontId="0" fillId="0" borderId="0" xfId="0"/>
    <xf numFmtId="0" fontId="0" fillId="0" borderId="0" xfId="0" applyAlignment="1" applyProtection="1">
      <alignment horizontal="center"/>
      <protection hidden="1"/>
    </xf>
    <xf numFmtId="2" fontId="0" fillId="6" borderId="6" xfId="0" applyNumberFormat="1" applyFill="1" applyBorder="1" applyAlignment="1" applyProtection="1">
      <alignment horizontal="left"/>
      <protection hidden="1"/>
    </xf>
    <xf numFmtId="0" fontId="0" fillId="0" borderId="0" xfId="0" applyProtection="1">
      <protection hidden="1"/>
    </xf>
    <xf numFmtId="0" fontId="0" fillId="6" borderId="5" xfId="0" applyFill="1" applyBorder="1" applyProtection="1"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1" fontId="7" fillId="6" borderId="5" xfId="0" applyNumberFormat="1" applyFont="1" applyFill="1" applyBorder="1" applyAlignment="1" applyProtection="1">
      <alignment horizontal="center"/>
      <protection hidden="1"/>
    </xf>
    <xf numFmtId="2" fontId="0" fillId="0" borderId="0" xfId="0" applyNumberFormat="1" applyProtection="1">
      <protection hidden="1"/>
    </xf>
    <xf numFmtId="1" fontId="7" fillId="6" borderId="2" xfId="0" applyNumberFormat="1" applyFont="1" applyFill="1" applyBorder="1" applyAlignment="1" applyProtection="1">
      <alignment horizontal="center"/>
      <protection hidden="1"/>
    </xf>
    <xf numFmtId="1" fontId="7" fillId="6" borderId="6" xfId="0" applyNumberFormat="1" applyFont="1" applyFill="1" applyBorder="1" applyAlignment="1" applyProtection="1">
      <alignment horizontal="center"/>
      <protection hidden="1"/>
    </xf>
    <xf numFmtId="1" fontId="7" fillId="6" borderId="5" xfId="0" applyNumberFormat="1" applyFont="1" applyFill="1" applyBorder="1" applyAlignment="1" applyProtection="1">
      <alignment horizontal="center"/>
      <protection hidden="1"/>
    </xf>
    <xf numFmtId="1" fontId="0" fillId="6" borderId="5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14" fillId="14" borderId="0" xfId="0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1" fontId="7" fillId="6" borderId="5" xfId="0" applyNumberFormat="1" applyFont="1" applyFill="1" applyBorder="1" applyAlignment="1" applyProtection="1">
      <alignment horizontal="center"/>
      <protection hidden="1"/>
    </xf>
    <xf numFmtId="1" fontId="0" fillId="6" borderId="5" xfId="0" applyNumberFormat="1" applyFill="1" applyBorder="1" applyAlignment="1" applyProtection="1">
      <alignment horizontal="center"/>
      <protection hidden="1"/>
    </xf>
    <xf numFmtId="1" fontId="0" fillId="5" borderId="5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10" fontId="0" fillId="0" borderId="0" xfId="1" applyNumberFormat="1" applyFont="1" applyProtection="1">
      <protection hidden="1"/>
    </xf>
    <xf numFmtId="0" fontId="7" fillId="6" borderId="0" xfId="0" applyFont="1" applyFill="1" applyBorder="1" applyAlignment="1" applyProtection="1">
      <alignment horizontal="center"/>
      <protection hidden="1"/>
    </xf>
    <xf numFmtId="2" fontId="7" fillId="6" borderId="0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2" fontId="0" fillId="3" borderId="0" xfId="0" applyNumberFormat="1" applyFont="1" applyFill="1" applyAlignment="1" applyProtection="1">
      <protection hidden="1"/>
    </xf>
    <xf numFmtId="2" fontId="8" fillId="4" borderId="0" xfId="0" applyNumberFormat="1" applyFont="1" applyFill="1" applyAlignment="1" applyProtection="1">
      <protection hidden="1"/>
    </xf>
    <xf numFmtId="2" fontId="0" fillId="3" borderId="0" xfId="0" applyNumberFormat="1" applyFill="1" applyAlignment="1" applyProtection="1">
      <alignment horizontal="center"/>
      <protection hidden="1"/>
    </xf>
    <xf numFmtId="165" fontId="7" fillId="3" borderId="0" xfId="0" applyNumberFormat="1" applyFont="1" applyFill="1" applyAlignment="1" applyProtection="1">
      <alignment horizontal="center"/>
      <protection hidden="1"/>
    </xf>
    <xf numFmtId="0" fontId="27" fillId="4" borderId="0" xfId="0" applyFont="1" applyFill="1" applyProtection="1">
      <protection hidden="1"/>
    </xf>
    <xf numFmtId="0" fontId="26" fillId="6" borderId="3" xfId="0" applyFont="1" applyFill="1" applyBorder="1" applyProtection="1">
      <protection hidden="1"/>
    </xf>
    <xf numFmtId="0" fontId="35" fillId="4" borderId="0" xfId="0" applyFont="1" applyFill="1" applyAlignment="1" applyProtection="1">
      <alignment horizontal="center"/>
      <protection hidden="1"/>
    </xf>
    <xf numFmtId="0" fontId="28" fillId="4" borderId="22" xfId="3" applyFont="1" applyFill="1" applyBorder="1" applyAlignment="1" applyProtection="1">
      <alignment horizontal="center"/>
      <protection locked="0" hidden="1"/>
    </xf>
    <xf numFmtId="0" fontId="21" fillId="3" borderId="0" xfId="0" applyFont="1" applyFill="1" applyAlignment="1" applyProtection="1">
      <alignment horizontal="center"/>
      <protection hidden="1"/>
    </xf>
    <xf numFmtId="0" fontId="7" fillId="4" borderId="0" xfId="0" applyFont="1" applyFill="1" applyBorder="1" applyAlignment="1" applyProtection="1">
      <alignment horizontal="center" wrapText="1"/>
      <protection hidden="1"/>
    </xf>
    <xf numFmtId="0" fontId="26" fillId="4" borderId="1" xfId="0" applyFont="1" applyFill="1" applyBorder="1" applyAlignment="1" applyProtection="1">
      <alignment horizontal="center" vertical="center"/>
      <protection hidden="1"/>
    </xf>
    <xf numFmtId="0" fontId="26" fillId="4" borderId="4" xfId="0" applyFont="1" applyFill="1" applyBorder="1" applyAlignment="1" applyProtection="1">
      <alignment horizontal="center" vertical="center"/>
      <protection hidden="1"/>
    </xf>
    <xf numFmtId="0" fontId="26" fillId="4" borderId="2" xfId="0" applyFont="1" applyFill="1" applyBorder="1" applyAlignment="1" applyProtection="1">
      <alignment horizontal="center" vertical="center"/>
      <protection hidden="1"/>
    </xf>
    <xf numFmtId="0" fontId="26" fillId="3" borderId="1" xfId="0" applyFont="1" applyFill="1" applyBorder="1" applyAlignment="1" applyProtection="1">
      <alignment horizontal="center"/>
      <protection hidden="1"/>
    </xf>
    <xf numFmtId="0" fontId="26" fillId="3" borderId="4" xfId="0" applyFont="1" applyFill="1" applyBorder="1" applyAlignment="1" applyProtection="1">
      <alignment horizontal="center"/>
      <protection hidden="1"/>
    </xf>
    <xf numFmtId="0" fontId="26" fillId="3" borderId="2" xfId="0" applyFont="1" applyFill="1" applyBorder="1" applyAlignment="1" applyProtection="1">
      <alignment horizontal="center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9" fillId="3" borderId="4" xfId="0" applyFont="1" applyFill="1" applyBorder="1" applyAlignment="1" applyProtection="1">
      <alignment horizontal="center"/>
      <protection hidden="1"/>
    </xf>
    <xf numFmtId="0" fontId="9" fillId="3" borderId="2" xfId="0" applyFont="1" applyFill="1" applyBorder="1" applyAlignment="1" applyProtection="1">
      <alignment horizontal="center"/>
      <protection hidden="1"/>
    </xf>
    <xf numFmtId="0" fontId="26" fillId="3" borderId="3" xfId="0" applyFont="1" applyFill="1" applyBorder="1" applyAlignment="1" applyProtection="1">
      <alignment horizontal="center"/>
      <protection hidden="1"/>
    </xf>
    <xf numFmtId="0" fontId="26" fillId="3" borderId="1" xfId="0" applyFont="1" applyFill="1" applyBorder="1" applyAlignment="1" applyProtection="1">
      <alignment horizontal="center" wrapText="1"/>
      <protection hidden="1"/>
    </xf>
    <xf numFmtId="0" fontId="26" fillId="3" borderId="4" xfId="0" applyFont="1" applyFill="1" applyBorder="1" applyAlignment="1" applyProtection="1">
      <alignment horizontal="center" wrapText="1"/>
      <protection hidden="1"/>
    </xf>
    <xf numFmtId="0" fontId="26" fillId="3" borderId="2" xfId="0" applyFont="1" applyFill="1" applyBorder="1" applyAlignment="1" applyProtection="1">
      <alignment horizontal="center" wrapText="1"/>
      <protection hidden="1"/>
    </xf>
    <xf numFmtId="0" fontId="0" fillId="0" borderId="19" xfId="0" applyFont="1" applyBorder="1" applyAlignment="1" applyProtection="1">
      <alignment horizontal="center" vertical="center"/>
      <protection locked="0" hidden="1"/>
    </xf>
    <xf numFmtId="0" fontId="7" fillId="0" borderId="18" xfId="0" applyFont="1" applyBorder="1" applyAlignment="1" applyProtection="1">
      <alignment horizontal="center" vertical="center"/>
      <protection locked="0"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center"/>
      <protection hidden="1"/>
    </xf>
    <xf numFmtId="0" fontId="30" fillId="28" borderId="23" xfId="0" applyFont="1" applyFill="1" applyBorder="1" applyAlignment="1" applyProtection="1">
      <alignment horizontal="center" wrapText="1"/>
      <protection hidden="1"/>
    </xf>
    <xf numFmtId="0" fontId="30" fillId="28" borderId="24" xfId="0" applyFont="1" applyFill="1" applyBorder="1" applyAlignment="1" applyProtection="1">
      <alignment horizontal="center" wrapText="1"/>
      <protection hidden="1"/>
    </xf>
    <xf numFmtId="0" fontId="24" fillId="27" borderId="20" xfId="6" applyAlignment="1" applyProtection="1">
      <alignment horizontal="center"/>
      <protection hidden="1"/>
    </xf>
    <xf numFmtId="0" fontId="12" fillId="0" borderId="0" xfId="0" applyFont="1" applyAlignment="1" applyProtection="1">
      <alignment horizontal="center" wrapText="1"/>
      <protection hidden="1"/>
    </xf>
    <xf numFmtId="0" fontId="31" fillId="14" borderId="0" xfId="0" applyFont="1" applyFill="1" applyBorder="1" applyAlignment="1" applyProtection="1">
      <alignment horizontal="center"/>
      <protection hidden="1"/>
    </xf>
    <xf numFmtId="0" fontId="31" fillId="14" borderId="25" xfId="0" applyFont="1" applyFill="1" applyBorder="1" applyAlignment="1" applyProtection="1">
      <alignment horizontal="center"/>
      <protection hidden="1"/>
    </xf>
  </cellXfs>
  <cellStyles count="92">
    <cellStyle name="Bad" xfId="2" builtinId="27"/>
    <cellStyle name="Calculation" xfId="6" builtinId="22"/>
    <cellStyle name="Excel Built-in Normal" xfId="8"/>
    <cellStyle name="Excel Built-in Normal 2" xfId="9"/>
    <cellStyle name="Hyperlink" xfId="3" builtinId="8"/>
    <cellStyle name="Input" xfId="40" builtinId="20"/>
    <cellStyle name="Normal" xfId="0" builtinId="0"/>
    <cellStyle name="Normal 2" xfId="4"/>
    <cellStyle name="Normal 2 2" xfId="10"/>
    <cellStyle name="Normal 2 2 2" xfId="11"/>
    <cellStyle name="Normal 2 2 2 2" xfId="29"/>
    <cellStyle name="Normal 2 2 2 2 2" xfId="57"/>
    <cellStyle name="Normal 2 2 2 2 3" xfId="81"/>
    <cellStyle name="Normal 2 2 2 3" xfId="44"/>
    <cellStyle name="Normal 2 2 2 4" xfId="69"/>
    <cellStyle name="Normal 2 2 3" xfId="12"/>
    <cellStyle name="Normal 2 2 3 2" xfId="30"/>
    <cellStyle name="Normal 2 2 3 2 2" xfId="58"/>
    <cellStyle name="Normal 2 2 3 2 3" xfId="82"/>
    <cellStyle name="Normal 2 2 3 3" xfId="45"/>
    <cellStyle name="Normal 2 2 3 4" xfId="70"/>
    <cellStyle name="Normal 2 2 4" xfId="28"/>
    <cellStyle name="Normal 2 2 4 2" xfId="56"/>
    <cellStyle name="Normal 2 2 4 3" xfId="80"/>
    <cellStyle name="Normal 2 2 5" xfId="43"/>
    <cellStyle name="Normal 2 2 6" xfId="68"/>
    <cellStyle name="Normal 2 3" xfId="13"/>
    <cellStyle name="Normal 2 3 2" xfId="31"/>
    <cellStyle name="Normal 2 3 2 2" xfId="59"/>
    <cellStyle name="Normal 2 3 2 3" xfId="83"/>
    <cellStyle name="Normal 2 3 3" xfId="46"/>
    <cellStyle name="Normal 2 3 4" xfId="71"/>
    <cellStyle name="Normal 2 4" xfId="14"/>
    <cellStyle name="Normal 2 5" xfId="15"/>
    <cellStyle name="Normal 2 5 2" xfId="32"/>
    <cellStyle name="Normal 2 5 2 2" xfId="60"/>
    <cellStyle name="Normal 2 5 2 3" xfId="84"/>
    <cellStyle name="Normal 2 5 3" xfId="47"/>
    <cellStyle name="Normal 2 5 4" xfId="72"/>
    <cellStyle name="Normal 3" xfId="5"/>
    <cellStyle name="Normal 3 2" xfId="17"/>
    <cellStyle name="Normal 3 3" xfId="18"/>
    <cellStyle name="Normal 3 4" xfId="16"/>
    <cellStyle name="Normal 4" xfId="19"/>
    <cellStyle name="Normal 5" xfId="20"/>
    <cellStyle name="Normal 5 2" xfId="33"/>
    <cellStyle name="Normal 5 2 2" xfId="61"/>
    <cellStyle name="Normal 5 2 3" xfId="85"/>
    <cellStyle name="Normal 5 3" xfId="48"/>
    <cellStyle name="Normal 5 4" xfId="73"/>
    <cellStyle name="Normal 6" xfId="21"/>
    <cellStyle name="Normal 6 2" xfId="34"/>
    <cellStyle name="Normal 6 2 2" xfId="62"/>
    <cellStyle name="Normal 6 2 3" xfId="86"/>
    <cellStyle name="Normal 6 3" xfId="49"/>
    <cellStyle name="Normal 6 4" xfId="74"/>
    <cellStyle name="Normal 7" xfId="22"/>
    <cellStyle name="Normal 7 2" xfId="35"/>
    <cellStyle name="Normal 7 2 2" xfId="63"/>
    <cellStyle name="Normal 7 2 3" xfId="87"/>
    <cellStyle name="Normal 7 3" xfId="50"/>
    <cellStyle name="Normal 7 4" xfId="75"/>
    <cellStyle name="Normal 8" xfId="27"/>
    <cellStyle name="Normal 8 2" xfId="55"/>
    <cellStyle name="Output" xfId="41" builtinId="21"/>
    <cellStyle name="Percent" xfId="1" builtinId="5"/>
    <cellStyle name="Percent 2" xfId="23"/>
    <cellStyle name="Percent 2 2" xfId="24"/>
    <cellStyle name="Percent 2 2 2" xfId="37"/>
    <cellStyle name="Percent 2 2 2 2" xfId="65"/>
    <cellStyle name="Percent 2 2 2 3" xfId="89"/>
    <cellStyle name="Percent 2 2 3" xfId="52"/>
    <cellStyle name="Percent 2 2 4" xfId="77"/>
    <cellStyle name="Percent 2 3" xfId="25"/>
    <cellStyle name="Percent 2 3 2" xfId="38"/>
    <cellStyle name="Percent 2 3 2 2" xfId="66"/>
    <cellStyle name="Percent 2 3 2 3" xfId="90"/>
    <cellStyle name="Percent 2 3 3" xfId="53"/>
    <cellStyle name="Percent 2 3 4" xfId="78"/>
    <cellStyle name="Percent 2 4" xfId="36"/>
    <cellStyle name="Percent 2 4 2" xfId="64"/>
    <cellStyle name="Percent 2 4 3" xfId="88"/>
    <cellStyle name="Percent 2 5" xfId="51"/>
    <cellStyle name="Percent 2 6" xfId="76"/>
    <cellStyle name="Percent 3" xfId="26"/>
    <cellStyle name="Percent 3 2" xfId="39"/>
    <cellStyle name="Percent 3 2 2" xfId="67"/>
    <cellStyle name="Percent 3 2 3" xfId="91"/>
    <cellStyle name="Percent 3 3" xfId="54"/>
    <cellStyle name="Percent 3 4" xfId="79"/>
    <cellStyle name="Percent 4" xfId="7"/>
    <cellStyle name="Percent 4 2" xfId="42"/>
  </cellStyles>
  <dxfs count="9"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DDD9C4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rocessors.wiki.ti.com/index.php/Power_Consumption_Summary_for_KeyStone_II_System-on-Chip_(SoC)_Devices" TargetMode="External"/><Relationship Id="rId2" Type="http://schemas.openxmlformats.org/officeDocument/2006/relationships/hyperlink" Target="http://ap-fpdsp-swapps.dal.design.ti.com/index.php/Power_Consumption_Summary_for_KeyStone_II_System-on-Chip_%28SoC%29_Devices" TargetMode="External"/><Relationship Id="rId1" Type="http://schemas.openxmlformats.org/officeDocument/2006/relationships/hyperlink" Target="http://www.ti.com/lit/pdf/SPRABI5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268"/>
  <sheetViews>
    <sheetView tabSelected="1" zoomScale="80" zoomScaleNormal="80" workbookViewId="0">
      <selection activeCell="C3" sqref="C3"/>
    </sheetView>
  </sheetViews>
  <sheetFormatPr defaultColWidth="9.140625" defaultRowHeight="12.75" x14ac:dyDescent="0.2"/>
  <cols>
    <col min="1" max="1" width="30.7109375" style="92" customWidth="1"/>
    <col min="2" max="3" width="18" style="92" customWidth="1"/>
    <col min="4" max="4" width="20.5703125" style="92" customWidth="1"/>
    <col min="5" max="5" width="19.85546875" style="92" customWidth="1"/>
    <col min="6" max="6" width="16.7109375" style="92" customWidth="1"/>
    <col min="7" max="7" width="22.85546875" style="92" customWidth="1"/>
    <col min="8" max="13" width="10.7109375" style="92" customWidth="1"/>
    <col min="14" max="14" width="11.140625" style="92" customWidth="1"/>
    <col min="15" max="15" width="10.140625" style="92" bestFit="1" customWidth="1"/>
    <col min="16" max="16" width="10.42578125" style="92" bestFit="1" customWidth="1"/>
    <col min="17" max="17" width="9.140625" style="92" customWidth="1"/>
    <col min="18" max="18" width="11.140625" style="92" customWidth="1"/>
    <col min="19" max="19" width="10.85546875" style="92" customWidth="1"/>
    <col min="20" max="20" width="12.28515625" style="92" bestFit="1" customWidth="1"/>
    <col min="21" max="21" width="11.7109375" style="92" bestFit="1" customWidth="1"/>
    <col min="22" max="22" width="8.140625" style="92" bestFit="1" customWidth="1"/>
    <col min="23" max="16384" width="9.140625" style="92"/>
  </cols>
  <sheetData>
    <row r="1" spans="1:24" ht="20.25" x14ac:dyDescent="0.3">
      <c r="A1" s="1" t="s">
        <v>448</v>
      </c>
      <c r="B1" s="365"/>
      <c r="C1" s="182" t="str">
        <f>CONCATENATE(Device_Var," Power Consumption Summary Spreadsheet ",A1)</f>
        <v>66AK2H14 Power Consumption Summary Spreadsheet Rev 1.0.3</v>
      </c>
      <c r="D1" s="5"/>
      <c r="E1" s="5"/>
      <c r="F1" s="2"/>
      <c r="G1" s="367"/>
      <c r="H1" s="367"/>
      <c r="I1" s="367"/>
      <c r="J1" s="367"/>
      <c r="K1" s="367"/>
      <c r="L1" s="367"/>
      <c r="M1" s="367"/>
      <c r="N1" s="367"/>
      <c r="O1" s="4"/>
      <c r="P1" s="4"/>
      <c r="Q1" s="4"/>
      <c r="R1" s="4"/>
      <c r="S1" s="4"/>
      <c r="T1" s="4"/>
      <c r="U1" s="4"/>
      <c r="V1" s="4"/>
    </row>
    <row r="2" spans="1:24" ht="14.25" x14ac:dyDescent="0.2">
      <c r="A2" s="189" t="b">
        <f>NOT('Calculation sheet'!B7)</f>
        <v>0</v>
      </c>
      <c r="B2" s="362">
        <f>'Calculation sheet'!C7</f>
        <v>0</v>
      </c>
      <c r="C2" s="156" t="s">
        <v>0</v>
      </c>
      <c r="D2" s="156" t="s">
        <v>1</v>
      </c>
      <c r="E2" s="156" t="s">
        <v>2</v>
      </c>
      <c r="F2" s="2"/>
      <c r="G2" s="369" t="s">
        <v>3</v>
      </c>
      <c r="H2" s="369"/>
      <c r="I2" s="369"/>
      <c r="J2" s="369"/>
      <c r="K2" s="369"/>
      <c r="L2" s="369"/>
      <c r="M2" s="369"/>
      <c r="N2" s="369"/>
      <c r="O2" s="4"/>
      <c r="P2" s="4"/>
      <c r="Q2" s="4"/>
      <c r="R2" s="4"/>
      <c r="S2" s="4"/>
      <c r="T2" s="4"/>
      <c r="U2" s="4"/>
      <c r="V2" s="4"/>
    </row>
    <row r="3" spans="1:24" ht="14.25" x14ac:dyDescent="0.2">
      <c r="A3" s="362" t="b">
        <f>'Calculation sheet'!B8</f>
        <v>0</v>
      </c>
      <c r="B3" s="362">
        <f>'Calculation sheet'!C8</f>
        <v>0</v>
      </c>
      <c r="C3" s="157">
        <v>95</v>
      </c>
      <c r="D3" s="181" t="s">
        <v>4</v>
      </c>
      <c r="E3" s="36" t="s">
        <v>12</v>
      </c>
      <c r="F3" s="2"/>
      <c r="G3" s="368" t="s">
        <v>380</v>
      </c>
      <c r="H3" s="368"/>
      <c r="I3" s="368"/>
      <c r="J3" s="368"/>
      <c r="K3" s="368"/>
      <c r="L3" s="368"/>
      <c r="M3" s="368"/>
      <c r="N3" s="368"/>
      <c r="O3" s="4"/>
      <c r="P3" s="4"/>
      <c r="Q3" s="4"/>
      <c r="R3" s="6"/>
      <c r="S3" s="6"/>
      <c r="T3" s="6"/>
      <c r="U3" s="6"/>
      <c r="V3" s="6"/>
    </row>
    <row r="4" spans="1:24" ht="25.5" customHeight="1" x14ac:dyDescent="0.2">
      <c r="A4" s="361"/>
      <c r="B4" s="3"/>
      <c r="C4" s="3"/>
      <c r="D4" s="3"/>
      <c r="E4" s="3"/>
      <c r="F4" s="3"/>
      <c r="G4" s="9" t="s">
        <v>6</v>
      </c>
      <c r="H4" s="194" t="str">
        <f>IF(var="Power","CVDD (mW)","CVDD (mA)")</f>
        <v>CVDD (mA)</v>
      </c>
      <c r="I4" s="194" t="str">
        <f>IF(var="Power","CVDD1 (mW)","CVDD1 (mA)")</f>
        <v>CVDD1 (mA)</v>
      </c>
      <c r="J4" s="194" t="str">
        <f>IF(var="Power","DVDD15 (mW)", "DVDD15 (mA)")</f>
        <v>DVDD15 (mA)</v>
      </c>
      <c r="K4" s="194" t="str">
        <f>IF(var="Power","DVDD18 (mW)", "DVDD18 (mA)")</f>
        <v>DVDD18 (mA)</v>
      </c>
      <c r="L4" s="194" t="str">
        <f>IF(var="Power","DVDD33 (mW)", "DVDD33 (mA)")</f>
        <v>DVDD33 (mA)</v>
      </c>
      <c r="M4" s="194" t="str">
        <f>IF(var="Power","VDDALV (mW)", "VDDALV (mA)")</f>
        <v>VDDALV (mA)</v>
      </c>
      <c r="N4" s="194" t="str">
        <f>IF(var="Power","Total (mW)","Total (mA)")</f>
        <v>Total (mA)</v>
      </c>
      <c r="O4" s="4"/>
      <c r="P4" s="196"/>
      <c r="Q4" s="197"/>
      <c r="R4" s="198"/>
      <c r="S4" s="198"/>
      <c r="T4" s="198"/>
      <c r="U4" s="198"/>
      <c r="V4" s="10"/>
      <c r="X4" s="312"/>
    </row>
    <row r="5" spans="1:24" ht="15" x14ac:dyDescent="0.25">
      <c r="A5" s="166" t="s">
        <v>265</v>
      </c>
      <c r="B5" s="159" t="s">
        <v>228</v>
      </c>
      <c r="C5" s="34" t="s">
        <v>27</v>
      </c>
      <c r="D5" s="34" t="s">
        <v>28</v>
      </c>
      <c r="E5" s="34" t="s">
        <v>29</v>
      </c>
      <c r="F5" s="7"/>
      <c r="G5" s="374" t="s">
        <v>26</v>
      </c>
      <c r="H5" s="375"/>
      <c r="I5" s="375"/>
      <c r="J5" s="375"/>
      <c r="K5" s="375"/>
      <c r="L5" s="375"/>
      <c r="M5" s="375"/>
      <c r="N5" s="376"/>
      <c r="O5" s="4"/>
      <c r="P5" s="4"/>
      <c r="Q5" s="4"/>
      <c r="R5" s="195"/>
      <c r="S5" s="10"/>
      <c r="T5" s="10"/>
      <c r="U5" s="10"/>
      <c r="V5" s="7"/>
    </row>
    <row r="6" spans="1:24" ht="12.75" customHeight="1" x14ac:dyDescent="0.2">
      <c r="A6" s="156" t="s">
        <v>30</v>
      </c>
      <c r="B6" s="165" t="s">
        <v>60</v>
      </c>
      <c r="C6" s="36">
        <v>1200</v>
      </c>
      <c r="D6" s="284">
        <v>50</v>
      </c>
      <c r="E6" s="36">
        <v>50</v>
      </c>
      <c r="F6" s="7"/>
      <c r="G6" s="83" t="s">
        <v>274</v>
      </c>
      <c r="H6" s="287">
        <f>'Calculation sheet'!E95/mW_mA_sel_cvdd + 'Calculation sheet'!E104</f>
        <v>902.43518766088027</v>
      </c>
      <c r="I6" s="302">
        <f>'Calculation sheet'!F95/mW_mA_sel_cvdd + 'Calculation sheet'!F104</f>
        <v>3.2565805698711836</v>
      </c>
      <c r="J6" s="37" t="s">
        <v>31</v>
      </c>
      <c r="K6" s="37" t="s">
        <v>31</v>
      </c>
      <c r="L6" s="37" t="s">
        <v>31</v>
      </c>
      <c r="M6" s="37" t="s">
        <v>31</v>
      </c>
      <c r="N6" s="287">
        <f t="shared" ref="N6:N13" si="0">SUM(H6:M6)</f>
        <v>905.69176823075145</v>
      </c>
      <c r="O6" s="4"/>
      <c r="P6" s="195"/>
      <c r="Q6" s="199"/>
      <c r="R6" s="200"/>
      <c r="S6" s="200"/>
      <c r="T6" s="200"/>
      <c r="U6" s="200"/>
      <c r="V6" s="4"/>
    </row>
    <row r="7" spans="1:24" ht="12.75" customHeight="1" x14ac:dyDescent="0.2">
      <c r="A7" s="203" t="s">
        <v>212</v>
      </c>
      <c r="B7" s="165" t="s">
        <v>60</v>
      </c>
      <c r="C7" s="204"/>
      <c r="D7" s="284">
        <v>50</v>
      </c>
      <c r="E7" s="284">
        <v>50</v>
      </c>
      <c r="F7" s="7"/>
      <c r="G7" s="83" t="s">
        <v>275</v>
      </c>
      <c r="H7" s="302">
        <f>'Calculation sheet'!E96/mW_mA_sel_cvdd + 'Calculation sheet'!E105</f>
        <v>902.43518766088027</v>
      </c>
      <c r="I7" s="302">
        <f>'Calculation sheet'!F96/mW_mA_sel_cvdd + 'Calculation sheet'!F105</f>
        <v>3.2565805698711836</v>
      </c>
      <c r="J7" s="37" t="s">
        <v>31</v>
      </c>
      <c r="K7" s="37" t="s">
        <v>31</v>
      </c>
      <c r="L7" s="37" t="s">
        <v>31</v>
      </c>
      <c r="M7" s="37" t="s">
        <v>31</v>
      </c>
      <c r="N7" s="343">
        <f t="shared" si="0"/>
        <v>905.69176823075145</v>
      </c>
      <c r="O7" s="4"/>
      <c r="P7" s="195"/>
      <c r="Q7" s="199"/>
      <c r="R7" s="200"/>
      <c r="S7" s="200"/>
      <c r="T7" s="200"/>
      <c r="U7" s="200"/>
      <c r="V7" s="4"/>
    </row>
    <row r="8" spans="1:24" ht="12.75" customHeight="1" x14ac:dyDescent="0.2">
      <c r="A8" s="203" t="s">
        <v>152</v>
      </c>
      <c r="B8" s="165" t="s">
        <v>60</v>
      </c>
      <c r="C8" s="204"/>
      <c r="D8" s="284">
        <v>50</v>
      </c>
      <c r="E8" s="284">
        <v>50</v>
      </c>
      <c r="F8" s="7"/>
      <c r="G8" s="83" t="s">
        <v>276</v>
      </c>
      <c r="H8" s="302">
        <f>'Calculation sheet'!E97/mW_mA_sel_cvdd + 'Calculation sheet'!E106</f>
        <v>902.43518766088027</v>
      </c>
      <c r="I8" s="302">
        <f>'Calculation sheet'!F97/mW_mA_sel_cvdd + 'Calculation sheet'!F106</f>
        <v>3.2565805698711836</v>
      </c>
      <c r="J8" s="37" t="s">
        <v>31</v>
      </c>
      <c r="K8" s="37" t="s">
        <v>31</v>
      </c>
      <c r="L8" s="37" t="s">
        <v>31</v>
      </c>
      <c r="M8" s="37" t="s">
        <v>31</v>
      </c>
      <c r="N8" s="343">
        <f t="shared" si="0"/>
        <v>905.69176823075145</v>
      </c>
      <c r="O8" s="4"/>
      <c r="P8" s="195"/>
      <c r="Q8" s="199"/>
      <c r="R8" s="200"/>
      <c r="S8" s="200"/>
      <c r="T8" s="200"/>
      <c r="U8" s="200"/>
      <c r="V8" s="4"/>
    </row>
    <row r="9" spans="1:24" ht="12.75" customHeight="1" x14ac:dyDescent="0.2">
      <c r="A9" s="203" t="s">
        <v>153</v>
      </c>
      <c r="B9" s="165" t="s">
        <v>60</v>
      </c>
      <c r="C9" s="204"/>
      <c r="D9" s="284">
        <v>50</v>
      </c>
      <c r="E9" s="284">
        <v>50</v>
      </c>
      <c r="F9" s="7"/>
      <c r="G9" s="83" t="s">
        <v>277</v>
      </c>
      <c r="H9" s="302">
        <f>'Calculation sheet'!E98/mW_mA_sel_cvdd + 'Calculation sheet'!E107</f>
        <v>902.43518766088027</v>
      </c>
      <c r="I9" s="302">
        <f>'Calculation sheet'!F98/mW_mA_sel_cvdd + 'Calculation sheet'!F107</f>
        <v>3.2565805698711836</v>
      </c>
      <c r="J9" s="37" t="s">
        <v>31</v>
      </c>
      <c r="K9" s="37" t="s">
        <v>31</v>
      </c>
      <c r="L9" s="37" t="s">
        <v>31</v>
      </c>
      <c r="M9" s="37" t="s">
        <v>31</v>
      </c>
      <c r="N9" s="343">
        <f t="shared" si="0"/>
        <v>905.69176823075145</v>
      </c>
      <c r="O9" s="4"/>
      <c r="P9" s="195"/>
      <c r="Q9" s="199"/>
      <c r="R9" s="200"/>
      <c r="S9" s="200"/>
      <c r="T9" s="200"/>
      <c r="U9" s="200"/>
      <c r="V9" s="4"/>
    </row>
    <row r="10" spans="1:24" ht="12.75" customHeight="1" x14ac:dyDescent="0.2">
      <c r="A10" s="203" t="s">
        <v>154</v>
      </c>
      <c r="B10" s="165" t="s">
        <v>60</v>
      </c>
      <c r="C10" s="204"/>
      <c r="D10" s="284">
        <v>50</v>
      </c>
      <c r="E10" s="284">
        <v>50</v>
      </c>
      <c r="F10" s="7"/>
      <c r="G10" s="83" t="s">
        <v>278</v>
      </c>
      <c r="H10" s="302">
        <f>'Calculation sheet'!E99/mW_mA_sel_cvdd + 'Calculation sheet'!E108</f>
        <v>902.43518766088027</v>
      </c>
      <c r="I10" s="302">
        <f>'Calculation sheet'!F99/mW_mA_sel_cvdd + 'Calculation sheet'!F108</f>
        <v>3.2565805698711836</v>
      </c>
      <c r="J10" s="37" t="s">
        <v>31</v>
      </c>
      <c r="K10" s="37" t="s">
        <v>31</v>
      </c>
      <c r="L10" s="37" t="s">
        <v>31</v>
      </c>
      <c r="M10" s="37" t="s">
        <v>31</v>
      </c>
      <c r="N10" s="343">
        <f t="shared" si="0"/>
        <v>905.69176823075145</v>
      </c>
      <c r="O10" s="4"/>
      <c r="P10" s="195"/>
      <c r="Q10" s="199"/>
      <c r="R10" s="200"/>
      <c r="S10" s="200"/>
      <c r="T10" s="200"/>
      <c r="U10" s="200"/>
      <c r="V10" s="4"/>
    </row>
    <row r="11" spans="1:24" ht="12.75" customHeight="1" x14ac:dyDescent="0.2">
      <c r="A11" s="203" t="s">
        <v>155</v>
      </c>
      <c r="B11" s="165" t="s">
        <v>60</v>
      </c>
      <c r="C11" s="204"/>
      <c r="D11" s="284">
        <v>50</v>
      </c>
      <c r="E11" s="284">
        <v>50</v>
      </c>
      <c r="F11" s="7"/>
      <c r="G11" s="83" t="s">
        <v>279</v>
      </c>
      <c r="H11" s="302">
        <f>'Calculation sheet'!E100/mW_mA_sel_cvdd + 'Calculation sheet'!E109</f>
        <v>902.43518766088027</v>
      </c>
      <c r="I11" s="302">
        <f>'Calculation sheet'!F100/mW_mA_sel_cvdd + 'Calculation sheet'!F109</f>
        <v>3.2565805698711836</v>
      </c>
      <c r="J11" s="37" t="s">
        <v>31</v>
      </c>
      <c r="K11" s="37" t="s">
        <v>31</v>
      </c>
      <c r="L11" s="37" t="s">
        <v>31</v>
      </c>
      <c r="M11" s="37" t="s">
        <v>31</v>
      </c>
      <c r="N11" s="343">
        <f t="shared" si="0"/>
        <v>905.69176823075145</v>
      </c>
      <c r="O11" s="4"/>
      <c r="P11" s="195"/>
      <c r="Q11" s="199"/>
      <c r="R11" s="200"/>
      <c r="S11" s="200"/>
      <c r="T11" s="200"/>
      <c r="U11" s="200"/>
      <c r="V11" s="4"/>
    </row>
    <row r="12" spans="1:24" ht="12.75" customHeight="1" x14ac:dyDescent="0.2">
      <c r="A12" s="203" t="s">
        <v>156</v>
      </c>
      <c r="B12" s="165" t="s">
        <v>60</v>
      </c>
      <c r="C12" s="204"/>
      <c r="D12" s="284">
        <v>50</v>
      </c>
      <c r="E12" s="284">
        <v>50</v>
      </c>
      <c r="F12" s="7"/>
      <c r="G12" s="83" t="s">
        <v>280</v>
      </c>
      <c r="H12" s="302">
        <f>'Calculation sheet'!E101/mW_mA_sel_cvdd + 'Calculation sheet'!E110</f>
        <v>902.43518766088027</v>
      </c>
      <c r="I12" s="302">
        <f>'Calculation sheet'!F101/mW_mA_sel_cvdd + 'Calculation sheet'!F110</f>
        <v>3.2565805698711836</v>
      </c>
      <c r="J12" s="37" t="s">
        <v>31</v>
      </c>
      <c r="K12" s="37" t="s">
        <v>31</v>
      </c>
      <c r="L12" s="37" t="s">
        <v>31</v>
      </c>
      <c r="M12" s="37" t="s">
        <v>31</v>
      </c>
      <c r="N12" s="343">
        <f t="shared" si="0"/>
        <v>905.69176823075145</v>
      </c>
      <c r="O12" s="4"/>
      <c r="P12" s="195"/>
      <c r="Q12" s="195"/>
      <c r="R12" s="195"/>
      <c r="S12" s="195"/>
      <c r="T12" s="195"/>
      <c r="U12" s="195"/>
      <c r="V12" s="4"/>
    </row>
    <row r="13" spans="1:24" x14ac:dyDescent="0.2">
      <c r="A13" s="203" t="s">
        <v>157</v>
      </c>
      <c r="B13" s="165" t="s">
        <v>60</v>
      </c>
      <c r="C13" s="204"/>
      <c r="D13" s="284">
        <v>50</v>
      </c>
      <c r="E13" s="284">
        <v>50</v>
      </c>
      <c r="F13" s="7"/>
      <c r="G13" s="83" t="s">
        <v>281</v>
      </c>
      <c r="H13" s="302">
        <f>'Calculation sheet'!E102/mW_mA_sel_cvdd + 'Calculation sheet'!E111</f>
        <v>902.43518766088027</v>
      </c>
      <c r="I13" s="302">
        <f>'Calculation sheet'!F102/mW_mA_sel_cvdd + 'Calculation sheet'!F111</f>
        <v>3.2565805698711836</v>
      </c>
      <c r="J13" s="37" t="s">
        <v>31</v>
      </c>
      <c r="K13" s="37" t="s">
        <v>31</v>
      </c>
      <c r="L13" s="37" t="s">
        <v>31</v>
      </c>
      <c r="M13" s="37" t="s">
        <v>31</v>
      </c>
      <c r="N13" s="343">
        <f t="shared" si="0"/>
        <v>905.69176823075145</v>
      </c>
      <c r="O13" s="4"/>
      <c r="P13" s="195"/>
      <c r="Q13" s="195"/>
      <c r="R13" s="200"/>
      <c r="S13" s="200"/>
      <c r="T13" s="200"/>
      <c r="U13" s="200"/>
      <c r="V13" s="4"/>
    </row>
    <row r="14" spans="1:24" ht="12.75" customHeight="1" x14ac:dyDescent="0.2">
      <c r="A14" s="7"/>
      <c r="B14" s="7"/>
      <c r="C14" s="7"/>
      <c r="D14" s="7"/>
      <c r="E14" s="7"/>
      <c r="F14" s="7"/>
      <c r="G14" s="377"/>
      <c r="H14" s="378"/>
      <c r="I14" s="378"/>
      <c r="J14" s="378"/>
      <c r="K14" s="378"/>
      <c r="L14" s="378"/>
      <c r="M14" s="378"/>
      <c r="N14" s="379"/>
      <c r="O14" s="4"/>
      <c r="P14" s="4"/>
      <c r="Q14" s="4"/>
      <c r="R14" s="4"/>
      <c r="S14" s="4"/>
      <c r="T14" s="4"/>
      <c r="U14" s="4"/>
      <c r="V14" s="4"/>
    </row>
    <row r="15" spans="1:24" s="206" customFormat="1" ht="12.75" customHeight="1" x14ac:dyDescent="0.25">
      <c r="A15" s="166" t="s">
        <v>266</v>
      </c>
      <c r="B15" s="159" t="s">
        <v>228</v>
      </c>
      <c r="C15" s="205" t="s">
        <v>27</v>
      </c>
      <c r="D15" s="34" t="s">
        <v>44</v>
      </c>
      <c r="E15" s="7"/>
      <c r="F15" s="7"/>
      <c r="G15" s="380" t="s">
        <v>202</v>
      </c>
      <c r="H15" s="380"/>
      <c r="I15" s="380"/>
      <c r="J15" s="380"/>
      <c r="K15" s="380"/>
      <c r="L15" s="380"/>
      <c r="M15" s="380"/>
      <c r="N15" s="380"/>
      <c r="O15" s="7"/>
      <c r="P15" s="7"/>
      <c r="Q15" s="7"/>
      <c r="R15" s="7"/>
      <c r="S15" s="7"/>
      <c r="T15" s="7"/>
      <c r="U15" s="7"/>
      <c r="V15" s="7"/>
    </row>
    <row r="16" spans="1:24" s="206" customFormat="1" ht="12.75" customHeight="1" x14ac:dyDescent="0.25">
      <c r="A16" s="166" t="s">
        <v>315</v>
      </c>
      <c r="B16" s="50" t="s">
        <v>60</v>
      </c>
      <c r="C16" s="36">
        <v>1400</v>
      </c>
      <c r="D16" s="7"/>
      <c r="E16" s="7"/>
      <c r="F16" s="7"/>
      <c r="G16" s="366" t="s">
        <v>453</v>
      </c>
      <c r="H16" s="288">
        <f>'Calculation sheet'!B75*ARM_cpuF/mW_mA_sel_cvdd</f>
        <v>217.41176470588238</v>
      </c>
      <c r="I16" s="171" t="s">
        <v>31</v>
      </c>
      <c r="J16" s="171" t="s">
        <v>31</v>
      </c>
      <c r="K16" s="207" t="s">
        <v>31</v>
      </c>
      <c r="L16" s="37" t="s">
        <v>31</v>
      </c>
      <c r="M16" s="37" t="s">
        <v>31</v>
      </c>
      <c r="N16" s="343">
        <f t="shared" ref="N16" si="1">SUM(H16:M16)</f>
        <v>217.41176470588238</v>
      </c>
      <c r="O16" s="7"/>
      <c r="P16" s="7"/>
      <c r="Q16" s="7"/>
      <c r="R16" s="7"/>
      <c r="S16" s="7"/>
      <c r="T16" s="7"/>
      <c r="U16" s="7"/>
      <c r="V16" s="7"/>
    </row>
    <row r="17" spans="1:22" x14ac:dyDescent="0.2">
      <c r="A17" s="156" t="s">
        <v>267</v>
      </c>
      <c r="B17" s="193" t="s">
        <v>60</v>
      </c>
      <c r="C17" s="35"/>
      <c r="D17" s="285">
        <v>100</v>
      </c>
      <c r="E17" s="7"/>
      <c r="F17" s="7"/>
      <c r="G17" s="162" t="s">
        <v>282</v>
      </c>
      <c r="H17" s="288">
        <f>'Calculation sheet'!E123/mW_mA_sel_cvdd</f>
        <v>1131.2448859127051</v>
      </c>
      <c r="I17" s="289">
        <f>'Calculation sheet'!F123/mW_mA_sel_cvdd1</f>
        <v>14.626874187708442</v>
      </c>
      <c r="J17" s="171" t="s">
        <v>31</v>
      </c>
      <c r="K17" s="207" t="s">
        <v>31</v>
      </c>
      <c r="L17" s="37" t="s">
        <v>31</v>
      </c>
      <c r="M17" s="37" t="s">
        <v>31</v>
      </c>
      <c r="N17" s="343">
        <f t="shared" ref="N17:N20" si="2">SUM(H17:M17)</f>
        <v>1145.8717601004134</v>
      </c>
      <c r="O17" s="7"/>
      <c r="P17" s="7"/>
      <c r="Q17" s="7"/>
      <c r="R17" s="7"/>
      <c r="S17" s="7"/>
      <c r="T17" s="7"/>
      <c r="U17" s="7"/>
      <c r="V17" s="7"/>
    </row>
    <row r="18" spans="1:22" x14ac:dyDescent="0.2">
      <c r="A18" s="156" t="s">
        <v>268</v>
      </c>
      <c r="B18" s="193" t="s">
        <v>60</v>
      </c>
      <c r="C18" s="35"/>
      <c r="D18" s="285">
        <v>100</v>
      </c>
      <c r="E18" s="7"/>
      <c r="F18" s="7"/>
      <c r="G18" s="162" t="s">
        <v>283</v>
      </c>
      <c r="H18" s="289">
        <f>'Calculation sheet'!E124/mW_mA_sel_cvdd</f>
        <v>1131.2448859127051</v>
      </c>
      <c r="I18" s="289">
        <f>'Calculation sheet'!F124/mW_mA_sel_cvdd1</f>
        <v>14.626874187708442</v>
      </c>
      <c r="J18" s="172" t="s">
        <v>31</v>
      </c>
      <c r="K18" s="208" t="s">
        <v>31</v>
      </c>
      <c r="L18" s="77" t="s">
        <v>31</v>
      </c>
      <c r="M18" s="77" t="s">
        <v>31</v>
      </c>
      <c r="N18" s="289">
        <f t="shared" si="2"/>
        <v>1145.8717601004134</v>
      </c>
      <c r="O18" s="7"/>
      <c r="P18" s="7"/>
      <c r="Q18" s="7"/>
      <c r="R18" s="7"/>
      <c r="S18" s="7"/>
      <c r="T18" s="7"/>
      <c r="U18" s="7"/>
      <c r="V18" s="7"/>
    </row>
    <row r="19" spans="1:22" x14ac:dyDescent="0.2">
      <c r="A19" s="156" t="s">
        <v>269</v>
      </c>
      <c r="B19" s="193" t="s">
        <v>60</v>
      </c>
      <c r="C19" s="35"/>
      <c r="D19" s="285">
        <v>100</v>
      </c>
      <c r="E19" s="7"/>
      <c r="F19" s="7"/>
      <c r="G19" s="162" t="s">
        <v>284</v>
      </c>
      <c r="H19" s="288">
        <f>'Calculation sheet'!E125/mW_mA_sel_cvdd</f>
        <v>1131.2448859127051</v>
      </c>
      <c r="I19" s="289">
        <f>'Calculation sheet'!F125/mW_mA_sel_cvdd1</f>
        <v>14.626874187708442</v>
      </c>
      <c r="J19" s="171" t="s">
        <v>31</v>
      </c>
      <c r="K19" s="207" t="s">
        <v>31</v>
      </c>
      <c r="L19" s="37" t="s">
        <v>31</v>
      </c>
      <c r="M19" s="37" t="s">
        <v>31</v>
      </c>
      <c r="N19" s="343">
        <f t="shared" si="2"/>
        <v>1145.8717601004134</v>
      </c>
      <c r="O19" s="7"/>
      <c r="P19" s="7"/>
      <c r="Q19" s="7"/>
      <c r="R19" s="7"/>
      <c r="S19" s="7"/>
      <c r="T19" s="7"/>
      <c r="U19" s="7"/>
      <c r="V19" s="7"/>
    </row>
    <row r="20" spans="1:22" x14ac:dyDescent="0.2">
      <c r="A20" s="156" t="s">
        <v>270</v>
      </c>
      <c r="B20" s="193" t="s">
        <v>60</v>
      </c>
      <c r="C20" s="35"/>
      <c r="D20" s="285">
        <v>100</v>
      </c>
      <c r="E20" s="7"/>
      <c r="F20" s="7"/>
      <c r="G20" s="162" t="s">
        <v>285</v>
      </c>
      <c r="H20" s="288">
        <f>'Calculation sheet'!E126/mW_mA_sel_cvdd</f>
        <v>1131.2448859127051</v>
      </c>
      <c r="I20" s="289">
        <f>'Calculation sheet'!F126/mW_mA_sel_cvdd1</f>
        <v>14.626874187708442</v>
      </c>
      <c r="J20" s="172" t="s">
        <v>31</v>
      </c>
      <c r="K20" s="208" t="s">
        <v>31</v>
      </c>
      <c r="L20" s="37" t="s">
        <v>31</v>
      </c>
      <c r="M20" s="37" t="s">
        <v>31</v>
      </c>
      <c r="N20" s="343">
        <f t="shared" si="2"/>
        <v>1145.8717601004134</v>
      </c>
      <c r="O20" s="7"/>
      <c r="P20" s="7"/>
      <c r="Q20" s="7"/>
      <c r="R20" s="7"/>
      <c r="S20" s="7"/>
      <c r="T20" s="7"/>
      <c r="U20" s="7"/>
      <c r="V20" s="7"/>
    </row>
    <row r="21" spans="1:22" ht="12.75" customHeight="1" x14ac:dyDescent="0.25">
      <c r="A21" s="35"/>
      <c r="B21" s="35"/>
      <c r="C21" s="35"/>
      <c r="D21" s="35"/>
      <c r="E21" s="35"/>
      <c r="F21" s="35"/>
      <c r="G21" s="381" t="s">
        <v>105</v>
      </c>
      <c r="H21" s="382"/>
      <c r="I21" s="382"/>
      <c r="J21" s="382"/>
      <c r="K21" s="382"/>
      <c r="L21" s="382"/>
      <c r="M21" s="382"/>
      <c r="N21" s="383"/>
      <c r="O21" s="35"/>
      <c r="P21" s="35"/>
      <c r="Q21" s="35"/>
      <c r="R21" s="35"/>
      <c r="S21" s="35"/>
      <c r="T21" s="35"/>
      <c r="U21" s="35"/>
      <c r="V21" s="35"/>
    </row>
    <row r="22" spans="1:22" ht="12.75" customHeight="1" x14ac:dyDescent="0.2">
      <c r="A22" s="156" t="s">
        <v>105</v>
      </c>
      <c r="B22" s="50" t="s">
        <v>60</v>
      </c>
      <c r="C22" s="3"/>
      <c r="D22" s="50">
        <v>100</v>
      </c>
      <c r="E22" s="60"/>
      <c r="F22" s="3"/>
      <c r="G22" s="19" t="s">
        <v>105</v>
      </c>
      <c r="H22" s="290">
        <f>'Calculation sheet'!E315/mW_mA_sel_cvdd</f>
        <v>1092.8044811669333</v>
      </c>
      <c r="I22" s="290">
        <f>'Calculation sheet'!F315/mW_mA_sel_cvdd1</f>
        <v>13.572492996314329</v>
      </c>
      <c r="J22" s="12" t="s">
        <v>31</v>
      </c>
      <c r="K22" s="12" t="s">
        <v>31</v>
      </c>
      <c r="L22" s="54" t="s">
        <v>31</v>
      </c>
      <c r="M22" s="54" t="s">
        <v>31</v>
      </c>
      <c r="N22" s="343">
        <f t="shared" ref="N22" si="3">SUM(H22:M22)</f>
        <v>1106.3769741632477</v>
      </c>
      <c r="O22" s="4"/>
      <c r="P22" s="4"/>
      <c r="Q22" s="4"/>
      <c r="R22" s="4"/>
      <c r="S22" s="4"/>
      <c r="T22" s="4"/>
      <c r="U22" s="4"/>
      <c r="V22" s="4"/>
    </row>
    <row r="23" spans="1:22" ht="12.75" customHeight="1" x14ac:dyDescent="0.2">
      <c r="A23" s="3"/>
      <c r="B23" s="3"/>
      <c r="C23" s="3"/>
      <c r="D23" s="3"/>
      <c r="E23" s="3"/>
      <c r="F23" s="3"/>
      <c r="G23" s="377"/>
      <c r="H23" s="378"/>
      <c r="I23" s="378"/>
      <c r="J23" s="378"/>
      <c r="K23" s="378"/>
      <c r="L23" s="378"/>
      <c r="M23" s="378"/>
      <c r="N23" s="379"/>
      <c r="O23" s="4"/>
      <c r="P23" s="4"/>
      <c r="Q23" s="4"/>
      <c r="R23" s="4"/>
      <c r="S23" s="4"/>
      <c r="T23" s="4"/>
      <c r="U23" s="4"/>
      <c r="V23" s="4"/>
    </row>
    <row r="24" spans="1:22" ht="15" x14ac:dyDescent="0.25">
      <c r="A24" s="166" t="s">
        <v>291</v>
      </c>
      <c r="B24" s="159" t="s">
        <v>319</v>
      </c>
      <c r="C24" s="159" t="s">
        <v>395</v>
      </c>
      <c r="D24" s="34" t="s">
        <v>44</v>
      </c>
      <c r="E24" s="159" t="s">
        <v>394</v>
      </c>
      <c r="F24" s="34" t="s">
        <v>45</v>
      </c>
      <c r="G24" s="374" t="s">
        <v>289</v>
      </c>
      <c r="H24" s="375"/>
      <c r="I24" s="375"/>
      <c r="J24" s="375"/>
      <c r="K24" s="375"/>
      <c r="L24" s="375"/>
      <c r="M24" s="375"/>
      <c r="N24" s="376"/>
      <c r="O24" s="4"/>
      <c r="P24" s="4"/>
      <c r="Q24" s="4"/>
      <c r="R24" s="4"/>
      <c r="S24" s="4"/>
      <c r="T24" s="4"/>
      <c r="U24" s="4"/>
      <c r="V24" s="4"/>
    </row>
    <row r="25" spans="1:22" ht="12" customHeight="1" x14ac:dyDescent="0.2">
      <c r="A25" s="203" t="s">
        <v>216</v>
      </c>
      <c r="B25" s="50" t="s">
        <v>60</v>
      </c>
      <c r="C25" s="49">
        <v>800</v>
      </c>
      <c r="D25" s="50">
        <v>100</v>
      </c>
      <c r="E25" s="157">
        <v>16</v>
      </c>
      <c r="F25" s="49">
        <v>50</v>
      </c>
      <c r="G25" s="19" t="s">
        <v>216</v>
      </c>
      <c r="H25" s="290">
        <f>'Calculation sheet'!E153/mW_mA_sel_cvdd+'Calculation sheet'!T139</f>
        <v>241.39046949820442</v>
      </c>
      <c r="I25" s="54" t="s">
        <v>31</v>
      </c>
      <c r="J25" s="290">
        <f>'Calculation sheet'!G153/mW_mA_sel_dvdd15+'Calculation sheet'!V139</f>
        <v>330.42128227471107</v>
      </c>
      <c r="K25" s="54" t="s">
        <v>31</v>
      </c>
      <c r="L25" s="54" t="s">
        <v>31</v>
      </c>
      <c r="M25" s="54" t="s">
        <v>31</v>
      </c>
      <c r="N25" s="290">
        <f>SUM(H25:M25)</f>
        <v>571.8117517729155</v>
      </c>
      <c r="O25" s="4"/>
      <c r="P25" s="4"/>
      <c r="Q25" s="4"/>
      <c r="R25" s="4"/>
      <c r="S25" s="4"/>
      <c r="T25" s="4"/>
      <c r="U25" s="4"/>
      <c r="V25" s="4"/>
    </row>
    <row r="26" spans="1:22" ht="12" customHeight="1" x14ac:dyDescent="0.2">
      <c r="A26" s="203" t="s">
        <v>217</v>
      </c>
      <c r="B26" s="50" t="s">
        <v>60</v>
      </c>
      <c r="C26" s="49">
        <v>800</v>
      </c>
      <c r="D26" s="50">
        <v>100</v>
      </c>
      <c r="E26" s="157">
        <v>16</v>
      </c>
      <c r="F26" s="49">
        <v>50</v>
      </c>
      <c r="G26" s="19" t="s">
        <v>217</v>
      </c>
      <c r="H26" s="290">
        <f>'Calculation sheet'!E172/mW_mA_sel_cvdd+'Calculation sheet'!T158</f>
        <v>263.6585726308798</v>
      </c>
      <c r="I26" s="54" t="s">
        <v>31</v>
      </c>
      <c r="J26" s="290">
        <f>'Calculation sheet'!G172/mW_mA_sel_dvdd15+'Calculation sheet'!V158</f>
        <v>405.33674554396083</v>
      </c>
      <c r="K26" s="54" t="s">
        <v>31</v>
      </c>
      <c r="L26" s="54" t="s">
        <v>31</v>
      </c>
      <c r="M26" s="54" t="s">
        <v>31</v>
      </c>
      <c r="N26" s="344">
        <f>SUM(H26:M26)</f>
        <v>668.99531817484058</v>
      </c>
      <c r="O26" s="4"/>
      <c r="P26" s="4"/>
      <c r="Q26" s="4"/>
      <c r="R26" s="4"/>
      <c r="S26" s="4"/>
      <c r="T26" s="4"/>
      <c r="U26" s="4"/>
      <c r="V26" s="4"/>
    </row>
    <row r="27" spans="1:22" ht="12.75" customHeight="1" x14ac:dyDescent="0.2">
      <c r="A27" s="66" t="s">
        <v>118</v>
      </c>
      <c r="B27" s="69" t="s">
        <v>60</v>
      </c>
      <c r="C27" s="67"/>
      <c r="D27" s="50">
        <v>100</v>
      </c>
      <c r="E27" s="85"/>
      <c r="F27" s="68">
        <v>50</v>
      </c>
      <c r="G27" s="19" t="str">
        <f>A27</f>
        <v>EMIF16</v>
      </c>
      <c r="H27" s="291">
        <f>'Calculation sheet'!E367/mW_mA_sel_cvdd</f>
        <v>7.0588235294117645</v>
      </c>
      <c r="I27" s="54" t="s">
        <v>31</v>
      </c>
      <c r="J27" s="54" t="s">
        <v>31</v>
      </c>
      <c r="K27" s="54" t="s">
        <v>31</v>
      </c>
      <c r="L27" s="54" t="s">
        <v>31</v>
      </c>
      <c r="M27" s="54" t="s">
        <v>31</v>
      </c>
      <c r="N27" s="344">
        <f>SUM(H27:M27)</f>
        <v>7.0588235294117645</v>
      </c>
      <c r="O27" s="4"/>
      <c r="P27" s="4"/>
      <c r="Q27" s="4"/>
      <c r="R27" s="4"/>
      <c r="S27" s="4"/>
      <c r="T27" s="4"/>
      <c r="U27" s="4"/>
      <c r="V27" s="4"/>
    </row>
    <row r="28" spans="1:22" s="209" customFormat="1" ht="12.75" customHeight="1" x14ac:dyDescent="0.2">
      <c r="A28" s="85"/>
      <c r="B28" s="8"/>
      <c r="C28" s="85"/>
      <c r="D28" s="85"/>
      <c r="E28" s="85"/>
      <c r="F28" s="67"/>
      <c r="G28" s="19"/>
      <c r="H28" s="290"/>
      <c r="I28" s="12"/>
      <c r="J28" s="12"/>
      <c r="K28" s="12"/>
      <c r="L28" s="12"/>
      <c r="M28" s="12"/>
      <c r="N28" s="12"/>
      <c r="O28" s="4"/>
      <c r="P28" s="4"/>
      <c r="Q28" s="4"/>
      <c r="R28" s="4"/>
      <c r="S28" s="4"/>
      <c r="T28" s="4"/>
      <c r="U28" s="4"/>
      <c r="V28" s="4"/>
    </row>
    <row r="29" spans="1:22" ht="12.75" customHeight="1" x14ac:dyDescent="0.2">
      <c r="A29" s="156" t="s">
        <v>272</v>
      </c>
      <c r="B29" s="52" t="s">
        <v>60</v>
      </c>
      <c r="C29" s="3"/>
      <c r="D29" s="50">
        <v>40</v>
      </c>
      <c r="E29" s="60"/>
      <c r="F29" s="3"/>
      <c r="G29" s="19" t="s">
        <v>109</v>
      </c>
      <c r="H29" s="290">
        <f>'Calculation sheet'!E349/mW_mA_sel_cvdd</f>
        <v>118.58823529411767</v>
      </c>
      <c r="I29" s="290">
        <f>'Calculation sheet'!F349/mW_mA_sel_cvdd1</f>
        <v>20.715789473684215</v>
      </c>
      <c r="J29" s="12" t="s">
        <v>31</v>
      </c>
      <c r="K29" s="12" t="s">
        <v>31</v>
      </c>
      <c r="L29" s="54" t="s">
        <v>31</v>
      </c>
      <c r="M29" s="54" t="s">
        <v>31</v>
      </c>
      <c r="N29" s="344">
        <f>SUM(H29:M29)</f>
        <v>139.30402476780188</v>
      </c>
      <c r="O29" s="4"/>
      <c r="P29" s="4"/>
      <c r="Q29" s="4"/>
      <c r="R29" s="4"/>
      <c r="S29" s="4"/>
      <c r="T29" s="4"/>
      <c r="U29" s="4"/>
      <c r="V29" s="4"/>
    </row>
    <row r="30" spans="1:22" ht="12.75" customHeight="1" x14ac:dyDescent="0.2">
      <c r="A30" s="175"/>
      <c r="B30" s="8"/>
      <c r="C30" s="3"/>
      <c r="D30" s="8"/>
      <c r="E30" s="3"/>
      <c r="F30" s="3"/>
      <c r="G30" s="19"/>
      <c r="H30" s="12"/>
      <c r="I30" s="12"/>
      <c r="J30" s="12"/>
      <c r="K30" s="12"/>
      <c r="L30" s="12"/>
      <c r="M30" s="12"/>
      <c r="N30" s="12"/>
      <c r="O30" s="4"/>
      <c r="P30" s="4"/>
      <c r="Q30" s="4"/>
      <c r="R30" s="4"/>
      <c r="S30" s="4"/>
      <c r="T30" s="4"/>
      <c r="U30" s="4"/>
      <c r="V30" s="4"/>
    </row>
    <row r="31" spans="1:22" ht="12.75" customHeight="1" x14ac:dyDescent="0.25">
      <c r="A31" s="166" t="s">
        <v>290</v>
      </c>
      <c r="B31" s="159" t="s">
        <v>319</v>
      </c>
      <c r="C31" s="34" t="s">
        <v>42</v>
      </c>
      <c r="D31" s="34" t="s">
        <v>44</v>
      </c>
      <c r="E31" s="159" t="s">
        <v>396</v>
      </c>
      <c r="F31" s="34" t="s">
        <v>43</v>
      </c>
      <c r="G31" s="374" t="s">
        <v>290</v>
      </c>
      <c r="H31" s="375"/>
      <c r="I31" s="375"/>
      <c r="J31" s="375"/>
      <c r="K31" s="375"/>
      <c r="L31" s="375"/>
      <c r="M31" s="375"/>
      <c r="N31" s="376"/>
      <c r="O31" s="4"/>
      <c r="P31" s="4"/>
      <c r="Q31" s="4"/>
      <c r="R31" s="4"/>
      <c r="S31" s="4"/>
      <c r="T31" s="4"/>
      <c r="U31" s="4"/>
      <c r="V31" s="4"/>
    </row>
    <row r="32" spans="1:22" ht="13.5" customHeight="1" x14ac:dyDescent="0.2">
      <c r="A32" s="156" t="s">
        <v>58</v>
      </c>
      <c r="B32" s="52" t="s">
        <v>60</v>
      </c>
      <c r="C32" s="50">
        <v>5</v>
      </c>
      <c r="D32" s="50">
        <v>100</v>
      </c>
      <c r="E32" s="50">
        <v>4</v>
      </c>
      <c r="F32" s="49" t="s">
        <v>63</v>
      </c>
      <c r="G32" s="213" t="s">
        <v>58</v>
      </c>
      <c r="H32" s="316">
        <f>'Calculation sheet'!E207/mW_mA_sel_cvdd+'Calculation sheet'!T188</f>
        <v>347.29411764705884</v>
      </c>
      <c r="I32" s="316">
        <f>'Calculation sheet'!F207/mW_mA_sel_cvdd1+'Calculation sheet'!U188</f>
        <v>39.15789473684211</v>
      </c>
      <c r="J32" s="315" t="s">
        <v>31</v>
      </c>
      <c r="K32" s="316">
        <f>'Calculation sheet'!W188</f>
        <v>131.11955555555554</v>
      </c>
      <c r="L32" s="315" t="s">
        <v>31</v>
      </c>
      <c r="M32" s="315">
        <f>'Calculation sheet'!Z188</f>
        <v>196.88905882352944</v>
      </c>
      <c r="N32" s="344">
        <f>SUM(H32:M32)</f>
        <v>714.46062676298595</v>
      </c>
      <c r="O32" s="4"/>
      <c r="P32" s="4"/>
      <c r="Q32" s="4"/>
      <c r="R32" s="4"/>
      <c r="S32" s="4"/>
      <c r="T32" s="4"/>
      <c r="U32" s="4"/>
      <c r="V32" s="4"/>
    </row>
    <row r="33" spans="1:22" ht="12" customHeight="1" x14ac:dyDescent="0.2">
      <c r="A33" s="156" t="s">
        <v>87</v>
      </c>
      <c r="B33" s="52" t="s">
        <v>60</v>
      </c>
      <c r="C33" s="50">
        <v>10</v>
      </c>
      <c r="D33" s="50">
        <v>100</v>
      </c>
      <c r="E33" s="212">
        <v>2</v>
      </c>
      <c r="F33" s="60"/>
      <c r="G33" s="19" t="s">
        <v>87</v>
      </c>
      <c r="H33" s="341">
        <f>'Calculation sheet'!E223/mW_mA_sel_cvdd+'Calculation sheet'!T211</f>
        <v>313.41176470588232</v>
      </c>
      <c r="I33" s="341">
        <f>'Calculation sheet'!F223/mW_mA_sel_cvdd1+'Calculation sheet'!U211</f>
        <v>35.368421052631582</v>
      </c>
      <c r="J33" s="317" t="s">
        <v>31</v>
      </c>
      <c r="K33" s="345">
        <f>'Calculation sheet'!W211</f>
        <v>361.11111111111109</v>
      </c>
      <c r="L33" s="346" t="s">
        <v>31</v>
      </c>
      <c r="M33" s="346">
        <f>'Calculation sheet'!Z211</f>
        <v>662.5308235294118</v>
      </c>
      <c r="N33" s="344">
        <f>SUM(H33:M33)</f>
        <v>1372.4221203990369</v>
      </c>
      <c r="O33" s="4"/>
      <c r="P33" s="4"/>
      <c r="Q33" s="4"/>
      <c r="R33" s="4"/>
      <c r="S33" s="4"/>
      <c r="T33" s="4"/>
      <c r="U33" s="4"/>
      <c r="V33" s="5"/>
    </row>
    <row r="34" spans="1:22" x14ac:dyDescent="0.2">
      <c r="A34" s="156" t="s">
        <v>93</v>
      </c>
      <c r="B34" s="52" t="s">
        <v>66</v>
      </c>
      <c r="C34" s="60"/>
      <c r="D34" s="50">
        <v>25</v>
      </c>
      <c r="E34" s="60"/>
      <c r="F34" s="60"/>
      <c r="G34" s="19" t="s">
        <v>93</v>
      </c>
      <c r="H34" s="345">
        <f>'Calculation sheet'!E238/mW_mA_sel_cvdd+'Calculation sheet'!T227</f>
        <v>0</v>
      </c>
      <c r="I34" s="345">
        <f>'Calculation sheet'!F238/mW_mA_sel_cvdd1+'Calculation sheet'!U227</f>
        <v>0</v>
      </c>
      <c r="J34" s="318" t="s">
        <v>31</v>
      </c>
      <c r="K34" s="345">
        <f>'Calculation sheet'!W227</f>
        <v>2.2777777777777777</v>
      </c>
      <c r="L34" s="318" t="s">
        <v>31</v>
      </c>
      <c r="M34" s="346">
        <f>'Calculation sheet'!Z227</f>
        <v>8.5882352941176467</v>
      </c>
      <c r="N34" s="344">
        <f>SUM(H34:M34)</f>
        <v>10.866013071895424</v>
      </c>
      <c r="O34" s="4"/>
      <c r="P34" s="4"/>
      <c r="Q34" s="4"/>
      <c r="R34" s="4"/>
      <c r="S34" s="4"/>
      <c r="T34" s="4"/>
      <c r="U34" s="4"/>
      <c r="V34" s="4"/>
    </row>
    <row r="35" spans="1:22" ht="12" customHeight="1" x14ac:dyDescent="0.2">
      <c r="A35" s="156" t="s">
        <v>271</v>
      </c>
      <c r="B35" s="52" t="s">
        <v>60</v>
      </c>
      <c r="C35" s="212">
        <v>10</v>
      </c>
      <c r="D35" s="50">
        <v>100</v>
      </c>
      <c r="E35" s="212">
        <v>2</v>
      </c>
      <c r="F35" s="60"/>
      <c r="G35" s="19" t="s">
        <v>253</v>
      </c>
      <c r="H35" s="345">
        <f>'Calculation sheet'!E261/mW_mA_sel_cvdd+'Calculation sheet'!T259</f>
        <v>1082.8235294117649</v>
      </c>
      <c r="I35" s="345">
        <f>'Calculation sheet'!F261/mW_mA_sel_cvdd1+'Calculation sheet'!U259</f>
        <v>123.78947368421053</v>
      </c>
      <c r="J35" s="317" t="s">
        <v>31</v>
      </c>
      <c r="K35" s="346">
        <f>'Calculation sheet'!W259</f>
        <v>109.22222222222221</v>
      </c>
      <c r="L35" s="318" t="s">
        <v>31</v>
      </c>
      <c r="M35" s="346">
        <f>'Calculation sheet'!Z259</f>
        <v>211.52941176470591</v>
      </c>
      <c r="N35" s="344">
        <f>SUM(H35:M35)</f>
        <v>1527.3646370829035</v>
      </c>
      <c r="O35" s="4"/>
      <c r="P35" s="4"/>
      <c r="Q35" s="4"/>
      <c r="R35" s="4"/>
      <c r="S35" s="4"/>
      <c r="T35" s="4"/>
      <c r="U35" s="4"/>
      <c r="V35" s="4"/>
    </row>
    <row r="36" spans="1:22" ht="12" customHeight="1" x14ac:dyDescent="0.2">
      <c r="A36" s="156" t="s">
        <v>211</v>
      </c>
      <c r="B36" s="52" t="s">
        <v>66</v>
      </c>
      <c r="C36" s="163" t="s">
        <v>263</v>
      </c>
      <c r="D36" s="50">
        <v>25</v>
      </c>
      <c r="E36" s="60"/>
      <c r="F36" s="60"/>
      <c r="G36" s="19" t="s">
        <v>210</v>
      </c>
      <c r="H36" s="352">
        <f>('Calculation sheet'!E500)/mW_mA_sel_cvdd+'Calculation sheet'!T495</f>
        <v>0</v>
      </c>
      <c r="I36" s="352">
        <f>'Calculation sheet'!F501/mW_mA_sel_cvdd1+'Calculation sheet'!U495</f>
        <v>0</v>
      </c>
      <c r="J36" s="317" t="s">
        <v>31</v>
      </c>
      <c r="K36" s="317" t="s">
        <v>31</v>
      </c>
      <c r="L36" s="352">
        <f>'Calculation sheet'!X495</f>
        <v>0.90909090909090917</v>
      </c>
      <c r="M36" s="353">
        <f>'Calculation sheet'!Z495</f>
        <v>1.1764705882352942</v>
      </c>
      <c r="N36" s="344">
        <f>SUM(H36:M36)</f>
        <v>2.0855614973262036</v>
      </c>
      <c r="O36" s="4"/>
      <c r="P36" s="4"/>
      <c r="Q36" s="4"/>
      <c r="R36" s="4"/>
      <c r="S36" s="4"/>
      <c r="T36" s="4"/>
      <c r="U36" s="4"/>
      <c r="V36" s="5"/>
    </row>
    <row r="37" spans="1:22" ht="12" customHeight="1" x14ac:dyDescent="0.2">
      <c r="A37" s="7"/>
      <c r="B37" s="7"/>
      <c r="C37" s="7"/>
      <c r="D37" s="7"/>
      <c r="E37" s="7"/>
      <c r="F37" s="7"/>
      <c r="G37" s="19"/>
      <c r="H37" s="215"/>
      <c r="I37" s="215"/>
      <c r="J37" s="215"/>
      <c r="K37" s="215"/>
      <c r="L37" s="215"/>
      <c r="M37" s="215"/>
      <c r="N37" s="215"/>
      <c r="O37" s="4"/>
      <c r="P37" s="4"/>
      <c r="Q37" s="4"/>
      <c r="R37" s="4"/>
      <c r="S37" s="4"/>
      <c r="T37" s="4"/>
      <c r="U37" s="4"/>
      <c r="V37" s="4"/>
    </row>
    <row r="38" spans="1:22" s="90" customFormat="1" x14ac:dyDescent="0.2">
      <c r="A38" s="156" t="s">
        <v>168</v>
      </c>
      <c r="B38" s="52" t="s">
        <v>60</v>
      </c>
      <c r="C38" s="86"/>
      <c r="D38" s="50">
        <v>100</v>
      </c>
      <c r="E38" s="86"/>
      <c r="F38" s="87" t="s">
        <v>164</v>
      </c>
      <c r="G38" s="19" t="str">
        <f>A38</f>
        <v>Network CoProcessor</v>
      </c>
      <c r="H38" s="353">
        <f>'Calculation sheet'!E331/mW_mA_sel_cvdd+'Calculation sheet'!T324</f>
        <v>838.62117647058824</v>
      </c>
      <c r="I38" s="353">
        <f>'Calculation sheet'!F331/mW_mA_sel_cvdd1+'Calculation sheet'!U324</f>
        <v>122.84463157894739</v>
      </c>
      <c r="J38" s="318" t="s">
        <v>31</v>
      </c>
      <c r="K38" s="354">
        <f>'Calculation sheet'!W324</f>
        <v>79.799833333333339</v>
      </c>
      <c r="L38" s="318" t="s">
        <v>31</v>
      </c>
      <c r="M38" s="353">
        <f>'Calculation sheet'!Z324</f>
        <v>144.46682352941178</v>
      </c>
      <c r="N38" s="344">
        <f>SUM(H38:M38)</f>
        <v>1185.7324649122809</v>
      </c>
      <c r="O38" s="86"/>
      <c r="P38" s="86"/>
      <c r="Q38" s="86"/>
      <c r="R38" s="86"/>
      <c r="S38" s="86"/>
      <c r="T38" s="86"/>
      <c r="U38" s="86"/>
      <c r="V38" s="86"/>
    </row>
    <row r="39" spans="1:22" ht="12.75" customHeight="1" x14ac:dyDescent="0.2">
      <c r="A39" s="4"/>
      <c r="B39" s="4"/>
      <c r="C39" s="3"/>
      <c r="D39" s="4"/>
      <c r="E39" s="4"/>
      <c r="F39" s="4"/>
      <c r="G39" s="216"/>
      <c r="H39" s="217"/>
      <c r="I39" s="217"/>
      <c r="J39" s="217"/>
      <c r="K39" s="217"/>
      <c r="L39" s="217"/>
      <c r="M39" s="217"/>
      <c r="N39" s="217"/>
      <c r="O39" s="4"/>
      <c r="P39" s="4"/>
      <c r="Q39" s="4"/>
      <c r="R39" s="4"/>
      <c r="S39" s="4"/>
      <c r="T39" s="4"/>
      <c r="U39" s="4"/>
      <c r="V39" s="4"/>
    </row>
    <row r="40" spans="1:22" ht="12.75" hidden="1" customHeight="1" x14ac:dyDescent="0.25">
      <c r="A40" s="166" t="s">
        <v>273</v>
      </c>
      <c r="B40" s="8"/>
      <c r="C40" s="3"/>
      <c r="D40" s="3"/>
      <c r="E40" s="3"/>
      <c r="F40" s="3"/>
      <c r="G40" s="371" t="s">
        <v>273</v>
      </c>
      <c r="H40" s="372"/>
      <c r="I40" s="372"/>
      <c r="J40" s="372"/>
      <c r="K40" s="372"/>
      <c r="L40" s="372"/>
      <c r="M40" s="372"/>
      <c r="N40" s="373"/>
      <c r="O40" s="4"/>
      <c r="P40" s="4"/>
      <c r="Q40" s="4"/>
      <c r="R40" s="4"/>
      <c r="S40" s="4"/>
      <c r="T40" s="4"/>
      <c r="U40" s="4"/>
      <c r="V40" s="5"/>
    </row>
    <row r="41" spans="1:22" ht="12.75" hidden="1" customHeight="1" x14ac:dyDescent="0.25">
      <c r="A41" s="166"/>
      <c r="B41" s="8"/>
      <c r="C41" s="3"/>
      <c r="D41" s="3"/>
      <c r="E41" s="3"/>
      <c r="F41" s="3"/>
      <c r="G41" s="371"/>
      <c r="H41" s="372"/>
      <c r="I41" s="372"/>
      <c r="J41" s="372"/>
      <c r="K41" s="372"/>
      <c r="L41" s="372"/>
      <c r="M41" s="372"/>
      <c r="N41" s="373"/>
      <c r="O41" s="4"/>
      <c r="P41" s="4"/>
      <c r="Q41" s="4"/>
      <c r="R41" s="4"/>
      <c r="S41" s="4"/>
      <c r="T41" s="4"/>
      <c r="U41" s="4"/>
      <c r="V41" s="5"/>
    </row>
    <row r="42" spans="1:22" ht="12.75" hidden="1" customHeight="1" x14ac:dyDescent="0.2">
      <c r="A42" s="156" t="s">
        <v>186</v>
      </c>
      <c r="B42" s="50" t="s">
        <v>66</v>
      </c>
      <c r="C42" s="117">
        <v>6.1440000000000001</v>
      </c>
      <c r="D42" s="50">
        <v>0</v>
      </c>
      <c r="E42" s="50">
        <v>4</v>
      </c>
      <c r="F42" s="49" t="s">
        <v>193</v>
      </c>
      <c r="G42" s="186" t="s">
        <v>186</v>
      </c>
      <c r="H42" s="77">
        <f>'Calculation sheet'!E456/mW_mA_sel_cvdd</f>
        <v>0</v>
      </c>
      <c r="I42" s="77">
        <f>INDEX('Calculation sheet'!F456:G456,cvdd_select)/mW_mA_sel_cvdd1</f>
        <v>0</v>
      </c>
      <c r="J42" s="187" t="s">
        <v>31</v>
      </c>
      <c r="K42" s="172" t="s">
        <v>31</v>
      </c>
      <c r="L42" s="172" t="s">
        <v>31</v>
      </c>
      <c r="M42" s="172" t="s">
        <v>31</v>
      </c>
      <c r="N42" s="77">
        <f>SUM(H42:I42)</f>
        <v>0</v>
      </c>
      <c r="O42" s="4"/>
      <c r="P42" s="4"/>
      <c r="Q42" s="4"/>
      <c r="R42" s="4"/>
      <c r="S42" s="4"/>
      <c r="T42" s="4"/>
      <c r="U42" s="4"/>
      <c r="V42" s="4"/>
    </row>
    <row r="43" spans="1:22" ht="12.75" hidden="1" customHeight="1" x14ac:dyDescent="0.2">
      <c r="A43" s="3"/>
      <c r="B43" s="35"/>
      <c r="C43" s="3"/>
      <c r="D43" s="35"/>
      <c r="E43" s="3"/>
      <c r="F43" s="3"/>
      <c r="G43" s="371"/>
      <c r="H43" s="372"/>
      <c r="I43" s="372"/>
      <c r="J43" s="372"/>
      <c r="K43" s="372"/>
      <c r="L43" s="372"/>
      <c r="M43" s="372"/>
      <c r="N43" s="373"/>
      <c r="O43" s="4"/>
      <c r="P43" s="4"/>
      <c r="Q43" s="4"/>
      <c r="R43" s="4"/>
      <c r="S43" s="4"/>
      <c r="T43" s="4"/>
      <c r="U43" s="4"/>
      <c r="V43" s="5"/>
    </row>
    <row r="44" spans="1:22" ht="12.75" hidden="1" customHeight="1" x14ac:dyDescent="0.2">
      <c r="A44" s="156" t="s">
        <v>200</v>
      </c>
      <c r="B44" s="50" t="s">
        <v>66</v>
      </c>
      <c r="C44" s="4"/>
      <c r="D44" s="50">
        <v>0</v>
      </c>
      <c r="E44" s="164"/>
      <c r="F44" s="4"/>
      <c r="G44" s="213" t="s">
        <v>200</v>
      </c>
      <c r="H44" s="214">
        <f>'Calculation sheet'!E513/mW_mA_sel_cvdd</f>
        <v>0</v>
      </c>
      <c r="I44" s="214">
        <f>'Calculation sheet'!F513/mW_mA_sel_cvdd1</f>
        <v>0</v>
      </c>
      <c r="J44" s="171" t="s">
        <v>31</v>
      </c>
      <c r="K44" s="171" t="s">
        <v>31</v>
      </c>
      <c r="L44" s="171" t="s">
        <v>31</v>
      </c>
      <c r="M44" s="171" t="s">
        <v>31</v>
      </c>
      <c r="N44" s="214">
        <f>SUM(H44:I44)</f>
        <v>0</v>
      </c>
      <c r="O44" s="4"/>
      <c r="P44" s="4"/>
      <c r="Q44" s="4"/>
      <c r="R44" s="4"/>
      <c r="S44" s="4"/>
      <c r="T44" s="4"/>
      <c r="U44" s="4"/>
      <c r="V44" s="4"/>
    </row>
    <row r="45" spans="1:22" ht="12.75" hidden="1" customHeight="1" x14ac:dyDescent="0.2">
      <c r="A45" s="156"/>
      <c r="B45" s="8"/>
      <c r="C45" s="4"/>
      <c r="D45" s="8"/>
      <c r="E45" s="8"/>
      <c r="F45" s="4"/>
      <c r="G45" s="19"/>
      <c r="H45" s="215"/>
      <c r="I45" s="215"/>
      <c r="J45" s="170"/>
      <c r="K45" s="170"/>
      <c r="L45" s="170"/>
      <c r="M45" s="170"/>
      <c r="N45" s="215"/>
      <c r="O45" s="4"/>
      <c r="P45" s="4"/>
      <c r="Q45" s="4"/>
      <c r="R45" s="4"/>
      <c r="S45" s="4"/>
      <c r="T45" s="4"/>
      <c r="U45" s="4"/>
      <c r="V45" s="4"/>
    </row>
    <row r="46" spans="1:22" ht="12.75" hidden="1" customHeight="1" x14ac:dyDescent="0.2">
      <c r="A46" s="210" t="s">
        <v>343</v>
      </c>
      <c r="B46" s="50" t="s">
        <v>66</v>
      </c>
      <c r="C46" s="4"/>
      <c r="D46" s="50">
        <v>0</v>
      </c>
      <c r="E46" s="8"/>
      <c r="F46" s="4"/>
      <c r="G46" s="19" t="s">
        <v>343</v>
      </c>
      <c r="H46" s="215">
        <f>'Calculation sheet'!E478/mW_mA_sel_cvdd</f>
        <v>0</v>
      </c>
      <c r="I46" s="215">
        <f>'Calculation sheet'!F478/mW_mA_sel_cvdd1</f>
        <v>0</v>
      </c>
      <c r="J46" s="169" t="s">
        <v>31</v>
      </c>
      <c r="K46" s="169" t="s">
        <v>31</v>
      </c>
      <c r="L46" s="169" t="s">
        <v>31</v>
      </c>
      <c r="M46" s="170" t="s">
        <v>31</v>
      </c>
      <c r="N46" s="215">
        <f>SUM(H46:I46)</f>
        <v>0</v>
      </c>
      <c r="O46" s="5"/>
      <c r="P46" s="5"/>
      <c r="Q46" s="5"/>
      <c r="R46" s="4"/>
      <c r="S46" s="4"/>
      <c r="T46" s="4"/>
      <c r="U46" s="4"/>
      <c r="V46" s="4"/>
    </row>
    <row r="47" spans="1:22" ht="12.75" hidden="1" customHeight="1" x14ac:dyDescent="0.2">
      <c r="A47" s="210" t="s">
        <v>344</v>
      </c>
      <c r="B47" s="50" t="s">
        <v>66</v>
      </c>
      <c r="C47" s="5"/>
      <c r="D47" s="50">
        <v>0</v>
      </c>
      <c r="E47" s="8"/>
      <c r="F47" s="5"/>
      <c r="G47" s="19" t="s">
        <v>344</v>
      </c>
      <c r="H47" s="215">
        <f>'Calculation sheet'!E479/mW_mA_sel_cvdd</f>
        <v>0</v>
      </c>
      <c r="I47" s="215">
        <f>'Calculation sheet'!F479/mW_mA_sel_cvdd1</f>
        <v>0</v>
      </c>
      <c r="J47" s="169" t="s">
        <v>31</v>
      </c>
      <c r="K47" s="169" t="s">
        <v>31</v>
      </c>
      <c r="L47" s="169" t="s">
        <v>31</v>
      </c>
      <c r="M47" s="170" t="s">
        <v>31</v>
      </c>
      <c r="N47" s="215">
        <f t="shared" ref="N47:N51" si="4">SUM(H47:I47)</f>
        <v>0</v>
      </c>
      <c r="O47" s="5"/>
      <c r="P47" s="5"/>
      <c r="Q47" s="5"/>
      <c r="R47" s="4"/>
      <c r="S47" s="4"/>
      <c r="T47" s="4"/>
      <c r="U47" s="4"/>
      <c r="V47" s="4"/>
    </row>
    <row r="48" spans="1:22" ht="12.75" hidden="1" customHeight="1" x14ac:dyDescent="0.2">
      <c r="A48" s="210" t="s">
        <v>345</v>
      </c>
      <c r="B48" s="202" t="s">
        <v>66</v>
      </c>
      <c r="C48" s="5"/>
      <c r="D48" s="50">
        <v>0</v>
      </c>
      <c r="E48" s="8"/>
      <c r="F48" s="5"/>
      <c r="G48" s="19" t="s">
        <v>345</v>
      </c>
      <c r="H48" s="215">
        <f>'Calculation sheet'!E480/mW_mA_sel_cvdd</f>
        <v>0</v>
      </c>
      <c r="I48" s="215">
        <f>'Calculation sheet'!F480/mW_mA_sel_cvdd1</f>
        <v>0</v>
      </c>
      <c r="J48" s="169" t="s">
        <v>31</v>
      </c>
      <c r="K48" s="169" t="s">
        <v>31</v>
      </c>
      <c r="L48" s="169" t="s">
        <v>31</v>
      </c>
      <c r="M48" s="170" t="s">
        <v>31</v>
      </c>
      <c r="N48" s="215">
        <f t="shared" si="4"/>
        <v>0</v>
      </c>
      <c r="O48" s="5"/>
      <c r="P48" s="5"/>
      <c r="Q48" s="5"/>
      <c r="R48" s="4"/>
      <c r="S48" s="4"/>
      <c r="T48" s="4"/>
      <c r="U48" s="4"/>
      <c r="V48" s="4"/>
    </row>
    <row r="49" spans="1:22" ht="12.75" hidden="1" customHeight="1" x14ac:dyDescent="0.2">
      <c r="A49" s="210" t="s">
        <v>346</v>
      </c>
      <c r="B49" s="202" t="s">
        <v>66</v>
      </c>
      <c r="C49" s="5"/>
      <c r="D49" s="50">
        <v>0</v>
      </c>
      <c r="E49" s="8"/>
      <c r="F49" s="5"/>
      <c r="G49" s="19" t="s">
        <v>346</v>
      </c>
      <c r="H49" s="215">
        <f>'Calculation sheet'!E481/mW_mA_sel_cvdd</f>
        <v>0</v>
      </c>
      <c r="I49" s="215">
        <f>'Calculation sheet'!F481/mW_mA_sel_cvdd1</f>
        <v>0</v>
      </c>
      <c r="J49" s="169" t="s">
        <v>31</v>
      </c>
      <c r="K49" s="169" t="s">
        <v>31</v>
      </c>
      <c r="L49" s="169" t="s">
        <v>31</v>
      </c>
      <c r="M49" s="170" t="s">
        <v>31</v>
      </c>
      <c r="N49" s="215">
        <f t="shared" si="4"/>
        <v>0</v>
      </c>
      <c r="O49" s="5"/>
      <c r="P49" s="5"/>
      <c r="Q49" s="5"/>
      <c r="R49" s="4"/>
      <c r="S49" s="4"/>
      <c r="T49" s="4"/>
      <c r="U49" s="4"/>
      <c r="V49" s="4"/>
    </row>
    <row r="50" spans="1:22" ht="12.75" hidden="1" customHeight="1" x14ac:dyDescent="0.2">
      <c r="A50" s="210" t="s">
        <v>347</v>
      </c>
      <c r="B50" s="202" t="s">
        <v>66</v>
      </c>
      <c r="C50" s="5"/>
      <c r="D50" s="50">
        <v>0</v>
      </c>
      <c r="E50" s="8"/>
      <c r="F50" s="5"/>
      <c r="G50" s="19" t="s">
        <v>347</v>
      </c>
      <c r="H50" s="215">
        <f>'Calculation sheet'!E482/mW_mA_sel_cvdd</f>
        <v>0</v>
      </c>
      <c r="I50" s="215">
        <f>'Calculation sheet'!F482/mW_mA_sel_cvdd1</f>
        <v>0</v>
      </c>
      <c r="J50" s="169" t="s">
        <v>31</v>
      </c>
      <c r="K50" s="169" t="s">
        <v>31</v>
      </c>
      <c r="L50" s="169" t="s">
        <v>31</v>
      </c>
      <c r="M50" s="170" t="s">
        <v>31</v>
      </c>
      <c r="N50" s="215">
        <f t="shared" si="4"/>
        <v>0</v>
      </c>
      <c r="O50" s="5"/>
      <c r="P50" s="5"/>
      <c r="Q50" s="5"/>
      <c r="R50" s="4"/>
      <c r="S50" s="4"/>
      <c r="T50" s="4"/>
      <c r="U50" s="4"/>
      <c r="V50" s="4"/>
    </row>
    <row r="51" spans="1:22" ht="12.75" hidden="1" customHeight="1" x14ac:dyDescent="0.2">
      <c r="A51" s="210" t="s">
        <v>348</v>
      </c>
      <c r="B51" s="202" t="s">
        <v>66</v>
      </c>
      <c r="C51" s="5"/>
      <c r="D51" s="50">
        <v>0</v>
      </c>
      <c r="E51" s="8"/>
      <c r="F51" s="5"/>
      <c r="G51" s="19" t="s">
        <v>348</v>
      </c>
      <c r="H51" s="215">
        <f>'Calculation sheet'!E483/mW_mA_sel_cvdd</f>
        <v>0</v>
      </c>
      <c r="I51" s="215">
        <f>'Calculation sheet'!F483/mW_mA_sel_cvdd1</f>
        <v>0</v>
      </c>
      <c r="J51" s="169" t="s">
        <v>31</v>
      </c>
      <c r="K51" s="169" t="s">
        <v>31</v>
      </c>
      <c r="L51" s="169" t="s">
        <v>31</v>
      </c>
      <c r="M51" s="170" t="s">
        <v>31</v>
      </c>
      <c r="N51" s="215">
        <f t="shared" si="4"/>
        <v>0</v>
      </c>
      <c r="O51" s="5"/>
      <c r="P51" s="5"/>
      <c r="Q51" s="5"/>
      <c r="R51" s="5"/>
      <c r="S51" s="5"/>
      <c r="T51" s="5"/>
      <c r="U51" s="5"/>
      <c r="V51" s="5"/>
    </row>
    <row r="52" spans="1:22" ht="12.75" hidden="1" customHeight="1" x14ac:dyDescent="0.2">
      <c r="A52" s="210"/>
      <c r="B52" s="8"/>
      <c r="C52" s="5"/>
      <c r="D52" s="8"/>
      <c r="E52" s="8"/>
      <c r="F52" s="5"/>
      <c r="G52" s="19"/>
      <c r="H52" s="215"/>
      <c r="I52" s="170"/>
      <c r="J52" s="169"/>
      <c r="K52" s="169"/>
      <c r="L52" s="169"/>
      <c r="M52" s="170"/>
      <c r="N52" s="215"/>
      <c r="O52" s="5"/>
      <c r="P52" s="5"/>
      <c r="Q52" s="5"/>
      <c r="R52" s="5"/>
      <c r="S52" s="5"/>
      <c r="T52" s="5"/>
      <c r="U52" s="5"/>
      <c r="V52" s="5"/>
    </row>
    <row r="53" spans="1:22" ht="12.75" hidden="1" customHeight="1" x14ac:dyDescent="0.2">
      <c r="A53" s="156" t="s">
        <v>100</v>
      </c>
      <c r="B53" s="50" t="s">
        <v>66</v>
      </c>
      <c r="C53" s="4"/>
      <c r="D53" s="50">
        <v>0</v>
      </c>
      <c r="E53" s="5"/>
      <c r="F53" s="4"/>
      <c r="G53" s="19" t="s">
        <v>100</v>
      </c>
      <c r="H53" s="215">
        <f>'Calculation sheet'!E547/mW_mA_sel_cvdd</f>
        <v>0</v>
      </c>
      <c r="I53" s="215">
        <f>'Calculation sheet'!F547/mW_mA_sel_cvdd1</f>
        <v>0</v>
      </c>
      <c r="J53" s="170" t="s">
        <v>31</v>
      </c>
      <c r="K53" s="170" t="s">
        <v>31</v>
      </c>
      <c r="L53" s="170" t="s">
        <v>31</v>
      </c>
      <c r="M53" s="170" t="s">
        <v>31</v>
      </c>
      <c r="N53" s="215">
        <f>SUM(H53:I53)</f>
        <v>0</v>
      </c>
      <c r="O53" s="5"/>
      <c r="P53" s="5"/>
      <c r="Q53" s="5"/>
      <c r="R53" s="5"/>
      <c r="S53" s="5"/>
      <c r="T53" s="5"/>
      <c r="U53" s="5"/>
      <c r="V53" s="8"/>
    </row>
    <row r="54" spans="1:22" ht="12.75" hidden="1" customHeight="1" x14ac:dyDescent="0.2">
      <c r="A54" s="3"/>
      <c r="B54" s="3"/>
      <c r="C54" s="3"/>
      <c r="D54" s="35"/>
      <c r="E54" s="3"/>
      <c r="F54" s="3"/>
      <c r="G54" s="19"/>
      <c r="H54" s="215"/>
      <c r="I54" s="170"/>
      <c r="J54" s="169"/>
      <c r="K54" s="169"/>
      <c r="L54" s="169"/>
      <c r="M54" s="170"/>
      <c r="N54" s="215"/>
      <c r="O54" s="5"/>
      <c r="P54" s="5"/>
      <c r="Q54" s="5"/>
      <c r="R54" s="5"/>
      <c r="S54" s="5"/>
      <c r="T54" s="5"/>
      <c r="U54" s="5"/>
      <c r="V54" s="5"/>
    </row>
    <row r="55" spans="1:22" ht="12.75" hidden="1" customHeight="1" x14ac:dyDescent="0.2">
      <c r="A55" s="211" t="s">
        <v>365</v>
      </c>
      <c r="B55" s="384" t="s">
        <v>66</v>
      </c>
      <c r="C55" s="3"/>
      <c r="D55" s="50">
        <v>0</v>
      </c>
      <c r="E55" s="3"/>
      <c r="F55" s="3"/>
      <c r="G55" s="19" t="s">
        <v>365</v>
      </c>
      <c r="H55" s="215">
        <f>'Calculation sheet'!E528/mW_mA_sel_cvdd</f>
        <v>0</v>
      </c>
      <c r="I55" s="215">
        <f>'Calculation sheet'!F528/mW_mA_sel_cvdd1</f>
        <v>0</v>
      </c>
      <c r="J55" s="170" t="s">
        <v>31</v>
      </c>
      <c r="K55" s="170" t="s">
        <v>31</v>
      </c>
      <c r="L55" s="170" t="s">
        <v>31</v>
      </c>
      <c r="M55" s="170" t="s">
        <v>31</v>
      </c>
      <c r="N55" s="215">
        <f t="shared" ref="N55:N58" si="5">SUM(H55:I55)</f>
        <v>0</v>
      </c>
      <c r="O55" s="5"/>
      <c r="P55" s="5"/>
      <c r="Q55" s="5"/>
      <c r="R55" s="4"/>
      <c r="S55" s="4"/>
      <c r="T55" s="4"/>
      <c r="U55" s="4"/>
      <c r="V55" s="7"/>
    </row>
    <row r="56" spans="1:22" ht="12.75" hidden="1" customHeight="1" x14ac:dyDescent="0.2">
      <c r="A56" s="211" t="s">
        <v>366</v>
      </c>
      <c r="B56" s="385"/>
      <c r="C56" s="3"/>
      <c r="D56" s="50">
        <v>0</v>
      </c>
      <c r="E56" s="3"/>
      <c r="F56" s="3"/>
      <c r="G56" s="19" t="s">
        <v>366</v>
      </c>
      <c r="H56" s="215">
        <f>'Calculation sheet'!E529/mW_mA_sel_cvdd</f>
        <v>0</v>
      </c>
      <c r="I56" s="215">
        <f>'Calculation sheet'!F529/mW_mA_sel_cvdd1</f>
        <v>0</v>
      </c>
      <c r="J56" s="170" t="s">
        <v>31</v>
      </c>
      <c r="K56" s="170" t="s">
        <v>31</v>
      </c>
      <c r="L56" s="170" t="s">
        <v>31</v>
      </c>
      <c r="M56" s="170" t="s">
        <v>31</v>
      </c>
      <c r="N56" s="215">
        <f t="shared" si="5"/>
        <v>0</v>
      </c>
      <c r="O56" s="5"/>
      <c r="P56" s="5"/>
      <c r="Q56" s="5"/>
      <c r="R56" s="4"/>
      <c r="S56" s="4"/>
      <c r="T56" s="4"/>
      <c r="U56" s="4"/>
      <c r="V56" s="7"/>
    </row>
    <row r="57" spans="1:22" ht="12.75" hidden="1" customHeight="1" x14ac:dyDescent="0.2">
      <c r="A57" s="211" t="s">
        <v>367</v>
      </c>
      <c r="B57" s="384" t="s">
        <v>66</v>
      </c>
      <c r="C57" s="3"/>
      <c r="D57" s="50">
        <v>0</v>
      </c>
      <c r="E57" s="3"/>
      <c r="F57" s="3"/>
      <c r="G57" s="19" t="s">
        <v>367</v>
      </c>
      <c r="H57" s="215">
        <f>'Calculation sheet'!E530/mW_mA_sel_cvdd</f>
        <v>0</v>
      </c>
      <c r="I57" s="215">
        <f>'Calculation sheet'!F530/mW_mA_sel_cvdd1</f>
        <v>0</v>
      </c>
      <c r="J57" s="170" t="s">
        <v>31</v>
      </c>
      <c r="K57" s="170" t="s">
        <v>31</v>
      </c>
      <c r="L57" s="170" t="s">
        <v>31</v>
      </c>
      <c r="M57" s="170" t="s">
        <v>31</v>
      </c>
      <c r="N57" s="215">
        <f t="shared" si="5"/>
        <v>0</v>
      </c>
      <c r="O57" s="5"/>
      <c r="P57" s="5"/>
      <c r="Q57" s="5"/>
      <c r="R57" s="4"/>
      <c r="S57" s="4"/>
      <c r="T57" s="4"/>
      <c r="U57" s="4"/>
      <c r="V57" s="7"/>
    </row>
    <row r="58" spans="1:22" ht="12.75" hidden="1" customHeight="1" x14ac:dyDescent="0.2">
      <c r="A58" s="211" t="s">
        <v>368</v>
      </c>
      <c r="B58" s="385"/>
      <c r="C58" s="3"/>
      <c r="D58" s="50">
        <v>0</v>
      </c>
      <c r="E58" s="3"/>
      <c r="F58" s="3"/>
      <c r="G58" s="19" t="s">
        <v>368</v>
      </c>
      <c r="H58" s="215">
        <f>'Calculation sheet'!E531/mW_mA_sel_cvdd</f>
        <v>0</v>
      </c>
      <c r="I58" s="215">
        <f>'Calculation sheet'!F531/mW_mA_sel_cvdd1</f>
        <v>0</v>
      </c>
      <c r="J58" s="170" t="s">
        <v>31</v>
      </c>
      <c r="K58" s="170" t="s">
        <v>31</v>
      </c>
      <c r="L58" s="170" t="s">
        <v>31</v>
      </c>
      <c r="M58" s="170" t="s">
        <v>31</v>
      </c>
      <c r="N58" s="215">
        <f t="shared" si="5"/>
        <v>0</v>
      </c>
      <c r="O58" s="4"/>
      <c r="P58" s="4"/>
      <c r="Q58" s="4"/>
      <c r="R58" s="4"/>
      <c r="S58" s="4"/>
      <c r="T58" s="4"/>
      <c r="U58" s="4"/>
      <c r="V58" s="7"/>
    </row>
    <row r="59" spans="1:22" ht="12.75" hidden="1" customHeight="1" x14ac:dyDescent="0.2">
      <c r="A59" s="211"/>
      <c r="B59" s="8"/>
      <c r="C59" s="3"/>
      <c r="D59" s="8"/>
      <c r="E59" s="3"/>
      <c r="F59" s="3"/>
      <c r="G59" s="19"/>
      <c r="H59" s="215"/>
      <c r="I59" s="215"/>
      <c r="J59" s="170"/>
      <c r="K59" s="170"/>
      <c r="L59" s="170"/>
      <c r="M59" s="170"/>
      <c r="N59" s="215"/>
      <c r="O59" s="4"/>
      <c r="P59" s="4"/>
      <c r="Q59" s="4"/>
      <c r="R59" s="4"/>
      <c r="S59" s="4"/>
      <c r="T59" s="4"/>
      <c r="U59" s="4"/>
      <c r="V59" s="7"/>
    </row>
    <row r="60" spans="1:22" hidden="1" x14ac:dyDescent="0.2">
      <c r="A60" s="156" t="s">
        <v>329</v>
      </c>
      <c r="B60" s="50" t="s">
        <v>66</v>
      </c>
      <c r="C60" s="3"/>
      <c r="D60" s="50">
        <v>0</v>
      </c>
      <c r="E60" s="3"/>
      <c r="F60" s="3"/>
      <c r="G60" s="219" t="s">
        <v>329</v>
      </c>
      <c r="H60" s="220">
        <f>'Calculation sheet'!E416/mW_mA_sel_cvdd</f>
        <v>0</v>
      </c>
      <c r="I60" s="220">
        <f>'Calculation sheet'!F416/mW_mA_sel_cvdd1</f>
        <v>0</v>
      </c>
      <c r="J60" s="220" t="s">
        <v>31</v>
      </c>
      <c r="K60" s="220" t="s">
        <v>31</v>
      </c>
      <c r="L60" s="221" t="s">
        <v>31</v>
      </c>
      <c r="M60" s="221" t="s">
        <v>31</v>
      </c>
      <c r="N60" s="220">
        <f>SUM(H60:K60)</f>
        <v>0</v>
      </c>
      <c r="O60" s="4"/>
      <c r="P60" s="4"/>
      <c r="Q60" s="4"/>
      <c r="R60" s="4"/>
      <c r="S60" s="4"/>
      <c r="T60" s="4"/>
      <c r="U60" s="4"/>
      <c r="V60" s="5"/>
    </row>
    <row r="61" spans="1:22" ht="12" hidden="1" customHeight="1" x14ac:dyDescent="0.2">
      <c r="A61" s="156" t="s">
        <v>330</v>
      </c>
      <c r="B61" s="193" t="s">
        <v>66</v>
      </c>
      <c r="C61" s="3"/>
      <c r="D61" s="50">
        <v>0</v>
      </c>
      <c r="E61" s="3"/>
      <c r="F61" s="3"/>
      <c r="G61" s="219" t="s">
        <v>330</v>
      </c>
      <c r="H61" s="220">
        <f>'Calculation sheet'!E417/mW_mA_sel_cvdd</f>
        <v>0</v>
      </c>
      <c r="I61" s="220">
        <f>'Calculation sheet'!F417/mW_mA_sel_cvdd1</f>
        <v>0</v>
      </c>
      <c r="J61" s="220" t="s">
        <v>31</v>
      </c>
      <c r="K61" s="220" t="s">
        <v>31</v>
      </c>
      <c r="L61" s="221" t="s">
        <v>31</v>
      </c>
      <c r="M61" s="221" t="s">
        <v>31</v>
      </c>
      <c r="N61" s="220">
        <f>SUM(H61:K61)</f>
        <v>0</v>
      </c>
      <c r="O61" s="4"/>
      <c r="P61" s="4"/>
      <c r="Q61" s="4"/>
      <c r="R61" s="4"/>
      <c r="S61" s="4"/>
      <c r="T61" s="4"/>
      <c r="U61" s="4"/>
      <c r="V61" s="5"/>
    </row>
    <row r="62" spans="1:22" ht="12" hidden="1" customHeight="1" x14ac:dyDescent="0.2">
      <c r="A62" s="156" t="s">
        <v>331</v>
      </c>
      <c r="B62" s="193" t="s">
        <v>66</v>
      </c>
      <c r="C62" s="3"/>
      <c r="D62" s="50">
        <v>0</v>
      </c>
      <c r="E62" s="3"/>
      <c r="F62" s="3"/>
      <c r="G62" s="219" t="s">
        <v>331</v>
      </c>
      <c r="H62" s="220">
        <f>'Calculation sheet'!E418/mW_mA_sel_cvdd</f>
        <v>0</v>
      </c>
      <c r="I62" s="220">
        <f>'Calculation sheet'!F418/mW_mA_sel_cvdd1</f>
        <v>0</v>
      </c>
      <c r="J62" s="220" t="s">
        <v>31</v>
      </c>
      <c r="K62" s="220" t="s">
        <v>31</v>
      </c>
      <c r="L62" s="221" t="s">
        <v>31</v>
      </c>
      <c r="M62" s="221" t="s">
        <v>31</v>
      </c>
      <c r="N62" s="220">
        <f>SUM(H62:K62)</f>
        <v>0</v>
      </c>
      <c r="O62" s="4"/>
      <c r="P62" s="4"/>
      <c r="Q62" s="4"/>
      <c r="R62" s="4"/>
      <c r="S62" s="4"/>
      <c r="T62" s="4"/>
      <c r="U62" s="4"/>
      <c r="V62" s="4"/>
    </row>
    <row r="63" spans="1:22" ht="12" hidden="1" customHeight="1" x14ac:dyDescent="0.2">
      <c r="A63" s="156" t="s">
        <v>332</v>
      </c>
      <c r="B63" s="193" t="s">
        <v>66</v>
      </c>
      <c r="C63" s="3"/>
      <c r="D63" s="50">
        <v>0</v>
      </c>
      <c r="E63" s="3"/>
      <c r="F63" s="3"/>
      <c r="G63" s="219" t="s">
        <v>332</v>
      </c>
      <c r="H63" s="220">
        <f>'Calculation sheet'!E419/mW_mA_sel_cvdd</f>
        <v>0</v>
      </c>
      <c r="I63" s="220">
        <f>'Calculation sheet'!F419/mW_mA_sel_cvdd1</f>
        <v>0</v>
      </c>
      <c r="J63" s="220" t="s">
        <v>31</v>
      </c>
      <c r="K63" s="220" t="s">
        <v>31</v>
      </c>
      <c r="L63" s="221" t="s">
        <v>31</v>
      </c>
      <c r="M63" s="221" t="s">
        <v>31</v>
      </c>
      <c r="N63" s="220">
        <f>SUM(H63:K63)</f>
        <v>0</v>
      </c>
      <c r="O63" s="4"/>
      <c r="P63" s="4"/>
      <c r="Q63" s="4"/>
      <c r="R63" s="4"/>
      <c r="S63" s="4"/>
      <c r="T63" s="4"/>
      <c r="U63" s="4"/>
      <c r="V63" s="4"/>
    </row>
    <row r="64" spans="1:22" ht="12" hidden="1" customHeight="1" x14ac:dyDescent="0.2">
      <c r="A64" s="156"/>
      <c r="B64" s="8"/>
      <c r="C64" s="3"/>
      <c r="D64" s="8"/>
      <c r="E64" s="3"/>
      <c r="F64" s="3"/>
      <c r="G64" s="73"/>
      <c r="H64" s="168"/>
      <c r="I64" s="168"/>
      <c r="J64" s="168"/>
      <c r="K64" s="168"/>
      <c r="L64" s="170"/>
      <c r="M64" s="170"/>
      <c r="N64" s="168"/>
      <c r="O64" s="4"/>
      <c r="P64" s="4"/>
      <c r="Q64" s="4"/>
      <c r="R64" s="4"/>
      <c r="S64" s="4"/>
      <c r="T64" s="4"/>
      <c r="U64" s="4"/>
      <c r="V64" s="4"/>
    </row>
    <row r="65" spans="1:22" ht="12" hidden="1" customHeight="1" x14ac:dyDescent="0.2">
      <c r="A65" s="156" t="s">
        <v>299</v>
      </c>
      <c r="B65" s="50" t="s">
        <v>66</v>
      </c>
      <c r="C65" s="3"/>
      <c r="D65" s="50">
        <v>0</v>
      </c>
      <c r="E65" s="3"/>
      <c r="F65" s="3"/>
      <c r="G65" s="19" t="s">
        <v>299</v>
      </c>
      <c r="H65" s="215">
        <f>'Calculation sheet'!E390/mW_mA_sel_cvdd</f>
        <v>0</v>
      </c>
      <c r="I65" s="215">
        <f>'Calculation sheet'!F390/mW_mA_sel_cvdd1</f>
        <v>0</v>
      </c>
      <c r="J65" s="215" t="s">
        <v>31</v>
      </c>
      <c r="K65" s="215" t="s">
        <v>31</v>
      </c>
      <c r="L65" s="170" t="s">
        <v>31</v>
      </c>
      <c r="M65" s="170" t="s">
        <v>31</v>
      </c>
      <c r="N65" s="215">
        <f>SUM(H65:K65)</f>
        <v>0</v>
      </c>
      <c r="O65" s="4"/>
      <c r="P65" s="4"/>
      <c r="Q65" s="4"/>
      <c r="R65" s="4"/>
      <c r="S65" s="4"/>
      <c r="T65" s="4"/>
      <c r="U65" s="4"/>
      <c r="V65" s="5"/>
    </row>
    <row r="66" spans="1:22" ht="12" hidden="1" customHeight="1" x14ac:dyDescent="0.2">
      <c r="A66" s="156" t="s">
        <v>300</v>
      </c>
      <c r="B66" s="193" t="s">
        <v>66</v>
      </c>
      <c r="C66" s="3"/>
      <c r="D66" s="50">
        <v>0</v>
      </c>
      <c r="E66" s="3"/>
      <c r="F66" s="3"/>
      <c r="G66" s="19" t="s">
        <v>300</v>
      </c>
      <c r="H66" s="215">
        <f>'Calculation sheet'!E391/mW_mA_sel_cvdd</f>
        <v>0</v>
      </c>
      <c r="I66" s="215">
        <f>'Calculation sheet'!F391/mW_mA_sel_cvdd1</f>
        <v>0</v>
      </c>
      <c r="J66" s="215" t="s">
        <v>31</v>
      </c>
      <c r="K66" s="215" t="s">
        <v>31</v>
      </c>
      <c r="L66" s="170" t="s">
        <v>31</v>
      </c>
      <c r="M66" s="170" t="s">
        <v>31</v>
      </c>
      <c r="N66" s="215">
        <f t="shared" ref="N66:N72" si="6">SUM(H66:K66)</f>
        <v>0</v>
      </c>
      <c r="O66" s="4"/>
      <c r="P66" s="4"/>
      <c r="Q66" s="4"/>
      <c r="R66" s="4"/>
      <c r="S66" s="4"/>
      <c r="T66" s="4"/>
      <c r="U66" s="4"/>
      <c r="V66" s="5"/>
    </row>
    <row r="67" spans="1:22" ht="12.75" hidden="1" customHeight="1" x14ac:dyDescent="0.2">
      <c r="A67" s="156" t="s">
        <v>301</v>
      </c>
      <c r="B67" s="193" t="s">
        <v>66</v>
      </c>
      <c r="C67" s="3"/>
      <c r="D67" s="50">
        <v>0</v>
      </c>
      <c r="E67" s="3"/>
      <c r="F67" s="3"/>
      <c r="G67" s="19" t="s">
        <v>301</v>
      </c>
      <c r="H67" s="215">
        <f>'Calculation sheet'!E392/mW_mA_sel_cvdd</f>
        <v>0</v>
      </c>
      <c r="I67" s="215">
        <f>'Calculation sheet'!F392/mW_mA_sel_cvdd1</f>
        <v>0</v>
      </c>
      <c r="J67" s="215" t="s">
        <v>31</v>
      </c>
      <c r="K67" s="215" t="s">
        <v>31</v>
      </c>
      <c r="L67" s="170" t="s">
        <v>31</v>
      </c>
      <c r="M67" s="170" t="s">
        <v>31</v>
      </c>
      <c r="N67" s="215">
        <f t="shared" si="6"/>
        <v>0</v>
      </c>
      <c r="O67" s="4"/>
      <c r="P67" s="4"/>
      <c r="Q67" s="4"/>
      <c r="R67" s="4"/>
      <c r="S67" s="4"/>
      <c r="T67" s="4"/>
      <c r="U67" s="4"/>
      <c r="V67" s="5"/>
    </row>
    <row r="68" spans="1:22" ht="12.75" hidden="1" customHeight="1" x14ac:dyDescent="0.2">
      <c r="A68" s="156" t="s">
        <v>302</v>
      </c>
      <c r="B68" s="193" t="s">
        <v>66</v>
      </c>
      <c r="C68" s="3"/>
      <c r="D68" s="50">
        <v>0</v>
      </c>
      <c r="E68" s="3"/>
      <c r="F68" s="3"/>
      <c r="G68" s="19" t="s">
        <v>302</v>
      </c>
      <c r="H68" s="215">
        <f>'Calculation sheet'!E393/mW_mA_sel_cvdd</f>
        <v>0</v>
      </c>
      <c r="I68" s="215">
        <f>'Calculation sheet'!F393/mW_mA_sel_cvdd1</f>
        <v>0</v>
      </c>
      <c r="J68" s="215" t="s">
        <v>31</v>
      </c>
      <c r="K68" s="215" t="s">
        <v>31</v>
      </c>
      <c r="L68" s="170" t="s">
        <v>31</v>
      </c>
      <c r="M68" s="170" t="s">
        <v>31</v>
      </c>
      <c r="N68" s="215">
        <f t="shared" si="6"/>
        <v>0</v>
      </c>
      <c r="O68" s="4"/>
      <c r="P68" s="4"/>
      <c r="Q68" s="4"/>
      <c r="R68" s="4"/>
      <c r="S68" s="4"/>
      <c r="T68" s="4"/>
      <c r="U68" s="4"/>
      <c r="V68" s="5"/>
    </row>
    <row r="69" spans="1:22" ht="12.75" hidden="1" customHeight="1" x14ac:dyDescent="0.2">
      <c r="A69" s="156" t="s">
        <v>303</v>
      </c>
      <c r="B69" s="193" t="s">
        <v>66</v>
      </c>
      <c r="C69" s="3"/>
      <c r="D69" s="50">
        <v>0</v>
      </c>
      <c r="E69" s="3"/>
      <c r="F69" s="3"/>
      <c r="G69" s="19" t="s">
        <v>303</v>
      </c>
      <c r="H69" s="215">
        <f>'Calculation sheet'!E394/mW_mA_sel_cvdd</f>
        <v>0</v>
      </c>
      <c r="I69" s="215">
        <f>'Calculation sheet'!F394/mW_mA_sel_cvdd1</f>
        <v>0</v>
      </c>
      <c r="J69" s="215" t="s">
        <v>31</v>
      </c>
      <c r="K69" s="215" t="s">
        <v>31</v>
      </c>
      <c r="L69" s="170" t="s">
        <v>31</v>
      </c>
      <c r="M69" s="170" t="s">
        <v>31</v>
      </c>
      <c r="N69" s="215">
        <f t="shared" si="6"/>
        <v>0</v>
      </c>
      <c r="O69" s="4"/>
      <c r="P69" s="4"/>
      <c r="Q69" s="4"/>
      <c r="R69" s="4"/>
      <c r="S69" s="4"/>
      <c r="T69" s="4"/>
      <c r="U69" s="4"/>
      <c r="V69" s="5"/>
    </row>
    <row r="70" spans="1:22" ht="12.75" hidden="1" customHeight="1" x14ac:dyDescent="0.2">
      <c r="A70" s="156" t="s">
        <v>304</v>
      </c>
      <c r="B70" s="193" t="s">
        <v>66</v>
      </c>
      <c r="C70" s="3"/>
      <c r="D70" s="50">
        <v>0</v>
      </c>
      <c r="E70" s="3"/>
      <c r="F70" s="3"/>
      <c r="G70" s="19" t="s">
        <v>304</v>
      </c>
      <c r="H70" s="215">
        <f>'Calculation sheet'!E395/mW_mA_sel_cvdd</f>
        <v>0</v>
      </c>
      <c r="I70" s="215">
        <f>'Calculation sheet'!F395/mW_mA_sel_cvdd1</f>
        <v>0</v>
      </c>
      <c r="J70" s="215" t="s">
        <v>31</v>
      </c>
      <c r="K70" s="215" t="s">
        <v>31</v>
      </c>
      <c r="L70" s="170" t="s">
        <v>31</v>
      </c>
      <c r="M70" s="170" t="s">
        <v>31</v>
      </c>
      <c r="N70" s="215">
        <f t="shared" si="6"/>
        <v>0</v>
      </c>
      <c r="O70" s="4"/>
      <c r="P70" s="4"/>
      <c r="Q70" s="4"/>
      <c r="R70" s="4"/>
      <c r="S70" s="4"/>
      <c r="T70" s="4"/>
      <c r="U70" s="4"/>
      <c r="V70" s="5"/>
    </row>
    <row r="71" spans="1:22" ht="12.75" hidden="1" customHeight="1" x14ac:dyDescent="0.2">
      <c r="A71" s="156" t="s">
        <v>305</v>
      </c>
      <c r="B71" s="193" t="s">
        <v>66</v>
      </c>
      <c r="C71" s="3"/>
      <c r="D71" s="50">
        <v>0</v>
      </c>
      <c r="E71" s="3"/>
      <c r="F71" s="3"/>
      <c r="G71" s="19" t="s">
        <v>305</v>
      </c>
      <c r="H71" s="215">
        <f>'Calculation sheet'!E396/mW_mA_sel_cvdd</f>
        <v>0</v>
      </c>
      <c r="I71" s="215">
        <f>'Calculation sheet'!F396/mW_mA_sel_cvdd1</f>
        <v>0</v>
      </c>
      <c r="J71" s="215" t="s">
        <v>31</v>
      </c>
      <c r="K71" s="215" t="s">
        <v>31</v>
      </c>
      <c r="L71" s="170" t="s">
        <v>31</v>
      </c>
      <c r="M71" s="170" t="s">
        <v>31</v>
      </c>
      <c r="N71" s="215">
        <f t="shared" si="6"/>
        <v>0</v>
      </c>
      <c r="O71" s="4"/>
      <c r="P71" s="4"/>
      <c r="Q71" s="4"/>
      <c r="R71" s="4"/>
      <c r="S71" s="4"/>
      <c r="T71" s="4"/>
      <c r="U71" s="4"/>
      <c r="V71" s="5"/>
    </row>
    <row r="72" spans="1:22" ht="12.75" hidden="1" customHeight="1" x14ac:dyDescent="0.2">
      <c r="A72" s="156" t="s">
        <v>306</v>
      </c>
      <c r="B72" s="193" t="s">
        <v>66</v>
      </c>
      <c r="C72" s="3"/>
      <c r="D72" s="50">
        <v>0</v>
      </c>
      <c r="E72" s="3"/>
      <c r="F72" s="3"/>
      <c r="G72" s="19" t="s">
        <v>306</v>
      </c>
      <c r="H72" s="215">
        <f>'Calculation sheet'!E397/mW_mA_sel_cvdd</f>
        <v>0</v>
      </c>
      <c r="I72" s="215">
        <f>'Calculation sheet'!F397/mW_mA_sel_cvdd1</f>
        <v>0</v>
      </c>
      <c r="J72" s="215" t="s">
        <v>31</v>
      </c>
      <c r="K72" s="215" t="s">
        <v>31</v>
      </c>
      <c r="L72" s="170" t="s">
        <v>31</v>
      </c>
      <c r="M72" s="170" t="s">
        <v>31</v>
      </c>
      <c r="N72" s="215">
        <f t="shared" si="6"/>
        <v>0</v>
      </c>
      <c r="O72" s="4"/>
      <c r="P72" s="4"/>
      <c r="Q72" s="4"/>
      <c r="R72" s="4"/>
      <c r="S72" s="4"/>
      <c r="T72" s="4"/>
      <c r="U72" s="4"/>
      <c r="V72" s="5"/>
    </row>
    <row r="73" spans="1:22" ht="12.75" hidden="1" customHeight="1" x14ac:dyDescent="0.2">
      <c r="A73" s="3"/>
      <c r="B73" s="3"/>
      <c r="C73" s="3"/>
      <c r="D73" s="3"/>
      <c r="E73" s="3"/>
      <c r="F73" s="3"/>
      <c r="G73" s="19"/>
      <c r="H73" s="215"/>
      <c r="I73" s="215"/>
      <c r="J73" s="215"/>
      <c r="K73" s="215"/>
      <c r="L73" s="215"/>
      <c r="M73" s="215"/>
      <c r="N73" s="215"/>
      <c r="O73" s="4"/>
      <c r="P73" s="4"/>
      <c r="Q73" s="4"/>
      <c r="R73" s="4"/>
      <c r="S73" s="4"/>
      <c r="T73" s="4"/>
      <c r="U73" s="4"/>
      <c r="V73" s="5"/>
    </row>
    <row r="74" spans="1:22" ht="12.75" customHeight="1" x14ac:dyDescent="0.2">
      <c r="A74" s="156" t="s">
        <v>288</v>
      </c>
      <c r="B74" s="53" t="s">
        <v>60</v>
      </c>
      <c r="C74" s="3"/>
      <c r="D74" s="50">
        <v>50</v>
      </c>
      <c r="E74" s="49">
        <v>20</v>
      </c>
      <c r="F74" s="3"/>
      <c r="G74" s="19" t="s">
        <v>101</v>
      </c>
      <c r="H74" s="317">
        <f>'Calculation sheet'!E289/mW_mA_sel_cvdd</f>
        <v>28.043529411764709</v>
      </c>
      <c r="I74" s="317" t="s">
        <v>31</v>
      </c>
      <c r="J74" s="317" t="s">
        <v>31</v>
      </c>
      <c r="K74" s="317" t="s">
        <v>31</v>
      </c>
      <c r="L74" s="318" t="s">
        <v>31</v>
      </c>
      <c r="M74" s="318" t="s">
        <v>31</v>
      </c>
      <c r="N74" s="344">
        <f>SUM(H74:M74)</f>
        <v>28.043529411764709</v>
      </c>
      <c r="O74" s="4"/>
      <c r="P74" s="4"/>
      <c r="Q74" s="4"/>
      <c r="R74" s="4"/>
      <c r="S74" s="4"/>
      <c r="T74" s="4"/>
      <c r="U74" s="4"/>
      <c r="V74" s="4"/>
    </row>
    <row r="75" spans="1:22" ht="12" customHeight="1" x14ac:dyDescent="0.2">
      <c r="A75" s="156" t="s">
        <v>96</v>
      </c>
      <c r="B75" s="50" t="s">
        <v>60</v>
      </c>
      <c r="C75" s="3"/>
      <c r="D75" s="50">
        <v>100</v>
      </c>
      <c r="E75" s="212">
        <v>3</v>
      </c>
      <c r="F75" s="3"/>
      <c r="G75" s="19" t="s">
        <v>96</v>
      </c>
      <c r="H75" s="317">
        <f>'Calculation sheet'!E251/mW_mA_sel_cvdd</f>
        <v>55.27058823529412</v>
      </c>
      <c r="I75" s="317" t="s">
        <v>31</v>
      </c>
      <c r="J75" s="317" t="s">
        <v>31</v>
      </c>
      <c r="K75" s="318" t="s">
        <v>31</v>
      </c>
      <c r="L75" s="318" t="s">
        <v>31</v>
      </c>
      <c r="M75" s="318" t="s">
        <v>31</v>
      </c>
      <c r="N75" s="344">
        <f>SUM(H75:M75)</f>
        <v>55.27058823529412</v>
      </c>
      <c r="O75" s="4"/>
      <c r="P75" s="4"/>
      <c r="Q75" s="4"/>
      <c r="R75" s="4"/>
      <c r="S75" s="4"/>
      <c r="T75" s="4"/>
      <c r="U75" s="4"/>
      <c r="V75" s="4"/>
    </row>
    <row r="76" spans="1:22" ht="12" customHeight="1" x14ac:dyDescent="0.2">
      <c r="A76" s="156" t="s">
        <v>98</v>
      </c>
      <c r="B76" s="50" t="s">
        <v>60</v>
      </c>
      <c r="C76" s="3"/>
      <c r="D76" s="50">
        <v>100</v>
      </c>
      <c r="E76" s="212">
        <v>2</v>
      </c>
      <c r="F76" s="3"/>
      <c r="G76" s="19" t="s">
        <v>98</v>
      </c>
      <c r="H76" s="317">
        <f>UART_Act_final_cvdd/mW_mA_sel_cvdd</f>
        <v>20.494117647058836</v>
      </c>
      <c r="I76" s="317">
        <f>'Calculation sheet'!F275/mW_mA_sel_cvdd1</f>
        <v>2.2955789473684218</v>
      </c>
      <c r="J76" s="317" t="s">
        <v>31</v>
      </c>
      <c r="K76" s="317" t="s">
        <v>31</v>
      </c>
      <c r="L76" s="318" t="s">
        <v>31</v>
      </c>
      <c r="M76" s="318" t="s">
        <v>31</v>
      </c>
      <c r="N76" s="344">
        <f>SUM(H76:M76)</f>
        <v>22.789696594427259</v>
      </c>
      <c r="O76" s="4"/>
      <c r="P76" s="4"/>
      <c r="Q76" s="4"/>
      <c r="R76" s="4"/>
      <c r="S76" s="4"/>
      <c r="T76" s="4"/>
      <c r="U76" s="4"/>
      <c r="V76" s="4"/>
    </row>
    <row r="77" spans="1:22" ht="12.75" customHeight="1" x14ac:dyDescent="0.2">
      <c r="A77" s="156" t="s">
        <v>103</v>
      </c>
      <c r="B77" s="53" t="s">
        <v>60</v>
      </c>
      <c r="C77" s="3"/>
      <c r="D77" s="50">
        <v>100</v>
      </c>
      <c r="E77" s="49">
        <v>3</v>
      </c>
      <c r="F77" s="3"/>
      <c r="G77" s="19" t="s">
        <v>103</v>
      </c>
      <c r="H77" s="317">
        <f>'Calculation sheet'!E301/mW_mA_sel_cvdd</f>
        <v>42.352941176470587</v>
      </c>
      <c r="I77" s="317" t="s">
        <v>31</v>
      </c>
      <c r="J77" s="317" t="s">
        <v>31</v>
      </c>
      <c r="K77" s="317" t="s">
        <v>31</v>
      </c>
      <c r="L77" s="318" t="s">
        <v>31</v>
      </c>
      <c r="M77" s="318" t="s">
        <v>31</v>
      </c>
      <c r="N77" s="344">
        <f>SUM(H77:M77)</f>
        <v>42.352941176470587</v>
      </c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3"/>
      <c r="D78" s="4"/>
      <c r="E78" s="4"/>
      <c r="F78" s="4"/>
      <c r="G78" s="218"/>
      <c r="H78" s="218"/>
      <c r="I78" s="218"/>
      <c r="J78" s="218"/>
      <c r="K78" s="218"/>
      <c r="L78" s="218"/>
      <c r="M78" s="218"/>
      <c r="N78" s="218"/>
      <c r="O78" s="5"/>
      <c r="P78" s="5"/>
      <c r="Q78" s="5"/>
      <c r="R78" s="5"/>
      <c r="S78" s="5"/>
      <c r="T78" s="5"/>
      <c r="U78" s="5"/>
      <c r="V78" s="8"/>
    </row>
    <row r="79" spans="1:22" ht="12" customHeight="1" x14ac:dyDescent="0.2">
      <c r="A79" s="3"/>
      <c r="B79" s="3"/>
      <c r="C79" s="3"/>
      <c r="D79" s="3"/>
      <c r="E79" s="3"/>
      <c r="F79" s="3"/>
      <c r="G79" s="377" t="s">
        <v>132</v>
      </c>
      <c r="H79" s="378"/>
      <c r="I79" s="378"/>
      <c r="J79" s="378"/>
      <c r="K79" s="378"/>
      <c r="L79" s="378"/>
      <c r="M79" s="378"/>
      <c r="N79" s="379"/>
      <c r="O79" s="4"/>
      <c r="P79" s="4"/>
      <c r="Q79" s="4"/>
      <c r="R79" s="4"/>
      <c r="S79" s="4"/>
      <c r="T79" s="4"/>
      <c r="U79" s="4"/>
      <c r="V79" s="4"/>
    </row>
    <row r="80" spans="1:22" ht="12" customHeight="1" x14ac:dyDescent="0.2">
      <c r="A80" s="76"/>
      <c r="B80" s="76"/>
      <c r="C80" s="76"/>
      <c r="D80" s="76"/>
      <c r="E80" s="76"/>
      <c r="F80" s="76"/>
      <c r="G80" s="9" t="s">
        <v>413</v>
      </c>
      <c r="H80" s="289">
        <f>'Calculation sheet'!M10</f>
        <v>16413.685156469175</v>
      </c>
      <c r="I80" s="289">
        <f>'Calculation sheet'!N10</f>
        <v>442.30442377980182</v>
      </c>
      <c r="J80" s="289">
        <f>'Calculation sheet'!O10</f>
        <v>735.75802781867196</v>
      </c>
      <c r="K80" s="289">
        <f>'Calculation sheet'!P10</f>
        <v>683.53049999999996</v>
      </c>
      <c r="L80" s="289">
        <f>'Calculation sheet'!Q10</f>
        <v>0.90909090909090917</v>
      </c>
      <c r="M80" s="289">
        <f>'Calculation sheet'!S10</f>
        <v>1225.180823529412</v>
      </c>
      <c r="N80" s="292">
        <f>'Calculation sheet'!T10</f>
        <v>19501.368022506154</v>
      </c>
      <c r="O80" s="4"/>
      <c r="P80" s="4"/>
      <c r="Q80" s="4"/>
      <c r="R80" s="4"/>
      <c r="S80" s="4"/>
      <c r="T80" s="4"/>
      <c r="U80" s="4"/>
      <c r="V80" s="4"/>
    </row>
    <row r="81" spans="1:22" ht="12" customHeight="1" x14ac:dyDescent="0.2">
      <c r="A81" s="3"/>
      <c r="B81" s="3"/>
      <c r="C81" s="3"/>
      <c r="D81" s="3"/>
      <c r="E81" s="3"/>
      <c r="F81" s="3"/>
      <c r="G81" s="9" t="s">
        <v>14</v>
      </c>
      <c r="H81" s="289">
        <f>'Calculation sheet'!M8</f>
        <v>10484.212361610846</v>
      </c>
      <c r="I81" s="289">
        <f>'Calculation sheet'!N8</f>
        <v>2382.4865472572264</v>
      </c>
      <c r="J81" s="289">
        <f>'Calculation sheet'!O8</f>
        <v>242.67944669555598</v>
      </c>
      <c r="K81" s="289">
        <f>'Calculation sheet'!P8</f>
        <v>384.05909647821539</v>
      </c>
      <c r="L81" s="289">
        <f>'Calculation sheet'!Q8</f>
        <v>0</v>
      </c>
      <c r="M81" s="289">
        <f>'Calculation sheet'!S8</f>
        <v>0</v>
      </c>
      <c r="N81" s="293">
        <f>SUM(H81:M81)</f>
        <v>13493.437452041842</v>
      </c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60"/>
      <c r="B82" s="35"/>
      <c r="C82" s="60"/>
      <c r="D82" s="60"/>
      <c r="E82" s="35"/>
      <c r="F82" s="60"/>
      <c r="G82" s="9" t="s">
        <v>133</v>
      </c>
      <c r="H82" s="289">
        <f>'Calculation sheet'!M12</f>
        <v>26897.897518080019</v>
      </c>
      <c r="I82" s="289">
        <f>'Calculation sheet'!N12</f>
        <v>2824.7909710370282</v>
      </c>
      <c r="J82" s="289">
        <f>'Calculation sheet'!O12</f>
        <v>978.43747451422792</v>
      </c>
      <c r="K82" s="289">
        <f>'Calculation sheet'!P12</f>
        <v>1067.5895964782153</v>
      </c>
      <c r="L82" s="289">
        <f>'Calculation sheet'!Q12</f>
        <v>0.90909090909090917</v>
      </c>
      <c r="M82" s="289">
        <f>'Calculation sheet'!S12</f>
        <v>1225.180823529412</v>
      </c>
      <c r="N82" s="294">
        <f>'Calculation sheet'!T12</f>
        <v>32994.805474547997</v>
      </c>
      <c r="O82" s="4"/>
      <c r="P82" s="4"/>
      <c r="Q82" s="4"/>
      <c r="R82" s="4"/>
      <c r="S82" s="4"/>
      <c r="T82" s="4"/>
      <c r="U82" s="4"/>
      <c r="V82" s="4"/>
    </row>
    <row r="83" spans="1:22" ht="12.75" customHeight="1" x14ac:dyDescent="0.2">
      <c r="A83" s="370"/>
      <c r="B83" s="35"/>
      <c r="C83" s="60"/>
      <c r="D83" s="60"/>
      <c r="E83" s="35"/>
      <c r="F83" s="60"/>
      <c r="G83" s="3"/>
      <c r="H83" s="3"/>
      <c r="I83" s="3"/>
      <c r="J83" s="3"/>
      <c r="K83" s="3"/>
      <c r="L83" s="3"/>
      <c r="M83" s="3"/>
      <c r="N83" s="3"/>
      <c r="O83" s="4"/>
      <c r="P83" s="24"/>
      <c r="Q83" s="4"/>
      <c r="R83" s="4"/>
      <c r="S83" s="4"/>
      <c r="T83" s="4"/>
      <c r="U83" s="4"/>
      <c r="V83" s="4"/>
    </row>
    <row r="84" spans="1:22" ht="12" customHeight="1" x14ac:dyDescent="0.2">
      <c r="A84" s="370"/>
      <c r="B84" s="35"/>
      <c r="C84" s="60"/>
      <c r="D84" s="60"/>
      <c r="E84" s="35"/>
      <c r="F84" s="60"/>
      <c r="G84" s="3"/>
      <c r="H84" s="14"/>
      <c r="I84" s="3"/>
      <c r="J84" s="14"/>
      <c r="K84" s="3"/>
      <c r="L84" s="3"/>
      <c r="M84" s="3"/>
      <c r="N84" s="3"/>
      <c r="O84" s="5"/>
      <c r="P84" s="4"/>
      <c r="Q84" s="4"/>
      <c r="R84" s="4"/>
      <c r="S84" s="4"/>
      <c r="T84" s="4"/>
      <c r="U84" s="4"/>
      <c r="V84" s="4"/>
    </row>
    <row r="85" spans="1:22" ht="12.75" customHeight="1" x14ac:dyDescent="0.2">
      <c r="A85" s="370"/>
      <c r="B85" s="3"/>
      <c r="C85" s="60"/>
      <c r="D85" s="60"/>
      <c r="E85" s="3"/>
      <c r="F85" s="60"/>
      <c r="G85" s="3"/>
      <c r="H85" s="14"/>
      <c r="I85" s="3"/>
      <c r="J85" s="3"/>
      <c r="K85" s="3"/>
      <c r="L85" s="3"/>
      <c r="M85" s="3"/>
      <c r="N85" s="14"/>
      <c r="O85" s="5"/>
      <c r="P85" s="78"/>
      <c r="Q85" s="4"/>
      <c r="R85" s="4"/>
      <c r="S85" s="4"/>
      <c r="T85" s="4"/>
      <c r="U85" s="4"/>
      <c r="V85" s="4"/>
    </row>
    <row r="86" spans="1:22" x14ac:dyDescent="0.2">
      <c r="A86" s="370"/>
      <c r="B86" s="3"/>
      <c r="C86" s="60"/>
      <c r="D86" s="60"/>
      <c r="E86" s="3"/>
      <c r="F86" s="60"/>
      <c r="G86" s="35"/>
      <c r="H86" s="14"/>
      <c r="I86" s="3"/>
      <c r="J86" s="3"/>
      <c r="K86" s="3"/>
      <c r="L86" s="3"/>
      <c r="M86" s="3"/>
      <c r="N86" s="3"/>
      <c r="O86" s="5"/>
      <c r="P86" s="4"/>
      <c r="Q86" s="4"/>
      <c r="R86" s="4"/>
      <c r="S86" s="4"/>
      <c r="T86" s="4"/>
      <c r="U86" s="4"/>
      <c r="V86" s="4"/>
    </row>
    <row r="87" spans="1:22" x14ac:dyDescent="0.2">
      <c r="A87" s="60"/>
      <c r="B87" s="3"/>
      <c r="C87" s="60"/>
      <c r="D87" s="60"/>
      <c r="E87" s="3"/>
      <c r="F87" s="60"/>
      <c r="G87" s="3"/>
      <c r="H87" s="14"/>
      <c r="I87" s="3"/>
      <c r="J87" s="3"/>
      <c r="K87" s="3"/>
      <c r="L87" s="3"/>
      <c r="M87" s="3"/>
      <c r="N87" s="3"/>
      <c r="O87" s="5"/>
      <c r="P87" s="4"/>
      <c r="Q87" s="4"/>
      <c r="R87" s="4"/>
      <c r="S87" s="4"/>
      <c r="T87" s="4"/>
      <c r="U87" s="4"/>
      <c r="V87" s="4"/>
    </row>
    <row r="88" spans="1:22" x14ac:dyDescent="0.2">
      <c r="A88" s="60"/>
      <c r="B88" s="3"/>
      <c r="C88" s="60"/>
      <c r="D88" s="60"/>
      <c r="E88" s="3"/>
      <c r="F88" s="60"/>
      <c r="G88" s="3"/>
      <c r="H88" s="3"/>
      <c r="I88" s="3"/>
      <c r="J88" s="35"/>
      <c r="K88" s="3"/>
      <c r="L88" s="3"/>
      <c r="M88" s="3"/>
      <c r="N88" s="3"/>
      <c r="O88" s="5"/>
      <c r="P88" s="4"/>
      <c r="Q88" s="4"/>
      <c r="R88" s="4"/>
      <c r="S88" s="4"/>
      <c r="T88" s="4"/>
      <c r="U88" s="4"/>
      <c r="V88" s="4"/>
    </row>
    <row r="89" spans="1:22" x14ac:dyDescent="0.2">
      <c r="A89" s="8"/>
      <c r="B89" s="4"/>
      <c r="C89" s="8"/>
      <c r="D89" s="8"/>
      <c r="E89" s="4"/>
      <c r="F89" s="8"/>
      <c r="G89" s="4"/>
      <c r="H89" s="24"/>
      <c r="I89" s="4"/>
      <c r="J89" s="4"/>
      <c r="K89" s="4"/>
      <c r="L89" s="4"/>
      <c r="M89" s="4"/>
      <c r="N89" s="4"/>
      <c r="O89" s="5"/>
      <c r="P89" s="4"/>
      <c r="Q89" s="4"/>
      <c r="R89" s="4"/>
      <c r="S89" s="4"/>
      <c r="T89" s="4"/>
      <c r="U89" s="4"/>
      <c r="V89" s="4"/>
    </row>
    <row r="90" spans="1:22" x14ac:dyDescent="0.2">
      <c r="A90" s="8"/>
      <c r="B90" s="4"/>
      <c r="C90" s="8"/>
      <c r="D90" s="8"/>
      <c r="E90" s="4"/>
      <c r="F90" s="8"/>
      <c r="G90" s="4"/>
      <c r="H90" s="4"/>
      <c r="I90" s="4"/>
      <c r="J90" s="4"/>
      <c r="K90" s="4"/>
      <c r="L90" s="4"/>
      <c r="M90" s="4"/>
      <c r="N90" s="4"/>
      <c r="O90" s="5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 t="s">
        <v>134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  <c r="P97" s="5"/>
      <c r="Q97" s="5"/>
      <c r="R97" s="5"/>
      <c r="S97" s="5"/>
      <c r="T97" s="5"/>
      <c r="U97" s="5"/>
      <c r="V97" s="5"/>
    </row>
    <row r="98" spans="1:22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  <c r="P98" s="5"/>
      <c r="Q98" s="5"/>
      <c r="R98" s="5"/>
      <c r="S98" s="5"/>
      <c r="T98" s="5"/>
      <c r="U98" s="5"/>
      <c r="V98" s="5"/>
    </row>
    <row r="99" spans="1:22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5"/>
      <c r="Q99" s="5"/>
      <c r="R99" s="5"/>
      <c r="S99" s="5"/>
      <c r="T99" s="5"/>
      <c r="U99" s="5"/>
      <c r="V99" s="5"/>
    </row>
    <row r="100" spans="1:22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  <c r="P100" s="5"/>
      <c r="Q100" s="5"/>
      <c r="R100" s="5"/>
      <c r="S100" s="5"/>
      <c r="T100" s="5"/>
      <c r="U100" s="5"/>
      <c r="V100" s="5"/>
    </row>
    <row r="101" spans="1:22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5"/>
      <c r="Q101" s="5"/>
      <c r="R101" s="5"/>
      <c r="S101" s="5"/>
      <c r="T101" s="5"/>
      <c r="U101" s="5"/>
      <c r="V101" s="5"/>
    </row>
    <row r="102" spans="1:22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  <c r="P102" s="5"/>
      <c r="Q102" s="5"/>
      <c r="R102" s="5"/>
      <c r="S102" s="5"/>
      <c r="T102" s="5"/>
      <c r="U102" s="5"/>
      <c r="V102" s="5"/>
    </row>
    <row r="103" spans="1:22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5"/>
      <c r="Q103" s="5"/>
      <c r="R103" s="5"/>
      <c r="S103" s="5"/>
      <c r="T103" s="5"/>
      <c r="U103" s="5"/>
      <c r="V103" s="5"/>
    </row>
    <row r="104" spans="1:22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  <c r="P104" s="5"/>
      <c r="Q104" s="5"/>
      <c r="R104" s="5"/>
      <c r="S104" s="5"/>
      <c r="T104" s="5"/>
      <c r="U104" s="5"/>
      <c r="V104" s="5"/>
    </row>
    <row r="105" spans="1:22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206"/>
      <c r="B159" s="206"/>
      <c r="C159" s="206"/>
      <c r="D159" s="206"/>
      <c r="E159" s="206"/>
      <c r="F159" s="206"/>
      <c r="G159" s="206"/>
      <c r="H159" s="206"/>
      <c r="I159" s="206"/>
      <c r="J159" s="206"/>
    </row>
    <row r="160" spans="1:22" x14ac:dyDescent="0.2">
      <c r="A160" s="206"/>
      <c r="B160" s="206"/>
      <c r="C160" s="206"/>
      <c r="D160" s="206"/>
      <c r="E160" s="206"/>
      <c r="F160" s="206"/>
      <c r="G160" s="206"/>
      <c r="H160" s="206"/>
      <c r="I160" s="206"/>
      <c r="J160" s="206"/>
    </row>
    <row r="161" spans="1:10" x14ac:dyDescent="0.2">
      <c r="A161" s="206"/>
      <c r="B161" s="206"/>
      <c r="C161" s="206"/>
      <c r="D161" s="206"/>
      <c r="E161" s="206"/>
      <c r="F161" s="206"/>
      <c r="G161" s="206"/>
      <c r="H161" s="206"/>
      <c r="I161" s="206"/>
      <c r="J161" s="206"/>
    </row>
    <row r="162" spans="1:10" x14ac:dyDescent="0.2">
      <c r="A162" s="206"/>
      <c r="B162" s="206"/>
      <c r="C162" s="206"/>
      <c r="D162" s="206"/>
      <c r="E162" s="206"/>
      <c r="F162" s="206"/>
      <c r="G162" s="206"/>
      <c r="H162" s="206"/>
      <c r="I162" s="206"/>
      <c r="J162" s="206"/>
    </row>
    <row r="163" spans="1:10" x14ac:dyDescent="0.2">
      <c r="A163" s="206"/>
      <c r="B163" s="206"/>
      <c r="C163" s="206"/>
      <c r="D163" s="206"/>
      <c r="E163" s="206"/>
      <c r="F163" s="206"/>
      <c r="G163" s="206"/>
      <c r="H163" s="206"/>
      <c r="I163" s="206"/>
      <c r="J163" s="206"/>
    </row>
    <row r="164" spans="1:10" x14ac:dyDescent="0.2">
      <c r="A164" s="206"/>
      <c r="B164" s="206"/>
      <c r="C164" s="206"/>
      <c r="D164" s="206"/>
      <c r="E164" s="206"/>
      <c r="F164" s="206"/>
      <c r="G164" s="206"/>
      <c r="H164" s="206"/>
      <c r="I164" s="206"/>
      <c r="J164" s="206"/>
    </row>
    <row r="165" spans="1:10" x14ac:dyDescent="0.2">
      <c r="A165" s="206"/>
      <c r="B165" s="206"/>
      <c r="C165" s="206"/>
      <c r="D165" s="206"/>
      <c r="E165" s="206"/>
      <c r="F165" s="206"/>
      <c r="G165" s="206"/>
      <c r="H165" s="206"/>
      <c r="I165" s="206"/>
      <c r="J165" s="206"/>
    </row>
    <row r="166" spans="1:10" x14ac:dyDescent="0.2">
      <c r="A166" s="206"/>
      <c r="B166" s="206"/>
      <c r="C166" s="206"/>
      <c r="D166" s="206"/>
      <c r="E166" s="206"/>
      <c r="F166" s="206"/>
      <c r="G166" s="206"/>
      <c r="H166" s="206"/>
      <c r="I166" s="206"/>
      <c r="J166" s="206"/>
    </row>
    <row r="167" spans="1:10" x14ac:dyDescent="0.2">
      <c r="A167" s="206"/>
      <c r="B167" s="206"/>
      <c r="C167" s="206"/>
      <c r="D167" s="206"/>
      <c r="E167" s="206"/>
      <c r="F167" s="206"/>
      <c r="G167" s="206"/>
      <c r="H167" s="206"/>
      <c r="I167" s="206"/>
      <c r="J167" s="206"/>
    </row>
    <row r="168" spans="1:10" x14ac:dyDescent="0.2">
      <c r="A168" s="206"/>
      <c r="B168" s="206"/>
      <c r="C168" s="206"/>
      <c r="D168" s="206"/>
      <c r="E168" s="206"/>
      <c r="F168" s="206"/>
      <c r="G168" s="206"/>
      <c r="H168" s="206"/>
      <c r="I168" s="206"/>
      <c r="J168" s="206"/>
    </row>
    <row r="169" spans="1:10" x14ac:dyDescent="0.2">
      <c r="A169" s="206"/>
      <c r="B169" s="206"/>
      <c r="C169" s="206"/>
      <c r="D169" s="206"/>
      <c r="E169" s="206"/>
      <c r="F169" s="206"/>
      <c r="G169" s="206"/>
      <c r="H169" s="206"/>
      <c r="I169" s="206"/>
      <c r="J169" s="206"/>
    </row>
    <row r="170" spans="1:10" x14ac:dyDescent="0.2">
      <c r="A170" s="206"/>
      <c r="B170" s="206"/>
      <c r="C170" s="206"/>
      <c r="D170" s="206"/>
      <c r="E170" s="206"/>
      <c r="F170" s="206"/>
      <c r="G170" s="206"/>
      <c r="H170" s="206"/>
      <c r="I170" s="206"/>
      <c r="J170" s="206"/>
    </row>
    <row r="171" spans="1:10" x14ac:dyDescent="0.2">
      <c r="A171" s="206"/>
      <c r="B171" s="206"/>
      <c r="C171" s="206"/>
      <c r="D171" s="206"/>
      <c r="E171" s="206"/>
      <c r="F171" s="206"/>
      <c r="G171" s="206"/>
      <c r="H171" s="206"/>
      <c r="I171" s="206"/>
      <c r="J171" s="206"/>
    </row>
    <row r="172" spans="1:10" x14ac:dyDescent="0.2">
      <c r="A172" s="206"/>
      <c r="B172" s="206"/>
      <c r="C172" s="206"/>
      <c r="D172" s="206"/>
      <c r="E172" s="206"/>
      <c r="F172" s="206"/>
      <c r="G172" s="206"/>
      <c r="H172" s="206"/>
      <c r="I172" s="206"/>
      <c r="J172" s="206"/>
    </row>
    <row r="173" spans="1:10" x14ac:dyDescent="0.2">
      <c r="A173" s="206"/>
      <c r="B173" s="206"/>
      <c r="C173" s="206"/>
      <c r="D173" s="206"/>
      <c r="E173" s="206"/>
      <c r="F173" s="206"/>
      <c r="G173" s="206"/>
      <c r="H173" s="206"/>
      <c r="I173" s="206"/>
      <c r="J173" s="206"/>
    </row>
    <row r="174" spans="1:10" x14ac:dyDescent="0.2">
      <c r="A174" s="206"/>
      <c r="B174" s="206"/>
      <c r="C174" s="206"/>
      <c r="D174" s="206"/>
      <c r="E174" s="206"/>
      <c r="F174" s="206"/>
      <c r="G174" s="206"/>
      <c r="H174" s="206"/>
      <c r="I174" s="206"/>
      <c r="J174" s="206"/>
    </row>
    <row r="175" spans="1:10" x14ac:dyDescent="0.2">
      <c r="A175" s="206"/>
      <c r="B175" s="206"/>
      <c r="C175" s="206"/>
      <c r="D175" s="206"/>
      <c r="E175" s="206"/>
      <c r="F175" s="206"/>
      <c r="G175" s="206"/>
      <c r="H175" s="206"/>
      <c r="I175" s="206"/>
      <c r="J175" s="206"/>
    </row>
    <row r="176" spans="1:10" x14ac:dyDescent="0.2">
      <c r="A176" s="206"/>
      <c r="B176" s="206"/>
      <c r="C176" s="206"/>
      <c r="D176" s="206"/>
      <c r="E176" s="206"/>
      <c r="F176" s="206"/>
      <c r="G176" s="206"/>
      <c r="H176" s="206"/>
      <c r="I176" s="206"/>
      <c r="J176" s="206"/>
    </row>
    <row r="177" spans="1:10" x14ac:dyDescent="0.2">
      <c r="A177" s="206"/>
      <c r="B177" s="206"/>
      <c r="C177" s="206"/>
      <c r="D177" s="206"/>
      <c r="E177" s="206"/>
      <c r="F177" s="206"/>
      <c r="G177" s="206"/>
      <c r="H177" s="206"/>
      <c r="I177" s="206"/>
      <c r="J177" s="206"/>
    </row>
    <row r="178" spans="1:10" x14ac:dyDescent="0.2">
      <c r="A178" s="206"/>
      <c r="B178" s="206"/>
      <c r="C178" s="206"/>
      <c r="D178" s="206"/>
      <c r="E178" s="206"/>
      <c r="F178" s="206"/>
      <c r="G178" s="206"/>
      <c r="H178" s="206"/>
      <c r="I178" s="206"/>
      <c r="J178" s="206"/>
    </row>
    <row r="179" spans="1:10" x14ac:dyDescent="0.2">
      <c r="A179" s="206"/>
      <c r="B179" s="206"/>
      <c r="C179" s="206"/>
      <c r="D179" s="206"/>
      <c r="E179" s="206"/>
      <c r="F179" s="206"/>
      <c r="G179" s="206"/>
      <c r="H179" s="206"/>
      <c r="I179" s="206"/>
      <c r="J179" s="206"/>
    </row>
    <row r="180" spans="1:10" x14ac:dyDescent="0.2">
      <c r="A180" s="206"/>
      <c r="B180" s="206"/>
      <c r="C180" s="206"/>
      <c r="D180" s="206"/>
      <c r="E180" s="206"/>
      <c r="F180" s="206"/>
      <c r="G180" s="206"/>
      <c r="H180" s="206"/>
      <c r="I180" s="206"/>
      <c r="J180" s="206"/>
    </row>
    <row r="181" spans="1:10" x14ac:dyDescent="0.2">
      <c r="A181" s="206"/>
      <c r="B181" s="206"/>
      <c r="C181" s="206"/>
      <c r="D181" s="206"/>
      <c r="E181" s="206"/>
      <c r="F181" s="206"/>
      <c r="G181" s="206"/>
      <c r="H181" s="206"/>
      <c r="I181" s="206"/>
      <c r="J181" s="206"/>
    </row>
    <row r="182" spans="1:10" x14ac:dyDescent="0.2">
      <c r="A182" s="206"/>
      <c r="B182" s="206"/>
      <c r="C182" s="206"/>
      <c r="D182" s="206"/>
      <c r="E182" s="206"/>
      <c r="F182" s="206"/>
      <c r="G182" s="206"/>
      <c r="H182" s="206"/>
      <c r="I182" s="206"/>
      <c r="J182" s="206"/>
    </row>
    <row r="183" spans="1:10" x14ac:dyDescent="0.2">
      <c r="A183" s="206"/>
      <c r="B183" s="206"/>
      <c r="C183" s="206"/>
      <c r="D183" s="206"/>
      <c r="E183" s="206"/>
      <c r="F183" s="206"/>
      <c r="G183" s="206"/>
      <c r="H183" s="206"/>
      <c r="I183" s="206"/>
      <c r="J183" s="206"/>
    </row>
    <row r="184" spans="1:10" x14ac:dyDescent="0.2">
      <c r="A184" s="206"/>
      <c r="B184" s="206"/>
      <c r="C184" s="206"/>
      <c r="D184" s="206"/>
      <c r="E184" s="206"/>
      <c r="F184" s="206"/>
      <c r="G184" s="206"/>
      <c r="H184" s="206"/>
      <c r="I184" s="206"/>
      <c r="J184" s="206"/>
    </row>
    <row r="185" spans="1:10" x14ac:dyDescent="0.2">
      <c r="A185" s="206"/>
      <c r="B185" s="206"/>
      <c r="C185" s="206"/>
      <c r="D185" s="206"/>
      <c r="E185" s="206"/>
      <c r="F185" s="206"/>
      <c r="G185" s="206"/>
      <c r="H185" s="206"/>
      <c r="I185" s="206"/>
      <c r="J185" s="206"/>
    </row>
    <row r="186" spans="1:10" x14ac:dyDescent="0.2">
      <c r="A186" s="206"/>
      <c r="B186" s="206"/>
      <c r="C186" s="206"/>
      <c r="D186" s="206"/>
      <c r="E186" s="206"/>
      <c r="F186" s="206"/>
      <c r="G186" s="206"/>
      <c r="H186" s="206"/>
      <c r="I186" s="206"/>
      <c r="J186" s="206"/>
    </row>
    <row r="187" spans="1:10" x14ac:dyDescent="0.2">
      <c r="A187" s="206"/>
      <c r="B187" s="206"/>
      <c r="C187" s="206"/>
      <c r="D187" s="206"/>
      <c r="E187" s="206"/>
      <c r="F187" s="206"/>
      <c r="G187" s="206"/>
      <c r="H187" s="206"/>
      <c r="I187" s="206"/>
      <c r="J187" s="206"/>
    </row>
    <row r="188" spans="1:10" x14ac:dyDescent="0.2">
      <c r="A188" s="206"/>
      <c r="B188" s="206"/>
      <c r="C188" s="206"/>
      <c r="D188" s="206"/>
      <c r="E188" s="206"/>
      <c r="F188" s="206"/>
      <c r="G188" s="206"/>
      <c r="H188" s="206"/>
      <c r="I188" s="206"/>
      <c r="J188" s="206"/>
    </row>
    <row r="189" spans="1:10" x14ac:dyDescent="0.2">
      <c r="A189" s="206"/>
      <c r="B189" s="206"/>
      <c r="C189" s="206"/>
      <c r="D189" s="206"/>
      <c r="E189" s="206"/>
      <c r="F189" s="206"/>
      <c r="G189" s="206"/>
      <c r="H189" s="206"/>
      <c r="I189" s="206"/>
      <c r="J189" s="206"/>
    </row>
    <row r="190" spans="1:10" x14ac:dyDescent="0.2">
      <c r="A190" s="206"/>
      <c r="B190" s="206"/>
      <c r="C190" s="206"/>
      <c r="D190" s="206"/>
      <c r="E190" s="206"/>
      <c r="F190" s="206"/>
      <c r="G190" s="206"/>
      <c r="H190" s="206"/>
      <c r="I190" s="206"/>
      <c r="J190" s="206"/>
    </row>
    <row r="191" spans="1:10" x14ac:dyDescent="0.2">
      <c r="A191" s="206"/>
      <c r="B191" s="206"/>
      <c r="C191" s="206"/>
      <c r="D191" s="206"/>
      <c r="E191" s="206"/>
      <c r="F191" s="206"/>
      <c r="G191" s="206"/>
      <c r="H191" s="206"/>
      <c r="I191" s="206"/>
      <c r="J191" s="206"/>
    </row>
    <row r="192" spans="1:10" x14ac:dyDescent="0.2">
      <c r="A192" s="206"/>
      <c r="B192" s="206"/>
      <c r="C192" s="206"/>
      <c r="D192" s="206"/>
      <c r="E192" s="206"/>
      <c r="F192" s="206"/>
      <c r="G192" s="206"/>
      <c r="H192" s="206"/>
      <c r="I192" s="206"/>
      <c r="J192" s="206"/>
    </row>
    <row r="193" spans="1:10" x14ac:dyDescent="0.2">
      <c r="A193" s="206"/>
      <c r="B193" s="206"/>
      <c r="C193" s="206"/>
      <c r="D193" s="206"/>
      <c r="E193" s="206"/>
      <c r="F193" s="206"/>
      <c r="G193" s="206"/>
      <c r="H193" s="206"/>
      <c r="I193" s="206"/>
      <c r="J193" s="206"/>
    </row>
    <row r="194" spans="1:10" x14ac:dyDescent="0.2">
      <c r="A194" s="206"/>
      <c r="B194" s="206"/>
      <c r="C194" s="206"/>
      <c r="D194" s="206"/>
      <c r="E194" s="206"/>
      <c r="F194" s="206"/>
      <c r="G194" s="206"/>
      <c r="H194" s="206"/>
      <c r="I194" s="206"/>
      <c r="J194" s="206"/>
    </row>
    <row r="195" spans="1:10" x14ac:dyDescent="0.2">
      <c r="A195" s="206"/>
      <c r="B195" s="206"/>
      <c r="C195" s="206"/>
      <c r="D195" s="206"/>
      <c r="E195" s="206"/>
      <c r="F195" s="206"/>
      <c r="G195" s="206"/>
      <c r="H195" s="206"/>
      <c r="I195" s="206"/>
      <c r="J195" s="206"/>
    </row>
    <row r="196" spans="1:10" x14ac:dyDescent="0.2">
      <c r="A196" s="206"/>
      <c r="B196" s="206"/>
      <c r="C196" s="206"/>
      <c r="D196" s="206"/>
      <c r="E196" s="206"/>
      <c r="F196" s="206"/>
      <c r="G196" s="206"/>
      <c r="H196" s="206"/>
      <c r="I196" s="206"/>
      <c r="J196" s="206"/>
    </row>
    <row r="197" spans="1:10" x14ac:dyDescent="0.2">
      <c r="A197" s="206"/>
      <c r="B197" s="206"/>
      <c r="C197" s="206"/>
      <c r="D197" s="206"/>
      <c r="E197" s="206"/>
      <c r="F197" s="206"/>
      <c r="G197" s="206"/>
      <c r="H197" s="206"/>
      <c r="I197" s="206"/>
      <c r="J197" s="206"/>
    </row>
    <row r="198" spans="1:10" x14ac:dyDescent="0.2">
      <c r="A198" s="206"/>
      <c r="B198" s="206"/>
      <c r="C198" s="206"/>
      <c r="D198" s="206"/>
      <c r="E198" s="206"/>
      <c r="F198" s="206"/>
      <c r="G198" s="206"/>
      <c r="H198" s="206"/>
      <c r="I198" s="206"/>
      <c r="J198" s="206"/>
    </row>
    <row r="199" spans="1:10" x14ac:dyDescent="0.2">
      <c r="A199" s="206"/>
      <c r="B199" s="206"/>
      <c r="C199" s="206"/>
      <c r="D199" s="206"/>
      <c r="E199" s="206"/>
      <c r="F199" s="206"/>
      <c r="G199" s="206"/>
      <c r="H199" s="206"/>
      <c r="I199" s="206"/>
      <c r="J199" s="206"/>
    </row>
    <row r="200" spans="1:10" x14ac:dyDescent="0.2">
      <c r="A200" s="206"/>
      <c r="B200" s="206"/>
      <c r="C200" s="206"/>
      <c r="D200" s="206"/>
      <c r="E200" s="206"/>
      <c r="F200" s="206"/>
      <c r="G200" s="206"/>
      <c r="H200" s="206"/>
      <c r="I200" s="206"/>
      <c r="J200" s="206"/>
    </row>
    <row r="201" spans="1:10" x14ac:dyDescent="0.2">
      <c r="A201" s="206"/>
      <c r="B201" s="206"/>
      <c r="C201" s="206"/>
      <c r="D201" s="206"/>
      <c r="E201" s="206"/>
      <c r="F201" s="206"/>
      <c r="G201" s="206"/>
      <c r="H201" s="206"/>
      <c r="I201" s="206"/>
      <c r="J201" s="206"/>
    </row>
    <row r="202" spans="1:10" x14ac:dyDescent="0.2">
      <c r="A202" s="206"/>
      <c r="B202" s="206"/>
      <c r="C202" s="206"/>
      <c r="D202" s="206"/>
      <c r="E202" s="206"/>
      <c r="F202" s="206"/>
      <c r="G202" s="206"/>
      <c r="H202" s="206"/>
      <c r="I202" s="206"/>
      <c r="J202" s="206"/>
    </row>
    <row r="203" spans="1:10" x14ac:dyDescent="0.2">
      <c r="A203" s="206"/>
      <c r="B203" s="206"/>
      <c r="C203" s="206"/>
      <c r="D203" s="206"/>
      <c r="E203" s="206"/>
      <c r="F203" s="206"/>
      <c r="G203" s="206"/>
      <c r="H203" s="206"/>
      <c r="I203" s="206"/>
      <c r="J203" s="206"/>
    </row>
    <row r="204" spans="1:10" x14ac:dyDescent="0.2">
      <c r="A204" s="206"/>
      <c r="B204" s="206"/>
      <c r="C204" s="206"/>
      <c r="D204" s="206"/>
      <c r="E204" s="206"/>
      <c r="F204" s="206"/>
      <c r="G204" s="206"/>
      <c r="H204" s="206"/>
      <c r="I204" s="206"/>
      <c r="J204" s="206"/>
    </row>
    <row r="205" spans="1:10" x14ac:dyDescent="0.2">
      <c r="A205" s="206"/>
      <c r="B205" s="206"/>
      <c r="C205" s="206"/>
      <c r="D205" s="206"/>
      <c r="E205" s="206"/>
      <c r="F205" s="206"/>
      <c r="G205" s="206"/>
      <c r="H205" s="206"/>
      <c r="I205" s="206"/>
      <c r="J205" s="206"/>
    </row>
    <row r="206" spans="1:10" x14ac:dyDescent="0.2">
      <c r="A206" s="206"/>
      <c r="B206" s="206"/>
      <c r="C206" s="206"/>
      <c r="D206" s="206"/>
      <c r="E206" s="206"/>
      <c r="F206" s="206"/>
      <c r="G206" s="206"/>
      <c r="H206" s="206"/>
      <c r="I206" s="206"/>
      <c r="J206" s="206"/>
    </row>
    <row r="207" spans="1:10" x14ac:dyDescent="0.2">
      <c r="A207" s="206"/>
      <c r="B207" s="206"/>
      <c r="C207" s="206"/>
      <c r="D207" s="206"/>
      <c r="E207" s="206"/>
      <c r="F207" s="206"/>
      <c r="G207" s="206"/>
      <c r="H207" s="206"/>
      <c r="I207" s="206"/>
      <c r="J207" s="206"/>
    </row>
    <row r="208" spans="1:10" x14ac:dyDescent="0.2">
      <c r="A208" s="206"/>
      <c r="B208" s="206"/>
      <c r="C208" s="206"/>
      <c r="D208" s="206"/>
      <c r="E208" s="206"/>
      <c r="F208" s="206"/>
      <c r="G208" s="206"/>
      <c r="H208" s="206"/>
      <c r="I208" s="206"/>
      <c r="J208" s="206"/>
    </row>
    <row r="209" spans="1:10" x14ac:dyDescent="0.2">
      <c r="A209" s="206"/>
      <c r="B209" s="206"/>
      <c r="C209" s="206"/>
      <c r="D209" s="206"/>
      <c r="E209" s="206"/>
      <c r="F209" s="206"/>
      <c r="G209" s="206"/>
      <c r="H209" s="206"/>
      <c r="I209" s="206"/>
      <c r="J209" s="206"/>
    </row>
    <row r="210" spans="1:10" x14ac:dyDescent="0.2">
      <c r="A210" s="206"/>
      <c r="B210" s="206"/>
      <c r="C210" s="206"/>
      <c r="D210" s="206"/>
      <c r="E210" s="206"/>
      <c r="F210" s="206"/>
      <c r="G210" s="206"/>
      <c r="H210" s="206"/>
      <c r="I210" s="206"/>
      <c r="J210" s="206"/>
    </row>
    <row r="211" spans="1:10" x14ac:dyDescent="0.2">
      <c r="A211" s="206"/>
      <c r="B211" s="206"/>
      <c r="C211" s="206"/>
      <c r="D211" s="206"/>
      <c r="E211" s="206"/>
      <c r="F211" s="206"/>
      <c r="G211" s="206"/>
      <c r="H211" s="206"/>
      <c r="I211" s="206"/>
      <c r="J211" s="206"/>
    </row>
    <row r="212" spans="1:10" x14ac:dyDescent="0.2">
      <c r="A212" s="206"/>
      <c r="B212" s="206"/>
      <c r="C212" s="206"/>
      <c r="D212" s="206"/>
      <c r="E212" s="206"/>
      <c r="F212" s="206"/>
      <c r="G212" s="206"/>
      <c r="H212" s="206"/>
      <c r="I212" s="206"/>
      <c r="J212" s="206"/>
    </row>
    <row r="213" spans="1:10" x14ac:dyDescent="0.2">
      <c r="A213" s="206"/>
      <c r="B213" s="206"/>
      <c r="C213" s="206"/>
      <c r="D213" s="206"/>
      <c r="E213" s="206"/>
      <c r="F213" s="206"/>
      <c r="G213" s="206"/>
      <c r="H213" s="206"/>
      <c r="I213" s="206"/>
      <c r="J213" s="206"/>
    </row>
    <row r="214" spans="1:10" x14ac:dyDescent="0.2">
      <c r="A214" s="206"/>
      <c r="B214" s="206"/>
      <c r="C214" s="206"/>
      <c r="D214" s="206"/>
      <c r="E214" s="206"/>
      <c r="F214" s="206"/>
      <c r="G214" s="206"/>
      <c r="H214" s="206"/>
      <c r="I214" s="206"/>
      <c r="J214" s="206"/>
    </row>
    <row r="215" spans="1:10" x14ac:dyDescent="0.2">
      <c r="A215" s="206"/>
      <c r="B215" s="206"/>
      <c r="C215" s="206"/>
      <c r="D215" s="206"/>
      <c r="E215" s="206"/>
      <c r="F215" s="206"/>
      <c r="G215" s="206"/>
      <c r="H215" s="206"/>
      <c r="I215" s="206"/>
      <c r="J215" s="206"/>
    </row>
    <row r="216" spans="1:10" x14ac:dyDescent="0.2">
      <c r="A216" s="206"/>
      <c r="B216" s="206"/>
      <c r="C216" s="206"/>
      <c r="D216" s="206"/>
      <c r="E216" s="206"/>
      <c r="F216" s="206"/>
      <c r="G216" s="206"/>
      <c r="H216" s="206"/>
      <c r="I216" s="206"/>
      <c r="J216" s="206"/>
    </row>
    <row r="217" spans="1:10" x14ac:dyDescent="0.2">
      <c r="A217" s="206"/>
      <c r="B217" s="206"/>
      <c r="C217" s="206"/>
      <c r="D217" s="206"/>
      <c r="E217" s="206"/>
      <c r="F217" s="206"/>
      <c r="G217" s="206"/>
      <c r="H217" s="206"/>
      <c r="I217" s="206"/>
      <c r="J217" s="206"/>
    </row>
    <row r="218" spans="1:10" x14ac:dyDescent="0.2">
      <c r="A218" s="206"/>
      <c r="B218" s="206"/>
      <c r="C218" s="206"/>
      <c r="D218" s="206"/>
      <c r="E218" s="206"/>
      <c r="F218" s="206"/>
      <c r="G218" s="206"/>
      <c r="H218" s="206"/>
      <c r="I218" s="206"/>
      <c r="J218" s="206"/>
    </row>
    <row r="219" spans="1:10" x14ac:dyDescent="0.2">
      <c r="A219" s="206"/>
      <c r="B219" s="206"/>
      <c r="C219" s="206"/>
      <c r="D219" s="206"/>
      <c r="E219" s="206"/>
      <c r="F219" s="206"/>
      <c r="G219" s="206"/>
      <c r="H219" s="206"/>
      <c r="I219" s="206"/>
      <c r="J219" s="206"/>
    </row>
    <row r="220" spans="1:10" x14ac:dyDescent="0.2">
      <c r="A220" s="206"/>
      <c r="B220" s="206"/>
      <c r="C220" s="206"/>
      <c r="D220" s="206"/>
      <c r="E220" s="206"/>
      <c r="F220" s="206"/>
      <c r="G220" s="206"/>
      <c r="H220" s="206"/>
      <c r="I220" s="206"/>
      <c r="J220" s="206"/>
    </row>
    <row r="221" spans="1:10" x14ac:dyDescent="0.2">
      <c r="A221" s="206"/>
      <c r="B221" s="206"/>
      <c r="C221" s="206"/>
      <c r="D221" s="206"/>
      <c r="E221" s="206"/>
      <c r="F221" s="206"/>
      <c r="G221" s="206"/>
      <c r="H221" s="206"/>
      <c r="I221" s="206"/>
      <c r="J221" s="206"/>
    </row>
    <row r="222" spans="1:10" x14ac:dyDescent="0.2">
      <c r="A222" s="206"/>
      <c r="B222" s="206"/>
      <c r="C222" s="206"/>
      <c r="D222" s="206"/>
      <c r="E222" s="206"/>
      <c r="F222" s="206"/>
      <c r="G222" s="206"/>
      <c r="H222" s="206"/>
      <c r="I222" s="206"/>
      <c r="J222" s="206"/>
    </row>
    <row r="223" spans="1:10" x14ac:dyDescent="0.2">
      <c r="A223" s="206"/>
      <c r="B223" s="206"/>
      <c r="C223" s="206"/>
      <c r="D223" s="206"/>
      <c r="E223" s="206"/>
      <c r="F223" s="206"/>
      <c r="G223" s="206"/>
      <c r="H223" s="206"/>
      <c r="I223" s="206"/>
      <c r="J223" s="206"/>
    </row>
    <row r="224" spans="1:10" x14ac:dyDescent="0.2">
      <c r="A224" s="206"/>
      <c r="B224" s="206"/>
      <c r="C224" s="206"/>
      <c r="D224" s="206"/>
      <c r="E224" s="206"/>
      <c r="F224" s="206"/>
      <c r="G224" s="206"/>
      <c r="H224" s="206"/>
      <c r="I224" s="206"/>
      <c r="J224" s="206"/>
    </row>
    <row r="225" spans="1:10" x14ac:dyDescent="0.2">
      <c r="A225" s="206"/>
      <c r="B225" s="206"/>
      <c r="C225" s="206"/>
      <c r="D225" s="206"/>
      <c r="E225" s="206"/>
      <c r="F225" s="206"/>
      <c r="G225" s="206"/>
      <c r="H225" s="206"/>
      <c r="I225" s="206"/>
      <c r="J225" s="206"/>
    </row>
    <row r="226" spans="1:10" x14ac:dyDescent="0.2">
      <c r="A226" s="206"/>
      <c r="B226" s="206"/>
      <c r="C226" s="206"/>
      <c r="D226" s="206"/>
      <c r="E226" s="206"/>
      <c r="F226" s="206"/>
      <c r="G226" s="206"/>
      <c r="H226" s="206"/>
      <c r="I226" s="206"/>
      <c r="J226" s="206"/>
    </row>
    <row r="227" spans="1:10" x14ac:dyDescent="0.2">
      <c r="A227" s="206"/>
      <c r="B227" s="206"/>
      <c r="C227" s="206"/>
      <c r="D227" s="206"/>
      <c r="E227" s="206"/>
      <c r="F227" s="206"/>
      <c r="G227" s="206"/>
      <c r="H227" s="206"/>
      <c r="I227" s="206"/>
      <c r="J227" s="206"/>
    </row>
    <row r="228" spans="1:10" x14ac:dyDescent="0.2">
      <c r="A228" s="206"/>
      <c r="B228" s="206"/>
      <c r="C228" s="206"/>
      <c r="D228" s="206"/>
      <c r="E228" s="206"/>
      <c r="F228" s="206"/>
      <c r="G228" s="206"/>
      <c r="H228" s="206"/>
      <c r="I228" s="206"/>
      <c r="J228" s="206"/>
    </row>
    <row r="229" spans="1:10" x14ac:dyDescent="0.2">
      <c r="A229" s="206"/>
      <c r="B229" s="206"/>
      <c r="C229" s="206"/>
      <c r="D229" s="206"/>
      <c r="E229" s="206"/>
      <c r="F229" s="206"/>
      <c r="G229" s="206"/>
      <c r="H229" s="206"/>
      <c r="I229" s="206"/>
      <c r="J229" s="206"/>
    </row>
    <row r="230" spans="1:10" x14ac:dyDescent="0.2">
      <c r="A230" s="206"/>
      <c r="B230" s="206"/>
      <c r="C230" s="206"/>
      <c r="D230" s="206"/>
      <c r="E230" s="206"/>
      <c r="F230" s="206"/>
      <c r="G230" s="206"/>
      <c r="H230" s="206"/>
      <c r="I230" s="206"/>
      <c r="J230" s="206"/>
    </row>
    <row r="231" spans="1:10" x14ac:dyDescent="0.2">
      <c r="A231" s="206"/>
      <c r="B231" s="206"/>
      <c r="C231" s="206"/>
      <c r="D231" s="206"/>
      <c r="E231" s="206"/>
      <c r="F231" s="206"/>
      <c r="G231" s="206"/>
      <c r="H231" s="206"/>
      <c r="I231" s="206"/>
      <c r="J231" s="206"/>
    </row>
    <row r="232" spans="1:10" x14ac:dyDescent="0.2">
      <c r="A232" s="206"/>
      <c r="B232" s="206"/>
      <c r="C232" s="206"/>
      <c r="D232" s="206"/>
      <c r="E232" s="206"/>
      <c r="F232" s="206"/>
      <c r="G232" s="206"/>
      <c r="H232" s="206"/>
      <c r="I232" s="206"/>
      <c r="J232" s="206"/>
    </row>
    <row r="233" spans="1:10" x14ac:dyDescent="0.2">
      <c r="A233" s="206"/>
      <c r="B233" s="206"/>
      <c r="C233" s="206"/>
      <c r="D233" s="206"/>
      <c r="E233" s="206"/>
      <c r="F233" s="206"/>
      <c r="G233" s="206"/>
      <c r="H233" s="206"/>
      <c r="I233" s="206"/>
      <c r="J233" s="206"/>
    </row>
    <row r="234" spans="1:10" x14ac:dyDescent="0.2">
      <c r="A234" s="206"/>
      <c r="B234" s="206"/>
      <c r="C234" s="206"/>
      <c r="D234" s="206"/>
      <c r="E234" s="206"/>
      <c r="F234" s="206"/>
      <c r="G234" s="206"/>
      <c r="H234" s="206"/>
      <c r="I234" s="206"/>
      <c r="J234" s="206"/>
    </row>
    <row r="235" spans="1:10" x14ac:dyDescent="0.2">
      <c r="A235" s="206"/>
      <c r="B235" s="206"/>
      <c r="C235" s="206"/>
      <c r="D235" s="206"/>
      <c r="E235" s="206"/>
      <c r="F235" s="206"/>
      <c r="G235" s="206"/>
      <c r="H235" s="206"/>
      <c r="I235" s="206"/>
      <c r="J235" s="206"/>
    </row>
    <row r="236" spans="1:10" x14ac:dyDescent="0.2">
      <c r="A236" s="206"/>
      <c r="B236" s="206"/>
      <c r="C236" s="206"/>
      <c r="D236" s="206"/>
      <c r="E236" s="206"/>
      <c r="F236" s="206"/>
      <c r="G236" s="206"/>
      <c r="H236" s="206"/>
      <c r="I236" s="206"/>
      <c r="J236" s="206"/>
    </row>
    <row r="237" spans="1:10" x14ac:dyDescent="0.2">
      <c r="A237" s="206"/>
      <c r="B237" s="206"/>
      <c r="C237" s="206"/>
      <c r="D237" s="206"/>
      <c r="E237" s="206"/>
      <c r="F237" s="206"/>
      <c r="G237" s="206"/>
      <c r="H237" s="206"/>
      <c r="I237" s="206"/>
      <c r="J237" s="206"/>
    </row>
    <row r="238" spans="1:10" x14ac:dyDescent="0.2">
      <c r="A238" s="206"/>
      <c r="B238" s="206"/>
      <c r="C238" s="206"/>
      <c r="D238" s="206"/>
      <c r="E238" s="206"/>
      <c r="F238" s="206"/>
      <c r="G238" s="206"/>
      <c r="H238" s="206"/>
      <c r="I238" s="206"/>
      <c r="J238" s="206"/>
    </row>
    <row r="239" spans="1:10" x14ac:dyDescent="0.2">
      <c r="A239" s="206"/>
      <c r="B239" s="206"/>
      <c r="C239" s="206"/>
      <c r="D239" s="206"/>
      <c r="E239" s="206"/>
      <c r="F239" s="206"/>
      <c r="G239" s="206"/>
      <c r="H239" s="206"/>
      <c r="I239" s="206"/>
      <c r="J239" s="206"/>
    </row>
    <row r="240" spans="1:10" x14ac:dyDescent="0.2">
      <c r="A240" s="206"/>
      <c r="B240" s="206"/>
      <c r="C240" s="206"/>
      <c r="D240" s="206"/>
      <c r="E240" s="206"/>
      <c r="F240" s="206"/>
      <c r="G240" s="206"/>
      <c r="H240" s="206"/>
      <c r="I240" s="206"/>
      <c r="J240" s="206"/>
    </row>
    <row r="241" spans="1:10" x14ac:dyDescent="0.2">
      <c r="A241" s="206"/>
      <c r="B241" s="206"/>
      <c r="C241" s="206"/>
      <c r="D241" s="206"/>
      <c r="E241" s="206"/>
      <c r="F241" s="206"/>
      <c r="G241" s="206"/>
      <c r="H241" s="206"/>
      <c r="I241" s="206"/>
      <c r="J241" s="206"/>
    </row>
    <row r="242" spans="1:10" x14ac:dyDescent="0.2">
      <c r="A242" s="206"/>
      <c r="B242" s="206"/>
      <c r="C242" s="206"/>
      <c r="D242" s="206"/>
      <c r="E242" s="206"/>
      <c r="F242" s="206"/>
      <c r="G242" s="206"/>
      <c r="H242" s="206"/>
      <c r="I242" s="206"/>
      <c r="J242" s="206"/>
    </row>
    <row r="243" spans="1:10" x14ac:dyDescent="0.2">
      <c r="A243" s="206"/>
      <c r="B243" s="206"/>
      <c r="C243" s="206"/>
      <c r="D243" s="206"/>
      <c r="E243" s="206"/>
      <c r="F243" s="206"/>
      <c r="G243" s="206"/>
      <c r="H243" s="206"/>
      <c r="I243" s="206"/>
      <c r="J243" s="206"/>
    </row>
    <row r="244" spans="1:10" x14ac:dyDescent="0.2">
      <c r="A244" s="206"/>
      <c r="B244" s="206"/>
      <c r="C244" s="206"/>
      <c r="D244" s="206"/>
      <c r="E244" s="206"/>
      <c r="F244" s="206"/>
      <c r="G244" s="206"/>
      <c r="H244" s="206"/>
      <c r="I244" s="206"/>
      <c r="J244" s="206"/>
    </row>
    <row r="245" spans="1:10" x14ac:dyDescent="0.2">
      <c r="A245" s="206"/>
      <c r="B245" s="206"/>
      <c r="C245" s="206"/>
      <c r="D245" s="206"/>
      <c r="E245" s="206"/>
      <c r="F245" s="206"/>
      <c r="G245" s="206"/>
      <c r="H245" s="206"/>
      <c r="I245" s="206"/>
      <c r="J245" s="206"/>
    </row>
    <row r="246" spans="1:10" x14ac:dyDescent="0.2">
      <c r="A246" s="206"/>
      <c r="B246" s="206"/>
      <c r="C246" s="206"/>
      <c r="D246" s="206"/>
      <c r="E246" s="206"/>
      <c r="F246" s="206"/>
      <c r="G246" s="206"/>
      <c r="H246" s="206"/>
      <c r="I246" s="206"/>
      <c r="J246" s="206"/>
    </row>
    <row r="247" spans="1:10" x14ac:dyDescent="0.2">
      <c r="A247" s="206"/>
      <c r="B247" s="206"/>
      <c r="C247" s="206"/>
      <c r="D247" s="206"/>
      <c r="E247" s="206"/>
      <c r="F247" s="206"/>
      <c r="G247" s="206"/>
      <c r="H247" s="206"/>
      <c r="I247" s="206"/>
      <c r="J247" s="206"/>
    </row>
    <row r="248" spans="1:10" x14ac:dyDescent="0.2">
      <c r="A248" s="206"/>
      <c r="B248" s="206"/>
      <c r="C248" s="206"/>
      <c r="D248" s="206"/>
      <c r="E248" s="206"/>
      <c r="F248" s="206"/>
      <c r="G248" s="206"/>
      <c r="H248" s="206"/>
      <c r="I248" s="206"/>
      <c r="J248" s="206"/>
    </row>
    <row r="249" spans="1:10" x14ac:dyDescent="0.2">
      <c r="A249" s="206"/>
      <c r="B249" s="206"/>
      <c r="C249" s="206"/>
      <c r="D249" s="206"/>
      <c r="E249" s="206"/>
      <c r="F249" s="206"/>
      <c r="G249" s="206"/>
      <c r="H249" s="206"/>
      <c r="I249" s="206"/>
      <c r="J249" s="206"/>
    </row>
    <row r="250" spans="1:10" x14ac:dyDescent="0.2">
      <c r="A250" s="206"/>
      <c r="B250" s="206"/>
      <c r="C250" s="206"/>
      <c r="D250" s="206"/>
      <c r="E250" s="206"/>
      <c r="F250" s="206"/>
      <c r="G250" s="206"/>
      <c r="H250" s="206"/>
      <c r="I250" s="206"/>
      <c r="J250" s="206"/>
    </row>
    <row r="251" spans="1:10" x14ac:dyDescent="0.2">
      <c r="A251" s="206"/>
      <c r="B251" s="206"/>
      <c r="C251" s="206"/>
      <c r="D251" s="206"/>
      <c r="E251" s="206"/>
      <c r="F251" s="206"/>
      <c r="G251" s="206"/>
      <c r="H251" s="206"/>
      <c r="I251" s="206"/>
      <c r="J251" s="206"/>
    </row>
    <row r="252" spans="1:10" x14ac:dyDescent="0.2">
      <c r="A252" s="206"/>
      <c r="B252" s="206"/>
      <c r="C252" s="206"/>
      <c r="D252" s="206"/>
      <c r="E252" s="206"/>
      <c r="F252" s="206"/>
      <c r="G252" s="206"/>
      <c r="H252" s="206"/>
      <c r="I252" s="206"/>
      <c r="J252" s="206"/>
    </row>
    <row r="253" spans="1:10" x14ac:dyDescent="0.2">
      <c r="A253" s="206"/>
      <c r="B253" s="206"/>
      <c r="C253" s="206"/>
      <c r="D253" s="206"/>
      <c r="E253" s="206"/>
      <c r="F253" s="206"/>
      <c r="G253" s="206"/>
      <c r="H253" s="206"/>
      <c r="I253" s="206"/>
      <c r="J253" s="206"/>
    </row>
    <row r="254" spans="1:10" x14ac:dyDescent="0.2">
      <c r="A254" s="206"/>
      <c r="B254" s="206"/>
      <c r="C254" s="206"/>
      <c r="D254" s="206"/>
      <c r="E254" s="206"/>
      <c r="F254" s="206"/>
      <c r="G254" s="206"/>
      <c r="H254" s="206"/>
      <c r="I254" s="206"/>
      <c r="J254" s="206"/>
    </row>
    <row r="255" spans="1:10" x14ac:dyDescent="0.2">
      <c r="A255" s="206"/>
      <c r="B255" s="206"/>
      <c r="C255" s="206"/>
      <c r="D255" s="206"/>
      <c r="E255" s="206"/>
      <c r="F255" s="206"/>
      <c r="G255" s="206"/>
      <c r="H255" s="206"/>
      <c r="I255" s="206"/>
      <c r="J255" s="206"/>
    </row>
    <row r="256" spans="1:10" x14ac:dyDescent="0.2">
      <c r="A256" s="206"/>
      <c r="B256" s="206"/>
      <c r="C256" s="206"/>
      <c r="D256" s="206"/>
      <c r="E256" s="206"/>
      <c r="F256" s="206"/>
      <c r="G256" s="206"/>
      <c r="H256" s="206"/>
      <c r="I256" s="206"/>
      <c r="J256" s="206"/>
    </row>
    <row r="257" spans="1:10" x14ac:dyDescent="0.2">
      <c r="A257" s="206"/>
      <c r="B257" s="206"/>
      <c r="C257" s="206"/>
      <c r="D257" s="206"/>
      <c r="E257" s="206"/>
      <c r="F257" s="206"/>
      <c r="G257" s="206"/>
      <c r="H257" s="206"/>
      <c r="I257" s="206"/>
      <c r="J257" s="206"/>
    </row>
    <row r="258" spans="1:10" x14ac:dyDescent="0.2">
      <c r="A258" s="206"/>
      <c r="B258" s="206"/>
      <c r="C258" s="206"/>
      <c r="D258" s="206"/>
      <c r="E258" s="206"/>
      <c r="F258" s="206"/>
      <c r="G258" s="206"/>
      <c r="H258" s="206"/>
      <c r="I258" s="206"/>
      <c r="J258" s="206"/>
    </row>
    <row r="259" spans="1:10" x14ac:dyDescent="0.2">
      <c r="A259" s="206"/>
      <c r="B259" s="206"/>
      <c r="C259" s="206"/>
      <c r="D259" s="206"/>
      <c r="E259" s="206"/>
      <c r="F259" s="206"/>
      <c r="G259" s="206"/>
      <c r="H259" s="206"/>
      <c r="I259" s="206"/>
      <c r="J259" s="206"/>
    </row>
    <row r="260" spans="1:10" x14ac:dyDescent="0.2">
      <c r="A260" s="206"/>
      <c r="B260" s="206"/>
      <c r="C260" s="206"/>
      <c r="D260" s="206"/>
      <c r="E260" s="206"/>
      <c r="F260" s="206"/>
      <c r="G260" s="206"/>
      <c r="H260" s="206"/>
      <c r="I260" s="206"/>
      <c r="J260" s="206"/>
    </row>
    <row r="261" spans="1:10" x14ac:dyDescent="0.2">
      <c r="A261" s="206"/>
      <c r="B261" s="206"/>
      <c r="C261" s="206"/>
      <c r="D261" s="206"/>
      <c r="E261" s="206"/>
      <c r="F261" s="206"/>
      <c r="G261" s="206"/>
      <c r="H261" s="206"/>
      <c r="I261" s="206"/>
      <c r="J261" s="206"/>
    </row>
    <row r="262" spans="1:10" x14ac:dyDescent="0.2">
      <c r="A262" s="206"/>
      <c r="B262" s="206"/>
      <c r="C262" s="206"/>
      <c r="D262" s="206"/>
      <c r="E262" s="206"/>
      <c r="F262" s="206"/>
      <c r="G262" s="206"/>
      <c r="H262" s="206"/>
      <c r="I262" s="206"/>
      <c r="J262" s="206"/>
    </row>
    <row r="263" spans="1:10" x14ac:dyDescent="0.2">
      <c r="A263" s="206"/>
      <c r="B263" s="206"/>
      <c r="C263" s="206"/>
      <c r="D263" s="206"/>
      <c r="E263" s="206"/>
      <c r="F263" s="206"/>
      <c r="G263" s="206"/>
      <c r="H263" s="206"/>
      <c r="I263" s="206"/>
      <c r="J263" s="206"/>
    </row>
    <row r="264" spans="1:10" x14ac:dyDescent="0.2">
      <c r="A264" s="206"/>
      <c r="B264" s="206"/>
      <c r="C264" s="206"/>
      <c r="D264" s="206"/>
      <c r="E264" s="206"/>
      <c r="F264" s="206"/>
      <c r="G264" s="206"/>
      <c r="H264" s="206"/>
      <c r="I264" s="206"/>
      <c r="J264" s="206"/>
    </row>
    <row r="265" spans="1:10" x14ac:dyDescent="0.2">
      <c r="A265" s="206"/>
      <c r="B265" s="206"/>
      <c r="C265" s="206"/>
      <c r="D265" s="206"/>
      <c r="E265" s="206"/>
      <c r="F265" s="206"/>
      <c r="G265" s="206"/>
      <c r="H265" s="206"/>
      <c r="I265" s="206"/>
      <c r="J265" s="206"/>
    </row>
    <row r="266" spans="1:10" x14ac:dyDescent="0.2">
      <c r="A266" s="206"/>
      <c r="B266" s="206"/>
      <c r="C266" s="206"/>
      <c r="D266" s="206"/>
      <c r="E266" s="206"/>
      <c r="F266" s="206"/>
      <c r="G266" s="206"/>
      <c r="H266" s="206"/>
      <c r="I266" s="206"/>
      <c r="J266" s="206"/>
    </row>
    <row r="267" spans="1:10" x14ac:dyDescent="0.2">
      <c r="A267" s="206"/>
      <c r="B267" s="206"/>
      <c r="C267" s="206"/>
      <c r="D267" s="206"/>
      <c r="E267" s="206"/>
      <c r="F267" s="206"/>
      <c r="G267" s="206"/>
      <c r="H267" s="206"/>
      <c r="I267" s="206"/>
      <c r="J267" s="206"/>
    </row>
    <row r="268" spans="1:10" x14ac:dyDescent="0.2">
      <c r="A268" s="206"/>
      <c r="B268" s="206"/>
      <c r="C268" s="206"/>
      <c r="D268" s="206"/>
      <c r="E268" s="206"/>
      <c r="F268" s="206"/>
      <c r="G268" s="206"/>
      <c r="H268" s="206"/>
      <c r="I268" s="206"/>
      <c r="J268" s="206"/>
    </row>
  </sheetData>
  <sheetProtection password="C4EB" sheet="1" objects="1" scenarios="1" selectLockedCells="1"/>
  <mergeCells count="18">
    <mergeCell ref="A85:A86"/>
    <mergeCell ref="G5:N5"/>
    <mergeCell ref="G24:N24"/>
    <mergeCell ref="G79:N79"/>
    <mergeCell ref="G14:N14"/>
    <mergeCell ref="G15:N15"/>
    <mergeCell ref="G21:N21"/>
    <mergeCell ref="G23:N23"/>
    <mergeCell ref="G40:N40"/>
    <mergeCell ref="G31:N31"/>
    <mergeCell ref="B57:B58"/>
    <mergeCell ref="B55:B56"/>
    <mergeCell ref="G43:N43"/>
    <mergeCell ref="G1:N1"/>
    <mergeCell ref="G3:N3"/>
    <mergeCell ref="G2:N2"/>
    <mergeCell ref="A83:A84"/>
    <mergeCell ref="G41:N41"/>
  </mergeCells>
  <conditionalFormatting sqref="G35:N35">
    <cfRule type="expression" dxfId="8" priority="296">
      <formula>$A$2=TRUE</formula>
    </cfRule>
  </conditionalFormatting>
  <conditionalFormatting sqref="G40:N40 G42:N72 G41">
    <cfRule type="expression" dxfId="7" priority="294">
      <formula>$A$2&lt;&gt;"K2K"</formula>
    </cfRule>
  </conditionalFormatting>
  <conditionalFormatting sqref="A35 C35:F35">
    <cfRule type="expression" dxfId="6" priority="8">
      <formula>$A$2=TRUE</formula>
    </cfRule>
  </conditionalFormatting>
  <conditionalFormatting sqref="A40:F41 C42 C44 C46:C51 A54:F54 A42:A53 C53 A65:C72 E65:F72 A64:F64 A60:C63 E60:F63 A59:F59 A55:C58 E55:F58 E53:F53 E46:F51 E44:F44 E42:F42 C52:F52 C45:F45 C43:F43">
    <cfRule type="expression" dxfId="5" priority="7">
      <formula>$A$2&lt;&gt;"K2K"</formula>
    </cfRule>
  </conditionalFormatting>
  <conditionalFormatting sqref="B42:B53">
    <cfRule type="expression" dxfId="4" priority="5">
      <formula>$A$2&lt;&gt;"K2K"</formula>
    </cfRule>
  </conditionalFormatting>
  <conditionalFormatting sqref="B60">
    <cfRule type="expression" dxfId="3" priority="4">
      <formula>$A$2&lt;&gt;"K2K"</formula>
    </cfRule>
  </conditionalFormatting>
  <conditionalFormatting sqref="B65">
    <cfRule type="expression" dxfId="2" priority="3">
      <formula>$A$2&lt;&gt;"K2K"</formula>
    </cfRule>
  </conditionalFormatting>
  <conditionalFormatting sqref="A19:C20 E19:N20">
    <cfRule type="expression" dxfId="1" priority="2">
      <formula>$A$3=TRUE</formula>
    </cfRule>
  </conditionalFormatting>
  <conditionalFormatting sqref="A10:C13 F10:N13">
    <cfRule type="expression" dxfId="0" priority="1">
      <formula>$A$3=TRUE</formula>
    </cfRule>
  </conditionalFormatting>
  <dataValidations xWindow="198" yWindow="196" count="73">
    <dataValidation type="list" allowBlank="1" showInputMessage="1" showErrorMessage="1" sqref="E77">
      <formula1>i2c_num_list</formula1>
    </dataValidation>
    <dataValidation allowBlank="1" showInputMessage="1" showErrorMessage="1" prompt="This is always on, and therefore is always enabled. " sqref="B77 B29 B27"/>
    <dataValidation type="list" allowBlank="1" showInputMessage="1" showErrorMessage="1" sqref="E76">
      <formula1>uart_num_list</formula1>
    </dataValidation>
    <dataValidation allowBlank="1" showInputMessage="1" showErrorMessage="1" errorTitle="Status" error="The Status must be set to 'Enabled' or 'Disabled'" prompt="This is always on, and therefore is always enabled. " sqref="B74:B76"/>
    <dataValidation type="list" allowBlank="1" showInputMessage="1" showErrorMessage="1" sqref="E75">
      <formula1>spi_num_list</formula1>
    </dataValidation>
    <dataValidation type="whole" allowBlank="1" showInputMessage="1" showErrorMessage="1" error="Not within acceptable range" promptTitle="Number of Timers" prompt="Enter the number of Timers enabled_x000a_Min - 1_x000a_Max - 20_x000a_" sqref="E74">
      <formula1>0</formula1>
      <formula2>timer_num_list</formula2>
    </dataValidation>
    <dataValidation type="list" allowBlank="1" showInputMessage="1" showErrorMessage="1" errorTitle="Status" error="The Status must be set to 'Enabled' or 'Disabled'" promptTitle="VCP2_7 Enable" prompt="VCP2_4,5,6 and 7 share a common power domain." sqref="B72">
      <formula1>Status</formula1>
    </dataValidation>
    <dataValidation type="list" allowBlank="1" showInputMessage="1" showErrorMessage="1" promptTitle="Lanes Select" prompt="Enter the number of Lanes that you intend to use" sqref="E42">
      <formula1>aif2_lane_list</formula1>
    </dataValidation>
    <dataValidation type="list" allowBlank="1" showInputMessage="1" showErrorMessage="1" promptTitle="Mode Select" prompt="Enter the Mode you intend to use " sqref="F42">
      <formula1>aif2_mode_list</formula1>
    </dataValidation>
    <dataValidation type="list" allowBlank="1" showInputMessage="1" showErrorMessage="1" promptTitle="Baud Rate" prompt="Select the Max Baud Rate you intend to use." sqref="C42">
      <formula1>aif2_rate_list</formula1>
    </dataValidation>
    <dataValidation type="list" allowBlank="1" showInputMessage="1" showErrorMessage="1" promptTitle="Mode Select" prompt="Enter the Mode you intend to use" sqref="F38">
      <formula1>netcp_mode_list</formula1>
    </dataValidation>
    <dataValidation type="list" allowBlank="1" showInputMessage="1" showErrorMessage="1" errorTitle="Status" error="The Status must be set to 'Enabled' or 'Disabled'" promptTitle="RAC_0_1 Enable" prompt="RAC_0, RAC_1 and TAC share a common power domain" sqref="B55:B56">
      <formula1>Status</formula1>
    </dataValidation>
    <dataValidation type="list" allowBlank="1" showInputMessage="1" showErrorMessage="1" errorTitle="Status" error="The Status must be set to 'Enabled' or 'Disabled'" promptTitle="RAC_2_3 Enable" prompt="RAC_2 and RAC_3 share a common power domain." sqref="B57:B58">
      <formula1>Status</formula1>
    </dataValidation>
    <dataValidation type="list" allowBlank="1" showInputMessage="1" showErrorMessage="1" errorTitle="Status" error="The Status must be set to 'Enabled' or 'Disabled'" promptTitle="TCP3d_1 Enable" prompt="TCP3d_0 and 1 share a common power domain." sqref="B61">
      <formula1>Status</formula1>
    </dataValidation>
    <dataValidation type="list" allowBlank="1" showInputMessage="1" showErrorMessage="1" errorTitle="Status" error="The Status must be set to 'Enabled' or 'Disabled'" promptTitle="TCP3d_2 Enable" prompt="TCP3d_2 and 3 share a common power domain." sqref="B62">
      <formula1>Status</formula1>
    </dataValidation>
    <dataValidation type="list" allowBlank="1" showInputMessage="1" showErrorMessage="1" errorTitle="Status" error="The Status must be set to 'Enabled' or 'Disabled'" promptTitle="TCP3d_3 Enable" prompt="TCP3d_2 and 3 share a common power domain." sqref="B63">
      <formula1>Status</formula1>
    </dataValidation>
    <dataValidation type="list" allowBlank="1" showInputMessage="1" showErrorMessage="1" errorTitle="Status" error="The Status must be set to 'Enabled' or 'Disabled'" promptTitle="VCP2_1 Enable" prompt="VCP2_0,1,2 and 3 share a common power domain." sqref="B66">
      <formula1>Status</formula1>
    </dataValidation>
    <dataValidation type="list" allowBlank="1" showInputMessage="1" showErrorMessage="1" errorTitle="Status" error="The Status must be set to 'Enabled' or 'Disabled'" promptTitle="VCP2_2 Enable" prompt="VCP2_0,1,2 and 3 share a common power domain." sqref="B67">
      <formula1>Status</formula1>
    </dataValidation>
    <dataValidation type="list" allowBlank="1" showInputMessage="1" showErrorMessage="1" errorTitle="Status" error="The Status must be set to 'Enabled' or 'Disabled'" promptTitle="VCP2_3 Enable" prompt="VCP2_0,1,2 and 3 share a common power domain." sqref="B68">
      <formula1>Status</formula1>
    </dataValidation>
    <dataValidation type="list" allowBlank="1" showInputMessage="1" showErrorMessage="1" errorTitle="Status" error="The Status must be set to 'Enabled' or 'Disabled'" promptTitle="VCP2_4 Enable" prompt="VCP2_4,5,6 and 7 share a common power domain." sqref="B69">
      <formula1>Status</formula1>
    </dataValidation>
    <dataValidation type="list" allowBlank="1" showInputMessage="1" showErrorMessage="1" errorTitle="Status" error="The Status must be set to 'Enabled' or 'Disabled'" promptTitle="VCP2_5 Enable" prompt="VCP2_4,5,6 and 7 share a common power domain." sqref="B70">
      <formula1>Status</formula1>
    </dataValidation>
    <dataValidation type="list" allowBlank="1" showInputMessage="1" showErrorMessage="1" errorTitle="Status" error="The Status must be set to 'Enabled' or 'Disabled'" promptTitle="VCP2_6 Enable" prompt="VCP2_4,5,6 and 7 share a common power domain." sqref="B71">
      <formula1>Status</formula1>
    </dataValidation>
    <dataValidation type="list" allowBlank="1" showInputMessage="1" showErrorMessage="1" error="You may only choose either 1 or 2 hyperlinks. " promptTitle="Number of Hyperlinks" prompt="Choose the number of hyperlink channels." sqref="E33">
      <formula1>vusr_lane_list</formula1>
    </dataValidation>
    <dataValidation type="list" allowBlank="1" showInputMessage="1" showErrorMessage="1" promptTitle="Mode Select" prompt="Enter the Mode you intend to use " sqref="F32">
      <formula1>srio_mode_list</formula1>
    </dataValidation>
    <dataValidation type="list" allowBlank="1" showInputMessage="1" showErrorMessage="1" promptTitle="Lanes Select" prompt="Select the number of lanes that you intend to use." sqref="E32">
      <formula1>srio_lane_list</formula1>
    </dataValidation>
    <dataValidation type="list" allowBlank="1" showInputMessage="1" showErrorMessage="1" promptTitle="# of 10GbE Lanes" prompt="Input number of lanes for the Ethernet Switch" sqref="E35">
      <formula1>xge_lane_list</formula1>
    </dataValidation>
    <dataValidation allowBlank="1" showDropDown="1" errorTitle="Status" error="Please enter a valid value" promptTitle="Baud Rate" prompt="Select the Max Baud Rate you intend to use_x000a_Min - 1 GHz_x000a_Max - 10GHz" sqref="F36"/>
    <dataValidation type="list" allowBlank="1" showInputMessage="1" showErrorMessage="1" promptTitle="SRIO Rate" prompt="Choose the desired frequency. " sqref="C32">
      <formula1>srio_rate_list</formula1>
    </dataValidation>
    <dataValidation type="decimal" allowBlank="1" showInputMessage="1" showErrorMessage="1" errorTitle="DDR3 Clock Frequency" error="Max: 667 MHz_x000a_Min: 400 MHz" promptTitle="DDR3 Clk Frequency" prompt="Enter the DDR clk frequency you intend to use_x000a_Min - 400_x000a_Max - 800_x000a_" sqref="C26">
      <formula1>400</formula1>
      <formula2>800</formula2>
    </dataValidation>
    <dataValidation type="list" allowBlank="1" showInputMessage="1" showErrorMessage="1" promptTitle="SRIO Rate" prompt="Choose the desired frequency. " sqref="C33">
      <formula1>vusr_rate_list</formula1>
    </dataValidation>
    <dataValidation type="list" allowBlank="1" showInputMessage="1" showErrorMessage="1" errorTitle="DDR2 Clock Frequency" error="Max: 333 MHz_x000a_Min: 200 MHz" promptTitle="Ethernet Switch Speed" prompt="Input the running speed for the Ethernet Switch in Gbps" sqref="C35">
      <formula1>xge_rate_list</formula1>
    </dataValidation>
    <dataValidation type="list" allowBlank="1" showInputMessage="1" showErrorMessage="1" promptTitle="DDR Data Topology" prompt="Select the number of DDR memory bits your intend to use " sqref="E25:E26">
      <formula1>bit_width_list</formula1>
    </dataValidation>
    <dataValidation type="whole" allowBlank="1" showInputMessage="1" showErrorMessage="1" errorTitle="% Writes" error="The % Writes value must be between 0 and 100." promptTitle="% Writes" prompt="Enter the percentage of activity that will be Writes.  The % Writes value must be between 0 and 100." sqref="F25:F26">
      <formula1>0</formula1>
      <formula2>100</formula2>
    </dataValidation>
    <dataValidation type="whole" allowBlank="1" showInputMessage="1" showErrorMessage="1" errorTitle="% Writes" error="The % Writes value must be between 0 and 100." promptTitle="% Writes" prompt="Enter the percentage of activity that will be Writes.  The % Writes value must be between 0 and 100. The spreadsheet will_x000a_assume the remaining % of the time is spent on reads" sqref="F27">
      <formula1>0</formula1>
      <formula2>100</formula2>
    </dataValidation>
    <dataValidation operator="equal" allowBlank="1" showInputMessage="1" showErrorMessage="1" sqref="D3"/>
    <dataValidation type="whole" allowBlank="1" showInputMessage="1" showErrorMessage="1" errorTitle="% SP Util " error="The % of SP Utilization value must be between 0 and 100, and the sum of the % SP Utilization and the % CC Utilization must not exceed 100." promptTitle="% Signal Processing Utilization" prompt="Enter the percentage of cycles that the CPU will be executing Signal Processing (SP) Code.  The % of SP Utilization value must be between 0 and 100, and the sum of the % SP Utili and the % CC Util must not exeed 100." sqref="D6:D13">
      <formula1>0</formula1>
      <formula2>100</formula2>
    </dataValidation>
    <dataValidation type="whole" allowBlank="1" showInputMessage="1" showErrorMessage="1" errorTitle="% CC Util" error="The % CC Utilization value must be between 0 and 100, and the sum of the % Signal Processing (SP) Utilization and the % Control Code (CC) Utilization must not exceed 100." promptTitle="% Control Code Utilization" prompt="Enter the percentage of cycles that the CPU will be executing Control code (CC).  The % of CC Utilization value must be between 0 and 100, the sum of the % SP Utili and the % CC Util must not exeed 100." sqref="E6:E13">
      <formula1>0</formula1>
      <formula2>100</formula2>
    </dataValidation>
    <dataValidation type="decimal" allowBlank="1" showInputMessage="1" showErrorMessage="1" errorTitle="DDR3 Clock Frequency" error="Max: 667 MHz_x000a_Min: 400 MHz" promptTitle="DDR3 Clk Frequency" prompt="Enter the DDR clk frequency you intend to use_x000a_Min - 400_x000a_Max - 800_x000a__x000a_" sqref="C25">
      <formula1>400</formula1>
      <formula2>800</formula2>
    </dataValidation>
    <dataValidation type="decimal" allowBlank="1" showInputMessage="1" showErrorMessage="1" errorTitle="CPU Frequency (MHz)" error="Max Frequency: 1200 MHz_x000a_Min Frequency: 800 MHz (50MHz if PLL in bypass)" promptTitle="CPU Frequency (MHz)" prompt="Operating Conditions:_x000a_Max: 1200 MHz_x000a_Min: 800 MHz_x000a_PLL Bypass Conditions:_x000a_Min: 50 MHz" sqref="C6">
      <formula1>50</formula1>
      <formula2>1200</formula2>
    </dataValidation>
    <dataValidation allowBlank="1" sqref="C7:C13"/>
    <dataValidation type="whole" allowBlank="1" showDropDown="1" showInputMessage="1" showErrorMessage="1" errorTitle="Input Temperature" error="The value entered is outside of the operating temperature range. The operating range is:_x000a_Max: 100 C_x000a_Min: 0 C" promptTitle="Case Temp" prompt="Min - 0C_x000a_Max - 100C" sqref="C3">
      <formula1>0</formula1>
      <formula2>100</formula2>
    </dataValidation>
    <dataValidation type="list" allowBlank="1" showInputMessage="1" showErrorMessage="1" promptTitle="C66x CorePac0 Enable" prompt="This control enables or disables both the clock and power domains for this core." sqref="B6">
      <formula1>Status</formula1>
    </dataValidation>
    <dataValidation type="list" allowBlank="1" showInputMessage="1" showErrorMessage="1" errorTitle="Status" error="The Status must be set to 'Enabled' or 'Disabled'" promptTitle="ARM Core3 Enable" prompt="This enables or disables A15 CorePac4." sqref="B20">
      <formula1>ARM_Status</formula1>
    </dataValidation>
    <dataValidation type="list" allowBlank="1" showInputMessage="1" showErrorMessage="1" errorTitle="Status" error="The Status must be set to 'Enabled' or 'Disabled'" promptTitle="ARM Subsystem  Enable" prompt="This enables or disables the entire ARM subsystem." sqref="B16">
      <formula1>Status</formula1>
    </dataValidation>
    <dataValidation type="list" allowBlank="1" showInputMessage="1" showErrorMessage="1" errorTitle="Status" error="The Status must be set to 'Enabled' or 'Disabled'" promptTitle="ARM Core0 Enable" prompt="This enables or disables A15 CorePac0." sqref="B17">
      <formula1>ARM_Status</formula1>
    </dataValidation>
    <dataValidation type="list" allowBlank="1" showInputMessage="1" showErrorMessage="1" errorTitle="Status" error="The Status must be set to 'Enabled' or 'Disabled'" promptTitle="ARM Core1 Enable" prompt="This enables or disables A15 CorePac1." sqref="B18">
      <formula1>ARM_Status</formula1>
    </dataValidation>
    <dataValidation type="list" allowBlank="1" showInputMessage="1" showErrorMessage="1" errorTitle="Status" error="The Status must be set to 'Enabled' or 'Disabled'" promptTitle="ARM Core2 Enable" prompt="This enables or disables A15 CorePac2." sqref="B19">
      <formula1>ARM_Status</formula1>
    </dataValidation>
    <dataValidation type="list" allowBlank="1" showInputMessage="1" showErrorMessage="1" promptTitle="C66x CorePac1 Enable" prompt="This control enables or disables both the clock and power domains for this core." sqref="B7">
      <formula1>Status</formula1>
    </dataValidation>
    <dataValidation type="list" allowBlank="1" showInputMessage="1" showErrorMessage="1" promptTitle="C66x CorePac2 Enable" prompt="This control enables or disables both the clock and power domains for this core." sqref="B8">
      <formula1>Status</formula1>
    </dataValidation>
    <dataValidation type="list" allowBlank="1" showInputMessage="1" showErrorMessage="1" promptTitle="C66x CorePac3 Enable" prompt="This control enables or disables both the clock and power domains for this core." sqref="B9">
      <formula1>Status</formula1>
    </dataValidation>
    <dataValidation type="list" allowBlank="1" showInputMessage="1" showErrorMessage="1" promptTitle="C66x CorePac4 Enable" prompt="This control enables or disables both the clock and power domains for this core." sqref="B10">
      <formula1>Status</formula1>
    </dataValidation>
    <dataValidation type="list" allowBlank="1" showInputMessage="1" showErrorMessage="1" promptTitle="C66x CorePac5 Enable" prompt="This control enables or disables both the clock and power domains for this core." sqref="B11">
      <formula1>Status</formula1>
    </dataValidation>
    <dataValidation type="list" allowBlank="1" showInputMessage="1" showErrorMessage="1" promptTitle="C66x CorePac6 Enable" prompt="This control enables or disables both the clock and power domains for this core." sqref="B12">
      <formula1>Status</formula1>
    </dataValidation>
    <dataValidation type="list" allowBlank="1" showInputMessage="1" showErrorMessage="1" promptTitle="C66x CorePac7 Enable" prompt="This control enables or disables both the clock and power domains for this core." sqref="B13">
      <formula1>Status</formula1>
    </dataValidation>
    <dataValidation type="list" allowBlank="1" showInputMessage="1" showErrorMessage="1" errorTitle="Status" error="The Status must be set to 'Enabled' or 'Disabled'" promptTitle="MSMC Enable" prompt="This control enables or disables both the clock and power domains for this module." sqref="B22">
      <formula1>Status</formula1>
    </dataValidation>
    <dataValidation type="list" allowBlank="1" showInputMessage="1" showErrorMessage="1" errorTitle="Status" error="The Status must be set to 'Enabled' or 'Disabled'" promptTitle="FFTC_5 Enable" prompt="FFTC_2, FFTC_3, FFTC_4 and FFTC_5 share a common power domain. Enabling any one FFTC will enable the entire power domain but control only the clock domain of that FFTC." sqref="B51">
      <formula1>Status</formula1>
    </dataValidation>
    <dataValidation type="list" allowBlank="1" showInputMessage="1" showErrorMessage="1" errorTitle="Status" error="The Status must be set to 'Enabled' or 'Disabled'" promptTitle="Network Coprocessor Enable" prompt="This control enables or disables both the clock and power domains for this module." sqref="B38">
      <formula1>Status</formula1>
    </dataValidation>
    <dataValidation type="list" allowBlank="1" showInputMessage="1" showErrorMessage="1" errorTitle="Status" error="The Status must be set to 'Enabled' or 'Disabled'" promptTitle="AIF2 Enable" prompt="This control enables or disables both the clock and power domains for this module." sqref="B42 B44 B46:B47 B53 B60 B65">
      <formula1>Status</formula1>
    </dataValidation>
    <dataValidation type="list" allowBlank="1" showInputMessage="1" showErrorMessage="1" errorTitle="Status" error="The Status must be set to 'Enabled' or 'Disabled'" promptTitle="FFTC_2 Enable" prompt="FFTC_2, FFTC_3, FFTC_4 and FFTC_5 share a common power domain. Enabling any one FFTC will enable the entire power domain but control only the clock domain of that FFTC." sqref="B48">
      <formula1>Status</formula1>
    </dataValidation>
    <dataValidation type="list" allowBlank="1" showInputMessage="1" showErrorMessage="1" errorTitle="Status" error="The Status must be set to 'Enabled' or 'Disabled'" promptTitle="FFTC_3 Enable" prompt="FFTC_2, FFTC_3, FFTC_4 and FFTC_5 share a common power domain. Enabling any one FFTC will enable the entire power domain but control only the clock domain of that FFTC." sqref="B49">
      <formula1>Status</formula1>
    </dataValidation>
    <dataValidation type="list" allowBlank="1" showInputMessage="1" showErrorMessage="1" errorTitle="Status" error="The Status must be set to 'Enabled' or 'Disabled'" promptTitle="FFTC_4 Enable" prompt="FFTC_2, FFTC_3, FFTC_4 and FFTC_5 share a common power domain. Enabling any one FFTC will enable the entire power domain but control only the clock domain of that FFTC." sqref="B50">
      <formula1>Status</formula1>
    </dataValidation>
    <dataValidation type="list" allowBlank="1" showInputMessage="1" showErrorMessage="1" promptTitle="USB3.0 Enable" prompt="This control enables or disables both the clock and power domains for this module." sqref="B36">
      <formula1>Status</formula1>
    </dataValidation>
    <dataValidation type="list" allowBlank="1" showInputMessage="1" showErrorMessage="1" errorTitle="Status" error="The Status must be set to 'Enabled' or 'Disabled'" promptTitle="SRIO Enable" prompt="This control enables or disables both the clock and power domains for this module." sqref="B32">
      <formula1>Status</formula1>
    </dataValidation>
    <dataValidation type="list" allowBlank="1" showInputMessage="1" showErrorMessage="1" errorTitle="Status" error="The Status must be set to 'Enabled' or 'Disabled'" promptTitle="Hyperlink Enable" prompt="This control enables or disables both the clock and power domains for this module." sqref="B33">
      <formula1>Status</formula1>
    </dataValidation>
    <dataValidation type="list" allowBlank="1" showInputMessage="1" showErrorMessage="1" errorTitle="Status" error="The Status must be set to 'Enabled' or 'Disabled'" promptTitle="PCIe Enable" prompt="This control enables or disables both the clock and power domains for this module." sqref="B34">
      <formula1>Status</formula1>
    </dataValidation>
    <dataValidation type="list" allowBlank="1" showInputMessage="1" showErrorMessage="1" errorTitle="Status" error="The Status must be set to 'Enabled' or 'Disabled'" promptTitle="10-Gbe Enable" prompt="This control enables or disables both the clock and power domains for this module." sqref="B35">
      <formula1>Status</formula1>
    </dataValidation>
    <dataValidation type="whole" allowBlank="1" showInputMessage="1" showErrorMessage="1" errorTitle="% Utilization" error="The % Utilization value must be between 0 and 100." promptTitle="% Utilization" prompt="Enter the percentage that the integrated peripheral will be utilized.  The % Utilization value must be between 0 and 100." sqref="D17:D20 D22 D25:D27 D29 D32:D36 D38 D42 D74:D77 D44 D46:D51 D53 D55:D58 D65:D72 D60:D63">
      <formula1>0</formula1>
      <formula2>100</formula2>
    </dataValidation>
    <dataValidation type="list" allowBlank="1" showInputMessage="1" showErrorMessage="1" prompt="After Saving a custom Scenario, choose it's name and press &quot;Load Use Case&quot; to change the device's inputs to that scenario. " sqref="C84 F84">
      <formula1>#REF!</formula1>
    </dataValidation>
    <dataValidation type="list" allowBlank="1" showInputMessage="1" showErrorMessage="1" prompt="Choose a scenario that has been edited to save here, then press &quot;Save Use Case&quot; to save it. " sqref="C86 F86">
      <formula1>#REF!</formula1>
    </dataValidation>
    <dataValidation type="decimal" allowBlank="1" showInputMessage="1" showErrorMessage="1" errorTitle="DDR2 Clock Frequency" error="Max: 333 MHz_x000a_Min: 200 MHz" sqref="C39 C75 C78">
      <formula1>#REF!</formula1>
      <formula2>#REF!</formula2>
    </dataValidation>
    <dataValidation type="list" allowBlank="1" showInputMessage="1" showErrorMessage="1" prompt="Select between Power and Current." sqref="E3">
      <formula1>unit_list</formula1>
    </dataValidation>
    <dataValidation type="list" allowBlank="1" showInputMessage="1" showErrorMessage="1" errorTitle="Status" error="The Status must be set to 'Enabled' or 'Disabled'" promptTitle="DDR3 Enable" prompt="This control enables or disables DDR PHYs." sqref="B25:B26">
      <formula1>Status</formula1>
    </dataValidation>
    <dataValidation type="decimal" allowBlank="1" showInputMessage="1" showErrorMessage="1" errorTitle="CPU Frequency (MHz)" error="Max Frequency: 1250 MHz_x000a_Min Frequency: 800 MHz" promptTitle="CPU Frequency (MHz)" prompt="Operating Conditions:_x000a_Max: 1400 MHz_x000a_Min: 800 MHz_x000a_PLL Bypass Conditions:_x000a_Min: 50 MHz" sqref="C16">
      <formula1>50</formula1>
      <formula2>1400</formula2>
    </dataValidation>
  </dataValidations>
  <hyperlinks>
    <hyperlink ref="G3" r:id="rId1" display="http://www.ti.com/lit/pdf/SPRABI5 "/>
    <hyperlink ref="G3:H3" r:id="rId2" display="Keystone-II Power Consumption SUmmary (INTERNAL ONLY)"/>
    <hyperlink ref="G3:N3" r:id="rId3" display="Keystone-II Power Consumption Summary"/>
  </hyperlinks>
  <pageMargins left="0.25" right="0.25" top="0.25" bottom="0.25" header="0.5" footer="0.5"/>
  <pageSetup scale="55" fitToHeight="2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XDI548"/>
  <sheetViews>
    <sheetView topLeftCell="AA1" zoomScale="90" zoomScaleNormal="90" workbookViewId="0">
      <selection activeCell="AA1" sqref="AA1"/>
    </sheetView>
  </sheetViews>
  <sheetFormatPr defaultRowHeight="12.75" x14ac:dyDescent="0.2"/>
  <cols>
    <col min="1" max="1" width="30.85546875" style="90" hidden="1" customWidth="1"/>
    <col min="2" max="2" width="24.5703125" style="90" hidden="1" customWidth="1"/>
    <col min="3" max="3" width="0" style="90" hidden="1" customWidth="1"/>
    <col min="4" max="4" width="31" style="90" hidden="1" customWidth="1"/>
    <col min="5" max="5" width="16.5703125" style="90" hidden="1" customWidth="1"/>
    <col min="6" max="6" width="17.7109375" style="90" hidden="1" customWidth="1"/>
    <col min="7" max="7" width="16.5703125" style="90" hidden="1" customWidth="1"/>
    <col min="8" max="8" width="17.7109375" style="90" hidden="1" customWidth="1"/>
    <col min="9" max="9" width="0" style="90" hidden="1" customWidth="1"/>
    <col min="10" max="10" width="10.5703125" style="90" hidden="1" customWidth="1"/>
    <col min="11" max="11" width="16.5703125" style="90" hidden="1" customWidth="1"/>
    <col min="12" max="12" width="21" style="90" hidden="1" customWidth="1"/>
    <col min="13" max="13" width="11.28515625" style="90" hidden="1" customWidth="1"/>
    <col min="14" max="19" width="10.7109375" style="90" hidden="1" customWidth="1"/>
    <col min="20" max="20" width="11.5703125" style="90" hidden="1" customWidth="1"/>
    <col min="21" max="21" width="12.7109375" style="90" hidden="1" customWidth="1"/>
    <col min="22" max="26" width="0" style="90" hidden="1" customWidth="1"/>
    <col min="27" max="16384" width="9.140625" style="90"/>
  </cols>
  <sheetData>
    <row r="1" spans="1:26" ht="23.25" customHeight="1" x14ac:dyDescent="0.2">
      <c r="A1" s="190" t="s">
        <v>411</v>
      </c>
      <c r="B1" s="190" t="s">
        <v>443</v>
      </c>
      <c r="M1" s="9" t="str">
        <f>IF(var="Power","CVDD (mW)","CVDD (mA)")</f>
        <v>CVDD (mA)</v>
      </c>
      <c r="N1" s="9" t="str">
        <f>IF(var="Power","CVDD1 (mW)","CVDD1 (mA)")</f>
        <v>CVDD1 (mA)</v>
      </c>
      <c r="O1" s="9" t="str">
        <f>IF(var="Power","DVDD15 (mW)", "DVDD15 (mA)")</f>
        <v>DVDD15 (mA)</v>
      </c>
      <c r="P1" s="9" t="str">
        <f>IF(var="Power","DVDD18 (mW)", "DVDD18 (mA)")</f>
        <v>DVDD18 (mA)</v>
      </c>
      <c r="Q1" s="9" t="str">
        <f>IF(var="Power","DVDD33 (mW)", "DVDD33 (mA)")</f>
        <v>DVDD33 (mA)</v>
      </c>
      <c r="R1" s="9" t="str">
        <f>IF(var="Power","VDDAHV (mW)", "VDDAHV (mA)")</f>
        <v>VDDAHV (mA)</v>
      </c>
      <c r="S1" s="9" t="str">
        <f>IF(var="Power","VDDALH (mW)", "VDDALH (mA)")</f>
        <v>VDDALH (mA)</v>
      </c>
    </row>
    <row r="2" spans="1:26" s="92" customFormat="1" ht="18" customHeight="1" x14ac:dyDescent="0.25">
      <c r="A2" s="192" t="s">
        <v>170</v>
      </c>
      <c r="B2" s="191" t="str">
        <f>RIGHT(Device_Var,3)</f>
        <v>H14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2</v>
      </c>
      <c r="H2" s="67" t="s">
        <v>449</v>
      </c>
      <c r="I2" s="3"/>
      <c r="J2" s="3"/>
      <c r="K2" s="3"/>
      <c r="L2" s="11"/>
      <c r="M2" s="12" t="s">
        <v>11</v>
      </c>
      <c r="N2" s="12" t="s">
        <v>11</v>
      </c>
      <c r="O2" s="12" t="s">
        <v>11</v>
      </c>
      <c r="P2" s="12" t="s">
        <v>11</v>
      </c>
      <c r="Q2" s="100" t="s">
        <v>11</v>
      </c>
      <c r="R2" s="100" t="s">
        <v>11</v>
      </c>
      <c r="S2" s="100" t="s">
        <v>11</v>
      </c>
      <c r="T2" s="12"/>
      <c r="U2" s="4"/>
      <c r="V2" s="4"/>
      <c r="W2" s="4"/>
      <c r="X2" s="7"/>
      <c r="Y2" s="7"/>
      <c r="Z2" s="13"/>
    </row>
    <row r="3" spans="1:26" s="92" customFormat="1" ht="15.75" customHeight="1" x14ac:dyDescent="0.25">
      <c r="A3" s="192" t="s">
        <v>169</v>
      </c>
      <c r="B3" s="3"/>
      <c r="C3" s="3">
        <v>0</v>
      </c>
      <c r="D3" s="3">
        <v>800</v>
      </c>
      <c r="E3" s="14">
        <v>0.85</v>
      </c>
      <c r="F3" s="3">
        <v>1</v>
      </c>
      <c r="G3" s="3" t="s">
        <v>5</v>
      </c>
      <c r="H3" s="363" t="s">
        <v>450</v>
      </c>
      <c r="I3" s="3"/>
      <c r="J3" s="3"/>
      <c r="K3" s="3"/>
      <c r="L3" s="11"/>
      <c r="M3" s="12">
        <f>IF(var="Power",1,INDEX(E3:E4,var_select))</f>
        <v>0.85</v>
      </c>
      <c r="N3" s="12">
        <f>IF(var="Power",1,0.95)</f>
        <v>0.95</v>
      </c>
      <c r="O3" s="12">
        <f>IF(var="Power",1,1.5)</f>
        <v>1.5</v>
      </c>
      <c r="P3" s="12">
        <f>IF(var="Power",1,1.8)</f>
        <v>1.8</v>
      </c>
      <c r="Q3" s="12">
        <f>IF(var="Power",1,3.3)</f>
        <v>3.3</v>
      </c>
      <c r="R3" s="12">
        <f>IF(var="Power",1,1.8)</f>
        <v>1.8</v>
      </c>
      <c r="S3" s="12">
        <f>IF(var="Power",1,0.85)</f>
        <v>0.85</v>
      </c>
      <c r="T3" s="12"/>
      <c r="U3" s="4"/>
      <c r="V3" s="4"/>
      <c r="W3" s="4"/>
      <c r="X3" s="7"/>
      <c r="Y3" s="7"/>
      <c r="Z3" s="13"/>
    </row>
    <row r="4" spans="1:26" s="92" customFormat="1" ht="15.75" customHeight="1" x14ac:dyDescent="0.25">
      <c r="A4" s="192" t="s">
        <v>443</v>
      </c>
      <c r="B4" s="3"/>
      <c r="C4" s="3">
        <v>100</v>
      </c>
      <c r="D4" s="3">
        <v>900</v>
      </c>
      <c r="E4" s="14">
        <v>0.9</v>
      </c>
      <c r="F4" s="96" t="s">
        <v>167</v>
      </c>
      <c r="G4" s="3" t="s">
        <v>12</v>
      </c>
      <c r="H4" s="364">
        <v>2</v>
      </c>
      <c r="I4" s="3"/>
      <c r="J4" s="3"/>
      <c r="K4" s="3"/>
      <c r="L4" s="11" t="s">
        <v>13</v>
      </c>
      <c r="M4" s="12">
        <f>E13/mW_mA_sel_cvdd</f>
        <v>8869.5521160156513</v>
      </c>
      <c r="N4" s="12">
        <f>F13/mW_mA_sel_cvdd1</f>
        <v>2360.9028491088757</v>
      </c>
      <c r="O4" s="12">
        <f>G13/mW_mA_sel_dvdd15</f>
        <v>0</v>
      </c>
      <c r="P4" s="12">
        <f>(H13+J13)/mW_mA_sel_dvdd18</f>
        <v>0</v>
      </c>
      <c r="Q4" s="12">
        <f>K13/mW_mA_sel_dvdd33</f>
        <v>0</v>
      </c>
      <c r="R4" s="12">
        <f>L13/mW_mA_sel_vddahv</f>
        <v>0</v>
      </c>
      <c r="S4" s="12">
        <f>M13/mW_mA_sel_vddalh</f>
        <v>0</v>
      </c>
      <c r="T4" s="15">
        <f>SUM(M4:S4)</f>
        <v>11230.454965124527</v>
      </c>
      <c r="U4" s="4"/>
      <c r="V4" s="7"/>
      <c r="W4" s="7"/>
      <c r="X4" s="7"/>
      <c r="Y4" s="7"/>
      <c r="Z4" s="13"/>
    </row>
    <row r="5" spans="1:26" s="92" customFormat="1" ht="12.75" customHeight="1" x14ac:dyDescent="0.25">
      <c r="A5" s="192" t="s">
        <v>444</v>
      </c>
      <c r="B5" s="3"/>
      <c r="C5" s="3">
        <v>25</v>
      </c>
      <c r="D5" s="3">
        <v>1200</v>
      </c>
      <c r="E5" s="3">
        <v>1</v>
      </c>
      <c r="F5" s="96">
        <v>1</v>
      </c>
      <c r="G5" s="3"/>
      <c r="H5" s="3"/>
      <c r="I5" s="3"/>
      <c r="J5" s="3"/>
      <c r="K5" s="3"/>
      <c r="L5" s="11"/>
      <c r="M5" s="12"/>
      <c r="N5" s="12"/>
      <c r="O5" s="12"/>
      <c r="P5" s="12"/>
      <c r="Q5" s="12"/>
      <c r="R5" s="12"/>
      <c r="S5" s="12"/>
      <c r="T5" s="12"/>
      <c r="U5" s="4"/>
      <c r="V5" s="4"/>
      <c r="W5" s="4"/>
      <c r="X5" s="7"/>
      <c r="Y5" s="7"/>
      <c r="Z5" s="13"/>
    </row>
    <row r="6" spans="1:26" s="92" customFormat="1" ht="18.75" customHeight="1" x14ac:dyDescent="0.2">
      <c r="A6" s="98"/>
      <c r="B6" s="16"/>
      <c r="C6" s="16"/>
      <c r="D6" s="16"/>
      <c r="E6" s="16">
        <v>1</v>
      </c>
      <c r="F6" s="16"/>
      <c r="G6" s="16"/>
      <c r="H6" s="16"/>
      <c r="I6" s="16"/>
      <c r="J6" s="16"/>
      <c r="K6" s="16"/>
      <c r="L6" s="286" t="s">
        <v>420</v>
      </c>
      <c r="M6" s="12">
        <f>E65/mW_mA_sel_cvdd</f>
        <v>1614.6602455951941</v>
      </c>
      <c r="N6" s="12">
        <f>F65/mW_mA_sel_cvdd1</f>
        <v>21.583698148350859</v>
      </c>
      <c r="O6" s="12">
        <f>G65/mW_mA_sel_dvdd15</f>
        <v>242.67944669555598</v>
      </c>
      <c r="P6" s="12">
        <f>(H65+J65)/mW_mA_sel_dvdd18</f>
        <v>384.05909647821539</v>
      </c>
      <c r="Q6" s="12">
        <f>I65/mW_mA_sel_dvdd33</f>
        <v>0</v>
      </c>
      <c r="R6" s="12"/>
      <c r="S6" s="12">
        <f>K65/mW_mA_sel_vddalh</f>
        <v>0</v>
      </c>
      <c r="T6" s="15">
        <f>SUM(M6:S6)</f>
        <v>2262.9824869173162</v>
      </c>
      <c r="U6" s="4"/>
      <c r="V6" s="4"/>
      <c r="W6" s="4"/>
      <c r="X6" s="7"/>
      <c r="Y6" s="7"/>
      <c r="Z6" s="13"/>
    </row>
    <row r="7" spans="1:26" s="92" customFormat="1" ht="12.75" customHeight="1" x14ac:dyDescent="0.2">
      <c r="A7" s="59" t="s">
        <v>446</v>
      </c>
      <c r="B7" s="350" t="b">
        <f>NOT(OR('Calculation sheet'!B2="H12",'Calculation sheet'!B2="H06"))</f>
        <v>1</v>
      </c>
      <c r="C7" s="17"/>
      <c r="D7" s="17"/>
      <c r="E7" s="17"/>
      <c r="F7" s="18"/>
      <c r="G7" s="18"/>
      <c r="H7" s="16"/>
      <c r="I7" s="16"/>
      <c r="J7" s="16"/>
      <c r="K7" s="16"/>
      <c r="L7" s="11"/>
      <c r="M7" s="12"/>
      <c r="N7" s="12"/>
      <c r="O7" s="12"/>
      <c r="P7" s="12"/>
      <c r="Q7" s="12"/>
      <c r="R7" s="12"/>
      <c r="S7" s="12"/>
      <c r="T7" s="12"/>
      <c r="U7" s="4"/>
      <c r="V7" s="4"/>
      <c r="W7" s="4"/>
      <c r="X7" s="7"/>
      <c r="Y7" s="7"/>
      <c r="Z7" s="13"/>
    </row>
    <row r="8" spans="1:26" s="92" customFormat="1" ht="25.5" customHeight="1" x14ac:dyDescent="0.2">
      <c r="A8" s="359" t="s">
        <v>447</v>
      </c>
      <c r="B8" s="18" t="b">
        <f>IF(B2="H06",TRUE)</f>
        <v>0</v>
      </c>
      <c r="C8" s="18"/>
      <c r="D8" s="18"/>
      <c r="E8" s="18"/>
      <c r="F8" s="18"/>
      <c r="G8" s="18"/>
      <c r="H8" s="18"/>
      <c r="I8" s="18"/>
      <c r="J8" s="18"/>
      <c r="K8" s="18"/>
      <c r="L8" s="19" t="s">
        <v>421</v>
      </c>
      <c r="M8" s="15">
        <f>SUM(M4,M6)</f>
        <v>10484.212361610846</v>
      </c>
      <c r="N8" s="15">
        <f>SUM(N4,N6)</f>
        <v>2382.4865472572264</v>
      </c>
      <c r="O8" s="15">
        <f>SUM(O4,O6)</f>
        <v>242.67944669555598</v>
      </c>
      <c r="P8" s="15">
        <f>SUM(P4,P6)</f>
        <v>384.05909647821539</v>
      </c>
      <c r="Q8" s="15">
        <f>SUM(Q4,Q6)</f>
        <v>0</v>
      </c>
      <c r="R8" s="15"/>
      <c r="S8" s="15">
        <f>SUM(S4,S6)</f>
        <v>0</v>
      </c>
      <c r="T8" s="15">
        <f>SUM(M8:S8)</f>
        <v>13493.437452041842</v>
      </c>
      <c r="U8" s="4"/>
      <c r="V8" s="4"/>
      <c r="W8" s="4"/>
      <c r="X8" s="7"/>
      <c r="Y8" s="7"/>
      <c r="Z8" s="13"/>
    </row>
    <row r="9" spans="1:26" s="92" customFormat="1" ht="12.75" customHeight="1" x14ac:dyDescent="0.2">
      <c r="A9" s="17"/>
      <c r="B9" s="59"/>
      <c r="D9" s="226"/>
      <c r="E9" s="20" t="s">
        <v>15</v>
      </c>
      <c r="F9" s="20" t="s">
        <v>16</v>
      </c>
      <c r="G9" s="20" t="s">
        <v>17</v>
      </c>
      <c r="H9" s="20" t="s">
        <v>18</v>
      </c>
      <c r="I9" s="55" t="s">
        <v>174</v>
      </c>
      <c r="J9" s="55" t="s">
        <v>292</v>
      </c>
      <c r="K9" s="55" t="s">
        <v>293</v>
      </c>
      <c r="L9" s="21"/>
      <c r="M9" s="21"/>
      <c r="N9" s="21"/>
      <c r="O9" s="21"/>
      <c r="P9" s="21"/>
      <c r="Q9" s="21"/>
      <c r="R9" s="21"/>
      <c r="S9" s="21"/>
      <c r="T9" s="21"/>
      <c r="U9" s="4"/>
      <c r="V9" s="4"/>
      <c r="W9" s="4"/>
      <c r="X9" s="4"/>
      <c r="Y9" s="7"/>
      <c r="Z9" s="7"/>
    </row>
    <row r="10" spans="1:26" s="92" customFormat="1" ht="12.75" customHeight="1" thickBot="1" x14ac:dyDescent="0.25">
      <c r="A10" s="16" t="s">
        <v>19</v>
      </c>
      <c r="B10" s="22"/>
      <c r="E10" s="32">
        <f>E13+E67</f>
        <v>11721.789849062057</v>
      </c>
      <c r="F10" s="32">
        <f>F13+F67</f>
        <v>2273.1324568588234</v>
      </c>
      <c r="G10" s="32">
        <f>G13+G67</f>
        <v>694.68807337224393</v>
      </c>
      <c r="H10" s="32">
        <f>H13+H67</f>
        <v>691.3063736607877</v>
      </c>
      <c r="K10" s="90"/>
      <c r="L10" s="19" t="s">
        <v>422</v>
      </c>
      <c r="M10" s="15">
        <f>SUM('66AK2H14'!H6:'66AK2H14'!H77)</f>
        <v>16413.685156469175</v>
      </c>
      <c r="N10" s="15">
        <f>SUM('66AK2H14'!I6:'66AK2H14'!I77)</f>
        <v>442.30442377980182</v>
      </c>
      <c r="O10" s="15">
        <f>SUM('66AK2H14'!J6:'66AK2H14'!J77)</f>
        <v>735.75802781867196</v>
      </c>
      <c r="P10" s="15">
        <f>SUM('66AK2H14'!K6:'66AK2H14'!K77)</f>
        <v>683.53049999999996</v>
      </c>
      <c r="Q10" s="15">
        <f>SUM('66AK2H14'!L6:'66AK2H14'!L77)</f>
        <v>0.90909090909090917</v>
      </c>
      <c r="R10" s="15"/>
      <c r="S10" s="15">
        <f>SUM('66AK2H14'!M6:'66AK2H14'!M77)</f>
        <v>1225.180823529412</v>
      </c>
      <c r="T10" s="15">
        <f>SUM(M10:S10)</f>
        <v>19501.368022506154</v>
      </c>
      <c r="U10" s="4"/>
      <c r="V10" s="4"/>
      <c r="W10" s="4"/>
      <c r="X10" s="4"/>
      <c r="Y10" s="4"/>
      <c r="Z10" s="4"/>
    </row>
    <row r="11" spans="1:26" s="92" customFormat="1" ht="12.75" customHeight="1" thickBot="1" x14ac:dyDescent="0.25">
      <c r="A11" s="174" t="s">
        <v>296</v>
      </c>
      <c r="B11" s="174">
        <v>11.082000000000001</v>
      </c>
      <c r="E11" s="33"/>
      <c r="F11" s="33"/>
      <c r="G11" s="33"/>
      <c r="H11" s="33"/>
      <c r="K11" s="90"/>
      <c r="L11" s="286" t="s">
        <v>423</v>
      </c>
      <c r="M11" s="23"/>
      <c r="N11" s="23"/>
      <c r="O11" s="23"/>
      <c r="P11" s="23"/>
      <c r="Q11" s="23"/>
      <c r="R11" s="23"/>
      <c r="S11" s="23"/>
      <c r="T11" s="23"/>
      <c r="U11" s="4"/>
      <c r="V11" s="4"/>
      <c r="W11" s="4"/>
      <c r="X11" s="4"/>
      <c r="Y11" s="4"/>
      <c r="Z11" s="4"/>
    </row>
    <row r="12" spans="1:26" s="92" customFormat="1" ht="12.75" customHeight="1" thickBot="1" x14ac:dyDescent="0.25">
      <c r="A12" s="174" t="s">
        <v>297</v>
      </c>
      <c r="B12" s="174">
        <v>3.3239999999999998</v>
      </c>
      <c r="E12" s="20" t="s">
        <v>15</v>
      </c>
      <c r="F12" s="20" t="s">
        <v>16</v>
      </c>
      <c r="G12" s="20" t="s">
        <v>17</v>
      </c>
      <c r="H12" s="20" t="s">
        <v>18</v>
      </c>
      <c r="I12" s="55" t="s">
        <v>174</v>
      </c>
      <c r="J12" s="55" t="s">
        <v>292</v>
      </c>
      <c r="K12" s="55" t="s">
        <v>293</v>
      </c>
      <c r="L12" s="201" t="s">
        <v>412</v>
      </c>
      <c r="M12" s="12">
        <f>SUM(M4,M6,M10)</f>
        <v>26897.897518080019</v>
      </c>
      <c r="N12" s="12">
        <f>SUM(N4,N6,N10)</f>
        <v>2824.7909710370282</v>
      </c>
      <c r="O12" s="12">
        <f>SUM(O4,O6,O10)</f>
        <v>978.43747451422792</v>
      </c>
      <c r="P12" s="12">
        <f>SUM(P4,P6,P10)</f>
        <v>1067.5895964782153</v>
      </c>
      <c r="Q12" s="12">
        <f>SUM(Q4,Q6,Q10)</f>
        <v>0.90909090909090917</v>
      </c>
      <c r="R12" s="12"/>
      <c r="S12" s="12">
        <f>SUM(S4,S6,S10)</f>
        <v>1225.180823529412</v>
      </c>
      <c r="T12" s="12">
        <f>SUM(T4,T6,T10)</f>
        <v>32994.805474547997</v>
      </c>
      <c r="U12" s="4"/>
      <c r="V12" s="4"/>
      <c r="W12" s="4"/>
      <c r="X12" s="4"/>
      <c r="Y12" s="4"/>
      <c r="Z12" s="4"/>
    </row>
    <row r="13" spans="1:26" s="92" customFormat="1" ht="12.75" customHeight="1" x14ac:dyDescent="0.2">
      <c r="A13" s="18" t="s">
        <v>20</v>
      </c>
      <c r="E13" s="26">
        <f>(E14+E18)-num_dis_ARM_cores*B62*E52</f>
        <v>7539.1192986133028</v>
      </c>
      <c r="F13" s="26">
        <f>(F14+F18)-num_dis_ARM_cores*C62*F52</f>
        <v>2242.8577066534317</v>
      </c>
      <c r="G13" s="26">
        <f t="shared" ref="G13:K13" si="0">(G14+G18)</f>
        <v>0</v>
      </c>
      <c r="H13" s="26">
        <f t="shared" si="0"/>
        <v>0</v>
      </c>
      <c r="I13" s="184">
        <f t="shared" si="0"/>
        <v>37.632315128423905</v>
      </c>
      <c r="J13" s="184">
        <f t="shared" si="0"/>
        <v>0</v>
      </c>
      <c r="K13" s="185">
        <f t="shared" si="0"/>
        <v>0</v>
      </c>
      <c r="L13" s="11"/>
      <c r="M13" s="12"/>
      <c r="N13" s="12"/>
      <c r="O13" s="12"/>
      <c r="P13" s="12"/>
      <c r="Q13" s="12"/>
      <c r="R13" s="12"/>
      <c r="S13" s="12"/>
      <c r="T13" s="12"/>
      <c r="U13" s="4"/>
      <c r="V13" s="4"/>
      <c r="W13" s="4"/>
      <c r="X13" s="4"/>
      <c r="Y13" s="4"/>
      <c r="Z13" s="4"/>
    </row>
    <row r="14" spans="1:26" s="92" customFormat="1" ht="12.75" customHeight="1" x14ac:dyDescent="0.2">
      <c r="A14" s="17" t="s">
        <v>294</v>
      </c>
      <c r="B14" s="65">
        <f>1-B53</f>
        <v>0.31477922198034358</v>
      </c>
      <c r="C14" s="65">
        <f>1-C53</f>
        <v>0.39383111215924005</v>
      </c>
      <c r="E14" s="141">
        <f>B14*E19</f>
        <v>3156.4197726630659</v>
      </c>
      <c r="F14" s="141">
        <f>C14*F19</f>
        <v>1121.1284986044429</v>
      </c>
      <c r="G14" s="141">
        <v>0</v>
      </c>
      <c r="H14" s="141">
        <v>0</v>
      </c>
      <c r="I14" s="227">
        <v>37.632315128423905</v>
      </c>
      <c r="J14" s="228">
        <v>0</v>
      </c>
      <c r="K14" s="227">
        <v>0</v>
      </c>
      <c r="L14" s="201" t="s">
        <v>413</v>
      </c>
      <c r="M14" s="12">
        <f>SUM(M6,M10)</f>
        <v>18028.345402064369</v>
      </c>
      <c r="N14" s="12">
        <f t="shared" ref="N14:Q14" si="1">SUM(N6,N10)</f>
        <v>463.88812192815266</v>
      </c>
      <c r="O14" s="12">
        <f t="shared" si="1"/>
        <v>978.43747451422792</v>
      </c>
      <c r="P14" s="12">
        <f t="shared" si="1"/>
        <v>1067.5895964782153</v>
      </c>
      <c r="Q14" s="12">
        <f t="shared" si="1"/>
        <v>0.90909090909090917</v>
      </c>
      <c r="R14" s="12"/>
      <c r="S14" s="12">
        <f>SUM(S6,S10)</f>
        <v>1225.180823529412</v>
      </c>
      <c r="T14" s="12">
        <f>SUM(T6,T10)</f>
        <v>21764.350509423472</v>
      </c>
      <c r="U14" s="24"/>
      <c r="V14" s="4"/>
      <c r="W14" s="4"/>
      <c r="X14" s="4"/>
      <c r="Y14" s="4"/>
      <c r="Z14" s="4"/>
    </row>
    <row r="15" spans="1:26" s="92" customFormat="1" x14ac:dyDescent="0.2">
      <c r="A15" s="18"/>
      <c r="B15" s="90" t="s">
        <v>15</v>
      </c>
      <c r="C15" s="90" t="s">
        <v>16</v>
      </c>
      <c r="E15" s="26"/>
      <c r="F15" s="26"/>
      <c r="G15" s="180"/>
      <c r="H15" s="180"/>
      <c r="K15" s="90"/>
      <c r="L15" s="11"/>
      <c r="M15" s="23"/>
      <c r="N15" s="23"/>
      <c r="O15" s="23"/>
      <c r="P15" s="23"/>
      <c r="Q15" s="23"/>
      <c r="R15" s="23"/>
      <c r="S15" s="23"/>
      <c r="T15" s="12"/>
      <c r="U15" s="4"/>
      <c r="V15" s="4"/>
      <c r="W15" s="4"/>
      <c r="X15" s="4"/>
      <c r="Y15" s="4"/>
      <c r="Z15" s="4"/>
    </row>
    <row r="16" spans="1:26" s="92" customFormat="1" ht="12.75" customHeight="1" x14ac:dyDescent="0.2">
      <c r="A16" s="16" t="s">
        <v>21</v>
      </c>
      <c r="B16" s="16"/>
      <c r="E16" s="16"/>
      <c r="F16" s="16"/>
      <c r="G16" s="16"/>
      <c r="H16" s="16"/>
      <c r="K16" s="90"/>
      <c r="L16" s="11"/>
      <c r="M16" s="23"/>
      <c r="N16" s="23"/>
      <c r="O16" s="23"/>
      <c r="P16" s="23"/>
      <c r="Q16" s="23"/>
      <c r="R16" s="23"/>
      <c r="S16" s="23"/>
      <c r="T16" s="12"/>
      <c r="U16" s="24"/>
      <c r="V16" s="4"/>
      <c r="W16" s="4"/>
      <c r="X16" s="4"/>
      <c r="Y16" s="4"/>
      <c r="Z16" s="4"/>
    </row>
    <row r="17" spans="1:26" s="92" customFormat="1" ht="12.75" customHeight="1" x14ac:dyDescent="0.2">
      <c r="A17" s="25"/>
      <c r="B17" s="18"/>
      <c r="E17" s="140" t="s">
        <v>15</v>
      </c>
      <c r="F17" s="140" t="s">
        <v>16</v>
      </c>
      <c r="G17" s="140" t="s">
        <v>17</v>
      </c>
      <c r="H17" s="140" t="s">
        <v>18</v>
      </c>
      <c r="I17" s="140" t="s">
        <v>174</v>
      </c>
      <c r="J17" s="140" t="s">
        <v>292</v>
      </c>
      <c r="K17" s="140" t="s">
        <v>293</v>
      </c>
      <c r="L17" s="11"/>
      <c r="M17" s="23"/>
      <c r="N17" s="23"/>
      <c r="O17" s="23"/>
      <c r="P17" s="23"/>
      <c r="Q17" s="23"/>
      <c r="R17" s="23"/>
      <c r="S17" s="23"/>
      <c r="T17" s="23"/>
      <c r="U17" s="4"/>
      <c r="V17" s="4"/>
      <c r="W17" s="4"/>
      <c r="X17" s="4"/>
      <c r="Y17" s="4"/>
      <c r="Z17" s="4"/>
    </row>
    <row r="18" spans="1:26" s="92" customFormat="1" ht="12.75" customHeight="1" x14ac:dyDescent="0.2">
      <c r="B18" s="18"/>
      <c r="D18" s="143" t="s">
        <v>22</v>
      </c>
      <c r="E18" s="111">
        <f>SUM(E22:E52)</f>
        <v>4382.6995259502373</v>
      </c>
      <c r="F18" s="111">
        <f>SUM(F22:F52)</f>
        <v>1121.7292080489888</v>
      </c>
      <c r="G18" s="111">
        <f>SUM(G22:G52)</f>
        <v>0</v>
      </c>
      <c r="H18" s="111">
        <f>SUM(H22:H52)</f>
        <v>0</v>
      </c>
      <c r="I18" s="111"/>
      <c r="J18" s="111"/>
      <c r="K18" s="111"/>
      <c r="L18" s="11"/>
      <c r="M18" s="23"/>
      <c r="N18" s="23"/>
      <c r="O18" s="23"/>
      <c r="P18" s="23"/>
      <c r="Q18" s="23"/>
      <c r="R18" s="23"/>
      <c r="S18" s="23"/>
      <c r="T18" s="23"/>
      <c r="U18" s="4"/>
      <c r="V18" s="4"/>
      <c r="W18" s="4"/>
      <c r="X18" s="4"/>
      <c r="Y18" s="4"/>
      <c r="Z18" s="4"/>
    </row>
    <row r="19" spans="1:26" s="92" customFormat="1" x14ac:dyDescent="0.2">
      <c r="B19" s="90"/>
      <c r="D19" s="142" t="s">
        <v>295</v>
      </c>
      <c r="E19" s="111">
        <f>EXP((Tdut-100)*0.02)*CVDD_SF*1000</f>
        <v>10027.408266674503</v>
      </c>
      <c r="F19" s="111">
        <f>EXP((Tdut-100)*0.031)*CVDD1_SF*1000</f>
        <v>2846.7240499555314</v>
      </c>
      <c r="G19" s="111"/>
      <c r="H19" s="111"/>
      <c r="I19" s="111"/>
      <c r="J19" s="111"/>
      <c r="K19" s="111"/>
      <c r="L19" s="11"/>
      <c r="M19" s="23"/>
      <c r="N19" s="23"/>
      <c r="O19" s="23"/>
      <c r="P19" s="23"/>
      <c r="Q19" s="23"/>
      <c r="R19" s="23"/>
      <c r="S19" s="23"/>
      <c r="T19" s="23"/>
      <c r="U19" s="4"/>
      <c r="V19" s="4"/>
      <c r="W19" s="4"/>
      <c r="X19" s="4"/>
      <c r="Y19" s="4"/>
      <c r="Z19" s="4"/>
    </row>
    <row r="20" spans="1:26" s="92" customFormat="1" x14ac:dyDescent="0.2">
      <c r="A20" s="18"/>
      <c r="B20" s="90" t="s">
        <v>15</v>
      </c>
      <c r="C20" s="90" t="s">
        <v>16</v>
      </c>
      <c r="E20" s="111"/>
      <c r="F20" s="111"/>
      <c r="G20" s="111"/>
      <c r="H20" s="111"/>
      <c r="I20" s="111"/>
      <c r="J20" s="111"/>
      <c r="K20" s="111"/>
      <c r="L20" s="11"/>
      <c r="M20" s="12"/>
      <c r="N20" s="12"/>
      <c r="O20" s="12"/>
      <c r="P20" s="12"/>
      <c r="Q20" s="12"/>
      <c r="R20" s="12"/>
      <c r="S20" s="12"/>
      <c r="T20" s="12"/>
      <c r="U20" s="4"/>
      <c r="V20" s="4"/>
      <c r="W20" s="4"/>
      <c r="X20" s="4"/>
      <c r="Y20" s="4"/>
      <c r="Z20" s="4"/>
    </row>
    <row r="21" spans="1:26" s="92" customFormat="1" x14ac:dyDescent="0.2">
      <c r="A21" s="79" t="s">
        <v>23</v>
      </c>
      <c r="B21" s="90"/>
      <c r="E21" s="63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11"/>
      <c r="M21" s="12"/>
      <c r="N21" s="12"/>
      <c r="O21" s="12"/>
      <c r="P21" s="12"/>
      <c r="Q21" s="12"/>
      <c r="R21" s="12"/>
      <c r="S21" s="12"/>
      <c r="T21" s="12"/>
      <c r="U21" s="4"/>
      <c r="V21" s="4"/>
      <c r="W21" s="4"/>
      <c r="X21" s="4"/>
      <c r="Y21" s="4"/>
      <c r="Z21" s="4"/>
    </row>
    <row r="22" spans="1:26" s="92" customFormat="1" x14ac:dyDescent="0.2">
      <c r="A22" s="80" t="s">
        <v>135</v>
      </c>
      <c r="B22" s="90"/>
      <c r="C22" s="229"/>
      <c r="E22" s="63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11"/>
      <c r="M22" s="12"/>
      <c r="N22" s="12"/>
      <c r="O22" s="12"/>
      <c r="P22" s="12"/>
      <c r="Q22" s="12"/>
      <c r="R22" s="12"/>
      <c r="S22" s="12"/>
      <c r="T22" s="12"/>
      <c r="U22" s="4"/>
      <c r="V22" s="4"/>
      <c r="W22" s="4"/>
      <c r="X22" s="4"/>
      <c r="Y22" s="4"/>
      <c r="Z22" s="4"/>
    </row>
    <row r="23" spans="1:26" s="92" customFormat="1" x14ac:dyDescent="0.2">
      <c r="A23" s="80" t="s">
        <v>136</v>
      </c>
      <c r="B23" s="229">
        <v>3.5615504124155366E-2</v>
      </c>
      <c r="C23" s="229">
        <v>3.9012502501078787E-2</v>
      </c>
      <c r="E23" s="63">
        <f>IF(PASS_en="Enabled", PD_NETCP_LEAK_DVDD33_25*E$19,0)</f>
        <v>357.13120047633538</v>
      </c>
      <c r="F23" s="63">
        <f>IF(PASS_en="Enabled", C23*F19, 0)</f>
        <v>111.05782911877131</v>
      </c>
      <c r="G23" s="63">
        <v>0</v>
      </c>
      <c r="H23" s="63">
        <v>0</v>
      </c>
      <c r="I23" s="40">
        <v>0</v>
      </c>
      <c r="J23" s="40">
        <v>0</v>
      </c>
      <c r="K23" s="40">
        <v>0</v>
      </c>
      <c r="L23" s="11"/>
      <c r="M23" s="12"/>
      <c r="N23" s="12"/>
      <c r="O23" s="12"/>
      <c r="P23" s="12"/>
      <c r="Q23" s="12"/>
      <c r="R23" s="12"/>
      <c r="S23" s="12"/>
      <c r="T23" s="12"/>
      <c r="U23" s="4"/>
      <c r="V23" s="4"/>
      <c r="W23" s="4"/>
      <c r="X23" s="4"/>
      <c r="Y23" s="4"/>
      <c r="Z23" s="4"/>
    </row>
    <row r="24" spans="1:26" s="209" customFormat="1" x14ac:dyDescent="0.2">
      <c r="A24" s="80" t="s">
        <v>137</v>
      </c>
      <c r="B24" s="229">
        <v>7.1810224424195433E-3</v>
      </c>
      <c r="C24" s="229">
        <v>5.624065103005782E-3</v>
      </c>
      <c r="E24" s="63">
        <f>IF(PCIe_en="Enabled", PD_PCIE_LEAK_DVDD33_25*E19, 0)</f>
        <v>0</v>
      </c>
      <c r="F24" s="63">
        <f>IF(PCIe_en="Enabled", C24*F19, 0)</f>
        <v>0</v>
      </c>
      <c r="G24" s="63">
        <v>0</v>
      </c>
      <c r="H24" s="63">
        <v>0</v>
      </c>
      <c r="I24" s="40">
        <v>0</v>
      </c>
      <c r="J24" s="40">
        <v>0</v>
      </c>
      <c r="K24" s="40">
        <v>0</v>
      </c>
      <c r="L24" s="11"/>
      <c r="M24" s="12"/>
      <c r="N24" s="12"/>
      <c r="O24" s="12"/>
      <c r="P24" s="12"/>
      <c r="Q24" s="12"/>
      <c r="R24" s="12"/>
      <c r="S24" s="12"/>
      <c r="T24" s="12"/>
      <c r="U24" s="4"/>
      <c r="V24" s="4"/>
      <c r="W24" s="4"/>
      <c r="X24" s="4"/>
      <c r="Y24" s="4"/>
      <c r="Z24" s="4"/>
    </row>
    <row r="25" spans="1:26" s="209" customFormat="1" x14ac:dyDescent="0.2">
      <c r="A25" s="80" t="s">
        <v>138</v>
      </c>
      <c r="B25" s="229">
        <v>1.6398831404774702E-2</v>
      </c>
      <c r="C25" s="229">
        <v>1.151396456198458E-2</v>
      </c>
      <c r="E25" s="63">
        <f>IF(srio_en="Enabled", PD_SRIO_LEAK_DVDD33_25*E19, 0)</f>
        <v>164.43777759203931</v>
      </c>
      <c r="F25" s="63">
        <f>IF(srio_en="Enabled", C25*F19, 0)</f>
        <v>32.777079828937211</v>
      </c>
      <c r="G25" s="63">
        <v>0</v>
      </c>
      <c r="H25" s="63">
        <v>0</v>
      </c>
      <c r="I25" s="40">
        <v>0</v>
      </c>
      <c r="J25" s="40">
        <v>0</v>
      </c>
      <c r="K25" s="40">
        <v>0</v>
      </c>
      <c r="L25" s="11"/>
      <c r="M25" s="12"/>
      <c r="N25" s="12"/>
      <c r="O25" s="12"/>
      <c r="P25" s="12"/>
      <c r="Q25" s="12"/>
      <c r="R25" s="12"/>
      <c r="S25" s="12"/>
      <c r="T25" s="12"/>
      <c r="U25" s="4"/>
      <c r="V25" s="4"/>
      <c r="W25" s="4"/>
      <c r="X25" s="4"/>
      <c r="Y25" s="4"/>
      <c r="Z25" s="4"/>
    </row>
    <row r="26" spans="1:26" s="209" customFormat="1" x14ac:dyDescent="0.2">
      <c r="A26" s="80" t="s">
        <v>139</v>
      </c>
      <c r="B26" s="229">
        <v>5.4348046227543243E-3</v>
      </c>
      <c r="C26" s="229">
        <v>4.5832236212875925E-3</v>
      </c>
      <c r="E26" s="63">
        <f>IF(mcm_en="Enabled", PD_HYPERLINK0_LEAK_DVDD33_25*E19, 0)</f>
        <v>54.49700480196752</v>
      </c>
      <c r="F26" s="40">
        <f>IF(mcm_en="Enabled", C26*F19, 0)</f>
        <v>13.047172909043672</v>
      </c>
      <c r="G26" s="63">
        <v>0</v>
      </c>
      <c r="H26" s="63">
        <v>0</v>
      </c>
      <c r="I26" s="40">
        <v>0</v>
      </c>
      <c r="J26" s="40">
        <v>0</v>
      </c>
      <c r="K26" s="40">
        <v>0</v>
      </c>
      <c r="L26" s="11"/>
      <c r="M26" s="12"/>
      <c r="N26" s="12"/>
      <c r="O26" s="12"/>
      <c r="P26" s="12"/>
      <c r="Q26" s="12"/>
      <c r="R26" s="12"/>
      <c r="S26" s="12"/>
      <c r="T26" s="12"/>
      <c r="U26" s="4"/>
      <c r="V26" s="4"/>
      <c r="W26" s="4"/>
      <c r="X26" s="4"/>
      <c r="Y26" s="4"/>
      <c r="Z26" s="4"/>
    </row>
    <row r="27" spans="1:26" s="209" customFormat="1" x14ac:dyDescent="0.2">
      <c r="A27" s="81" t="s">
        <v>140</v>
      </c>
      <c r="B27" s="229">
        <v>8.0478378955530366E-3</v>
      </c>
      <c r="C27" s="229">
        <v>2.4388946802130335E-3</v>
      </c>
      <c r="E27" s="63">
        <f>B27*E19</f>
        <v>80.698956242724861</v>
      </c>
      <c r="F27" s="63">
        <f>C27*F19</f>
        <v>6.9428601414710478</v>
      </c>
      <c r="G27" s="63">
        <v>0</v>
      </c>
      <c r="H27" s="63">
        <v>0</v>
      </c>
      <c r="I27" s="40">
        <v>0</v>
      </c>
      <c r="J27" s="40">
        <v>0</v>
      </c>
      <c r="K27" s="40">
        <v>0</v>
      </c>
      <c r="L27" s="11"/>
      <c r="M27" s="12"/>
      <c r="N27" s="12"/>
      <c r="O27" s="12"/>
      <c r="P27" s="12"/>
      <c r="Q27" s="12"/>
      <c r="R27" s="12"/>
      <c r="S27" s="12"/>
      <c r="T27" s="12"/>
      <c r="U27" s="4"/>
      <c r="V27" s="4"/>
      <c r="W27" s="4"/>
      <c r="X27" s="4"/>
      <c r="Y27" s="4"/>
      <c r="Z27" s="4"/>
    </row>
    <row r="28" spans="1:26" s="209" customFormat="1" x14ac:dyDescent="0.2">
      <c r="A28" s="81" t="s">
        <v>141</v>
      </c>
      <c r="B28" s="90"/>
      <c r="C28" s="229"/>
      <c r="E28" s="63">
        <v>0</v>
      </c>
      <c r="F28" s="40">
        <v>0</v>
      </c>
      <c r="G28" s="63">
        <v>0</v>
      </c>
      <c r="H28" s="63">
        <v>0</v>
      </c>
      <c r="I28" s="40">
        <v>0</v>
      </c>
      <c r="J28" s="40">
        <v>0</v>
      </c>
      <c r="K28" s="40">
        <v>0</v>
      </c>
      <c r="L28" s="11"/>
      <c r="M28" s="12"/>
      <c r="N28" s="12"/>
      <c r="O28" s="12"/>
      <c r="P28" s="12"/>
      <c r="Q28" s="12"/>
      <c r="R28" s="12"/>
      <c r="S28" s="12"/>
      <c r="T28" s="12"/>
      <c r="U28" s="4"/>
      <c r="V28" s="4"/>
      <c r="W28" s="4"/>
      <c r="X28" s="4"/>
      <c r="Y28" s="4"/>
      <c r="Z28" s="4"/>
    </row>
    <row r="29" spans="1:26" s="209" customFormat="1" x14ac:dyDescent="0.2">
      <c r="A29" s="81" t="s">
        <v>142</v>
      </c>
      <c r="B29" s="229">
        <v>2.7639198195708255E-2</v>
      </c>
      <c r="C29" s="230">
        <v>2.0942687796142497E-2</v>
      </c>
      <c r="E29" s="63">
        <f>IF(core0_en=1,B29*E$19,0)</f>
        <v>277.14952447190001</v>
      </c>
      <c r="F29" s="63">
        <f>IF(core0_en=1,C29*F$19,0)</f>
        <v>59.618053019989055</v>
      </c>
      <c r="G29" s="63">
        <v>0</v>
      </c>
      <c r="H29" s="63">
        <v>0</v>
      </c>
      <c r="I29" s="40">
        <v>0</v>
      </c>
      <c r="J29" s="40">
        <v>0</v>
      </c>
      <c r="K29" s="40">
        <v>0</v>
      </c>
      <c r="L29" s="11"/>
      <c r="M29" s="12"/>
      <c r="N29" s="12"/>
      <c r="O29" s="12"/>
      <c r="P29" s="12"/>
      <c r="Q29" s="12"/>
      <c r="R29" s="12"/>
      <c r="S29" s="12"/>
      <c r="T29" s="12"/>
      <c r="U29" s="4"/>
      <c r="V29" s="4"/>
      <c r="W29" s="4"/>
      <c r="X29" s="4"/>
      <c r="Y29" s="4"/>
      <c r="Z29" s="4"/>
    </row>
    <row r="30" spans="1:26" s="209" customFormat="1" x14ac:dyDescent="0.2">
      <c r="A30" s="81" t="s">
        <v>143</v>
      </c>
      <c r="B30" s="229">
        <v>2.7639198195708255E-2</v>
      </c>
      <c r="C30" s="230">
        <v>2.0942687796142497E-2</v>
      </c>
      <c r="E30" s="63">
        <f>IF(core1_en=1,B30*E$19,0)</f>
        <v>277.14952447190001</v>
      </c>
      <c r="F30" s="63">
        <f>IF(core1_en=1,C30*F$19,0)</f>
        <v>59.618053019989055</v>
      </c>
      <c r="G30" s="63">
        <v>0</v>
      </c>
      <c r="H30" s="63">
        <v>0</v>
      </c>
      <c r="I30" s="40">
        <v>0</v>
      </c>
      <c r="J30" s="40">
        <v>0</v>
      </c>
      <c r="K30" s="40">
        <v>0</v>
      </c>
      <c r="L30" s="11"/>
      <c r="M30" s="12"/>
      <c r="N30" s="12"/>
      <c r="O30" s="12"/>
      <c r="P30" s="12"/>
      <c r="Q30" s="12"/>
      <c r="R30" s="12"/>
      <c r="S30" s="12"/>
      <c r="T30" s="12"/>
      <c r="U30" s="4"/>
      <c r="V30" s="4"/>
      <c r="W30" s="4"/>
      <c r="X30" s="4"/>
      <c r="Y30" s="4"/>
      <c r="Z30" s="4"/>
    </row>
    <row r="31" spans="1:26" s="209" customFormat="1" x14ac:dyDescent="0.2">
      <c r="A31" s="81" t="s">
        <v>144</v>
      </c>
      <c r="B31" s="229">
        <v>2.7639198195708255E-2</v>
      </c>
      <c r="C31" s="230">
        <v>2.0942687796142497E-2</v>
      </c>
      <c r="E31" s="63">
        <f>IF(core2_en=1,B31*E$19,0)</f>
        <v>277.14952447190001</v>
      </c>
      <c r="F31" s="63">
        <f>IF(core2_en=1,C31*F$19,0)</f>
        <v>59.618053019989055</v>
      </c>
      <c r="G31" s="63">
        <v>0</v>
      </c>
      <c r="H31" s="63">
        <v>0</v>
      </c>
      <c r="I31" s="40">
        <v>0</v>
      </c>
      <c r="J31" s="40">
        <v>0</v>
      </c>
      <c r="K31" s="40">
        <v>0</v>
      </c>
      <c r="L31" s="11"/>
      <c r="M31" s="12"/>
      <c r="N31" s="12"/>
      <c r="O31" s="12"/>
      <c r="P31" s="12"/>
      <c r="Q31" s="12"/>
      <c r="R31" s="12"/>
      <c r="S31" s="12"/>
      <c r="T31" s="12"/>
      <c r="U31" s="4"/>
      <c r="V31" s="4"/>
      <c r="W31" s="4"/>
      <c r="X31" s="4"/>
      <c r="Y31" s="4"/>
      <c r="Z31" s="4"/>
    </row>
    <row r="32" spans="1:26" s="209" customFormat="1" x14ac:dyDescent="0.2">
      <c r="A32" s="81" t="s">
        <v>145</v>
      </c>
      <c r="B32" s="229">
        <v>2.7639198195708255E-2</v>
      </c>
      <c r="C32" s="230">
        <v>2.0942687796142497E-2</v>
      </c>
      <c r="E32" s="63">
        <f>IF(core3_en=1,B32*E$19,0)</f>
        <v>277.14952447190001</v>
      </c>
      <c r="F32" s="63">
        <f>IF(core3_en=1,C32*F$19,0)</f>
        <v>59.618053019989055</v>
      </c>
      <c r="G32" s="63">
        <v>0</v>
      </c>
      <c r="H32" s="63">
        <v>0</v>
      </c>
      <c r="I32" s="40">
        <v>0</v>
      </c>
      <c r="J32" s="40">
        <v>0</v>
      </c>
      <c r="K32" s="40">
        <v>0</v>
      </c>
      <c r="L32" s="11"/>
      <c r="M32" s="12"/>
      <c r="N32" s="12"/>
      <c r="O32" s="12"/>
      <c r="P32" s="12"/>
      <c r="Q32" s="12"/>
      <c r="R32" s="12"/>
      <c r="S32" s="12"/>
      <c r="T32" s="12"/>
      <c r="U32" s="4"/>
      <c r="V32" s="4"/>
      <c r="W32" s="4"/>
      <c r="X32" s="4"/>
      <c r="Y32" s="4"/>
      <c r="Z32" s="4"/>
    </row>
    <row r="33" spans="1:26" s="209" customFormat="1" x14ac:dyDescent="0.2">
      <c r="A33" s="81" t="str">
        <f>IF(two_core_select=FALSE,"12 PD_CORE4","12 PD RESERVED")</f>
        <v>12 PD_CORE4</v>
      </c>
      <c r="B33" s="229">
        <v>2.7639198195708255E-2</v>
      </c>
      <c r="C33" s="230">
        <v>2.0942687796142497E-2</v>
      </c>
      <c r="E33" s="63">
        <f>IF(two_core_select=FALSE,IF(core4_en=1,B33*E$19,0),0)</f>
        <v>277.14952447190001</v>
      </c>
      <c r="F33" s="63">
        <f>IF(two_core_select=FALSE,IF(core4_en=1,C33*F$19,0),0)</f>
        <v>59.618053019989055</v>
      </c>
      <c r="G33" s="63">
        <v>0</v>
      </c>
      <c r="H33" s="63">
        <v>0</v>
      </c>
      <c r="I33" s="40">
        <v>0</v>
      </c>
      <c r="J33" s="40">
        <v>0</v>
      </c>
      <c r="K33" s="40">
        <v>0</v>
      </c>
      <c r="L33" s="11"/>
      <c r="M33" s="12"/>
      <c r="N33" s="12"/>
      <c r="O33" s="12"/>
      <c r="P33" s="12"/>
      <c r="Q33" s="12"/>
      <c r="R33" s="12"/>
      <c r="S33" s="12"/>
      <c r="T33" s="12"/>
      <c r="U33" s="4"/>
      <c r="V33" s="4"/>
      <c r="W33" s="4"/>
      <c r="X33" s="4"/>
      <c r="Y33" s="4"/>
      <c r="Z33" s="4"/>
    </row>
    <row r="34" spans="1:26" s="209" customFormat="1" x14ac:dyDescent="0.2">
      <c r="A34" s="81" t="str">
        <f>IF(two_core_select=FALSE,"13 PD_CORE5","13 PD RESERVED")</f>
        <v>13 PD_CORE5</v>
      </c>
      <c r="B34" s="229">
        <v>2.7639198195708255E-2</v>
      </c>
      <c r="C34" s="230">
        <v>2.0942687796142497E-2</v>
      </c>
      <c r="E34" s="63">
        <f>IF(two_core_select=FALSE,IF(core5_en=1,B34*E$19,0),0)</f>
        <v>277.14952447190001</v>
      </c>
      <c r="F34" s="63">
        <f>IF(two_core_select=FALSE,IF(core5_en=1,C34*F$19,0),0)</f>
        <v>59.618053019989055</v>
      </c>
      <c r="G34" s="63">
        <v>0</v>
      </c>
      <c r="H34" s="63">
        <v>0</v>
      </c>
      <c r="I34" s="40">
        <v>0</v>
      </c>
      <c r="J34" s="40">
        <v>0</v>
      </c>
      <c r="K34" s="40">
        <v>0</v>
      </c>
      <c r="L34" s="11"/>
      <c r="M34" s="12"/>
      <c r="N34" s="12"/>
      <c r="O34" s="12"/>
      <c r="P34" s="12"/>
      <c r="Q34" s="12"/>
      <c r="R34" s="12"/>
      <c r="S34" s="12"/>
      <c r="T34" s="12"/>
      <c r="U34" s="4"/>
      <c r="V34" s="4"/>
      <c r="W34" s="4"/>
      <c r="X34" s="4"/>
      <c r="Y34" s="4"/>
      <c r="Z34" s="4"/>
    </row>
    <row r="35" spans="1:26" s="209" customFormat="1" x14ac:dyDescent="0.2">
      <c r="A35" s="81" t="str">
        <f>IF(two_core_select=FALSE,"14 PD_CORE6","14 PD RESERVED")</f>
        <v>14 PD_CORE6</v>
      </c>
      <c r="B35" s="229">
        <v>2.7639198195708255E-2</v>
      </c>
      <c r="C35" s="230">
        <v>2.0942687796142497E-2</v>
      </c>
      <c r="E35" s="63">
        <f>IF(two_core_select=FALSE, IF(core6_en=1,B35*E$19,0),0)</f>
        <v>277.14952447190001</v>
      </c>
      <c r="F35" s="63">
        <f>IF(two_core_select=FALSE,IF(core6_en=1,C35*F$19,0),0)</f>
        <v>59.618053019989055</v>
      </c>
      <c r="G35" s="63">
        <v>0</v>
      </c>
      <c r="H35" s="63">
        <v>0</v>
      </c>
      <c r="I35" s="40">
        <v>0</v>
      </c>
      <c r="J35" s="40">
        <v>0</v>
      </c>
      <c r="K35" s="40">
        <v>0</v>
      </c>
      <c r="L35" s="11"/>
      <c r="M35" s="12"/>
      <c r="N35" s="12"/>
      <c r="O35" s="12"/>
      <c r="P35" s="12"/>
      <c r="Q35" s="12"/>
      <c r="R35" s="12"/>
      <c r="S35" s="12"/>
      <c r="T35" s="12"/>
      <c r="U35" s="4"/>
      <c r="V35" s="4"/>
      <c r="W35" s="4"/>
      <c r="X35" s="4"/>
      <c r="Y35" s="4"/>
      <c r="Z35" s="4"/>
    </row>
    <row r="36" spans="1:26" s="209" customFormat="1" x14ac:dyDescent="0.2">
      <c r="A36" s="81" t="str">
        <f>IF(two_core_select=FALSE,"15 PD_CORE7","15 PD RESERVED")</f>
        <v>15 PD_CORE7</v>
      </c>
      <c r="B36" s="229">
        <v>2.7639198195708255E-2</v>
      </c>
      <c r="C36" s="230">
        <v>2.0942687796142497E-2</v>
      </c>
      <c r="E36" s="63">
        <f>IF(two_core_select=FALSE,IF(core7_en=1,B36*E$19,0),0)</f>
        <v>277.14952447190001</v>
      </c>
      <c r="F36" s="63">
        <f>IF(two_core_select=FALSE,IF(core7_en=1,C36*F$19,0),0)</f>
        <v>59.618053019989055</v>
      </c>
      <c r="G36" s="63">
        <v>0</v>
      </c>
      <c r="H36" s="63">
        <v>0</v>
      </c>
      <c r="I36" s="40">
        <v>0</v>
      </c>
      <c r="J36" s="40">
        <v>0</v>
      </c>
      <c r="K36" s="40">
        <v>0</v>
      </c>
      <c r="L36" s="11"/>
      <c r="M36" s="12"/>
      <c r="N36" s="12"/>
      <c r="O36" s="12"/>
      <c r="P36" s="12"/>
      <c r="Q36" s="12"/>
      <c r="R36" s="12"/>
      <c r="S36" s="12"/>
      <c r="T36" s="12"/>
      <c r="U36" s="4"/>
      <c r="V36" s="4"/>
      <c r="W36" s="4"/>
      <c r="X36" s="4"/>
      <c r="Y36" s="4"/>
      <c r="Z36" s="4"/>
    </row>
    <row r="37" spans="1:26" s="209" customFormat="1" x14ac:dyDescent="0.2">
      <c r="A37" s="81" t="s">
        <v>146</v>
      </c>
      <c r="B37" s="231"/>
      <c r="C37" s="229"/>
      <c r="E37" s="63">
        <v>0</v>
      </c>
      <c r="F37" s="63">
        <v>0</v>
      </c>
      <c r="G37" s="63">
        <v>0</v>
      </c>
      <c r="H37" s="63">
        <v>0</v>
      </c>
      <c r="I37" s="40">
        <v>0</v>
      </c>
      <c r="J37" s="40">
        <v>0</v>
      </c>
      <c r="K37" s="40">
        <v>0</v>
      </c>
      <c r="L37" s="11"/>
      <c r="M37" s="12"/>
      <c r="N37" s="12"/>
      <c r="O37" s="12"/>
      <c r="P37" s="12"/>
      <c r="Q37" s="12"/>
      <c r="R37" s="12"/>
      <c r="S37" s="12"/>
      <c r="T37" s="12"/>
      <c r="U37" s="4"/>
      <c r="V37" s="4"/>
      <c r="W37" s="4"/>
      <c r="X37" s="4"/>
      <c r="Y37" s="4"/>
      <c r="Z37" s="4"/>
    </row>
    <row r="38" spans="1:26" s="209" customFormat="1" x14ac:dyDescent="0.2">
      <c r="A38" s="81" t="str">
        <f>IF(B2&lt;&gt;"K2K","17 PD_RESERVED","17 PD_RAC0/1_TAC")</f>
        <v>17 PD_RESERVED</v>
      </c>
      <c r="B38" s="229">
        <v>5.8758159073813196E-2</v>
      </c>
      <c r="C38" s="229">
        <v>8.1853261147248696E-2</v>
      </c>
      <c r="E38" s="176">
        <f>IF(OR(RAC_0_1_en="Enabled",TAC_enable="Enabled"),B38*E19,0)</f>
        <v>0</v>
      </c>
      <c r="F38" s="176">
        <f>IF(OR(RAC_0_1_en="Enabled",TAC_enable="Enabled"),C38*F19,0)</f>
        <v>0</v>
      </c>
      <c r="G38" s="63">
        <v>0</v>
      </c>
      <c r="H38" s="63">
        <v>0</v>
      </c>
      <c r="I38" s="40">
        <v>0</v>
      </c>
      <c r="J38" s="40">
        <v>0</v>
      </c>
      <c r="K38" s="40">
        <v>0</v>
      </c>
      <c r="L38" s="11"/>
      <c r="M38" s="12"/>
      <c r="N38" s="12"/>
      <c r="O38" s="12"/>
      <c r="P38" s="12"/>
      <c r="Q38" s="12"/>
      <c r="R38" s="12"/>
      <c r="S38" s="12"/>
      <c r="T38" s="12"/>
      <c r="U38" s="4"/>
      <c r="V38" s="4"/>
      <c r="W38" s="4"/>
      <c r="X38" s="4"/>
      <c r="Y38" s="4"/>
      <c r="Z38" s="4"/>
    </row>
    <row r="39" spans="1:26" s="209" customFormat="1" x14ac:dyDescent="0.2">
      <c r="A39" s="81" t="str">
        <f>IF(B2&lt;&gt;"K2K","18 PD_RESERVED","17 PD_RAC2/3")</f>
        <v>18 PD_RESERVED</v>
      </c>
      <c r="B39" s="229">
        <v>3.1041974319214002E-2</v>
      </c>
      <c r="C39" s="229">
        <v>5.0836956117908498E-2</v>
      </c>
      <c r="E39" s="176">
        <f>IF(RAC_2_3_en="Enabled",B39*E19,0)</f>
        <v>0</v>
      </c>
      <c r="F39" s="176">
        <f>IF(RAC_2_3_en="Enabled",C39*F19,0)</f>
        <v>0</v>
      </c>
      <c r="G39" s="63">
        <v>0</v>
      </c>
      <c r="H39" s="63">
        <v>0</v>
      </c>
      <c r="I39" s="40">
        <v>0</v>
      </c>
      <c r="J39" s="40">
        <v>0</v>
      </c>
      <c r="K39" s="40">
        <v>0</v>
      </c>
      <c r="L39" s="11"/>
      <c r="M39" s="12"/>
      <c r="N39" s="12"/>
      <c r="O39" s="12"/>
      <c r="P39" s="12"/>
      <c r="Q39" s="12"/>
      <c r="R39" s="12"/>
      <c r="S39" s="12"/>
      <c r="T39" s="12"/>
      <c r="U39" s="4"/>
      <c r="V39" s="4"/>
      <c r="W39" s="4"/>
      <c r="X39" s="4"/>
      <c r="Y39" s="4"/>
      <c r="Z39" s="4"/>
    </row>
    <row r="40" spans="1:26" s="209" customFormat="1" x14ac:dyDescent="0.2">
      <c r="A40" s="81" t="str">
        <f>IF(B2&lt;&gt;"K2K","19 PD_RESERVED","17 PD_FFTC0/1")</f>
        <v>19 PD_RESERVED</v>
      </c>
      <c r="B40" s="229">
        <v>3.3870168458630896E-2</v>
      </c>
      <c r="C40" s="229">
        <v>8.3078689672428704E-3</v>
      </c>
      <c r="E40" s="176">
        <f>IF(OR(FFTC_0_enable="Enabled", FFTC_1_enable="Enabled"),B40*E19,0)</f>
        <v>0</v>
      </c>
      <c r="F40" s="176">
        <f>IF(OR(FFTC_0_enable="Enabled", FFTC_1_enable="Enabled"),C40*F19,0)</f>
        <v>0</v>
      </c>
      <c r="G40" s="63">
        <v>0</v>
      </c>
      <c r="H40" s="63">
        <v>0</v>
      </c>
      <c r="I40" s="40">
        <v>0</v>
      </c>
      <c r="J40" s="40">
        <v>0</v>
      </c>
      <c r="K40" s="40">
        <v>0</v>
      </c>
      <c r="L40" s="11"/>
      <c r="M40" s="12"/>
      <c r="N40" s="12"/>
      <c r="O40" s="12"/>
      <c r="P40" s="12"/>
      <c r="Q40" s="12"/>
      <c r="R40" s="12"/>
      <c r="S40" s="12"/>
      <c r="T40" s="12"/>
      <c r="U40" s="4"/>
      <c r="V40" s="4"/>
      <c r="W40" s="4"/>
      <c r="X40" s="4"/>
      <c r="Y40" s="4"/>
      <c r="Z40" s="4"/>
    </row>
    <row r="41" spans="1:26" s="209" customFormat="1" x14ac:dyDescent="0.2">
      <c r="A41" s="81" t="str">
        <f>IF(B2&lt;&gt;"K2K","20 PD_RESERVED","20 PD_FFTC2/3/4/5")</f>
        <v>20 PD_RESERVED</v>
      </c>
      <c r="B41" s="229">
        <v>6.9628984718414499E-2</v>
      </c>
      <c r="C41" s="229">
        <v>1.72492111986049E-2</v>
      </c>
      <c r="E41" s="176">
        <f>IF(OR(FFTC_2_enable="Enabled", FFTC_3_enable="Enabled",FFTC_4_enable="Enabled",FFTC_5_enable="Enabled"),B41*E19,0)</f>
        <v>0</v>
      </c>
      <c r="F41" s="176">
        <f>IF(OR(FFTC_2_enable="Enabled", FFTC_3_enable="Enabled",FFTC_4_enable="Enabled",FFTC_5_enable="Enabled"),C41*F19,0)</f>
        <v>0</v>
      </c>
      <c r="G41" s="63">
        <v>0</v>
      </c>
      <c r="H41" s="63">
        <v>0</v>
      </c>
      <c r="I41" s="40">
        <v>0</v>
      </c>
      <c r="J41" s="40">
        <v>0</v>
      </c>
      <c r="K41" s="40">
        <v>0</v>
      </c>
      <c r="L41" s="11"/>
      <c r="M41" s="12"/>
      <c r="N41" s="12"/>
      <c r="O41" s="12"/>
      <c r="P41" s="12"/>
      <c r="Q41" s="12"/>
      <c r="R41" s="12"/>
      <c r="S41" s="12"/>
      <c r="T41" s="12"/>
      <c r="U41" s="4"/>
      <c r="V41" s="4"/>
      <c r="W41" s="4"/>
      <c r="X41" s="4"/>
      <c r="Y41" s="4"/>
      <c r="Z41" s="4"/>
    </row>
    <row r="42" spans="1:26" s="209" customFormat="1" x14ac:dyDescent="0.2">
      <c r="A42" s="81" t="str">
        <f>IF(B2&lt;&gt;"K2K","21 PD_RESERVED","21 PD_AIF2")</f>
        <v>21 PD_RESERVED</v>
      </c>
      <c r="B42" s="229">
        <v>5.4408774094600902E-3</v>
      </c>
      <c r="C42" s="229">
        <v>7.4778486549739401E-3</v>
      </c>
      <c r="E42" s="40">
        <f>IF(aif_en="enabled",B42*E19,0)</f>
        <v>0</v>
      </c>
      <c r="F42" s="40">
        <f>IF(aif_en="enabled",C42*F19,0)</f>
        <v>0</v>
      </c>
      <c r="G42" s="63">
        <v>0</v>
      </c>
      <c r="H42" s="63">
        <v>0</v>
      </c>
      <c r="I42" s="40">
        <v>0</v>
      </c>
      <c r="J42" s="40">
        <v>0</v>
      </c>
      <c r="K42" s="40">
        <v>0</v>
      </c>
      <c r="L42" s="11"/>
      <c r="M42" s="12"/>
      <c r="N42" s="12"/>
      <c r="O42" s="12"/>
      <c r="P42" s="12"/>
      <c r="Q42" s="12"/>
      <c r="R42" s="12"/>
      <c r="S42" s="12"/>
      <c r="T42" s="12"/>
      <c r="U42" s="4"/>
      <c r="V42" s="4"/>
      <c r="W42" s="4"/>
      <c r="X42" s="4"/>
      <c r="Y42" s="4"/>
      <c r="Z42" s="4"/>
    </row>
    <row r="43" spans="1:26" s="209" customFormat="1" x14ac:dyDescent="0.2">
      <c r="A43" s="81" t="str">
        <f>IF(B2&lt;&gt;"K2K","22 PD_RESERVED","22 PD_TCP3d_0/1")</f>
        <v>22 PD_RESERVED</v>
      </c>
      <c r="B43" s="229">
        <v>9.12769922076943E-3</v>
      </c>
      <c r="C43" s="229">
        <v>1.0320831579073599E-2</v>
      </c>
      <c r="E43" s="176">
        <f>IF(OR(tcp3d_0_enable="Enabled",tcp3d_1_enable="Enabled"),B43*E19,0)</f>
        <v>0</v>
      </c>
      <c r="F43" s="139">
        <f>IF(OR(tcp3d_0_enable="Enabled",tcp3d_1_enable="Enabled"),C43*F19,0)</f>
        <v>0</v>
      </c>
      <c r="G43" s="63">
        <v>0</v>
      </c>
      <c r="H43" s="63">
        <v>0</v>
      </c>
      <c r="I43" s="40">
        <v>0</v>
      </c>
      <c r="J43" s="40">
        <v>0</v>
      </c>
      <c r="K43" s="40">
        <v>0</v>
      </c>
      <c r="L43" s="11"/>
      <c r="M43" s="12"/>
      <c r="N43" s="12"/>
      <c r="O43" s="12"/>
      <c r="P43" s="12"/>
      <c r="Q43" s="12"/>
      <c r="R43" s="12"/>
      <c r="S43" s="12"/>
      <c r="T43" s="12"/>
      <c r="U43" s="4"/>
      <c r="V43" s="4"/>
      <c r="W43" s="4"/>
      <c r="X43" s="4"/>
      <c r="Y43" s="4"/>
      <c r="Z43" s="4"/>
    </row>
    <row r="44" spans="1:26" s="209" customFormat="1" x14ac:dyDescent="0.2">
      <c r="A44" s="81" t="str">
        <f>IF(B2&lt;&gt;"K2K","23 PD_RESERVED","23 PD_TCP3d_2/3")</f>
        <v>23 PD_RESERVED</v>
      </c>
      <c r="B44" s="229">
        <v>9.12769922076943E-3</v>
      </c>
      <c r="C44" s="229">
        <v>1.0320831579073599E-2</v>
      </c>
      <c r="E44" s="176">
        <f>IF(OR(tcp3d_2_enable="Enabled",tcp3d_3_enable="Enabled"),B44*E19,0)</f>
        <v>0</v>
      </c>
      <c r="F44" s="139">
        <f>IF(OR(tcp3d_2_enable="Enabled",tcp3d_3_enable="Enabled"),C44*F19,0)</f>
        <v>0</v>
      </c>
      <c r="G44" s="63">
        <v>0</v>
      </c>
      <c r="H44" s="63">
        <v>0</v>
      </c>
      <c r="I44" s="40">
        <v>0</v>
      </c>
      <c r="J44" s="40">
        <v>0</v>
      </c>
      <c r="K44" s="40">
        <v>0</v>
      </c>
      <c r="L44" s="11"/>
      <c r="M44" s="12"/>
      <c r="N44" s="12"/>
      <c r="O44" s="12"/>
      <c r="P44" s="12"/>
      <c r="Q44" s="12"/>
      <c r="R44" s="12"/>
      <c r="S44" s="12"/>
      <c r="T44" s="12"/>
      <c r="U44" s="4"/>
      <c r="V44" s="4"/>
      <c r="W44" s="4"/>
      <c r="X44" s="4"/>
      <c r="Y44" s="4"/>
      <c r="Z44" s="4"/>
    </row>
    <row r="45" spans="1:26" s="209" customFormat="1" x14ac:dyDescent="0.2">
      <c r="A45" s="81" t="str">
        <f>IF(B2&lt;&gt;"K2K","24 PD_RESERVED","24 PD_VCP0/1/2/3")</f>
        <v>24 PD_RESERVED</v>
      </c>
      <c r="B45" s="229">
        <v>1.28032352090019E-3</v>
      </c>
      <c r="C45" s="229">
        <v>9.3452038323210598E-4</v>
      </c>
      <c r="E45" s="176">
        <f>IF(OR(vcp2_0_enable="Enabled",vcp2_1_enable="Enabled",vcp2_2_enable="Enabled",vcp2_3_enable="Enabled"),B45*E19,0)</f>
        <v>0</v>
      </c>
      <c r="F45" s="176">
        <f>IF(OR(vcp2_0_enable="Enabled",vcp2_1_enable="Enabled",vcp2_2_enable="Enabled",vcp2_3_enable="Enabled"),C45*F19,0)</f>
        <v>0</v>
      </c>
      <c r="G45" s="63">
        <v>0</v>
      </c>
      <c r="H45" s="63">
        <v>0</v>
      </c>
      <c r="I45" s="40">
        <v>0</v>
      </c>
      <c r="J45" s="40">
        <v>0</v>
      </c>
      <c r="K45" s="40">
        <v>0</v>
      </c>
      <c r="L45" s="11"/>
      <c r="M45" s="12"/>
      <c r="N45" s="12"/>
      <c r="O45" s="12"/>
      <c r="P45" s="12"/>
      <c r="Q45" s="12"/>
      <c r="R45" s="12"/>
      <c r="S45" s="12"/>
      <c r="T45" s="12"/>
      <c r="U45" s="4"/>
      <c r="V45" s="4"/>
      <c r="W45" s="4"/>
      <c r="X45" s="4"/>
      <c r="Y45" s="4"/>
      <c r="Z45" s="4"/>
    </row>
    <row r="46" spans="1:26" s="209" customFormat="1" x14ac:dyDescent="0.2">
      <c r="A46" s="81" t="str">
        <f>IF(B2&lt;&gt;"K2K","25 PD_RESERVED","25 PD_VCP4/5/6/7")</f>
        <v>25 PD_RESERVED</v>
      </c>
      <c r="B46" s="229">
        <v>1.28032352090019E-3</v>
      </c>
      <c r="C46" s="229">
        <v>9.3452038323210598E-4</v>
      </c>
      <c r="E46" s="176">
        <f>IF(OR(vcp2_4_enable="Enabled",vcp2_5_enable="Enabled",vcp2_6_enable="Enabled",vcp2_7_enable="Enabled"),B46*E19,0)</f>
        <v>0</v>
      </c>
      <c r="F46" s="176">
        <f>IF(OR(vcp2_4_enable="Enabled",vcp2_5_enable="Enabled",vcp2_6_enable="Enabled",vcp2_7_enable="Enabled"),C46*F19,0)</f>
        <v>0</v>
      </c>
      <c r="G46" s="63">
        <v>0</v>
      </c>
      <c r="H46" s="63">
        <v>0</v>
      </c>
      <c r="I46" s="40">
        <v>0</v>
      </c>
      <c r="J46" s="40">
        <v>0</v>
      </c>
      <c r="K46" s="40">
        <v>0</v>
      </c>
      <c r="L46" s="11"/>
      <c r="M46" s="12"/>
      <c r="N46" s="12"/>
      <c r="O46" s="12"/>
      <c r="P46" s="12"/>
      <c r="Q46" s="12"/>
      <c r="R46" s="12"/>
      <c r="S46" s="12"/>
      <c r="T46" s="12"/>
      <c r="U46" s="4"/>
      <c r="V46" s="4"/>
      <c r="W46" s="4"/>
      <c r="X46" s="4"/>
      <c r="Y46" s="4"/>
      <c r="Z46" s="4"/>
    </row>
    <row r="47" spans="1:26" s="209" customFormat="1" x14ac:dyDescent="0.2">
      <c r="A47" s="81" t="str">
        <f>IF(B2&lt;&gt;"K2K","26 PD_RESERVED","26 PD_BCP")</f>
        <v>26 PD_RESERVED</v>
      </c>
      <c r="B47" s="229">
        <v>2.1411532150808699E-2</v>
      </c>
      <c r="C47" s="229">
        <v>1.8266842768515E-2</v>
      </c>
      <c r="E47" s="40">
        <f>IF(BCP_enable="enabled",B47*E19,0)</f>
        <v>0</v>
      </c>
      <c r="F47" s="40">
        <f>IF(BCP_enable="enabled",C47*F19,0)</f>
        <v>0</v>
      </c>
      <c r="G47" s="63">
        <v>0</v>
      </c>
      <c r="H47" s="63">
        <v>0</v>
      </c>
      <c r="I47" s="40">
        <v>0</v>
      </c>
      <c r="J47" s="40">
        <v>0</v>
      </c>
      <c r="K47" s="40">
        <v>0</v>
      </c>
      <c r="L47" s="11"/>
      <c r="M47" s="12"/>
      <c r="N47" s="12"/>
      <c r="O47" s="12"/>
      <c r="P47" s="12"/>
      <c r="Q47" s="12"/>
      <c r="R47" s="12"/>
      <c r="S47" s="12"/>
      <c r="T47" s="12"/>
      <c r="U47" s="4"/>
      <c r="V47" s="4"/>
      <c r="W47" s="4"/>
      <c r="X47" s="4"/>
      <c r="Y47" s="4"/>
      <c r="Z47" s="4"/>
    </row>
    <row r="48" spans="1:26" s="209" customFormat="1" x14ac:dyDescent="0.2">
      <c r="A48" s="81" t="s">
        <v>147</v>
      </c>
      <c r="B48" s="231"/>
      <c r="C48" s="229"/>
      <c r="E48" s="40">
        <v>0</v>
      </c>
      <c r="F48" s="40">
        <v>0</v>
      </c>
      <c r="G48" s="63">
        <v>0</v>
      </c>
      <c r="H48" s="63">
        <v>0</v>
      </c>
      <c r="I48" s="40">
        <v>0</v>
      </c>
      <c r="J48" s="40">
        <v>0</v>
      </c>
      <c r="K48" s="40">
        <v>0</v>
      </c>
      <c r="L48" s="11"/>
      <c r="M48" s="12"/>
      <c r="N48" s="12"/>
      <c r="O48" s="12"/>
      <c r="P48" s="12"/>
      <c r="Q48" s="12"/>
      <c r="R48" s="12"/>
      <c r="S48" s="12"/>
      <c r="T48" s="12"/>
      <c r="U48" s="4"/>
      <c r="V48" s="4"/>
      <c r="W48" s="4"/>
      <c r="X48" s="4"/>
      <c r="Y48" s="4"/>
      <c r="Z48" s="4"/>
    </row>
    <row r="49" spans="1:26" s="209" customFormat="1" x14ac:dyDescent="0.2">
      <c r="A49" s="81" t="s">
        <v>148</v>
      </c>
      <c r="B49" s="229">
        <v>8.1729760504409884E-3</v>
      </c>
      <c r="C49" s="229">
        <v>3.115543273871878E-3</v>
      </c>
      <c r="E49" s="139">
        <f>IF(mcm_en="enabled",B49*E19,0)</f>
        <v>81.953767611524697</v>
      </c>
      <c r="F49" s="139">
        <f>IF(mcm_en="enabled",C49*F19,0)</f>
        <v>8.8690919664082681</v>
      </c>
      <c r="G49" s="63">
        <v>0</v>
      </c>
      <c r="H49" s="63">
        <v>0</v>
      </c>
      <c r="I49" s="40">
        <v>0</v>
      </c>
      <c r="J49" s="40">
        <v>0</v>
      </c>
      <c r="K49" s="40">
        <v>0</v>
      </c>
      <c r="L49" s="11"/>
      <c r="M49" s="12"/>
      <c r="N49" s="12"/>
      <c r="O49" s="12"/>
      <c r="P49" s="12"/>
      <c r="Q49" s="12"/>
      <c r="R49" s="12"/>
      <c r="S49" s="12"/>
      <c r="T49" s="12"/>
      <c r="U49" s="4"/>
      <c r="V49" s="4"/>
      <c r="W49" s="4"/>
      <c r="X49" s="4"/>
      <c r="Y49" s="4"/>
      <c r="Z49" s="4"/>
    </row>
    <row r="50" spans="1:26" s="209" customFormat="1" x14ac:dyDescent="0.2">
      <c r="A50" s="81" t="str">
        <f>IF(OR(B2="H14",B2="K2K"),"29 PD_10GBE", "29 PD_RESERVED")</f>
        <v>29 PD_10GBE</v>
      </c>
      <c r="B50" s="229">
        <v>3.8203785196533696E-2</v>
      </c>
      <c r="C50" s="229">
        <v>2.9614037955384399E-2</v>
      </c>
      <c r="E50" s="40">
        <f>IF(XGE_select=TRUE,IF(XG_en="Enabled",B50*E19,0),0)</f>
        <v>383.08495149797898</v>
      </c>
      <c r="F50" s="40">
        <f>IF(XGE_select=TRUE, IF(XG_en="Enabled",C50*F19,0),0)</f>
        <v>84.302994063888704</v>
      </c>
      <c r="G50" s="63">
        <v>0</v>
      </c>
      <c r="H50" s="63">
        <v>0</v>
      </c>
      <c r="I50" s="40">
        <v>0</v>
      </c>
      <c r="J50" s="40">
        <v>0</v>
      </c>
      <c r="K50" s="40">
        <v>0</v>
      </c>
      <c r="L50" s="11"/>
      <c r="M50" s="12"/>
      <c r="N50" s="12"/>
      <c r="O50" s="12"/>
      <c r="P50" s="12"/>
      <c r="Q50" s="12"/>
      <c r="R50" s="12"/>
      <c r="S50" s="12"/>
      <c r="T50" s="12"/>
      <c r="U50" s="4"/>
      <c r="V50" s="4"/>
      <c r="W50" s="4"/>
      <c r="X50" s="4"/>
      <c r="Y50" s="4"/>
      <c r="Z50" s="4"/>
    </row>
    <row r="51" spans="1:26" s="209" customFormat="1" x14ac:dyDescent="0.2">
      <c r="A51" s="81" t="s">
        <v>149</v>
      </c>
      <c r="B51" s="231"/>
      <c r="C51" s="229"/>
      <c r="E51" s="40">
        <v>0</v>
      </c>
      <c r="F51" s="40">
        <v>0</v>
      </c>
      <c r="G51" s="63">
        <v>0</v>
      </c>
      <c r="H51" s="63">
        <v>0</v>
      </c>
      <c r="I51" s="40">
        <v>0</v>
      </c>
      <c r="J51" s="40">
        <v>0</v>
      </c>
      <c r="K51" s="40">
        <v>0</v>
      </c>
      <c r="L51" s="11"/>
      <c r="M51" s="12"/>
      <c r="N51" s="12"/>
      <c r="O51" s="12"/>
      <c r="P51" s="12"/>
      <c r="Q51" s="12"/>
      <c r="R51" s="12"/>
      <c r="S51" s="12"/>
      <c r="T51" s="12"/>
      <c r="U51" s="4"/>
      <c r="V51" s="4"/>
      <c r="W51" s="4"/>
      <c r="X51" s="4"/>
      <c r="Y51" s="4"/>
      <c r="Z51" s="4"/>
    </row>
    <row r="52" spans="1:26" s="209" customFormat="1" x14ac:dyDescent="0.2">
      <c r="A52" s="81" t="s">
        <v>150</v>
      </c>
      <c r="B52" s="229">
        <v>0.10408468910367809</v>
      </c>
      <c r="C52" s="229">
        <v>0.13622246099568858</v>
      </c>
      <c r="E52" s="40">
        <f>IF(ARM_SS_en="Enabled",B52*E19,0)</f>
        <v>1043.6996719524673</v>
      </c>
      <c r="F52" s="40">
        <f>IF(ARM_SS_en="Enabled",C52*F19,0)</f>
        <v>387.78775586055599</v>
      </c>
      <c r="G52" s="63">
        <v>0</v>
      </c>
      <c r="H52" s="63">
        <v>0</v>
      </c>
      <c r="I52" s="40">
        <v>0</v>
      </c>
      <c r="J52" s="40">
        <v>0</v>
      </c>
      <c r="K52" s="40">
        <v>0</v>
      </c>
      <c r="L52" s="11"/>
      <c r="M52" s="12"/>
      <c r="N52" s="12"/>
      <c r="O52" s="12"/>
      <c r="P52" s="12"/>
      <c r="Q52" s="12"/>
      <c r="R52" s="12"/>
      <c r="S52" s="12"/>
      <c r="T52" s="12"/>
      <c r="U52" s="4"/>
      <c r="V52" s="4"/>
      <c r="W52" s="4"/>
      <c r="X52" s="4"/>
      <c r="Y52" s="4"/>
      <c r="Z52" s="4"/>
    </row>
    <row r="53" spans="1:26" s="209" customFormat="1" ht="27" customHeight="1" x14ac:dyDescent="0.2">
      <c r="A53" s="360" t="s">
        <v>445</v>
      </c>
      <c r="B53" s="173">
        <v>0.68522077801965642</v>
      </c>
      <c r="C53" s="173">
        <v>0.60616888784075995</v>
      </c>
      <c r="D53" s="28"/>
      <c r="E53" s="28"/>
      <c r="F53" s="28"/>
      <c r="G53" s="28"/>
      <c r="H53" s="28"/>
      <c r="I53" s="90"/>
      <c r="J53" s="90"/>
      <c r="K53" s="90"/>
      <c r="L53" s="23"/>
      <c r="M53" s="12"/>
      <c r="N53" s="12"/>
      <c r="O53" s="12"/>
      <c r="P53" s="12"/>
      <c r="Q53" s="12"/>
      <c r="R53" s="12"/>
      <c r="S53" s="12"/>
      <c r="T53" s="12"/>
      <c r="U53" s="4"/>
      <c r="V53" s="4"/>
      <c r="W53" s="4"/>
      <c r="X53" s="4"/>
      <c r="Y53" s="4"/>
      <c r="Z53" s="4"/>
    </row>
    <row r="54" spans="1:26" s="209" customFormat="1" ht="12.75" customHeight="1" x14ac:dyDescent="0.2">
      <c r="A54" s="90"/>
      <c r="B54" s="90"/>
      <c r="C54" s="90"/>
      <c r="D54" s="90"/>
      <c r="E54" s="90"/>
      <c r="F54" s="90"/>
      <c r="G54" s="90"/>
      <c r="H54" s="29"/>
      <c r="I54" s="90"/>
      <c r="J54" s="90"/>
      <c r="K54" s="90"/>
      <c r="L54" s="23"/>
      <c r="M54" s="12"/>
      <c r="N54" s="12"/>
      <c r="O54" s="12"/>
      <c r="P54" s="12"/>
      <c r="Q54" s="12"/>
      <c r="R54" s="12"/>
      <c r="S54" s="12"/>
      <c r="T54" s="12"/>
      <c r="U54" s="4"/>
      <c r="V54" s="4"/>
      <c r="W54" s="4"/>
      <c r="X54" s="4"/>
      <c r="Y54" s="4"/>
      <c r="Z54" s="4"/>
    </row>
    <row r="55" spans="1:26" s="209" customFormat="1" ht="12.75" customHeight="1" x14ac:dyDescent="0.2">
      <c r="A55" s="351"/>
      <c r="B55" s="351"/>
      <c r="C55" s="351"/>
      <c r="D55" s="351"/>
      <c r="E55" s="351"/>
      <c r="F55" s="351"/>
      <c r="G55" s="351"/>
      <c r="H55" s="331"/>
      <c r="I55" s="351"/>
      <c r="J55" s="351"/>
      <c r="K55" s="351"/>
      <c r="L55" s="23"/>
      <c r="M55" s="327"/>
      <c r="N55" s="327"/>
      <c r="O55" s="327"/>
      <c r="P55" s="327"/>
      <c r="Q55" s="327"/>
      <c r="R55" s="327"/>
      <c r="S55" s="327"/>
      <c r="T55" s="327"/>
      <c r="U55" s="4"/>
      <c r="V55" s="4"/>
      <c r="W55" s="4"/>
      <c r="X55" s="4"/>
      <c r="Y55" s="4"/>
      <c r="Z55" s="4"/>
    </row>
    <row r="56" spans="1:26" s="209" customFormat="1" ht="12.75" customHeight="1" x14ac:dyDescent="0.2">
      <c r="A56" s="351" t="s">
        <v>434</v>
      </c>
      <c r="B56" s="351">
        <f>IF(ARM0_en="Disabled",1,0)</f>
        <v>0</v>
      </c>
      <c r="C56" s="351"/>
      <c r="D56" s="351"/>
      <c r="E56" s="351"/>
      <c r="F56" s="351"/>
      <c r="G56" s="351"/>
      <c r="H56" s="331"/>
      <c r="I56" s="351"/>
      <c r="J56" s="351"/>
      <c r="K56" s="351"/>
      <c r="L56" s="23"/>
      <c r="M56" s="327"/>
      <c r="N56" s="327"/>
      <c r="O56" s="327"/>
      <c r="P56" s="327"/>
      <c r="Q56" s="327"/>
      <c r="R56" s="327"/>
      <c r="S56" s="327"/>
      <c r="T56" s="327"/>
      <c r="U56" s="4"/>
      <c r="V56" s="4"/>
      <c r="W56" s="4"/>
      <c r="X56" s="4"/>
      <c r="Y56" s="4"/>
      <c r="Z56" s="4"/>
    </row>
    <row r="57" spans="1:26" s="209" customFormat="1" ht="12.75" customHeight="1" x14ac:dyDescent="0.2">
      <c r="A57" s="351" t="s">
        <v>435</v>
      </c>
      <c r="B57" s="351">
        <f>IF(ARM1_en="Disabled",1,0)</f>
        <v>0</v>
      </c>
      <c r="C57" s="351"/>
      <c r="D57" s="351"/>
      <c r="E57" s="351"/>
      <c r="F57" s="351"/>
      <c r="G57" s="351"/>
      <c r="H57" s="331"/>
      <c r="I57" s="351"/>
      <c r="J57" s="351"/>
      <c r="K57" s="351"/>
      <c r="L57" s="23"/>
      <c r="M57" s="327"/>
      <c r="N57" s="327"/>
      <c r="O57" s="327"/>
      <c r="P57" s="327"/>
      <c r="Q57" s="327"/>
      <c r="R57" s="327"/>
      <c r="S57" s="327"/>
      <c r="T57" s="327"/>
      <c r="U57" s="4"/>
      <c r="V57" s="4"/>
      <c r="W57" s="4"/>
      <c r="X57" s="4"/>
      <c r="Y57" s="4"/>
      <c r="Z57" s="4"/>
    </row>
    <row r="58" spans="1:26" s="209" customFormat="1" ht="12.75" customHeight="1" x14ac:dyDescent="0.2">
      <c r="A58" s="351" t="s">
        <v>436</v>
      </c>
      <c r="B58" s="351">
        <f>IF(two_core_select=FALSE,IF(ARM2_en="Disabled",1,0),1)</f>
        <v>0</v>
      </c>
      <c r="C58" s="351"/>
      <c r="D58" s="351"/>
      <c r="E58" s="351"/>
      <c r="F58" s="351"/>
      <c r="G58" s="351"/>
      <c r="H58" s="331"/>
      <c r="I58" s="351"/>
      <c r="J58" s="351"/>
      <c r="K58" s="351"/>
      <c r="L58" s="23"/>
      <c r="M58" s="327"/>
      <c r="N58" s="327"/>
      <c r="O58" s="327"/>
      <c r="P58" s="327"/>
      <c r="Q58" s="327"/>
      <c r="R58" s="327"/>
      <c r="S58" s="327"/>
      <c r="T58" s="327"/>
      <c r="U58" s="4"/>
      <c r="V58" s="4"/>
      <c r="W58" s="4"/>
      <c r="X58" s="4"/>
      <c r="Y58" s="4"/>
      <c r="Z58" s="4"/>
    </row>
    <row r="59" spans="1:26" s="209" customFormat="1" ht="12.75" customHeight="1" x14ac:dyDescent="0.2">
      <c r="A59" s="351" t="s">
        <v>437</v>
      </c>
      <c r="B59" s="351">
        <f>IF(two_core_select=FALSE,IF(ARM3_en="Disabled",1,0),1)</f>
        <v>0</v>
      </c>
      <c r="C59" s="351"/>
      <c r="D59" s="351"/>
      <c r="E59" s="351"/>
      <c r="F59" s="351"/>
      <c r="G59" s="351"/>
      <c r="H59" s="331"/>
      <c r="I59" s="351"/>
      <c r="J59" s="351"/>
      <c r="K59" s="351"/>
      <c r="L59" s="23"/>
      <c r="M59" s="327"/>
      <c r="N59" s="327"/>
      <c r="O59" s="327"/>
      <c r="P59" s="327"/>
      <c r="Q59" s="327"/>
      <c r="R59" s="327"/>
      <c r="S59" s="327"/>
      <c r="T59" s="327"/>
      <c r="U59" s="4"/>
      <c r="V59" s="4"/>
      <c r="W59" s="4"/>
      <c r="X59" s="4"/>
      <c r="Y59" s="4"/>
      <c r="Z59" s="4"/>
    </row>
    <row r="60" spans="1:26" s="209" customFormat="1" ht="12.75" customHeight="1" x14ac:dyDescent="0.2">
      <c r="A60" s="351" t="s">
        <v>433</v>
      </c>
      <c r="B60" s="351">
        <f>SUM(B56:B59)</f>
        <v>0</v>
      </c>
      <c r="C60" s="351"/>
      <c r="D60" s="351"/>
      <c r="E60" s="351"/>
      <c r="F60" s="351"/>
      <c r="G60" s="351"/>
      <c r="H60" s="331"/>
      <c r="I60" s="351"/>
      <c r="J60" s="351"/>
      <c r="K60" s="351"/>
      <c r="L60" s="23"/>
      <c r="M60" s="327"/>
      <c r="N60" s="327"/>
      <c r="O60" s="327"/>
      <c r="P60" s="327"/>
      <c r="Q60" s="327"/>
      <c r="R60" s="327"/>
      <c r="S60" s="327"/>
      <c r="T60" s="327"/>
      <c r="U60" s="4"/>
      <c r="V60" s="4"/>
      <c r="W60" s="4"/>
      <c r="X60" s="4"/>
      <c r="Y60" s="4"/>
      <c r="Z60" s="4"/>
    </row>
    <row r="61" spans="1:26" s="209" customFormat="1" ht="40.5" customHeight="1" x14ac:dyDescent="0.2">
      <c r="A61" s="355" t="s">
        <v>432</v>
      </c>
      <c r="B61" s="356">
        <v>3.4799999999999998E-2</v>
      </c>
      <c r="C61" s="356">
        <v>1.9199999999999998E-2</v>
      </c>
      <c r="D61" s="90"/>
      <c r="E61" s="90"/>
      <c r="F61" s="90"/>
      <c r="G61" s="90"/>
      <c r="H61" s="70"/>
      <c r="I61" s="90"/>
      <c r="J61" s="90"/>
      <c r="K61" s="90"/>
      <c r="L61" s="11"/>
      <c r="M61" s="12"/>
      <c r="N61" s="12"/>
      <c r="O61" s="12"/>
      <c r="P61" s="12"/>
      <c r="Q61" s="12"/>
      <c r="R61" s="12"/>
      <c r="S61" s="12"/>
      <c r="T61" s="12"/>
      <c r="U61" s="4"/>
      <c r="V61" s="4"/>
      <c r="W61" s="4"/>
      <c r="X61" s="4"/>
      <c r="Y61" s="4"/>
      <c r="Z61" s="4"/>
    </row>
    <row r="62" spans="1:26" s="209" customFormat="1" ht="38.25" customHeight="1" x14ac:dyDescent="0.2">
      <c r="A62" s="355" t="s">
        <v>454</v>
      </c>
      <c r="B62" s="94">
        <f>B61*(B14/B52)</f>
        <v>0.10524426809791813</v>
      </c>
      <c r="C62" s="94">
        <f>C61*(C14/C52)</f>
        <v>5.5508888168572516E-2</v>
      </c>
      <c r="E62" s="90">
        <v>3.0889358581599504</v>
      </c>
      <c r="F62" s="90">
        <v>1.8073327384575497E-2</v>
      </c>
      <c r="G62" s="90">
        <v>9.4825201880407509E-2</v>
      </c>
      <c r="H62" s="90">
        <v>0.33322203124097494</v>
      </c>
      <c r="I62" s="16"/>
      <c r="J62" s="16"/>
      <c r="K62" s="16"/>
      <c r="L62" s="11"/>
      <c r="M62" s="12"/>
      <c r="N62" s="12"/>
      <c r="O62" s="12"/>
      <c r="P62" s="12"/>
      <c r="Q62" s="12"/>
      <c r="R62" s="12"/>
      <c r="S62" s="12"/>
      <c r="T62" s="12"/>
      <c r="U62" s="4"/>
      <c r="V62" s="4"/>
      <c r="W62" s="4"/>
      <c r="X62" s="4"/>
      <c r="Y62" s="4"/>
      <c r="Z62" s="4"/>
    </row>
    <row r="63" spans="1:26" s="209" customFormat="1" ht="12.75" customHeight="1" x14ac:dyDescent="0.2">
      <c r="A63" s="90"/>
      <c r="B63" s="90"/>
      <c r="C63" s="90"/>
      <c r="E63" s="90">
        <v>0</v>
      </c>
      <c r="F63" s="90">
        <v>0</v>
      </c>
      <c r="G63" s="90">
        <v>250.22892778684499</v>
      </c>
      <c r="H63" s="90">
        <v>241.43993617161777</v>
      </c>
      <c r="I63" s="16"/>
      <c r="J63" s="16"/>
      <c r="K63" s="16"/>
      <c r="L63" s="11"/>
      <c r="M63" s="12"/>
      <c r="N63" s="12"/>
      <c r="O63" s="12"/>
      <c r="P63" s="12"/>
      <c r="Q63" s="12"/>
      <c r="R63" s="12"/>
      <c r="S63" s="12"/>
      <c r="T63" s="12"/>
      <c r="U63" s="4"/>
      <c r="V63" s="4"/>
      <c r="W63" s="4"/>
      <c r="X63" s="4"/>
      <c r="Y63" s="4"/>
      <c r="Z63" s="4"/>
    </row>
    <row r="64" spans="1:26" s="209" customFormat="1" ht="12.75" customHeight="1" x14ac:dyDescent="0.2">
      <c r="A64" s="90"/>
      <c r="B64" s="90"/>
      <c r="C64" s="90"/>
      <c r="E64" s="82" t="s">
        <v>15</v>
      </c>
      <c r="F64" s="20" t="s">
        <v>16</v>
      </c>
      <c r="G64" s="20" t="s">
        <v>17</v>
      </c>
      <c r="H64" s="20" t="s">
        <v>18</v>
      </c>
      <c r="I64" s="55" t="s">
        <v>174</v>
      </c>
      <c r="J64" s="55" t="s">
        <v>298</v>
      </c>
      <c r="K64" s="55" t="s">
        <v>293</v>
      </c>
      <c r="L64" s="11"/>
      <c r="M64" s="12"/>
      <c r="N64" s="12"/>
      <c r="O64" s="12"/>
      <c r="P64" s="12"/>
      <c r="Q64" s="12"/>
      <c r="R64" s="12"/>
      <c r="S64" s="12"/>
      <c r="T64" s="12"/>
      <c r="U64" s="4"/>
      <c r="V64" s="4"/>
      <c r="W64" s="4"/>
      <c r="X64" s="4"/>
      <c r="Y64" s="4"/>
      <c r="Z64" s="4"/>
    </row>
    <row r="65" spans="1:53" s="209" customFormat="1" ht="12.75" customHeight="1" x14ac:dyDescent="0.2">
      <c r="A65" s="167" t="s">
        <v>286</v>
      </c>
      <c r="B65" s="16"/>
      <c r="C65" s="51" t="s">
        <v>256</v>
      </c>
      <c r="E65" s="30">
        <f>(E62-armss_idle_clocking)*cpuF+E63-(8*E103)-num_ARM_cores_WFI*wfi_per_core*cpuF</f>
        <v>1372.4612087559149</v>
      </c>
      <c r="F65" s="30">
        <f>F62*cpuF+F63-core0_clk_idle_cvdd1</f>
        <v>20.504513240933314</v>
      </c>
      <c r="G65" s="30">
        <f>G62*cpuF+G63</f>
        <v>364.01917004333399</v>
      </c>
      <c r="H65" s="30">
        <f>H62*cpuF+H63+50</f>
        <v>691.3063736607877</v>
      </c>
      <c r="I65" s="30"/>
      <c r="J65" s="30"/>
      <c r="K65" s="30"/>
      <c r="L65" s="11"/>
      <c r="M65" s="23"/>
      <c r="N65" s="23"/>
      <c r="O65" s="23"/>
      <c r="P65" s="23"/>
      <c r="Q65" s="23"/>
      <c r="R65" s="23"/>
      <c r="S65" s="23"/>
      <c r="T65" s="23"/>
      <c r="U65" s="4"/>
      <c r="V65" s="4"/>
      <c r="W65" s="4"/>
      <c r="X65" s="4"/>
      <c r="Y65" s="4"/>
      <c r="Z65" s="4"/>
    </row>
    <row r="66" spans="1:53" s="209" customFormat="1" ht="12.75" customHeight="1" x14ac:dyDescent="0.2">
      <c r="A66" s="167" t="s">
        <v>287</v>
      </c>
      <c r="B66" s="232"/>
      <c r="C66" s="16"/>
      <c r="E66" s="30">
        <f>all_cores_cvdd_idle_clk+ddr3a_cvdd_idle+ddr3b_cvdd_idle+'Calculation sheet'!E186+mcm_idle_tot_cvdd+PCIe_idle_tot_cvdd+XGE_Idle_total_CVDD+NETCP_Idle_CVDD+vcp2_idle_total_cvdd+tcp_idle_total_cvdd+AIF_idle_cvdd+FFTC_Idle_tot_cvdd+USB_total_idle+BCP_total_idle+RAC_clock_cvdd+TAC_total_idle</f>
        <v>2810.2093416928401</v>
      </c>
      <c r="F66" s="30">
        <f>all_cores_cvdd1_idle_clk+'Calculation sheet'!F186+mcm_idle_tot_cvdd1+PCIe_idle_tot_cvdd1+XGE_idle_total_CVDD1+NETCP_IDLE_CVDD1+vcp2_idle_en_cvdd1+TCP3d_idle_tot_cvdd1+AIF_idle_Cvdd1+FFTC_idle_tot_cvdd1+USB_total_idle_CVDD1+'Calculation sheet'!F510+'Calculation sheet'!F523+'Calculation sheet'!F544</f>
        <v>9.7702369644582703</v>
      </c>
      <c r="G66" s="30">
        <f>ddr3a_dvdd15_idle+ddr3b_dvdd15_idle</f>
        <v>330.66890332891001</v>
      </c>
      <c r="H66" s="30">
        <f>0</f>
        <v>0</v>
      </c>
      <c r="I66" s="30">
        <f>USB_tot_idle_dvdd33</f>
        <v>3</v>
      </c>
      <c r="J66" s="30">
        <f>mcm_idle_tot_vddahv+srio_idle_vddahv+pcie_idle_tot_vddahv+xge_idle_tot_vddahv+pa_idle_tot_vddahv+aif2_idle_tot_vddahv</f>
        <v>1230.3549</v>
      </c>
      <c r="K66" s="30">
        <f>mcm_idle_tot_vddalh+srio_idle_vddalh+pcie_idle_tot_vddalh+xge_idle_tot_vddalh+pa_idle_tot_vddalh+aif2_idle_tot_vddalh+I495</f>
        <v>1041.4037000000001</v>
      </c>
      <c r="L66" s="11"/>
      <c r="M66" s="23"/>
      <c r="N66" s="23"/>
      <c r="O66" s="23"/>
      <c r="P66" s="23"/>
      <c r="Q66" s="23"/>
      <c r="R66" s="23"/>
      <c r="S66" s="23"/>
      <c r="T66" s="23"/>
      <c r="U66" s="4"/>
      <c r="V66" s="4"/>
      <c r="W66" s="4"/>
      <c r="X66" s="4"/>
      <c r="Y66" s="4"/>
      <c r="Z66" s="4"/>
    </row>
    <row r="67" spans="1:53" s="209" customFormat="1" ht="12.75" customHeight="1" x14ac:dyDescent="0.2">
      <c r="A67" s="167" t="s">
        <v>24</v>
      </c>
      <c r="C67" s="16"/>
      <c r="E67" s="30">
        <f t="shared" ref="E67:K67" si="2">E65+E66</f>
        <v>4182.6705504487545</v>
      </c>
      <c r="F67" s="30">
        <f t="shared" si="2"/>
        <v>30.274750205391584</v>
      </c>
      <c r="G67" s="30">
        <f t="shared" si="2"/>
        <v>694.68807337224393</v>
      </c>
      <c r="H67" s="30">
        <f t="shared" si="2"/>
        <v>691.3063736607877</v>
      </c>
      <c r="I67" s="30">
        <f t="shared" si="2"/>
        <v>3</v>
      </c>
      <c r="J67" s="30">
        <f t="shared" si="2"/>
        <v>1230.3549</v>
      </c>
      <c r="K67" s="30">
        <f t="shared" si="2"/>
        <v>1041.4037000000001</v>
      </c>
      <c r="L67" s="11"/>
      <c r="M67" s="12"/>
      <c r="N67" s="12"/>
      <c r="O67" s="12"/>
      <c r="P67" s="12"/>
      <c r="Q67" s="12"/>
      <c r="R67" s="12"/>
      <c r="S67" s="12"/>
      <c r="T67" s="12"/>
      <c r="U67" s="4"/>
      <c r="V67" s="4"/>
      <c r="W67" s="4"/>
      <c r="X67" s="4"/>
      <c r="Y67" s="4"/>
      <c r="Z67" s="4"/>
    </row>
    <row r="68" spans="1:53" s="92" customFormat="1" ht="12.75" customHeight="1" x14ac:dyDescent="0.2">
      <c r="A68" s="18"/>
      <c r="B68" s="18"/>
      <c r="C68" s="18"/>
      <c r="D68" s="18"/>
      <c r="E68" s="18"/>
      <c r="F68" s="18"/>
      <c r="G68" s="18"/>
      <c r="H68" s="18"/>
      <c r="I68" s="233"/>
      <c r="J68" s="233"/>
      <c r="K68" s="233"/>
      <c r="L68" s="11"/>
      <c r="M68" s="12"/>
      <c r="N68" s="12"/>
      <c r="O68" s="12"/>
      <c r="P68" s="12"/>
      <c r="Q68" s="12"/>
      <c r="R68" s="12"/>
      <c r="S68" s="12"/>
      <c r="T68" s="12"/>
      <c r="U68" s="4"/>
      <c r="V68" s="4"/>
      <c r="W68" s="4"/>
      <c r="X68" s="4"/>
      <c r="Y68" s="4"/>
      <c r="Z68" s="4"/>
    </row>
    <row r="69" spans="1:53" s="92" customFormat="1" ht="12.75" customHeight="1" x14ac:dyDescent="0.2">
      <c r="A69" s="347" t="s">
        <v>438</v>
      </c>
      <c r="B69" s="18">
        <f>IF(ARM0_en="WFI",1,0)</f>
        <v>0</v>
      </c>
      <c r="C69" s="18"/>
      <c r="D69" s="18"/>
      <c r="E69" s="18"/>
      <c r="F69" s="18"/>
      <c r="G69" s="18"/>
      <c r="H69" s="18"/>
      <c r="I69" s="18"/>
      <c r="J69" s="18"/>
      <c r="K69" s="18"/>
      <c r="L69" s="11"/>
      <c r="M69" s="12"/>
      <c r="N69" s="12"/>
      <c r="O69" s="12"/>
      <c r="P69" s="12"/>
      <c r="Q69" s="12"/>
      <c r="R69" s="12"/>
      <c r="S69" s="12"/>
      <c r="T69" s="12"/>
      <c r="U69" s="4"/>
      <c r="V69" s="4"/>
      <c r="W69" s="4"/>
      <c r="X69" s="4"/>
      <c r="Y69" s="4"/>
      <c r="Z69" s="4"/>
    </row>
    <row r="70" spans="1:53" s="92" customFormat="1" ht="12.75" customHeight="1" x14ac:dyDescent="0.2">
      <c r="A70" s="347" t="s">
        <v>439</v>
      </c>
      <c r="B70" s="350">
        <f>IF(ARM1_en="WFI",1,0)</f>
        <v>0</v>
      </c>
      <c r="C70" s="18"/>
      <c r="D70" s="18"/>
      <c r="E70" s="18"/>
      <c r="F70" s="18"/>
      <c r="G70" s="18"/>
      <c r="H70" s="18"/>
      <c r="I70" s="18"/>
      <c r="J70" s="18"/>
      <c r="K70" s="18"/>
      <c r="L70" s="11"/>
      <c r="M70" s="12"/>
      <c r="N70" s="12"/>
      <c r="O70" s="12"/>
      <c r="P70" s="12"/>
      <c r="Q70" s="12"/>
      <c r="R70" s="12"/>
      <c r="S70" s="12"/>
      <c r="T70" s="12"/>
      <c r="U70" s="4"/>
      <c r="V70" s="4"/>
      <c r="W70" s="4"/>
      <c r="X70" s="4"/>
      <c r="Y70" s="4"/>
      <c r="Z70" s="4"/>
    </row>
    <row r="71" spans="1:53" s="92" customFormat="1" ht="12.75" customHeight="1" x14ac:dyDescent="0.2">
      <c r="A71" s="347" t="s">
        <v>440</v>
      </c>
      <c r="B71" s="350">
        <f>IF(ARM2_en="WFI",1,0)</f>
        <v>0</v>
      </c>
      <c r="C71" s="18"/>
      <c r="D71" s="18"/>
      <c r="E71" s="17"/>
      <c r="F71" s="18"/>
      <c r="G71" s="18"/>
      <c r="H71" s="18"/>
      <c r="I71" s="18"/>
      <c r="J71" s="18"/>
      <c r="K71" s="18"/>
      <c r="L71" s="11"/>
      <c r="M71" s="12"/>
      <c r="N71" s="12"/>
      <c r="O71" s="12"/>
      <c r="P71" s="12"/>
      <c r="Q71" s="12"/>
      <c r="R71" s="12"/>
      <c r="S71" s="12"/>
      <c r="T71" s="12"/>
      <c r="U71" s="4"/>
      <c r="V71" s="4"/>
      <c r="W71" s="4"/>
      <c r="X71" s="4"/>
      <c r="Y71" s="4"/>
      <c r="Z71" s="4"/>
    </row>
    <row r="72" spans="1:53" s="312" customFormat="1" ht="12.75" customHeight="1" x14ac:dyDescent="0.2">
      <c r="A72" s="347" t="s">
        <v>441</v>
      </c>
      <c r="B72" s="350">
        <f>IF(ARM3_en="WFI",1,0)</f>
        <v>0</v>
      </c>
      <c r="C72" s="350"/>
      <c r="D72" s="350"/>
      <c r="E72" s="347"/>
      <c r="F72" s="350"/>
      <c r="G72" s="350"/>
      <c r="H72" s="350"/>
      <c r="I72" s="350"/>
      <c r="J72" s="350"/>
      <c r="K72" s="350"/>
      <c r="L72" s="357"/>
      <c r="M72" s="358"/>
      <c r="N72" s="358"/>
      <c r="O72" s="358"/>
      <c r="P72" s="358"/>
      <c r="Q72" s="358"/>
      <c r="R72" s="358"/>
      <c r="S72" s="358"/>
      <c r="T72" s="358"/>
      <c r="U72" s="4"/>
      <c r="V72" s="4"/>
      <c r="W72" s="4"/>
      <c r="X72" s="4"/>
      <c r="Y72" s="4"/>
      <c r="Z72" s="4"/>
    </row>
    <row r="73" spans="1:53" s="312" customFormat="1" ht="12.75" customHeight="1" x14ac:dyDescent="0.2">
      <c r="A73" s="347" t="s">
        <v>442</v>
      </c>
      <c r="B73" s="350">
        <f>SUM(B69:B72)</f>
        <v>0</v>
      </c>
      <c r="C73" s="350"/>
      <c r="D73" s="350"/>
      <c r="E73" s="347"/>
      <c r="F73" s="350"/>
      <c r="G73" s="350"/>
      <c r="H73" s="350"/>
      <c r="I73" s="350"/>
      <c r="J73" s="350"/>
      <c r="K73" s="350"/>
      <c r="L73" s="357"/>
      <c r="M73" s="358"/>
      <c r="N73" s="358"/>
      <c r="O73" s="358"/>
      <c r="P73" s="358"/>
      <c r="Q73" s="358"/>
      <c r="R73" s="358"/>
      <c r="S73" s="358"/>
      <c r="T73" s="358"/>
      <c r="U73" s="4"/>
      <c r="V73" s="4"/>
      <c r="W73" s="4"/>
      <c r="X73" s="4"/>
      <c r="Y73" s="4"/>
      <c r="Z73" s="4"/>
    </row>
    <row r="74" spans="1:53" s="312" customFormat="1" ht="24.75" customHeight="1" x14ac:dyDescent="0.2">
      <c r="A74" s="359" t="s">
        <v>451</v>
      </c>
      <c r="B74" s="350">
        <f>B75/4</f>
        <v>3.3000000000000002E-2</v>
      </c>
      <c r="C74" s="350"/>
      <c r="D74" s="350"/>
      <c r="E74" s="347"/>
      <c r="F74" s="350"/>
      <c r="G74" s="350"/>
      <c r="H74" s="350"/>
      <c r="I74" s="350"/>
      <c r="J74" s="350"/>
      <c r="K74" s="350"/>
      <c r="L74" s="357"/>
      <c r="M74" s="358"/>
      <c r="N74" s="358"/>
      <c r="O74" s="358"/>
      <c r="P74" s="358"/>
      <c r="Q74" s="358"/>
      <c r="R74" s="358"/>
      <c r="S74" s="358"/>
      <c r="T74" s="358"/>
      <c r="U74" s="4"/>
      <c r="V74" s="4"/>
      <c r="W74" s="4"/>
      <c r="X74" s="4"/>
      <c r="Y74" s="4"/>
      <c r="Z74" s="4"/>
    </row>
    <row r="75" spans="1:53" x14ac:dyDescent="0.2">
      <c r="A75" s="351" t="s">
        <v>452</v>
      </c>
      <c r="B75" s="90">
        <f>IF(ARM_SS_en="Enabled",0.132,0)</f>
        <v>0.13200000000000001</v>
      </c>
    </row>
    <row r="76" spans="1:53" x14ac:dyDescent="0.2">
      <c r="A76" s="90" t="s">
        <v>60</v>
      </c>
      <c r="B76" s="90" t="s">
        <v>60</v>
      </c>
      <c r="H76" s="17"/>
    </row>
    <row r="77" spans="1:53" x14ac:dyDescent="0.2">
      <c r="A77" s="90" t="s">
        <v>66</v>
      </c>
      <c r="B77" s="351" t="s">
        <v>393</v>
      </c>
      <c r="H77" s="18"/>
    </row>
    <row r="78" spans="1:53" x14ac:dyDescent="0.2">
      <c r="B78" s="351" t="s">
        <v>66</v>
      </c>
      <c r="H78" s="18"/>
    </row>
    <row r="79" spans="1:53" ht="15" x14ac:dyDescent="0.25">
      <c r="A79" s="234" t="s">
        <v>229</v>
      </c>
    </row>
    <row r="80" spans="1:53" s="92" customFormat="1" ht="12.75" customHeight="1" x14ac:dyDescent="0.2">
      <c r="A80" s="18"/>
      <c r="B80" s="38" t="s">
        <v>27</v>
      </c>
      <c r="C80" s="38"/>
      <c r="D80" s="99" t="s">
        <v>171</v>
      </c>
      <c r="E80" s="18" t="s">
        <v>32</v>
      </c>
      <c r="F80" s="17"/>
      <c r="G80" s="18"/>
      <c r="H80" s="90"/>
      <c r="I80" s="18"/>
      <c r="J80" s="18"/>
      <c r="K80" s="18"/>
      <c r="L80" s="18"/>
      <c r="M80" s="38" t="s">
        <v>33</v>
      </c>
      <c r="N80" s="38" t="s">
        <v>34</v>
      </c>
      <c r="O80" s="38"/>
      <c r="P80" s="38"/>
      <c r="Q80" s="38"/>
      <c r="R80" s="38"/>
      <c r="S80" s="38"/>
      <c r="T80" s="38"/>
      <c r="U80" s="38"/>
      <c r="V80" s="38" t="s">
        <v>35</v>
      </c>
      <c r="W80" s="38"/>
      <c r="X80" s="38"/>
      <c r="Y80" s="18"/>
      <c r="Z80" s="18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 s="92" customFormat="1" ht="12.75" customHeight="1" x14ac:dyDescent="0.2">
      <c r="A81" s="18" t="s">
        <v>36</v>
      </c>
      <c r="B81" s="18">
        <v>800</v>
      </c>
      <c r="C81" s="18"/>
      <c r="D81" s="99" t="s">
        <v>172</v>
      </c>
      <c r="E81" s="18">
        <f>(1-cpu0_ac_util_per)*100</f>
        <v>50</v>
      </c>
      <c r="F81" s="18"/>
      <c r="H81" s="90"/>
      <c r="I81" s="233"/>
      <c r="J81" s="233"/>
      <c r="K81" s="233"/>
      <c r="L81" s="233" t="s">
        <v>30</v>
      </c>
      <c r="M81" s="65">
        <f>cpu0_ac_util/100*core0_en</f>
        <v>0.5</v>
      </c>
      <c r="N81" s="65">
        <f>cpu0_cc_util/100*core0_en</f>
        <v>0.5</v>
      </c>
      <c r="O81" s="65"/>
      <c r="P81" s="65"/>
      <c r="Q81" s="65"/>
      <c r="R81" s="65"/>
      <c r="S81" s="65"/>
      <c r="T81" s="65"/>
      <c r="U81" s="65"/>
      <c r="V81" s="65">
        <f>1-cpu0_ac_util_per-cpu0_cc_util_per</f>
        <v>0</v>
      </c>
      <c r="W81" s="18"/>
      <c r="X81" s="18"/>
      <c r="Y81" s="18"/>
      <c r="Z81" s="18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 s="92" customFormat="1" ht="12.75" customHeight="1" x14ac:dyDescent="0.2">
      <c r="A82" s="18" t="s">
        <v>37</v>
      </c>
      <c r="B82" s="18">
        <v>1250</v>
      </c>
      <c r="C82" s="18"/>
      <c r="D82" s="99" t="s">
        <v>173</v>
      </c>
      <c r="E82" s="18">
        <f>(1-cpu1_ac_util_per)*100</f>
        <v>50</v>
      </c>
      <c r="F82" s="18"/>
      <c r="H82" s="233"/>
      <c r="I82" s="233"/>
      <c r="J82" s="233"/>
      <c r="K82" s="233"/>
      <c r="L82" s="233" t="s">
        <v>151</v>
      </c>
      <c r="M82" s="65">
        <f>cpu1_ac_util/100*core1_en</f>
        <v>0.5</v>
      </c>
      <c r="N82" s="65">
        <f>cpu1_cc_util/100*core1_en</f>
        <v>0.5</v>
      </c>
      <c r="O82" s="65"/>
      <c r="P82" s="65"/>
      <c r="Q82" s="65"/>
      <c r="R82" s="65"/>
      <c r="S82" s="65"/>
      <c r="T82" s="65"/>
      <c r="U82" s="65"/>
      <c r="V82" s="65">
        <f>1-cpu1_ac_util_per-cpu1_cc_util_per</f>
        <v>0</v>
      </c>
      <c r="W82" s="18"/>
      <c r="X82" s="18"/>
      <c r="Y82" s="18"/>
      <c r="Z82" s="18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 s="92" customFormat="1" ht="12.75" customHeight="1" x14ac:dyDescent="0.2">
      <c r="A83" s="18"/>
      <c r="B83" s="18"/>
      <c r="C83" s="18"/>
      <c r="D83" s="99" t="s">
        <v>47</v>
      </c>
      <c r="E83" s="18">
        <f>(1-cpu2_ac_util_per)*100</f>
        <v>50</v>
      </c>
      <c r="F83" s="18"/>
      <c r="H83" s="233"/>
      <c r="I83" s="233"/>
      <c r="J83" s="233"/>
      <c r="K83" s="233"/>
      <c r="L83" s="233" t="s">
        <v>152</v>
      </c>
      <c r="M83" s="65">
        <f>cpu2_ac_util/100*core2_en</f>
        <v>0.5</v>
      </c>
      <c r="N83" s="65">
        <f>cpu2_cc_util/100*core2_en</f>
        <v>0.5</v>
      </c>
      <c r="O83" s="65"/>
      <c r="P83" s="65"/>
      <c r="Q83" s="65"/>
      <c r="R83" s="65"/>
      <c r="S83" s="65"/>
      <c r="T83" s="65"/>
      <c r="U83" s="65"/>
      <c r="V83" s="65">
        <f>1-cpu2_ac_util_per-cpu2_cc_util_per</f>
        <v>0</v>
      </c>
      <c r="W83" s="18"/>
      <c r="X83" s="18"/>
      <c r="Y83" s="18"/>
      <c r="Z83" s="18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 s="92" customFormat="1" ht="12.75" customHeight="1" x14ac:dyDescent="0.2">
      <c r="A84" s="18"/>
      <c r="B84" s="18"/>
      <c r="C84" s="18"/>
      <c r="D84" s="18"/>
      <c r="E84" s="18">
        <f>(1-cpu3_ac_util_per)*100</f>
        <v>50</v>
      </c>
      <c r="F84" s="18"/>
      <c r="H84" s="233"/>
      <c r="I84" s="233"/>
      <c r="J84" s="233"/>
      <c r="K84" s="233"/>
      <c r="L84" s="233" t="s">
        <v>153</v>
      </c>
      <c r="M84" s="65">
        <f>cpu3_ac_util/100*core3_en</f>
        <v>0.5</v>
      </c>
      <c r="N84" s="65">
        <f>cpu3_cc_util/100*core3_en</f>
        <v>0.5</v>
      </c>
      <c r="O84" s="65"/>
      <c r="P84" s="226"/>
      <c r="Q84" s="226"/>
      <c r="R84" s="65"/>
      <c r="S84" s="65"/>
      <c r="T84" s="65"/>
      <c r="U84" s="65"/>
      <c r="V84" s="65">
        <f>1-cpu3_ac_util_per-cpu3_cc_util_per</f>
        <v>0</v>
      </c>
      <c r="W84" s="18"/>
      <c r="X84" s="18"/>
      <c r="Y84" s="18"/>
      <c r="Z84" s="18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 s="92" customFormat="1" ht="12.75" customHeight="1" x14ac:dyDescent="0.2">
      <c r="A85" s="18"/>
      <c r="B85" s="18"/>
      <c r="C85" s="18"/>
      <c r="D85" s="18"/>
      <c r="E85" s="18">
        <f>(1-cpu4_ac_util_per)*100</f>
        <v>50</v>
      </c>
      <c r="F85" s="18"/>
      <c r="H85" s="233"/>
      <c r="I85" s="233"/>
      <c r="J85" s="233"/>
      <c r="K85" s="233"/>
      <c r="L85" s="233" t="s">
        <v>154</v>
      </c>
      <c r="M85" s="65">
        <f>cpu4_ac_util/100*core4_en</f>
        <v>0.5</v>
      </c>
      <c r="N85" s="65">
        <f>cpu4_cc_util/100*core4_en</f>
        <v>0.5</v>
      </c>
      <c r="O85" s="65"/>
      <c r="P85" s="226"/>
      <c r="Q85" s="226"/>
      <c r="R85" s="90"/>
      <c r="S85" s="65"/>
      <c r="T85" s="65"/>
      <c r="U85" s="65"/>
      <c r="V85" s="65">
        <f>1-cpu4_ac_util_per-cpu4_cc_util_per</f>
        <v>0</v>
      </c>
      <c r="W85" s="18"/>
      <c r="X85" s="18"/>
      <c r="Y85" s="18"/>
      <c r="Z85" s="18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 s="92" customFormat="1" ht="12.75" customHeight="1" x14ac:dyDescent="0.25">
      <c r="A86" s="391" t="s">
        <v>239</v>
      </c>
      <c r="B86" s="391"/>
      <c r="C86" s="391"/>
      <c r="D86" s="18"/>
      <c r="E86" s="18">
        <f>(1-cpu5_ac_util_per)*100</f>
        <v>50</v>
      </c>
      <c r="F86" s="18"/>
      <c r="H86" s="233"/>
      <c r="I86" s="233"/>
      <c r="J86" s="233"/>
      <c r="K86" s="233"/>
      <c r="L86" s="233" t="s">
        <v>155</v>
      </c>
      <c r="M86" s="65">
        <f>cpu5_ac_util/100*core5_en</f>
        <v>0.5</v>
      </c>
      <c r="N86" s="65">
        <f>cpu5_cc_util/100*core5_en</f>
        <v>0.5</v>
      </c>
      <c r="O86" s="65"/>
      <c r="P86" s="235"/>
      <c r="Q86" s="226"/>
      <c r="R86" s="90"/>
      <c r="S86" s="65"/>
      <c r="T86" s="65"/>
      <c r="U86" s="65"/>
      <c r="V86" s="65">
        <f>1-cpu5_ac_util_per-cpu5_cc_util_per</f>
        <v>0</v>
      </c>
      <c r="W86" s="18"/>
      <c r="X86" s="18"/>
      <c r="Y86" s="18"/>
      <c r="Z86" s="18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92" customFormat="1" ht="12.75" customHeight="1" x14ac:dyDescent="0.25">
      <c r="A87" s="391"/>
      <c r="B87" s="391"/>
      <c r="C87" s="391"/>
      <c r="D87" s="18"/>
      <c r="E87" s="18">
        <f>(1-cpu6_ac_util_per)*100</f>
        <v>50</v>
      </c>
      <c r="F87" s="18"/>
      <c r="H87" s="233"/>
      <c r="I87" s="233"/>
      <c r="J87" s="233"/>
      <c r="K87" s="233"/>
      <c r="L87" s="233" t="s">
        <v>156</v>
      </c>
      <c r="M87" s="65">
        <f>cpu6_ac_util/100*core6_en</f>
        <v>0.5</v>
      </c>
      <c r="N87" s="65">
        <f>cpu6_cc_util/100*core6_en</f>
        <v>0.5</v>
      </c>
      <c r="O87" s="65"/>
      <c r="P87" s="235"/>
      <c r="Q87" s="226"/>
      <c r="R87" s="90"/>
      <c r="S87" s="65"/>
      <c r="T87" s="65"/>
      <c r="U87" s="65"/>
      <c r="V87" s="65">
        <f>1-cpu6_ac_util_per-cpu6_cc_util_per</f>
        <v>0</v>
      </c>
      <c r="W87" s="18"/>
      <c r="X87" s="18"/>
      <c r="Y87" s="18"/>
      <c r="Z87" s="18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 s="92" customFormat="1" ht="12.75" customHeight="1" x14ac:dyDescent="0.25">
      <c r="A88" s="391"/>
      <c r="B88" s="391"/>
      <c r="C88" s="391"/>
      <c r="D88" s="18"/>
      <c r="E88" s="18">
        <f>(1-cpu7_ac_util_per)*100</f>
        <v>50</v>
      </c>
      <c r="F88" s="18"/>
      <c r="H88" s="233"/>
      <c r="I88" s="233"/>
      <c r="J88" s="233"/>
      <c r="K88" s="233"/>
      <c r="L88" s="233" t="s">
        <v>157</v>
      </c>
      <c r="M88" s="65">
        <f>cpu7_ac_util/100*core7_en</f>
        <v>0.5</v>
      </c>
      <c r="N88" s="65">
        <f>cpu7_cc_util/100*core7_en</f>
        <v>0.5</v>
      </c>
      <c r="O88" s="65"/>
      <c r="P88" s="235"/>
      <c r="Q88" s="226"/>
      <c r="R88" s="90"/>
      <c r="S88" s="65"/>
      <c r="T88" s="65"/>
      <c r="U88" s="65"/>
      <c r="V88" s="65">
        <f>1-cpu7_ac_util_per-cpu7_cc_util_per</f>
        <v>0</v>
      </c>
      <c r="W88" s="18"/>
      <c r="X88" s="18"/>
      <c r="Y88" s="18"/>
      <c r="Z88" s="18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pans="1:53" s="92" customFormat="1" ht="12.75" customHeight="1" x14ac:dyDescent="0.25">
      <c r="A89" s="391"/>
      <c r="B89" s="391"/>
      <c r="C89" s="391"/>
      <c r="D89" s="21" t="s">
        <v>244</v>
      </c>
      <c r="E89" s="18"/>
      <c r="F89" s="18"/>
      <c r="G89" s="233"/>
      <c r="H89" s="233"/>
      <c r="I89" s="233"/>
      <c r="J89" s="233"/>
      <c r="K89" s="233"/>
      <c r="L89" s="233"/>
      <c r="M89" s="65"/>
      <c r="N89" s="65"/>
      <c r="O89" s="65"/>
      <c r="P89" s="235"/>
      <c r="Q89" s="226"/>
      <c r="R89" s="90"/>
      <c r="S89" s="65"/>
      <c r="T89" s="65"/>
      <c r="U89" s="65"/>
      <c r="V89" s="65"/>
      <c r="W89" s="18"/>
      <c r="X89" s="18"/>
      <c r="Y89" s="18"/>
      <c r="Z89" s="18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pans="1:53" s="92" customFormat="1" ht="12.75" customHeight="1" x14ac:dyDescent="0.25">
      <c r="A90" s="391"/>
      <c r="B90" s="391"/>
      <c r="C90" s="391"/>
      <c r="D90" s="142" t="s">
        <v>245</v>
      </c>
      <c r="E90" s="18"/>
      <c r="F90" s="18"/>
      <c r="G90" s="18"/>
      <c r="H90" s="18"/>
      <c r="I90" s="90"/>
      <c r="J90" s="90"/>
      <c r="M90" s="390" t="s">
        <v>15</v>
      </c>
      <c r="N90" s="390"/>
      <c r="O90" s="236" t="s">
        <v>16</v>
      </c>
      <c r="P90" s="236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spans="1:53" s="92" customFormat="1" ht="12.75" customHeight="1" x14ac:dyDescent="0.25">
      <c r="A91" s="90" t="s">
        <v>236</v>
      </c>
      <c r="B91" s="90" t="s">
        <v>237</v>
      </c>
      <c r="C91" s="18"/>
      <c r="D91" s="90"/>
      <c r="E91" s="137" t="s">
        <v>15</v>
      </c>
      <c r="F91" s="137" t="s">
        <v>16</v>
      </c>
      <c r="G91" s="137" t="s">
        <v>17</v>
      </c>
      <c r="H91" s="136" t="s">
        <v>18</v>
      </c>
      <c r="I91" s="137" t="s">
        <v>240</v>
      </c>
      <c r="J91" s="137" t="s">
        <v>292</v>
      </c>
      <c r="K91" s="137" t="s">
        <v>293</v>
      </c>
      <c r="M91" s="236" t="s">
        <v>242</v>
      </c>
      <c r="N91" s="236" t="s">
        <v>243</v>
      </c>
      <c r="O91" s="236" t="s">
        <v>242</v>
      </c>
      <c r="P91" s="236" t="s">
        <v>243</v>
      </c>
      <c r="Q91" s="39"/>
      <c r="R91" s="39"/>
      <c r="S91" s="39"/>
      <c r="T91" s="237"/>
      <c r="U91" s="18"/>
      <c r="V91" s="18"/>
      <c r="W91" s="18"/>
      <c r="X91" s="18"/>
      <c r="Y91" s="18"/>
      <c r="Z91" s="18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1:53" s="92" customFormat="1" ht="12.75" customHeight="1" x14ac:dyDescent="0.25">
      <c r="A92" s="90" t="s">
        <v>214</v>
      </c>
      <c r="B92" s="90" t="s">
        <v>238</v>
      </c>
      <c r="C92" s="18"/>
      <c r="D92" s="90"/>
      <c r="E92" s="158">
        <f>M92*cpuF+N92</f>
        <v>347.93233738670398</v>
      </c>
      <c r="F92" s="158">
        <f>O92*cpuF+P92</f>
        <v>1.2858235433775853</v>
      </c>
      <c r="G92" s="158">
        <v>0</v>
      </c>
      <c r="H92" s="158">
        <v>0</v>
      </c>
      <c r="I92" s="39">
        <v>0</v>
      </c>
      <c r="J92" s="39">
        <v>0</v>
      </c>
      <c r="K92" s="92">
        <v>0</v>
      </c>
      <c r="M92" s="234">
        <v>0.28366264800592206</v>
      </c>
      <c r="N92" s="234">
        <v>7.5371597795975163</v>
      </c>
      <c r="O92" s="234">
        <v>6.801866562368453E-4</v>
      </c>
      <c r="P92" s="234">
        <v>0.46959955589337099</v>
      </c>
      <c r="Q92" s="39"/>
      <c r="R92" s="39"/>
      <c r="S92" s="39"/>
      <c r="T92" s="237"/>
      <c r="U92" s="18"/>
      <c r="V92" s="18"/>
      <c r="W92" s="18"/>
      <c r="X92" s="18"/>
      <c r="Y92" s="18"/>
      <c r="Z92" s="18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1:53" s="92" customFormat="1" ht="12.75" customHeight="1" x14ac:dyDescent="0.25">
      <c r="A93" s="90" t="s">
        <v>215</v>
      </c>
      <c r="B93" s="90" t="s">
        <v>241</v>
      </c>
      <c r="C93" s="18"/>
      <c r="D93" s="90"/>
      <c r="E93" s="158">
        <f>M93*cpuF+N93</f>
        <v>723.83684466663703</v>
      </c>
      <c r="F93" s="158">
        <f>O93*cpuF+P93</f>
        <v>2.2384480704560445</v>
      </c>
      <c r="G93" s="158">
        <v>0</v>
      </c>
      <c r="H93" s="158">
        <v>0</v>
      </c>
      <c r="I93" s="39">
        <v>0</v>
      </c>
      <c r="J93" s="39">
        <v>0</v>
      </c>
      <c r="K93" s="92">
        <v>0</v>
      </c>
      <c r="M93" s="234">
        <v>0.60056265821054999</v>
      </c>
      <c r="N93" s="234">
        <v>3.1616548139770657</v>
      </c>
      <c r="O93" s="234">
        <v>1.1622055841506601E-3</v>
      </c>
      <c r="P93" s="234">
        <v>0.84380136947525264</v>
      </c>
      <c r="Q93" s="39"/>
      <c r="R93" s="39"/>
      <c r="S93" s="39"/>
      <c r="T93" s="237"/>
      <c r="U93" s="18"/>
      <c r="V93" s="18"/>
      <c r="W93" s="18"/>
      <c r="X93" s="18"/>
      <c r="Y93" s="18"/>
      <c r="Z93" s="18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1:53" s="92" customFormat="1" ht="12.75" customHeight="1" x14ac:dyDescent="0.25">
      <c r="A94" s="90"/>
      <c r="B94" s="90"/>
      <c r="C94" s="16"/>
      <c r="D94" s="39"/>
      <c r="E94" s="39"/>
      <c r="F94" s="39"/>
      <c r="G94" s="39"/>
      <c r="H94" s="39"/>
      <c r="I94" s="39"/>
      <c r="J94" s="39"/>
      <c r="K94" s="236"/>
      <c r="L94" s="236"/>
      <c r="M94" s="236"/>
      <c r="N94" s="236"/>
      <c r="O94" s="39"/>
      <c r="P94" s="39"/>
      <c r="Q94" s="39"/>
      <c r="R94" s="39"/>
      <c r="S94" s="39"/>
      <c r="T94" s="237"/>
      <c r="U94" s="16"/>
      <c r="V94" s="16"/>
      <c r="W94" s="16"/>
      <c r="X94" s="16"/>
      <c r="Y94" s="16"/>
      <c r="Z94" s="16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1:53" s="239" customFormat="1" ht="12.75" customHeight="1" x14ac:dyDescent="0.25">
      <c r="A95" s="150" t="s">
        <v>307</v>
      </c>
      <c r="B95" s="3">
        <f>IF('66AK2H14'!B6="Enabled",1,0)</f>
        <v>1</v>
      </c>
      <c r="C95" s="41"/>
      <c r="D95" s="42" t="s">
        <v>38</v>
      </c>
      <c r="E95" s="42">
        <f t="shared" ref="E95:J95" si="3">(E$93*cpu0_ac_util_per) +(E$92*cpu0_cc_util_per)</f>
        <v>535.88459102667048</v>
      </c>
      <c r="F95" s="42">
        <f t="shared" si="3"/>
        <v>1.7621358069168149</v>
      </c>
      <c r="G95" s="42">
        <f t="shared" si="3"/>
        <v>0</v>
      </c>
      <c r="H95" s="42">
        <f t="shared" si="3"/>
        <v>0</v>
      </c>
      <c r="I95" s="42">
        <f t="shared" si="3"/>
        <v>0</v>
      </c>
      <c r="J95" s="42">
        <f t="shared" si="3"/>
        <v>0</v>
      </c>
      <c r="K95" s="236">
        <v>0</v>
      </c>
      <c r="L95" s="236"/>
      <c r="M95" s="236"/>
      <c r="N95" s="236"/>
      <c r="O95" s="42"/>
      <c r="P95" s="42"/>
      <c r="Q95" s="42"/>
      <c r="R95" s="42"/>
      <c r="S95" s="238"/>
      <c r="T95" s="188"/>
      <c r="U95" s="43"/>
      <c r="V95" s="43"/>
      <c r="W95" s="43"/>
      <c r="X95" s="43"/>
      <c r="Y95" s="43"/>
      <c r="Z95" s="43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</row>
    <row r="96" spans="1:53" s="92" customFormat="1" ht="12.75" customHeight="1" x14ac:dyDescent="0.25">
      <c r="A96" s="150" t="s">
        <v>308</v>
      </c>
      <c r="B96" s="3">
        <f>IF('66AK2H14'!B7="Enabled",1,0)</f>
        <v>1</v>
      </c>
      <c r="C96" s="16"/>
      <c r="D96" s="42" t="s">
        <v>39</v>
      </c>
      <c r="E96" s="42">
        <f t="shared" ref="E96:J96" si="4">(E$93*cpu1_ac_util_per) +(E$92*cpu1_cc_util_per)</f>
        <v>535.88459102667048</v>
      </c>
      <c r="F96" s="42">
        <f t="shared" si="4"/>
        <v>1.7621358069168149</v>
      </c>
      <c r="G96" s="42">
        <f t="shared" si="4"/>
        <v>0</v>
      </c>
      <c r="H96" s="42">
        <f t="shared" si="4"/>
        <v>0</v>
      </c>
      <c r="I96" s="42">
        <f t="shared" si="4"/>
        <v>0</v>
      </c>
      <c r="J96" s="42">
        <f t="shared" si="4"/>
        <v>0</v>
      </c>
      <c r="K96" s="236">
        <v>0</v>
      </c>
      <c r="L96" s="236"/>
      <c r="M96" s="236"/>
      <c r="N96" s="236"/>
      <c r="O96" s="42"/>
      <c r="P96" s="42"/>
      <c r="Q96" s="42"/>
      <c r="R96" s="42"/>
      <c r="S96" s="42"/>
      <c r="T96" s="188"/>
      <c r="U96" s="16"/>
      <c r="V96" s="16"/>
      <c r="W96" s="16"/>
      <c r="X96" s="16"/>
      <c r="Y96" s="16"/>
      <c r="Z96" s="16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1:53" s="92" customFormat="1" ht="12.75" customHeight="1" x14ac:dyDescent="0.25">
      <c r="A97" s="150" t="s">
        <v>309</v>
      </c>
      <c r="B97" s="3">
        <f>IF('66AK2H14'!B8="Enabled",1,0)</f>
        <v>1</v>
      </c>
      <c r="C97" s="18"/>
      <c r="D97" s="42" t="s">
        <v>40</v>
      </c>
      <c r="E97" s="42">
        <f t="shared" ref="E97:J97" si="5">(E$93*cpu2_ac_util_per) +(E$92*cpu2_cc_util_per)</f>
        <v>535.88459102667048</v>
      </c>
      <c r="F97" s="42">
        <f t="shared" si="5"/>
        <v>1.7621358069168149</v>
      </c>
      <c r="G97" s="42">
        <f t="shared" si="5"/>
        <v>0</v>
      </c>
      <c r="H97" s="42">
        <f t="shared" si="5"/>
        <v>0</v>
      </c>
      <c r="I97" s="42">
        <f t="shared" si="5"/>
        <v>0</v>
      </c>
      <c r="J97" s="42">
        <f t="shared" si="5"/>
        <v>0</v>
      </c>
      <c r="K97" s="236">
        <v>0</v>
      </c>
      <c r="L97" s="236"/>
      <c r="M97" s="236"/>
      <c r="N97" s="236"/>
      <c r="O97" s="42"/>
      <c r="P97" s="42"/>
      <c r="Q97" s="42"/>
      <c r="R97" s="42"/>
      <c r="S97" s="42"/>
      <c r="T97" s="188"/>
      <c r="U97" s="18"/>
      <c r="V97" s="18"/>
      <c r="W97" s="18"/>
      <c r="X97" s="18"/>
      <c r="Y97" s="18"/>
      <c r="Z97" s="18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1:53" s="92" customFormat="1" ht="12.75" customHeight="1" x14ac:dyDescent="0.25">
      <c r="A98" s="150" t="s">
        <v>310</v>
      </c>
      <c r="B98" s="3">
        <f>IF('66AK2H14'!B9="Enabled",1,0)</f>
        <v>1</v>
      </c>
      <c r="C98" s="18"/>
      <c r="D98" s="42" t="s">
        <v>41</v>
      </c>
      <c r="E98" s="42">
        <f t="shared" ref="E98:J98" si="6">(E$93*cpu3_ac_util_per) +(E$92*cpu3_cc_util_per)</f>
        <v>535.88459102667048</v>
      </c>
      <c r="F98" s="42">
        <f t="shared" si="6"/>
        <v>1.7621358069168149</v>
      </c>
      <c r="G98" s="42">
        <f t="shared" si="6"/>
        <v>0</v>
      </c>
      <c r="H98" s="42">
        <f t="shared" si="6"/>
        <v>0</v>
      </c>
      <c r="I98" s="42">
        <f t="shared" si="6"/>
        <v>0</v>
      </c>
      <c r="J98" s="42">
        <f t="shared" si="6"/>
        <v>0</v>
      </c>
      <c r="K98" s="236">
        <v>0</v>
      </c>
      <c r="L98" s="236"/>
      <c r="M98" s="236"/>
      <c r="N98" s="236"/>
      <c r="O98" s="42"/>
      <c r="P98" s="42"/>
      <c r="Q98" s="42"/>
      <c r="R98" s="42"/>
      <c r="S98" s="42"/>
      <c r="T98" s="188"/>
      <c r="U98" s="18"/>
      <c r="V98" s="18"/>
      <c r="W98" s="18"/>
      <c r="X98" s="18"/>
      <c r="Y98" s="18"/>
      <c r="Z98" s="18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1:53" s="92" customFormat="1" ht="12.75" customHeight="1" x14ac:dyDescent="0.25">
      <c r="A99" s="150" t="s">
        <v>311</v>
      </c>
      <c r="B99" s="3">
        <f>IF('66AK2H14'!B10="Enabled",1,0)</f>
        <v>1</v>
      </c>
      <c r="C99" s="18"/>
      <c r="D99" s="42" t="s">
        <v>158</v>
      </c>
      <c r="E99" s="42">
        <f>IF(two_core_select=FALSE,(E$93*cpu4_ac_util_per) +(E$92*cpu4_cc_util_per),0)</f>
        <v>535.88459102667048</v>
      </c>
      <c r="F99" s="42">
        <f>IF(two_core_select=FALSE,(F$93*cpu4_ac_util_per) +(F$92*cpu4_cc_util_per),0)</f>
        <v>1.7621358069168149</v>
      </c>
      <c r="G99" s="42">
        <f t="shared" ref="G99:J99" si="7">(G$93*cpu4_ac_util_per) +(G$92*cpu4_cc_util_per)</f>
        <v>0</v>
      </c>
      <c r="H99" s="42">
        <f t="shared" si="7"/>
        <v>0</v>
      </c>
      <c r="I99" s="42">
        <f t="shared" si="7"/>
        <v>0</v>
      </c>
      <c r="J99" s="42">
        <f t="shared" si="7"/>
        <v>0</v>
      </c>
      <c r="K99" s="236">
        <v>0</v>
      </c>
      <c r="L99" s="236"/>
      <c r="M99" s="236"/>
      <c r="N99" s="236"/>
      <c r="O99" s="42"/>
      <c r="P99" s="42"/>
      <c r="Q99" s="42"/>
      <c r="R99" s="42"/>
      <c r="S99" s="42"/>
      <c r="T99" s="188"/>
      <c r="U99" s="18"/>
      <c r="V99" s="18"/>
      <c r="W99" s="18"/>
      <c r="X99" s="18"/>
      <c r="Y99" s="18"/>
      <c r="Z99" s="18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1:53" s="92" customFormat="1" ht="12.75" customHeight="1" x14ac:dyDescent="0.25">
      <c r="A100" s="150" t="s">
        <v>312</v>
      </c>
      <c r="B100" s="3">
        <f>IF('66AK2H14'!B11="Enabled",1,0)</f>
        <v>1</v>
      </c>
      <c r="C100" s="18"/>
      <c r="D100" s="42" t="s">
        <v>159</v>
      </c>
      <c r="E100" s="42">
        <f>IF(two_core_select=FALSE,(E$93*cpu5_ac_util_per) +(E$92*cpu5_cc_util_per),0)</f>
        <v>535.88459102667048</v>
      </c>
      <c r="F100" s="42">
        <f>IF(two_core_select=FALSE,(F$93*cpu5_ac_util_per) +(F$92*cpu5_cc_util_per),0)</f>
        <v>1.7621358069168149</v>
      </c>
      <c r="G100" s="42">
        <f t="shared" ref="G100:J100" si="8">(G$93*cpu5_ac_util_per) +(G$92*cpu5_cc_util_per)</f>
        <v>0</v>
      </c>
      <c r="H100" s="42">
        <f t="shared" si="8"/>
        <v>0</v>
      </c>
      <c r="I100" s="42">
        <f t="shared" si="8"/>
        <v>0</v>
      </c>
      <c r="J100" s="42">
        <f t="shared" si="8"/>
        <v>0</v>
      </c>
      <c r="K100" s="236">
        <v>0</v>
      </c>
      <c r="L100" s="236"/>
      <c r="M100" s="236"/>
      <c r="N100" s="236"/>
      <c r="O100" s="42"/>
      <c r="P100" s="42"/>
      <c r="Q100" s="42"/>
      <c r="R100" s="42"/>
      <c r="S100" s="42"/>
      <c r="T100" s="188"/>
      <c r="U100" s="18"/>
      <c r="V100" s="18"/>
      <c r="W100" s="18"/>
      <c r="X100" s="18"/>
      <c r="Y100" s="18"/>
      <c r="Z100" s="18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1:53" s="92" customFormat="1" ht="12.75" customHeight="1" x14ac:dyDescent="0.25">
      <c r="A101" s="150" t="s">
        <v>313</v>
      </c>
      <c r="B101" s="3">
        <f>IF('66AK2H14'!B12="Enabled",1,0)</f>
        <v>1</v>
      </c>
      <c r="C101" s="18"/>
      <c r="D101" s="42" t="s">
        <v>160</v>
      </c>
      <c r="E101" s="42">
        <f>IF(two_core_select=FALSE,(E$93*cpu6_ac_util_per) +(E$92*cpu6_cc_util_per),0)</f>
        <v>535.88459102667048</v>
      </c>
      <c r="F101" s="42">
        <f>IF(two_core_select=FALSE,(F$93*cpu6_ac_util_per) +(F$92*cpu6_cc_util_per),0)</f>
        <v>1.7621358069168149</v>
      </c>
      <c r="G101" s="42">
        <f t="shared" ref="G101:J101" si="9">(G$93*cpu6_ac_util_per) +(G$92*cpu6_cc_util_per)</f>
        <v>0</v>
      </c>
      <c r="H101" s="42">
        <f t="shared" si="9"/>
        <v>0</v>
      </c>
      <c r="I101" s="42">
        <f t="shared" si="9"/>
        <v>0</v>
      </c>
      <c r="J101" s="42">
        <f t="shared" si="9"/>
        <v>0</v>
      </c>
      <c r="K101" s="236">
        <v>0</v>
      </c>
      <c r="L101" s="236"/>
      <c r="M101" s="236"/>
      <c r="N101" s="236"/>
      <c r="O101" s="42"/>
      <c r="P101" s="42"/>
      <c r="Q101" s="42"/>
      <c r="R101" s="42"/>
      <c r="S101" s="42"/>
      <c r="T101" s="188"/>
      <c r="U101" s="18"/>
      <c r="V101" s="18"/>
      <c r="W101" s="18"/>
      <c r="X101" s="18"/>
      <c r="Y101" s="18"/>
      <c r="Z101" s="18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1:53" s="92" customFormat="1" ht="12.75" customHeight="1" x14ac:dyDescent="0.25">
      <c r="A102" s="150" t="s">
        <v>314</v>
      </c>
      <c r="B102" s="3">
        <f>IF('66AK2H14'!B13="Enabled",1,0)</f>
        <v>1</v>
      </c>
      <c r="C102" s="18"/>
      <c r="D102" s="42" t="s">
        <v>161</v>
      </c>
      <c r="E102" s="42">
        <f>IF(two_core_select=FALSE,(E$93*cpu7_ac_util_per) +(E$92*cpu7_cc_util_per),0)</f>
        <v>535.88459102667048</v>
      </c>
      <c r="F102" s="42">
        <f>IF(two_core_select=FALSE,(F$93*cpu7_ac_util_per) +(F$92*cpu7_cc_util_per),0)</f>
        <v>1.7621358069168149</v>
      </c>
      <c r="G102" s="42">
        <f t="shared" ref="G102:J102" si="10">(G$93*cpu7_ac_util_per) +(G$92*cpu7_cc_util_per)</f>
        <v>0</v>
      </c>
      <c r="H102" s="42">
        <f t="shared" si="10"/>
        <v>0</v>
      </c>
      <c r="I102" s="42">
        <f t="shared" si="10"/>
        <v>0</v>
      </c>
      <c r="J102" s="42">
        <f t="shared" si="10"/>
        <v>0</v>
      </c>
      <c r="K102" s="236">
        <v>0</v>
      </c>
      <c r="L102" s="236"/>
      <c r="M102" s="236"/>
      <c r="N102" s="236"/>
      <c r="O102" s="42"/>
      <c r="P102" s="42"/>
      <c r="Q102" s="42"/>
      <c r="R102" s="42"/>
      <c r="S102" s="42"/>
      <c r="T102" s="188"/>
      <c r="U102" s="18"/>
      <c r="V102" s="18"/>
      <c r="W102" s="18"/>
      <c r="X102" s="18"/>
      <c r="Y102" s="18"/>
      <c r="Z102" s="18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1:53" s="92" customFormat="1" ht="12.75" customHeight="1" x14ac:dyDescent="0.25">
      <c r="A103" s="150"/>
      <c r="B103" s="3"/>
      <c r="C103" s="18"/>
      <c r="D103" s="188" t="s">
        <v>408</v>
      </c>
      <c r="E103" s="188">
        <f>M103*cpuF+N103</f>
        <v>271.98272762950319</v>
      </c>
      <c r="F103" s="188">
        <f>O103*cpuF+P103</f>
        <v>1.1834796205572835</v>
      </c>
      <c r="G103" s="188"/>
      <c r="H103" s="188"/>
      <c r="I103" s="188"/>
      <c r="J103" s="188"/>
      <c r="K103" s="236"/>
      <c r="L103" s="236"/>
      <c r="M103" s="234">
        <v>0.22665227302458599</v>
      </c>
      <c r="N103" s="234">
        <v>0</v>
      </c>
      <c r="O103" s="234">
        <v>9.8623301713106955E-4</v>
      </c>
      <c r="P103" s="234">
        <v>0</v>
      </c>
      <c r="Q103" s="188"/>
      <c r="R103" s="188"/>
      <c r="S103" s="188"/>
      <c r="T103" s="188"/>
      <c r="U103" s="18"/>
      <c r="V103" s="18"/>
      <c r="W103" s="18"/>
      <c r="X103" s="18"/>
      <c r="Y103" s="18"/>
      <c r="Z103" s="18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1:53" s="92" customFormat="1" ht="12.75" customHeight="1" x14ac:dyDescent="0.25">
      <c r="A104" s="150"/>
      <c r="B104" s="3"/>
      <c r="C104" s="18"/>
      <c r="D104" s="188" t="s">
        <v>400</v>
      </c>
      <c r="E104" s="188">
        <f>core0_en*E$103</f>
        <v>271.98272762950319</v>
      </c>
      <c r="F104" s="188">
        <f>core0_en*F$103</f>
        <v>1.1834796205572835</v>
      </c>
      <c r="G104" s="188"/>
      <c r="H104" s="188"/>
      <c r="I104" s="188"/>
      <c r="J104" s="188"/>
      <c r="K104" s="236"/>
      <c r="L104" s="236"/>
      <c r="M104" s="236"/>
      <c r="N104" s="236"/>
      <c r="O104" s="188"/>
      <c r="P104" s="188"/>
      <c r="Q104" s="188"/>
      <c r="R104" s="188"/>
      <c r="S104" s="188"/>
      <c r="T104" s="188"/>
      <c r="U104" s="18"/>
      <c r="V104" s="18"/>
      <c r="W104" s="18"/>
      <c r="X104" s="18"/>
      <c r="Y104" s="18"/>
      <c r="Z104" s="18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1:53" s="92" customFormat="1" ht="12.75" customHeight="1" x14ac:dyDescent="0.25">
      <c r="A105" s="150"/>
      <c r="B105" s="3"/>
      <c r="C105" s="18"/>
      <c r="D105" s="188" t="s">
        <v>401</v>
      </c>
      <c r="E105" s="188">
        <f>core1_en*E$103</f>
        <v>271.98272762950319</v>
      </c>
      <c r="F105" s="188">
        <f>core1_en*F$103</f>
        <v>1.1834796205572835</v>
      </c>
      <c r="G105" s="188"/>
      <c r="H105" s="188"/>
      <c r="I105" s="188"/>
      <c r="J105" s="188"/>
      <c r="K105" s="236"/>
      <c r="L105" s="236"/>
      <c r="M105" s="236"/>
      <c r="N105" s="236"/>
      <c r="O105" s="188"/>
      <c r="P105" s="188"/>
      <c r="Q105" s="188"/>
      <c r="R105" s="188"/>
      <c r="S105" s="188"/>
      <c r="T105" s="188"/>
      <c r="U105" s="18"/>
      <c r="V105" s="18"/>
      <c r="W105" s="18"/>
      <c r="X105" s="18"/>
      <c r="Y105" s="18"/>
      <c r="Z105" s="18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1:53" s="92" customFormat="1" ht="12.75" customHeight="1" x14ac:dyDescent="0.25">
      <c r="A106" s="150"/>
      <c r="B106" s="3"/>
      <c r="C106" s="18"/>
      <c r="D106" s="188" t="s">
        <v>402</v>
      </c>
      <c r="E106" s="188">
        <f>core2_en*E$103</f>
        <v>271.98272762950319</v>
      </c>
      <c r="F106" s="188">
        <f>core2_en*F$103</f>
        <v>1.1834796205572835</v>
      </c>
      <c r="G106" s="188"/>
      <c r="H106" s="188"/>
      <c r="I106" s="188"/>
      <c r="J106" s="188"/>
      <c r="K106" s="236"/>
      <c r="L106" s="236"/>
      <c r="M106" s="236"/>
      <c r="N106" s="236"/>
      <c r="O106" s="188"/>
      <c r="P106" s="188"/>
      <c r="Q106" s="188"/>
      <c r="R106" s="188"/>
      <c r="S106" s="188"/>
      <c r="T106" s="188"/>
      <c r="U106" s="18"/>
      <c r="V106" s="18"/>
      <c r="W106" s="18"/>
      <c r="X106" s="18"/>
      <c r="Y106" s="18"/>
      <c r="Z106" s="18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1:53" s="92" customFormat="1" ht="12.75" customHeight="1" x14ac:dyDescent="0.25">
      <c r="A107" s="150"/>
      <c r="B107" s="3"/>
      <c r="C107" s="18"/>
      <c r="D107" s="188" t="s">
        <v>403</v>
      </c>
      <c r="E107" s="188">
        <f>core3_en*E$103</f>
        <v>271.98272762950319</v>
      </c>
      <c r="F107" s="188">
        <f>core3_en*F$103</f>
        <v>1.1834796205572835</v>
      </c>
      <c r="G107" s="392" t="s">
        <v>410</v>
      </c>
      <c r="H107" s="392"/>
      <c r="I107" s="392"/>
      <c r="J107" s="392"/>
      <c r="K107" s="392"/>
      <c r="L107" s="393"/>
      <c r="M107" s="236"/>
      <c r="N107" s="236"/>
      <c r="O107" s="188"/>
      <c r="P107" s="188"/>
      <c r="Q107" s="188"/>
      <c r="R107" s="188"/>
      <c r="S107" s="188"/>
      <c r="T107" s="188"/>
      <c r="U107" s="18"/>
      <c r="V107" s="18"/>
      <c r="W107" s="18"/>
      <c r="X107" s="18"/>
      <c r="Y107" s="18"/>
      <c r="Z107" s="18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1:53" s="92" customFormat="1" ht="12.75" customHeight="1" x14ac:dyDescent="0.25">
      <c r="A108" s="150"/>
      <c r="B108" s="3"/>
      <c r="C108" s="18"/>
      <c r="D108" s="188" t="s">
        <v>404</v>
      </c>
      <c r="E108" s="188">
        <f>IF(two_core_select=FALSE,core4_en*E$103,0)</f>
        <v>271.98272762950319</v>
      </c>
      <c r="F108" s="188">
        <f>IF(two_core_select=FALSE,core4_en*F$103,0)</f>
        <v>1.1834796205572835</v>
      </c>
      <c r="G108" s="188"/>
      <c r="H108" s="188"/>
      <c r="I108" s="188"/>
      <c r="J108" s="188"/>
      <c r="K108" s="236"/>
      <c r="L108" s="236"/>
      <c r="M108" s="236"/>
      <c r="N108" s="236"/>
      <c r="O108" s="188"/>
      <c r="P108" s="188"/>
      <c r="Q108" s="188"/>
      <c r="R108" s="188"/>
      <c r="S108" s="188"/>
      <c r="T108" s="188"/>
      <c r="U108" s="18"/>
      <c r="V108" s="18"/>
      <c r="W108" s="18"/>
      <c r="X108" s="18"/>
      <c r="Y108" s="18"/>
      <c r="Z108" s="18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1:53" s="92" customFormat="1" ht="12.75" customHeight="1" x14ac:dyDescent="0.25">
      <c r="A109" s="150"/>
      <c r="B109" s="3"/>
      <c r="C109" s="18"/>
      <c r="D109" s="188" t="s">
        <v>405</v>
      </c>
      <c r="E109" s="188">
        <f>IF(two_core_select=FALSE,core5_en*E$103,0)</f>
        <v>271.98272762950319</v>
      </c>
      <c r="F109" s="188">
        <f>IF(two_core_select=FALSE,core5_en*F$103,0)</f>
        <v>1.1834796205572835</v>
      </c>
      <c r="G109" s="188"/>
      <c r="H109" s="188"/>
      <c r="I109" s="188"/>
      <c r="J109" s="188"/>
      <c r="K109" s="236"/>
      <c r="L109" s="236"/>
      <c r="M109" s="236"/>
      <c r="N109" s="236"/>
      <c r="O109" s="188"/>
      <c r="P109" s="188"/>
      <c r="Q109" s="188"/>
      <c r="R109" s="188"/>
      <c r="S109" s="188"/>
      <c r="T109" s="188"/>
      <c r="U109" s="18"/>
      <c r="V109" s="18"/>
      <c r="W109" s="18"/>
      <c r="X109" s="18"/>
      <c r="Y109" s="18"/>
      <c r="Z109" s="18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1:53" s="92" customFormat="1" ht="12.75" customHeight="1" x14ac:dyDescent="0.25">
      <c r="A110" s="150"/>
      <c r="B110" s="3"/>
      <c r="C110" s="18"/>
      <c r="D110" s="188" t="s">
        <v>406</v>
      </c>
      <c r="E110" s="188">
        <f>IF(two_core_select=FALSE,core6_en*E$103,0)</f>
        <v>271.98272762950319</v>
      </c>
      <c r="F110" s="349">
        <f>IF(two_core_select=FALSE,core6_en*F$103,0)</f>
        <v>1.1834796205572835</v>
      </c>
      <c r="G110" s="188"/>
      <c r="H110" s="188"/>
      <c r="I110" s="188"/>
      <c r="J110" s="188"/>
      <c r="K110" s="236"/>
      <c r="L110" s="236"/>
      <c r="M110" s="236"/>
      <c r="N110" s="236"/>
      <c r="O110" s="188"/>
      <c r="P110" s="188"/>
      <c r="Q110" s="188"/>
      <c r="R110" s="188"/>
      <c r="S110" s="188"/>
      <c r="T110" s="188"/>
      <c r="U110" s="18"/>
      <c r="V110" s="18"/>
      <c r="W110" s="18"/>
      <c r="X110" s="18"/>
      <c r="Y110" s="18"/>
      <c r="Z110" s="18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1:53" s="92" customFormat="1" ht="12.75" customHeight="1" x14ac:dyDescent="0.25">
      <c r="A111" s="150"/>
      <c r="B111" s="3"/>
      <c r="C111" s="18"/>
      <c r="D111" s="188" t="s">
        <v>407</v>
      </c>
      <c r="E111" s="188">
        <f>IF(two_core_select=FALSE,core7_en*E$103,0)</f>
        <v>271.98272762950319</v>
      </c>
      <c r="F111" s="188">
        <f>IF(two_core_select=FALSE,core7_en*F$103,0)</f>
        <v>1.1834796205572835</v>
      </c>
      <c r="G111" s="188"/>
      <c r="H111" s="188"/>
      <c r="I111" s="188"/>
      <c r="J111" s="188"/>
      <c r="K111" s="236"/>
      <c r="L111" s="236"/>
      <c r="M111" s="236"/>
      <c r="N111" s="236"/>
      <c r="O111" s="188"/>
      <c r="P111" s="188"/>
      <c r="Q111" s="188"/>
      <c r="R111" s="188"/>
      <c r="S111" s="188"/>
      <c r="T111" s="188"/>
      <c r="U111" s="18"/>
      <c r="V111" s="18"/>
      <c r="W111" s="18"/>
      <c r="X111" s="18"/>
      <c r="Y111" s="18"/>
      <c r="Z111" s="18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1:53" s="92" customFormat="1" ht="12.75" customHeight="1" thickBot="1" x14ac:dyDescent="0.25">
      <c r="A112" s="18"/>
      <c r="B112" s="18"/>
      <c r="C112" s="18"/>
      <c r="D112" s="17" t="s">
        <v>409</v>
      </c>
      <c r="E112" s="18">
        <f>SUM(E104:E111)</f>
        <v>2175.8618210360255</v>
      </c>
      <c r="F112" s="18">
        <f>SUM(F104:F111)</f>
        <v>9.4678369644582698</v>
      </c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spans="1:53" s="92" customFormat="1" ht="12.75" customHeight="1" x14ac:dyDescent="0.2">
      <c r="A113" s="45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240"/>
      <c r="N113" s="46"/>
      <c r="O113" s="46"/>
      <c r="P113" s="46"/>
      <c r="Q113" s="46"/>
      <c r="R113" s="46"/>
      <c r="S113" s="46"/>
      <c r="T113" s="46"/>
      <c r="U113" s="46"/>
      <c r="V113" s="46"/>
      <c r="W113" s="241"/>
      <c r="X113" s="242"/>
      <c r="Y113" s="18"/>
      <c r="Z113" s="18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</row>
    <row r="114" spans="1:53" s="92" customFormat="1" ht="12.75" customHeight="1" thickBot="1" x14ac:dyDescent="0.25">
      <c r="A114" s="47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243"/>
      <c r="N114" s="48"/>
      <c r="O114" s="48"/>
      <c r="P114" s="48"/>
      <c r="Q114" s="48"/>
      <c r="R114" s="48"/>
      <c r="S114" s="48"/>
      <c r="T114" s="48"/>
      <c r="U114" s="48"/>
      <c r="V114" s="48"/>
      <c r="W114" s="244"/>
      <c r="X114" s="242"/>
      <c r="Y114" s="18"/>
      <c r="Z114" s="18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spans="1:53" s="92" customFormat="1" ht="12.75" customHeight="1" x14ac:dyDescent="0.2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7" spans="1:53" ht="15" x14ac:dyDescent="0.25">
      <c r="A117" s="234" t="s">
        <v>232</v>
      </c>
    </row>
    <row r="118" spans="1:53" s="92" customFormat="1" ht="12.75" customHeight="1" x14ac:dyDescent="0.2">
      <c r="A118" s="245"/>
      <c r="B118" s="95"/>
      <c r="C118" s="95"/>
      <c r="D118" s="95"/>
      <c r="E118" s="95"/>
      <c r="I118" s="95"/>
      <c r="J118" s="95"/>
    </row>
    <row r="119" spans="1:53" s="92" customFormat="1" ht="12.75" customHeight="1" x14ac:dyDescent="0.25">
      <c r="A119" s="245"/>
      <c r="B119" s="246" t="s">
        <v>246</v>
      </c>
      <c r="C119" s="246"/>
      <c r="D119" s="95"/>
      <c r="E119" s="95"/>
      <c r="F119" s="95"/>
      <c r="G119" s="95"/>
      <c r="H119" s="95"/>
      <c r="I119" s="95"/>
      <c r="J119" s="95"/>
      <c r="K119" s="390" t="s">
        <v>15</v>
      </c>
      <c r="L119" s="390"/>
      <c r="M119" s="390" t="s">
        <v>16</v>
      </c>
      <c r="N119" s="390"/>
    </row>
    <row r="120" spans="1:53" s="92" customFormat="1" ht="12.75" customHeight="1" x14ac:dyDescent="0.25">
      <c r="A120" s="247" t="s">
        <v>236</v>
      </c>
      <c r="B120" s="136" t="s">
        <v>237</v>
      </c>
      <c r="C120" s="125"/>
      <c r="D120" s="125"/>
      <c r="E120" s="84" t="s">
        <v>15</v>
      </c>
      <c r="F120" s="39" t="s">
        <v>16</v>
      </c>
      <c r="G120" s="137" t="s">
        <v>17</v>
      </c>
      <c r="H120" s="136" t="s">
        <v>18</v>
      </c>
      <c r="I120" s="137" t="s">
        <v>240</v>
      </c>
      <c r="J120" s="137" t="s">
        <v>175</v>
      </c>
      <c r="K120" s="236" t="s">
        <v>242</v>
      </c>
      <c r="L120" s="236" t="s">
        <v>243</v>
      </c>
      <c r="M120" s="236" t="s">
        <v>242</v>
      </c>
      <c r="N120" s="236" t="s">
        <v>243</v>
      </c>
      <c r="O120" s="248" t="s">
        <v>414</v>
      </c>
      <c r="Z120" s="73"/>
    </row>
    <row r="121" spans="1:53" s="92" customFormat="1" ht="12.75" customHeight="1" x14ac:dyDescent="0.25">
      <c r="A121" s="95" t="s">
        <v>248</v>
      </c>
      <c r="B121" s="249" t="s">
        <v>249</v>
      </c>
      <c r="C121" s="125"/>
      <c r="D121" s="125"/>
      <c r="E121" s="134">
        <f>(K121*ARM_cpuF+L121)*ARM_SS_status*$O$121</f>
        <v>961.55815302579947</v>
      </c>
      <c r="F121" s="134">
        <f>(M121*ARM_cpuF+N121)*ARM_SS_status*$P$121</f>
        <v>13.895530478323019</v>
      </c>
      <c r="G121" s="134">
        <v>0</v>
      </c>
      <c r="H121" s="134">
        <v>0</v>
      </c>
      <c r="I121" s="125">
        <v>0</v>
      </c>
      <c r="J121" s="125">
        <v>0</v>
      </c>
      <c r="K121" s="234">
        <v>0.85853406520160658</v>
      </c>
      <c r="L121" s="234">
        <v>0</v>
      </c>
      <c r="M121" s="234">
        <v>4.9626894565439356E-3</v>
      </c>
      <c r="N121" s="234">
        <v>0</v>
      </c>
      <c r="O121" s="250">
        <v>0.8</v>
      </c>
      <c r="P121" s="250">
        <v>2</v>
      </c>
      <c r="Z121" s="73"/>
    </row>
    <row r="122" spans="1:53" s="92" customFormat="1" ht="12.75" customHeight="1" x14ac:dyDescent="0.25">
      <c r="A122" s="95" t="s">
        <v>247</v>
      </c>
      <c r="B122" s="136" t="s">
        <v>250</v>
      </c>
      <c r="C122" s="125"/>
      <c r="D122" s="125"/>
      <c r="E122" s="125">
        <f>K122*ARM_cpuF+L122</f>
        <v>405.76171914515118</v>
      </c>
      <c r="F122" s="125">
        <f>M122*ARM_cpuF+N122</f>
        <v>2.6567550171157652</v>
      </c>
      <c r="G122" s="125">
        <v>0</v>
      </c>
      <c r="H122" s="125">
        <v>0</v>
      </c>
      <c r="I122" s="125">
        <v>0</v>
      </c>
      <c r="J122" s="125">
        <v>0</v>
      </c>
      <c r="K122" s="234">
        <v>0.28982979938939368</v>
      </c>
      <c r="L122" s="234">
        <v>0</v>
      </c>
      <c r="M122" s="234">
        <v>1.8976821550826895E-3</v>
      </c>
      <c r="N122" s="234">
        <v>0</v>
      </c>
      <c r="Z122" s="73"/>
    </row>
    <row r="123" spans="1:53" s="92" customFormat="1" ht="12.75" customHeight="1" x14ac:dyDescent="0.25">
      <c r="A123" s="95"/>
      <c r="B123" s="125"/>
      <c r="C123" s="125"/>
      <c r="D123" s="136" t="s">
        <v>38</v>
      </c>
      <c r="E123" s="125">
        <f>IF(ARM0_en="Enabled",E121*ARM_util_0/100,0)</f>
        <v>961.55815302579936</v>
      </c>
      <c r="F123" s="125">
        <f>IF(ARM0_en="Enabled",F121*ARM_util_0/100,0)</f>
        <v>13.895530478323019</v>
      </c>
      <c r="G123" s="125">
        <f t="shared" ref="G123:J123" si="11">G121*ARM_util_0/100</f>
        <v>0</v>
      </c>
      <c r="H123" s="125">
        <f t="shared" si="11"/>
        <v>0</v>
      </c>
      <c r="I123" s="125">
        <f t="shared" si="11"/>
        <v>0</v>
      </c>
      <c r="J123" s="125">
        <f t="shared" si="11"/>
        <v>0</v>
      </c>
      <c r="K123" s="234"/>
      <c r="L123" s="234"/>
      <c r="M123" s="234"/>
      <c r="N123" s="234"/>
      <c r="Z123" s="73"/>
    </row>
    <row r="124" spans="1:53" s="92" customFormat="1" ht="12.75" customHeight="1" x14ac:dyDescent="0.2">
      <c r="A124" s="17" t="s">
        <v>392</v>
      </c>
      <c r="D124" s="136" t="s">
        <v>39</v>
      </c>
      <c r="E124" s="125">
        <f>IF(ARM1_en="Enabled",E121*ARM_util_1/100,0)</f>
        <v>961.55815302579936</v>
      </c>
      <c r="F124" s="125">
        <f>IF(ARM1_en="Enabled",F121*ARM_util_1/100,0)</f>
        <v>13.895530478323019</v>
      </c>
      <c r="G124" s="125">
        <f t="shared" ref="G124:J124" si="12">G121*ARM_util_1/100</f>
        <v>0</v>
      </c>
      <c r="H124" s="125">
        <f t="shared" si="12"/>
        <v>0</v>
      </c>
      <c r="I124" s="125">
        <f t="shared" si="12"/>
        <v>0</v>
      </c>
      <c r="J124" s="125">
        <f t="shared" si="12"/>
        <v>0</v>
      </c>
    </row>
    <row r="125" spans="1:53" s="92" customFormat="1" ht="12.75" customHeight="1" x14ac:dyDescent="0.2">
      <c r="A125" s="183">
        <f>IF(ARM_SS_en="Enabled",1,0)</f>
        <v>1</v>
      </c>
      <c r="D125" s="136" t="s">
        <v>40</v>
      </c>
      <c r="E125" s="125">
        <f>IF(two_core_select=FALSE, IF(ARM2_en="Enabled",E121*ARM_util_2/100,0),0)</f>
        <v>961.55815302579936</v>
      </c>
      <c r="F125" s="125">
        <f>IF(two_core_select=FALSE,IF(ARM2_en="Enabled",F121*ARM_util_2/100,0),0)</f>
        <v>13.895530478323019</v>
      </c>
      <c r="G125" s="125">
        <f t="shared" ref="G125:J125" si="13">G121*ARM_util_2/100</f>
        <v>0</v>
      </c>
      <c r="H125" s="125">
        <f t="shared" si="13"/>
        <v>0</v>
      </c>
      <c r="I125" s="125">
        <f t="shared" si="13"/>
        <v>0</v>
      </c>
      <c r="J125" s="125">
        <f t="shared" si="13"/>
        <v>0</v>
      </c>
    </row>
    <row r="126" spans="1:53" s="92" customFormat="1" ht="12.75" customHeight="1" x14ac:dyDescent="0.2">
      <c r="A126" s="95"/>
      <c r="D126" s="136" t="s">
        <v>41</v>
      </c>
      <c r="E126" s="125">
        <f>IF(two_core_select=FALSE,IF(ARM3_en="Enabled",E121*ARM_util_3/100,0),0)</f>
        <v>961.55815302579936</v>
      </c>
      <c r="F126" s="125">
        <f>IF(two_core_select=FALSE,IF(ARM3_en="Enabled",F121*ARM_util_3/100,0),0)</f>
        <v>13.895530478323019</v>
      </c>
      <c r="G126" s="125">
        <f t="shared" ref="G126:J126" si="14">G121*ARM_util_3/100</f>
        <v>0</v>
      </c>
      <c r="H126" s="125">
        <f t="shared" si="14"/>
        <v>0</v>
      </c>
      <c r="I126" s="125">
        <f t="shared" si="14"/>
        <v>0</v>
      </c>
      <c r="J126" s="125">
        <f t="shared" si="14"/>
        <v>0</v>
      </c>
    </row>
    <row r="127" spans="1:53" s="92" customFormat="1" ht="12.75" customHeight="1" x14ac:dyDescent="0.2">
      <c r="A127" s="95"/>
    </row>
    <row r="128" spans="1:53" s="92" customFormat="1" ht="12.75" customHeight="1" x14ac:dyDescent="0.2">
      <c r="A128" s="95"/>
    </row>
    <row r="129" spans="1:16337" s="92" customFormat="1" ht="12.75" customHeight="1" x14ac:dyDescent="0.25">
      <c r="A129" s="95"/>
      <c r="B129" s="234" t="s">
        <v>397</v>
      </c>
      <c r="C129" s="234"/>
      <c r="D129" s="234">
        <v>100</v>
      </c>
    </row>
    <row r="130" spans="1:16337" s="92" customFormat="1" ht="12.75" customHeight="1" x14ac:dyDescent="0.2">
      <c r="A130" s="95"/>
      <c r="B130" s="90"/>
    </row>
    <row r="131" spans="1:16337" s="92" customFormat="1" ht="12.75" customHeight="1" x14ac:dyDescent="0.2">
      <c r="A131" s="95"/>
      <c r="B131" s="90"/>
    </row>
    <row r="132" spans="1:16337" s="92" customFormat="1" ht="12.75" customHeight="1" x14ac:dyDescent="0.2">
      <c r="A132" s="95"/>
      <c r="B132" s="99" t="s">
        <v>221</v>
      </c>
      <c r="C132" s="38" t="s">
        <v>27</v>
      </c>
      <c r="D132" s="95"/>
      <c r="E132" s="99" t="s">
        <v>218</v>
      </c>
      <c r="F132" s="99" t="s">
        <v>219</v>
      </c>
      <c r="G132" s="99" t="s">
        <v>222</v>
      </c>
      <c r="H132" s="95"/>
      <c r="I132" s="95"/>
      <c r="J132" s="95"/>
    </row>
    <row r="133" spans="1:16337" s="92" customFormat="1" ht="12.75" customHeight="1" x14ac:dyDescent="0.25">
      <c r="A133" s="234" t="s">
        <v>233</v>
      </c>
      <c r="B133" s="65">
        <f>1-ddra_writes_per</f>
        <v>0.5</v>
      </c>
      <c r="C133" s="18">
        <v>400</v>
      </c>
      <c r="D133" s="95"/>
      <c r="E133" s="65">
        <f>ddrA_util/100</f>
        <v>1</v>
      </c>
      <c r="F133" s="65">
        <f>ddra_writes/100</f>
        <v>0.5</v>
      </c>
      <c r="G133" s="65">
        <f>univ_sw/100</f>
        <v>1</v>
      </c>
      <c r="H133" s="95"/>
      <c r="I133" s="95"/>
      <c r="J133" s="95"/>
    </row>
    <row r="134" spans="1:16337" s="92" customFormat="1" ht="12.75" customHeight="1" x14ac:dyDescent="0.2">
      <c r="A134" s="251">
        <v>41612</v>
      </c>
      <c r="B134" s="99" t="s">
        <v>223</v>
      </c>
      <c r="C134" s="18">
        <v>800</v>
      </c>
      <c r="D134" s="251"/>
      <c r="E134" s="99" t="s">
        <v>220</v>
      </c>
      <c r="F134" s="99" t="s">
        <v>225</v>
      </c>
      <c r="G134" s="99" t="s">
        <v>224</v>
      </c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  <c r="AA134" s="251"/>
      <c r="AB134" s="251"/>
      <c r="AC134" s="251"/>
      <c r="AD134" s="251"/>
      <c r="AE134" s="251"/>
      <c r="AF134" s="251"/>
      <c r="AG134" s="251"/>
      <c r="AH134" s="251"/>
      <c r="AI134" s="251"/>
      <c r="AJ134" s="251"/>
      <c r="AK134" s="251"/>
      <c r="AL134" s="251"/>
      <c r="AM134" s="251"/>
      <c r="AN134" s="251"/>
      <c r="AO134" s="251"/>
      <c r="AP134" s="251"/>
      <c r="AQ134" s="251"/>
      <c r="AR134" s="251"/>
      <c r="AS134" s="251"/>
      <c r="AT134" s="251"/>
      <c r="AU134" s="251"/>
      <c r="AV134" s="251"/>
      <c r="AW134" s="251"/>
      <c r="AX134" s="251"/>
      <c r="AY134" s="251"/>
      <c r="AZ134" s="251"/>
      <c r="BA134" s="251"/>
      <c r="BB134" s="251"/>
      <c r="BC134" s="251"/>
      <c r="BD134" s="251"/>
      <c r="BE134" s="251"/>
      <c r="BF134" s="251"/>
      <c r="BG134" s="251"/>
      <c r="BH134" s="251"/>
      <c r="BI134" s="251"/>
      <c r="BJ134" s="251"/>
      <c r="BK134" s="251"/>
      <c r="BL134" s="251"/>
      <c r="BM134" s="251"/>
      <c r="BN134" s="251"/>
      <c r="BO134" s="251"/>
      <c r="BP134" s="251"/>
      <c r="BQ134" s="251"/>
      <c r="BR134" s="251"/>
      <c r="BS134" s="251"/>
      <c r="BT134" s="251"/>
      <c r="BU134" s="251"/>
      <c r="BV134" s="251"/>
      <c r="BW134" s="251"/>
      <c r="BX134" s="251"/>
      <c r="BY134" s="251"/>
      <c r="BZ134" s="251"/>
      <c r="CA134" s="251"/>
      <c r="CB134" s="251"/>
      <c r="CC134" s="251"/>
      <c r="CD134" s="251"/>
      <c r="CE134" s="251"/>
      <c r="CF134" s="251"/>
      <c r="CG134" s="251"/>
      <c r="CH134" s="251"/>
      <c r="CI134" s="251"/>
      <c r="CJ134" s="251"/>
      <c r="CK134" s="251"/>
      <c r="CL134" s="251"/>
      <c r="CM134" s="251"/>
      <c r="CN134" s="251"/>
      <c r="CO134" s="251"/>
      <c r="CP134" s="251"/>
      <c r="CQ134" s="251"/>
      <c r="CR134" s="251"/>
      <c r="CS134" s="251"/>
      <c r="CT134" s="251"/>
      <c r="CU134" s="251"/>
      <c r="CV134" s="251"/>
      <c r="CW134" s="251"/>
      <c r="CX134" s="251"/>
      <c r="CY134" s="251"/>
      <c r="CZ134" s="251"/>
      <c r="DA134" s="251"/>
      <c r="DB134" s="251"/>
      <c r="DC134" s="251"/>
      <c r="DD134" s="251"/>
      <c r="DE134" s="251"/>
      <c r="DF134" s="251"/>
      <c r="DG134" s="251"/>
      <c r="DH134" s="251"/>
      <c r="DI134" s="251"/>
      <c r="DJ134" s="251"/>
      <c r="DK134" s="251"/>
      <c r="DL134" s="251"/>
      <c r="DM134" s="251"/>
      <c r="DN134" s="251"/>
      <c r="DO134" s="251"/>
      <c r="DP134" s="251"/>
      <c r="DQ134" s="251"/>
      <c r="DR134" s="251"/>
      <c r="DS134" s="251"/>
      <c r="DT134" s="251"/>
      <c r="DU134" s="251"/>
      <c r="DV134" s="251"/>
      <c r="DW134" s="251"/>
      <c r="DX134" s="251"/>
      <c r="DY134" s="251"/>
      <c r="DZ134" s="251"/>
      <c r="EA134" s="251"/>
      <c r="EB134" s="251"/>
      <c r="EC134" s="251"/>
      <c r="ED134" s="251"/>
      <c r="EE134" s="251"/>
      <c r="EF134" s="251"/>
      <c r="EG134" s="251"/>
      <c r="EH134" s="251"/>
      <c r="EI134" s="251"/>
      <c r="EJ134" s="251"/>
      <c r="EK134" s="251"/>
      <c r="EL134" s="251"/>
      <c r="EM134" s="251"/>
      <c r="EN134" s="251"/>
      <c r="EO134" s="251"/>
      <c r="EP134" s="251"/>
      <c r="EQ134" s="251"/>
      <c r="ER134" s="251"/>
      <c r="ES134" s="251"/>
      <c r="ET134" s="251"/>
      <c r="EU134" s="251"/>
      <c r="EV134" s="251"/>
      <c r="EW134" s="251"/>
      <c r="EX134" s="251"/>
      <c r="EY134" s="251"/>
      <c r="EZ134" s="251"/>
      <c r="FA134" s="251"/>
      <c r="FB134" s="251"/>
      <c r="FC134" s="251"/>
      <c r="FD134" s="251"/>
      <c r="FE134" s="251"/>
      <c r="FF134" s="251"/>
      <c r="FG134" s="251"/>
      <c r="FH134" s="251"/>
      <c r="FI134" s="251"/>
      <c r="FJ134" s="251"/>
      <c r="FK134" s="251"/>
      <c r="FL134" s="251"/>
      <c r="FM134" s="251"/>
      <c r="FN134" s="251"/>
      <c r="FO134" s="251"/>
      <c r="FP134" s="251"/>
      <c r="FQ134" s="251"/>
      <c r="FR134" s="251"/>
      <c r="FS134" s="251"/>
      <c r="FT134" s="251"/>
      <c r="FU134" s="251"/>
      <c r="FV134" s="251"/>
      <c r="FW134" s="251"/>
      <c r="FX134" s="251"/>
      <c r="FY134" s="251"/>
      <c r="FZ134" s="251"/>
      <c r="GA134" s="251"/>
      <c r="GB134" s="251"/>
      <c r="GC134" s="251"/>
      <c r="GD134" s="251"/>
      <c r="GE134" s="251"/>
      <c r="GF134" s="251"/>
      <c r="GG134" s="251"/>
      <c r="GH134" s="251"/>
      <c r="GI134" s="251"/>
      <c r="GJ134" s="251"/>
      <c r="GK134" s="251"/>
      <c r="GL134" s="251"/>
      <c r="GM134" s="251"/>
      <c r="GN134" s="251"/>
      <c r="GO134" s="251"/>
      <c r="GP134" s="251"/>
      <c r="GQ134" s="251"/>
      <c r="GR134" s="251"/>
      <c r="GS134" s="251"/>
      <c r="GT134" s="251"/>
      <c r="GU134" s="251"/>
      <c r="GV134" s="251"/>
      <c r="GW134" s="251"/>
      <c r="GX134" s="251"/>
      <c r="GY134" s="251"/>
      <c r="GZ134" s="251"/>
      <c r="HA134" s="251"/>
      <c r="HB134" s="251"/>
      <c r="HC134" s="251"/>
      <c r="HD134" s="251"/>
      <c r="HE134" s="251"/>
      <c r="HF134" s="251"/>
      <c r="HG134" s="251"/>
      <c r="HH134" s="251"/>
      <c r="HI134" s="251"/>
      <c r="HJ134" s="251"/>
      <c r="HK134" s="251"/>
      <c r="HL134" s="251"/>
      <c r="HM134" s="251"/>
      <c r="HN134" s="251"/>
      <c r="HO134" s="251"/>
      <c r="HP134" s="251"/>
      <c r="HQ134" s="251"/>
      <c r="HR134" s="251"/>
      <c r="HS134" s="251"/>
      <c r="HT134" s="251"/>
      <c r="HU134" s="251"/>
      <c r="HV134" s="251"/>
      <c r="HW134" s="251"/>
      <c r="HX134" s="251"/>
      <c r="HY134" s="251"/>
      <c r="HZ134" s="251"/>
      <c r="IA134" s="251"/>
      <c r="IB134" s="251"/>
      <c r="IC134" s="251"/>
      <c r="ID134" s="251"/>
      <c r="IE134" s="251"/>
      <c r="IF134" s="251"/>
      <c r="IG134" s="251"/>
      <c r="IH134" s="251"/>
      <c r="II134" s="251"/>
      <c r="IJ134" s="251"/>
      <c r="IK134" s="251"/>
      <c r="IL134" s="251"/>
      <c r="IM134" s="251"/>
      <c r="IN134" s="251"/>
      <c r="IO134" s="251"/>
      <c r="IP134" s="251"/>
      <c r="IQ134" s="251"/>
      <c r="IR134" s="251"/>
      <c r="IS134" s="251"/>
      <c r="IT134" s="251"/>
      <c r="IU134" s="251"/>
      <c r="IV134" s="251"/>
      <c r="IW134" s="251"/>
      <c r="IX134" s="251"/>
      <c r="IY134" s="251"/>
      <c r="IZ134" s="251"/>
      <c r="JA134" s="251"/>
      <c r="JB134" s="251"/>
      <c r="JC134" s="251"/>
      <c r="JD134" s="251"/>
      <c r="JE134" s="251"/>
      <c r="JF134" s="251"/>
      <c r="JG134" s="251"/>
      <c r="JH134" s="251"/>
      <c r="JI134" s="251"/>
      <c r="JJ134" s="251"/>
      <c r="JK134" s="251"/>
      <c r="JL134" s="251"/>
      <c r="JM134" s="251"/>
      <c r="JN134" s="251"/>
      <c r="JO134" s="251"/>
      <c r="JP134" s="251"/>
      <c r="JQ134" s="251"/>
      <c r="JR134" s="251"/>
      <c r="JS134" s="251"/>
      <c r="JT134" s="251"/>
      <c r="JU134" s="251"/>
      <c r="JV134" s="251"/>
      <c r="JW134" s="251"/>
      <c r="JX134" s="251"/>
      <c r="JY134" s="251"/>
      <c r="JZ134" s="251"/>
      <c r="KA134" s="251"/>
      <c r="KB134" s="251"/>
      <c r="KC134" s="251"/>
      <c r="KD134" s="251"/>
      <c r="KE134" s="251"/>
      <c r="KF134" s="251"/>
      <c r="KG134" s="251"/>
      <c r="KH134" s="251"/>
      <c r="KI134" s="251"/>
      <c r="KJ134" s="251"/>
      <c r="KK134" s="251"/>
      <c r="KL134" s="251"/>
      <c r="KM134" s="251"/>
      <c r="KN134" s="251"/>
      <c r="KO134" s="251"/>
      <c r="KP134" s="251"/>
      <c r="KQ134" s="251"/>
      <c r="KR134" s="251"/>
      <c r="KS134" s="251"/>
      <c r="KT134" s="251"/>
      <c r="KU134" s="251"/>
      <c r="KV134" s="251"/>
      <c r="KW134" s="251"/>
      <c r="KX134" s="251"/>
      <c r="KY134" s="251"/>
      <c r="KZ134" s="251"/>
      <c r="LA134" s="251"/>
      <c r="LB134" s="251"/>
      <c r="LC134" s="251"/>
      <c r="LD134" s="251"/>
      <c r="LE134" s="251"/>
      <c r="LF134" s="251"/>
      <c r="LG134" s="251"/>
      <c r="LH134" s="251"/>
      <c r="LI134" s="251"/>
      <c r="LJ134" s="251"/>
      <c r="LK134" s="251"/>
      <c r="LL134" s="251"/>
      <c r="LM134" s="251"/>
      <c r="LN134" s="251"/>
      <c r="LO134" s="251"/>
      <c r="LP134" s="251"/>
      <c r="LQ134" s="251"/>
      <c r="LR134" s="251"/>
      <c r="LS134" s="251"/>
      <c r="LT134" s="251"/>
      <c r="LU134" s="251"/>
      <c r="LV134" s="251"/>
      <c r="LW134" s="251"/>
      <c r="LX134" s="251"/>
      <c r="LY134" s="251"/>
      <c r="LZ134" s="251"/>
      <c r="MA134" s="251"/>
      <c r="MB134" s="251"/>
      <c r="MC134" s="251"/>
      <c r="MD134" s="251"/>
      <c r="ME134" s="251"/>
      <c r="MF134" s="251"/>
      <c r="MG134" s="251"/>
      <c r="MH134" s="251"/>
      <c r="MI134" s="251"/>
      <c r="MJ134" s="251"/>
      <c r="MK134" s="251"/>
      <c r="ML134" s="251"/>
      <c r="MM134" s="251"/>
      <c r="MN134" s="251"/>
      <c r="MO134" s="251"/>
      <c r="MP134" s="251"/>
      <c r="MQ134" s="251"/>
      <c r="MR134" s="251"/>
      <c r="MS134" s="251"/>
      <c r="MT134" s="251"/>
      <c r="MU134" s="251"/>
      <c r="MV134" s="251"/>
      <c r="MW134" s="251"/>
      <c r="MX134" s="251"/>
      <c r="MY134" s="251"/>
      <c r="MZ134" s="251"/>
      <c r="NA134" s="251"/>
      <c r="NB134" s="251"/>
      <c r="NC134" s="251"/>
      <c r="ND134" s="251"/>
      <c r="NE134" s="251"/>
      <c r="NF134" s="251"/>
      <c r="NG134" s="251"/>
      <c r="NH134" s="251"/>
      <c r="NI134" s="251"/>
      <c r="NJ134" s="251"/>
      <c r="NK134" s="251"/>
      <c r="NL134" s="251"/>
      <c r="NM134" s="251"/>
      <c r="NN134" s="251"/>
      <c r="NO134" s="251"/>
      <c r="NP134" s="251"/>
      <c r="NQ134" s="251"/>
      <c r="NR134" s="251"/>
      <c r="NS134" s="251"/>
      <c r="NT134" s="251"/>
      <c r="NU134" s="251"/>
      <c r="NV134" s="251"/>
      <c r="NW134" s="251"/>
      <c r="NX134" s="251"/>
      <c r="NY134" s="251"/>
      <c r="NZ134" s="251"/>
      <c r="OA134" s="251"/>
      <c r="OB134" s="251"/>
      <c r="OC134" s="251"/>
      <c r="OD134" s="251"/>
      <c r="OE134" s="251"/>
      <c r="OF134" s="251"/>
      <c r="OG134" s="251"/>
      <c r="OH134" s="251"/>
      <c r="OI134" s="251"/>
      <c r="OJ134" s="251"/>
      <c r="OK134" s="251"/>
      <c r="OL134" s="251"/>
      <c r="OM134" s="251"/>
      <c r="ON134" s="251"/>
      <c r="OO134" s="251"/>
      <c r="OP134" s="251"/>
      <c r="OQ134" s="251"/>
      <c r="OR134" s="251"/>
      <c r="OS134" s="251"/>
      <c r="OT134" s="251"/>
      <c r="OU134" s="251"/>
      <c r="OV134" s="251"/>
      <c r="OW134" s="251"/>
      <c r="OX134" s="251"/>
      <c r="OY134" s="251"/>
      <c r="OZ134" s="251"/>
      <c r="PA134" s="251"/>
      <c r="PB134" s="251"/>
      <c r="PC134" s="251"/>
      <c r="PD134" s="251"/>
      <c r="PE134" s="251"/>
      <c r="PF134" s="251"/>
      <c r="PG134" s="251"/>
      <c r="PH134" s="251"/>
      <c r="PI134" s="251"/>
      <c r="PJ134" s="251"/>
      <c r="PK134" s="251"/>
      <c r="PL134" s="251"/>
      <c r="PM134" s="251"/>
      <c r="PN134" s="251"/>
      <c r="PO134" s="251"/>
      <c r="PP134" s="251"/>
      <c r="PQ134" s="251"/>
      <c r="PR134" s="251"/>
      <c r="PS134" s="251"/>
      <c r="PT134" s="251"/>
      <c r="PU134" s="251"/>
      <c r="PV134" s="251"/>
      <c r="PW134" s="251"/>
      <c r="PX134" s="251"/>
      <c r="PY134" s="251"/>
      <c r="PZ134" s="251"/>
      <c r="QA134" s="251"/>
      <c r="QB134" s="251"/>
      <c r="QC134" s="251"/>
      <c r="QD134" s="251"/>
      <c r="QE134" s="251"/>
      <c r="QF134" s="251"/>
      <c r="QG134" s="251"/>
      <c r="QH134" s="251"/>
      <c r="QI134" s="251"/>
      <c r="QJ134" s="251"/>
      <c r="QK134" s="251"/>
      <c r="QL134" s="251"/>
      <c r="QM134" s="251"/>
      <c r="QN134" s="251"/>
      <c r="QO134" s="251"/>
      <c r="QP134" s="251"/>
      <c r="QQ134" s="251"/>
      <c r="QR134" s="251"/>
      <c r="QS134" s="251"/>
      <c r="QT134" s="251"/>
      <c r="QU134" s="251"/>
      <c r="QV134" s="251"/>
      <c r="QW134" s="251"/>
      <c r="QX134" s="251"/>
      <c r="QY134" s="251"/>
      <c r="QZ134" s="251"/>
      <c r="RA134" s="251"/>
      <c r="RB134" s="251"/>
      <c r="RC134" s="251"/>
      <c r="RD134" s="251"/>
      <c r="RE134" s="251"/>
      <c r="RF134" s="251"/>
      <c r="RG134" s="251"/>
      <c r="RH134" s="251"/>
      <c r="RI134" s="251"/>
      <c r="RJ134" s="251"/>
      <c r="RK134" s="251"/>
      <c r="RL134" s="251"/>
      <c r="RM134" s="251"/>
      <c r="RN134" s="251"/>
      <c r="RO134" s="251"/>
      <c r="RP134" s="251"/>
      <c r="RQ134" s="251"/>
      <c r="RR134" s="251"/>
      <c r="RS134" s="251"/>
      <c r="RT134" s="251"/>
      <c r="RU134" s="251"/>
      <c r="RV134" s="251"/>
      <c r="RW134" s="251"/>
      <c r="RX134" s="251"/>
      <c r="RY134" s="251"/>
      <c r="RZ134" s="251"/>
      <c r="SA134" s="251"/>
      <c r="SB134" s="251"/>
      <c r="SC134" s="251"/>
      <c r="SD134" s="251"/>
      <c r="SE134" s="251"/>
      <c r="SF134" s="251"/>
      <c r="SG134" s="251"/>
      <c r="SH134" s="251"/>
      <c r="SI134" s="251"/>
      <c r="SJ134" s="251"/>
      <c r="SK134" s="251"/>
      <c r="SL134" s="251"/>
      <c r="SM134" s="251"/>
      <c r="SN134" s="251"/>
      <c r="SO134" s="251"/>
      <c r="SP134" s="251"/>
      <c r="SQ134" s="251"/>
      <c r="SR134" s="251"/>
      <c r="SS134" s="251"/>
      <c r="ST134" s="251"/>
      <c r="SU134" s="251"/>
      <c r="SV134" s="251"/>
      <c r="SW134" s="251"/>
      <c r="SX134" s="251"/>
      <c r="SY134" s="251"/>
      <c r="SZ134" s="251"/>
      <c r="TA134" s="251"/>
      <c r="TB134" s="251"/>
      <c r="TC134" s="251"/>
      <c r="TD134" s="251"/>
      <c r="TE134" s="251"/>
      <c r="TF134" s="251"/>
      <c r="TG134" s="251"/>
      <c r="TH134" s="251"/>
      <c r="TI134" s="251"/>
      <c r="TJ134" s="251"/>
      <c r="TK134" s="251"/>
      <c r="TL134" s="251"/>
      <c r="TM134" s="251"/>
      <c r="TN134" s="251"/>
      <c r="TO134" s="251"/>
      <c r="TP134" s="251"/>
      <c r="TQ134" s="251"/>
      <c r="TR134" s="251"/>
      <c r="TS134" s="251"/>
      <c r="TT134" s="251"/>
      <c r="TU134" s="251"/>
      <c r="TV134" s="251"/>
      <c r="TW134" s="251"/>
      <c r="TX134" s="251"/>
      <c r="TY134" s="251"/>
      <c r="TZ134" s="251"/>
      <c r="UA134" s="251"/>
      <c r="UB134" s="251"/>
      <c r="UC134" s="251"/>
      <c r="UD134" s="251"/>
      <c r="UE134" s="251"/>
      <c r="UF134" s="251"/>
      <c r="UG134" s="251"/>
      <c r="UH134" s="251"/>
      <c r="UI134" s="251"/>
      <c r="UJ134" s="251"/>
      <c r="UK134" s="251"/>
      <c r="UL134" s="251"/>
      <c r="UM134" s="251"/>
      <c r="UN134" s="251"/>
      <c r="UO134" s="251"/>
      <c r="UP134" s="251"/>
      <c r="UQ134" s="251"/>
      <c r="UR134" s="251"/>
      <c r="US134" s="251"/>
      <c r="UT134" s="251"/>
      <c r="UU134" s="251"/>
      <c r="UV134" s="251"/>
      <c r="UW134" s="251"/>
      <c r="UX134" s="251"/>
      <c r="UY134" s="251"/>
      <c r="UZ134" s="251"/>
      <c r="VA134" s="251"/>
      <c r="VB134" s="251"/>
      <c r="VC134" s="251"/>
      <c r="VD134" s="251"/>
      <c r="VE134" s="251"/>
      <c r="VF134" s="251"/>
      <c r="VG134" s="251"/>
      <c r="VH134" s="251"/>
      <c r="VI134" s="251"/>
      <c r="VJ134" s="251"/>
      <c r="VK134" s="251"/>
      <c r="VL134" s="251"/>
      <c r="VM134" s="251"/>
      <c r="VN134" s="251"/>
      <c r="VO134" s="251"/>
      <c r="VP134" s="251"/>
      <c r="VQ134" s="251"/>
      <c r="VR134" s="251"/>
      <c r="VS134" s="251"/>
      <c r="VT134" s="251"/>
      <c r="VU134" s="251"/>
      <c r="VV134" s="251"/>
      <c r="VW134" s="251"/>
      <c r="VX134" s="251"/>
      <c r="VY134" s="251"/>
      <c r="VZ134" s="251"/>
      <c r="WA134" s="251"/>
      <c r="WB134" s="251"/>
      <c r="WC134" s="251"/>
      <c r="WD134" s="251"/>
      <c r="WE134" s="251"/>
      <c r="WF134" s="251"/>
      <c r="WG134" s="251"/>
      <c r="WH134" s="251"/>
      <c r="WI134" s="251"/>
      <c r="WJ134" s="251"/>
      <c r="WK134" s="251"/>
      <c r="WL134" s="251"/>
      <c r="WM134" s="251"/>
      <c r="WN134" s="251"/>
      <c r="WO134" s="251"/>
      <c r="WP134" s="251"/>
      <c r="WQ134" s="251"/>
      <c r="WR134" s="251"/>
      <c r="WS134" s="251"/>
      <c r="WT134" s="251"/>
      <c r="WU134" s="251"/>
      <c r="WV134" s="251"/>
      <c r="WW134" s="251"/>
      <c r="WX134" s="251"/>
      <c r="WY134" s="251"/>
      <c r="WZ134" s="251"/>
      <c r="XA134" s="251"/>
      <c r="XB134" s="251"/>
      <c r="XC134" s="251"/>
      <c r="XD134" s="251"/>
      <c r="XE134" s="251"/>
      <c r="XF134" s="251"/>
      <c r="XG134" s="251"/>
      <c r="XH134" s="251"/>
      <c r="XI134" s="251"/>
      <c r="XJ134" s="251"/>
      <c r="XK134" s="251"/>
      <c r="XL134" s="251"/>
      <c r="XM134" s="251"/>
      <c r="XN134" s="251"/>
      <c r="XO134" s="251"/>
      <c r="XP134" s="251"/>
      <c r="XQ134" s="251"/>
      <c r="XR134" s="251"/>
      <c r="XS134" s="251"/>
      <c r="XT134" s="251"/>
      <c r="XU134" s="251"/>
      <c r="XV134" s="251"/>
      <c r="XW134" s="251"/>
      <c r="XX134" s="251"/>
      <c r="XY134" s="251"/>
      <c r="XZ134" s="251"/>
      <c r="YA134" s="251"/>
      <c r="YB134" s="251"/>
      <c r="YC134" s="251"/>
      <c r="YD134" s="251"/>
      <c r="YE134" s="251"/>
      <c r="YF134" s="251"/>
      <c r="YG134" s="251"/>
      <c r="YH134" s="251"/>
      <c r="YI134" s="251"/>
      <c r="YJ134" s="251"/>
      <c r="YK134" s="251"/>
      <c r="YL134" s="251"/>
      <c r="YM134" s="251"/>
      <c r="YN134" s="251"/>
      <c r="YO134" s="251"/>
      <c r="YP134" s="251"/>
      <c r="YQ134" s="251"/>
      <c r="YR134" s="251"/>
      <c r="YS134" s="251"/>
      <c r="YT134" s="251"/>
      <c r="YU134" s="251"/>
      <c r="YV134" s="251"/>
      <c r="YW134" s="251"/>
      <c r="YX134" s="251"/>
      <c r="YY134" s="251"/>
      <c r="YZ134" s="251"/>
      <c r="ZA134" s="251"/>
      <c r="ZB134" s="251"/>
      <c r="ZC134" s="251"/>
      <c r="ZD134" s="251"/>
      <c r="ZE134" s="251"/>
      <c r="ZF134" s="251"/>
      <c r="ZG134" s="251"/>
      <c r="ZH134" s="251"/>
      <c r="ZI134" s="251"/>
      <c r="ZJ134" s="251"/>
      <c r="ZK134" s="251"/>
      <c r="ZL134" s="251"/>
      <c r="ZM134" s="251"/>
      <c r="ZN134" s="251"/>
      <c r="ZO134" s="251"/>
      <c r="ZP134" s="251"/>
      <c r="ZQ134" s="251"/>
      <c r="ZR134" s="251"/>
      <c r="ZS134" s="251"/>
      <c r="ZT134" s="251"/>
      <c r="ZU134" s="251"/>
      <c r="ZV134" s="251"/>
      <c r="ZW134" s="251"/>
      <c r="ZX134" s="251"/>
      <c r="ZY134" s="251"/>
      <c r="ZZ134" s="251"/>
      <c r="AAA134" s="251"/>
      <c r="AAB134" s="251"/>
      <c r="AAC134" s="251"/>
      <c r="AAD134" s="251"/>
      <c r="AAE134" s="251"/>
      <c r="AAF134" s="251"/>
      <c r="AAG134" s="251"/>
      <c r="AAH134" s="251"/>
      <c r="AAI134" s="251"/>
      <c r="AAJ134" s="251"/>
      <c r="AAK134" s="251"/>
      <c r="AAL134" s="251"/>
      <c r="AAM134" s="251"/>
      <c r="AAN134" s="251"/>
      <c r="AAO134" s="251"/>
      <c r="AAP134" s="251"/>
      <c r="AAQ134" s="251"/>
      <c r="AAR134" s="251"/>
      <c r="AAS134" s="251"/>
      <c r="AAT134" s="251"/>
      <c r="AAU134" s="251"/>
      <c r="AAV134" s="251"/>
      <c r="AAW134" s="251"/>
      <c r="AAX134" s="251"/>
      <c r="AAY134" s="251"/>
      <c r="AAZ134" s="251"/>
      <c r="ABA134" s="251"/>
      <c r="ABB134" s="251"/>
      <c r="ABC134" s="251"/>
      <c r="ABD134" s="251"/>
      <c r="ABE134" s="251"/>
      <c r="ABF134" s="251"/>
      <c r="ABG134" s="251"/>
      <c r="ABH134" s="251"/>
      <c r="ABI134" s="251"/>
      <c r="ABJ134" s="251"/>
      <c r="ABK134" s="251"/>
      <c r="ABL134" s="251"/>
      <c r="ABM134" s="251"/>
      <c r="ABN134" s="251"/>
      <c r="ABO134" s="251"/>
      <c r="ABP134" s="251"/>
      <c r="ABQ134" s="251"/>
      <c r="ABR134" s="251"/>
      <c r="ABS134" s="251"/>
      <c r="ABT134" s="251"/>
      <c r="ABU134" s="251"/>
      <c r="ABV134" s="251"/>
      <c r="ABW134" s="251"/>
      <c r="ABX134" s="251"/>
      <c r="ABY134" s="251"/>
      <c r="ABZ134" s="251"/>
      <c r="ACA134" s="251"/>
      <c r="ACB134" s="251"/>
      <c r="ACC134" s="251"/>
      <c r="ACD134" s="251"/>
      <c r="ACE134" s="251"/>
      <c r="ACF134" s="251"/>
      <c r="ACG134" s="251"/>
      <c r="ACH134" s="251"/>
      <c r="ACI134" s="251"/>
      <c r="ACJ134" s="251"/>
      <c r="ACK134" s="251"/>
      <c r="ACL134" s="251"/>
      <c r="ACM134" s="251"/>
      <c r="ACN134" s="251"/>
      <c r="ACO134" s="251"/>
      <c r="ACP134" s="251"/>
      <c r="ACQ134" s="251"/>
      <c r="ACR134" s="251"/>
      <c r="ACS134" s="251"/>
      <c r="ACT134" s="251"/>
      <c r="ACU134" s="251"/>
      <c r="ACV134" s="251"/>
      <c r="ACW134" s="251"/>
      <c r="ACX134" s="251"/>
      <c r="ACY134" s="251"/>
      <c r="ACZ134" s="251"/>
      <c r="ADA134" s="251"/>
      <c r="ADB134" s="251"/>
      <c r="ADC134" s="251"/>
      <c r="ADD134" s="251"/>
      <c r="ADE134" s="251"/>
      <c r="ADF134" s="251"/>
      <c r="ADG134" s="251"/>
      <c r="ADH134" s="251"/>
      <c r="ADI134" s="251"/>
      <c r="ADJ134" s="251"/>
      <c r="ADK134" s="251"/>
      <c r="ADL134" s="251"/>
      <c r="ADM134" s="251"/>
      <c r="ADN134" s="251"/>
      <c r="ADO134" s="251"/>
      <c r="ADP134" s="251"/>
      <c r="ADQ134" s="251"/>
      <c r="ADR134" s="251"/>
      <c r="ADS134" s="251"/>
      <c r="ADT134" s="251"/>
      <c r="ADU134" s="251"/>
      <c r="ADV134" s="251"/>
      <c r="ADW134" s="251"/>
      <c r="ADX134" s="251"/>
      <c r="ADY134" s="251"/>
      <c r="ADZ134" s="251"/>
      <c r="AEA134" s="251"/>
      <c r="AEB134" s="251"/>
      <c r="AEC134" s="251"/>
      <c r="AED134" s="251"/>
      <c r="AEE134" s="251"/>
      <c r="AEF134" s="251"/>
      <c r="AEG134" s="251"/>
      <c r="AEH134" s="251"/>
      <c r="AEI134" s="251"/>
      <c r="AEJ134" s="251"/>
      <c r="AEK134" s="251"/>
      <c r="AEL134" s="251"/>
      <c r="AEM134" s="251"/>
      <c r="AEN134" s="251"/>
      <c r="AEO134" s="251"/>
      <c r="AEP134" s="251"/>
      <c r="AEQ134" s="251"/>
      <c r="AER134" s="251"/>
      <c r="AES134" s="251"/>
      <c r="AET134" s="251"/>
      <c r="AEU134" s="251"/>
      <c r="AEV134" s="251"/>
      <c r="AEW134" s="251"/>
      <c r="AEX134" s="251"/>
      <c r="AEY134" s="251"/>
      <c r="AEZ134" s="251"/>
      <c r="AFA134" s="251"/>
      <c r="AFB134" s="251"/>
      <c r="AFC134" s="251"/>
      <c r="AFD134" s="251"/>
      <c r="AFE134" s="251"/>
      <c r="AFF134" s="251"/>
      <c r="AFG134" s="251"/>
      <c r="AFH134" s="251"/>
      <c r="AFI134" s="251"/>
      <c r="AFJ134" s="251"/>
      <c r="AFK134" s="251"/>
      <c r="AFL134" s="251"/>
      <c r="AFM134" s="251"/>
      <c r="AFN134" s="251"/>
      <c r="AFO134" s="251"/>
      <c r="AFP134" s="251"/>
      <c r="AFQ134" s="251"/>
      <c r="AFR134" s="251"/>
      <c r="AFS134" s="251"/>
      <c r="AFT134" s="251"/>
      <c r="AFU134" s="251"/>
      <c r="AFV134" s="251"/>
      <c r="AFW134" s="251"/>
      <c r="AFX134" s="251"/>
      <c r="AFY134" s="251"/>
      <c r="AFZ134" s="251"/>
      <c r="AGA134" s="251"/>
      <c r="AGB134" s="251"/>
      <c r="AGC134" s="251"/>
      <c r="AGD134" s="251"/>
      <c r="AGE134" s="251"/>
      <c r="AGF134" s="251"/>
      <c r="AGG134" s="251"/>
      <c r="AGH134" s="251"/>
      <c r="AGI134" s="251"/>
      <c r="AGJ134" s="251"/>
      <c r="AGK134" s="251"/>
      <c r="AGL134" s="251"/>
      <c r="AGM134" s="251"/>
      <c r="AGN134" s="251"/>
      <c r="AGO134" s="251"/>
      <c r="AGP134" s="251"/>
      <c r="AGQ134" s="251"/>
      <c r="AGR134" s="251"/>
      <c r="AGS134" s="251"/>
      <c r="AGT134" s="251"/>
      <c r="AGU134" s="251"/>
      <c r="AGV134" s="251"/>
      <c r="AGW134" s="251"/>
      <c r="AGX134" s="251"/>
      <c r="AGY134" s="251"/>
      <c r="AGZ134" s="251"/>
      <c r="AHA134" s="251"/>
      <c r="AHB134" s="251"/>
      <c r="AHC134" s="251"/>
      <c r="AHD134" s="251"/>
      <c r="AHE134" s="251"/>
      <c r="AHF134" s="251"/>
      <c r="AHG134" s="251"/>
      <c r="AHH134" s="251"/>
      <c r="AHI134" s="251"/>
      <c r="AHJ134" s="251"/>
      <c r="AHK134" s="251"/>
      <c r="AHL134" s="251"/>
      <c r="AHM134" s="251"/>
      <c r="AHN134" s="251"/>
      <c r="AHO134" s="251"/>
      <c r="AHP134" s="251"/>
      <c r="AHQ134" s="251"/>
      <c r="AHR134" s="251"/>
      <c r="AHS134" s="251"/>
      <c r="AHT134" s="251"/>
      <c r="AHU134" s="251"/>
      <c r="AHV134" s="251"/>
      <c r="AHW134" s="251"/>
      <c r="AHX134" s="251"/>
      <c r="AHY134" s="251"/>
      <c r="AHZ134" s="251"/>
      <c r="AIA134" s="251"/>
      <c r="AIB134" s="251"/>
      <c r="AIC134" s="251"/>
      <c r="AID134" s="251"/>
      <c r="AIE134" s="251"/>
      <c r="AIF134" s="251"/>
      <c r="AIG134" s="251"/>
      <c r="AIH134" s="251"/>
      <c r="AII134" s="251"/>
      <c r="AIJ134" s="251"/>
      <c r="AIK134" s="251"/>
      <c r="AIL134" s="251"/>
      <c r="AIM134" s="251"/>
      <c r="AIN134" s="251"/>
      <c r="AIO134" s="251"/>
      <c r="AIP134" s="251"/>
      <c r="AIQ134" s="251"/>
      <c r="AIR134" s="251"/>
      <c r="AIS134" s="251"/>
      <c r="AIT134" s="251"/>
      <c r="AIU134" s="251"/>
      <c r="AIV134" s="251"/>
      <c r="AIW134" s="251"/>
      <c r="AIX134" s="251"/>
      <c r="AIY134" s="251"/>
      <c r="AIZ134" s="251"/>
      <c r="AJA134" s="251"/>
      <c r="AJB134" s="251"/>
      <c r="AJC134" s="251"/>
      <c r="AJD134" s="251"/>
      <c r="AJE134" s="251"/>
      <c r="AJF134" s="251"/>
      <c r="AJG134" s="251"/>
      <c r="AJH134" s="251"/>
      <c r="AJI134" s="251"/>
      <c r="AJJ134" s="251"/>
      <c r="AJK134" s="251"/>
      <c r="AJL134" s="251"/>
      <c r="AJM134" s="251"/>
      <c r="AJN134" s="251"/>
      <c r="AJO134" s="251"/>
      <c r="AJP134" s="251"/>
      <c r="AJQ134" s="251"/>
      <c r="AJR134" s="251"/>
      <c r="AJS134" s="251"/>
      <c r="AJT134" s="251"/>
      <c r="AJU134" s="251"/>
      <c r="AJV134" s="251"/>
      <c r="AJW134" s="251"/>
      <c r="AJX134" s="251"/>
      <c r="AJY134" s="251"/>
      <c r="AJZ134" s="251"/>
      <c r="AKA134" s="251"/>
      <c r="AKB134" s="251"/>
      <c r="AKC134" s="251"/>
      <c r="AKD134" s="251"/>
      <c r="AKE134" s="251"/>
      <c r="AKF134" s="251"/>
      <c r="AKG134" s="251"/>
      <c r="AKH134" s="251"/>
      <c r="AKI134" s="251"/>
      <c r="AKJ134" s="251"/>
      <c r="AKK134" s="251"/>
      <c r="AKL134" s="251"/>
      <c r="AKM134" s="251"/>
      <c r="AKN134" s="251"/>
      <c r="AKO134" s="251"/>
      <c r="AKP134" s="251"/>
      <c r="AKQ134" s="251"/>
      <c r="AKR134" s="251"/>
      <c r="AKS134" s="251"/>
      <c r="AKT134" s="251"/>
      <c r="AKU134" s="251"/>
      <c r="AKV134" s="251"/>
      <c r="AKW134" s="251"/>
      <c r="AKX134" s="251"/>
      <c r="AKY134" s="251"/>
      <c r="AKZ134" s="251"/>
      <c r="ALA134" s="251"/>
      <c r="ALB134" s="251"/>
      <c r="ALC134" s="251"/>
      <c r="ALD134" s="251"/>
      <c r="ALE134" s="251"/>
      <c r="ALF134" s="251"/>
      <c r="ALG134" s="251"/>
      <c r="ALH134" s="251"/>
      <c r="ALI134" s="251"/>
      <c r="ALJ134" s="251"/>
      <c r="ALK134" s="251"/>
      <c r="ALL134" s="251"/>
      <c r="ALM134" s="251"/>
      <c r="ALN134" s="251"/>
      <c r="ALO134" s="251"/>
      <c r="ALP134" s="251"/>
      <c r="ALQ134" s="251"/>
      <c r="ALR134" s="251"/>
      <c r="ALS134" s="251"/>
      <c r="ALT134" s="251"/>
      <c r="ALU134" s="251"/>
      <c r="ALV134" s="251"/>
      <c r="ALW134" s="251"/>
      <c r="ALX134" s="251"/>
      <c r="ALY134" s="251"/>
      <c r="ALZ134" s="251"/>
      <c r="AMA134" s="251"/>
      <c r="AMB134" s="251"/>
      <c r="AMC134" s="251"/>
      <c r="AMD134" s="251"/>
      <c r="AME134" s="251"/>
      <c r="AMF134" s="251"/>
      <c r="AMG134" s="251"/>
      <c r="AMH134" s="251"/>
      <c r="AMI134" s="251"/>
      <c r="AMJ134" s="251"/>
      <c r="AMK134" s="251"/>
      <c r="AML134" s="251"/>
      <c r="AMM134" s="251"/>
      <c r="AMN134" s="251"/>
      <c r="AMO134" s="251"/>
      <c r="AMP134" s="251"/>
      <c r="AMQ134" s="251"/>
      <c r="AMR134" s="251"/>
      <c r="AMS134" s="251"/>
      <c r="AMT134" s="251"/>
      <c r="AMU134" s="251"/>
      <c r="AMV134" s="251"/>
      <c r="AMW134" s="251"/>
      <c r="AMX134" s="251"/>
      <c r="AMY134" s="251"/>
      <c r="AMZ134" s="251"/>
      <c r="ANA134" s="251"/>
      <c r="ANB134" s="251"/>
      <c r="ANC134" s="251"/>
      <c r="AND134" s="251"/>
      <c r="ANE134" s="251"/>
      <c r="ANF134" s="251"/>
      <c r="ANG134" s="251"/>
      <c r="ANH134" s="251"/>
      <c r="ANI134" s="251"/>
      <c r="ANJ134" s="251"/>
      <c r="ANK134" s="251"/>
      <c r="ANL134" s="251"/>
      <c r="ANM134" s="251"/>
      <c r="ANN134" s="251"/>
      <c r="ANO134" s="251"/>
      <c r="ANP134" s="251"/>
      <c r="ANQ134" s="251"/>
      <c r="ANR134" s="251"/>
      <c r="ANS134" s="251"/>
      <c r="ANT134" s="251"/>
      <c r="ANU134" s="251"/>
      <c r="ANV134" s="251"/>
      <c r="ANW134" s="251"/>
      <c r="ANX134" s="251"/>
      <c r="ANY134" s="251"/>
      <c r="ANZ134" s="251"/>
      <c r="AOA134" s="251"/>
      <c r="AOB134" s="251"/>
      <c r="AOC134" s="251"/>
      <c r="AOD134" s="251"/>
      <c r="AOE134" s="251"/>
      <c r="AOF134" s="251"/>
      <c r="AOG134" s="251"/>
      <c r="AOH134" s="251"/>
      <c r="AOI134" s="251"/>
      <c r="AOJ134" s="251"/>
      <c r="AOK134" s="251"/>
      <c r="AOL134" s="251"/>
      <c r="AOM134" s="251"/>
      <c r="AON134" s="251"/>
      <c r="AOO134" s="251"/>
      <c r="AOP134" s="251"/>
      <c r="AOQ134" s="251"/>
      <c r="AOR134" s="251"/>
      <c r="AOS134" s="251"/>
      <c r="AOT134" s="251"/>
      <c r="AOU134" s="251"/>
      <c r="AOV134" s="251"/>
      <c r="AOW134" s="251"/>
      <c r="AOX134" s="251"/>
      <c r="AOY134" s="251"/>
      <c r="AOZ134" s="251"/>
      <c r="APA134" s="251"/>
      <c r="APB134" s="251"/>
      <c r="APC134" s="251"/>
      <c r="APD134" s="251"/>
      <c r="APE134" s="251"/>
      <c r="APF134" s="251"/>
      <c r="APG134" s="251"/>
      <c r="APH134" s="251"/>
      <c r="API134" s="251"/>
      <c r="APJ134" s="251"/>
      <c r="APK134" s="251"/>
      <c r="APL134" s="251"/>
      <c r="APM134" s="251"/>
      <c r="APN134" s="251"/>
      <c r="APO134" s="251"/>
      <c r="APP134" s="251"/>
      <c r="APQ134" s="251"/>
      <c r="APR134" s="251"/>
      <c r="APS134" s="251"/>
      <c r="APT134" s="251"/>
      <c r="APU134" s="251"/>
      <c r="APV134" s="251"/>
      <c r="APW134" s="251"/>
      <c r="APX134" s="251"/>
      <c r="APY134" s="251"/>
      <c r="APZ134" s="251"/>
      <c r="AQA134" s="251"/>
      <c r="AQB134" s="251"/>
      <c r="AQC134" s="251"/>
      <c r="AQD134" s="251"/>
      <c r="AQE134" s="251"/>
      <c r="AQF134" s="251"/>
      <c r="AQG134" s="251"/>
      <c r="AQH134" s="251"/>
      <c r="AQI134" s="251"/>
      <c r="AQJ134" s="251"/>
      <c r="AQK134" s="251"/>
      <c r="AQL134" s="251"/>
      <c r="AQM134" s="251"/>
      <c r="AQN134" s="251"/>
      <c r="AQO134" s="251"/>
      <c r="AQP134" s="251"/>
      <c r="AQQ134" s="251"/>
      <c r="AQR134" s="251"/>
      <c r="AQS134" s="251"/>
      <c r="AQT134" s="251"/>
      <c r="AQU134" s="251"/>
      <c r="AQV134" s="251"/>
      <c r="AQW134" s="251"/>
      <c r="AQX134" s="251"/>
      <c r="AQY134" s="251"/>
      <c r="AQZ134" s="251"/>
      <c r="ARA134" s="251"/>
      <c r="ARB134" s="251"/>
      <c r="ARC134" s="251"/>
      <c r="ARD134" s="251"/>
      <c r="ARE134" s="251"/>
      <c r="ARF134" s="251"/>
      <c r="ARG134" s="251"/>
      <c r="ARH134" s="251"/>
      <c r="ARI134" s="251"/>
      <c r="ARJ134" s="251"/>
      <c r="ARK134" s="251"/>
      <c r="ARL134" s="251"/>
      <c r="ARM134" s="251"/>
      <c r="ARN134" s="251"/>
      <c r="ARO134" s="251"/>
      <c r="ARP134" s="251"/>
      <c r="ARQ134" s="251"/>
      <c r="ARR134" s="251"/>
      <c r="ARS134" s="251"/>
      <c r="ART134" s="251"/>
      <c r="ARU134" s="251"/>
      <c r="ARV134" s="251"/>
      <c r="ARW134" s="251"/>
      <c r="ARX134" s="251"/>
      <c r="ARY134" s="251"/>
      <c r="ARZ134" s="251"/>
      <c r="ASA134" s="251"/>
      <c r="ASB134" s="251"/>
      <c r="ASC134" s="251"/>
      <c r="ASD134" s="251"/>
      <c r="ASE134" s="251"/>
      <c r="ASF134" s="251"/>
      <c r="ASG134" s="251"/>
      <c r="ASH134" s="251"/>
      <c r="ASI134" s="251"/>
      <c r="ASJ134" s="251"/>
      <c r="ASK134" s="251"/>
      <c r="ASL134" s="251"/>
      <c r="ASM134" s="251"/>
      <c r="ASN134" s="251"/>
      <c r="ASO134" s="251"/>
      <c r="ASP134" s="251"/>
      <c r="ASQ134" s="251"/>
      <c r="ASR134" s="251"/>
      <c r="ASS134" s="251"/>
      <c r="AST134" s="251"/>
      <c r="ASU134" s="251"/>
      <c r="ASV134" s="251"/>
      <c r="ASW134" s="251"/>
      <c r="ASX134" s="251"/>
      <c r="ASY134" s="251"/>
      <c r="ASZ134" s="251"/>
      <c r="ATA134" s="251"/>
      <c r="ATB134" s="251"/>
      <c r="ATC134" s="251"/>
      <c r="ATD134" s="251"/>
      <c r="ATE134" s="251"/>
      <c r="ATF134" s="251"/>
      <c r="ATG134" s="251"/>
      <c r="ATH134" s="251"/>
      <c r="ATI134" s="251"/>
      <c r="ATJ134" s="251"/>
      <c r="ATK134" s="251"/>
      <c r="ATL134" s="251"/>
      <c r="ATM134" s="251"/>
      <c r="ATN134" s="251"/>
      <c r="ATO134" s="251"/>
      <c r="ATP134" s="251"/>
      <c r="ATQ134" s="251"/>
      <c r="ATR134" s="251"/>
      <c r="ATS134" s="251"/>
      <c r="ATT134" s="251"/>
      <c r="ATU134" s="251"/>
      <c r="ATV134" s="251"/>
      <c r="ATW134" s="251"/>
      <c r="ATX134" s="251"/>
      <c r="ATY134" s="251"/>
      <c r="ATZ134" s="251"/>
      <c r="AUA134" s="251"/>
      <c r="AUB134" s="251"/>
      <c r="AUC134" s="251"/>
      <c r="AUD134" s="251"/>
      <c r="AUE134" s="251"/>
      <c r="AUF134" s="251"/>
      <c r="AUG134" s="251"/>
      <c r="AUH134" s="251"/>
      <c r="AUI134" s="251"/>
      <c r="AUJ134" s="251"/>
      <c r="AUK134" s="251"/>
      <c r="AUL134" s="251"/>
      <c r="AUM134" s="251"/>
      <c r="AUN134" s="251"/>
      <c r="AUO134" s="251"/>
      <c r="AUP134" s="251"/>
      <c r="AUQ134" s="251"/>
      <c r="AUR134" s="251"/>
      <c r="AUS134" s="251"/>
      <c r="AUT134" s="251"/>
      <c r="AUU134" s="251"/>
      <c r="AUV134" s="251"/>
      <c r="AUW134" s="251"/>
      <c r="AUX134" s="251"/>
      <c r="AUY134" s="251"/>
      <c r="AUZ134" s="251"/>
      <c r="AVA134" s="251"/>
      <c r="AVB134" s="251"/>
      <c r="AVC134" s="251"/>
      <c r="AVD134" s="251"/>
      <c r="AVE134" s="251"/>
      <c r="AVF134" s="251"/>
      <c r="AVG134" s="251"/>
      <c r="AVH134" s="251"/>
      <c r="AVI134" s="251"/>
      <c r="AVJ134" s="251"/>
      <c r="AVK134" s="251"/>
      <c r="AVL134" s="251"/>
      <c r="AVM134" s="251"/>
      <c r="AVN134" s="251"/>
      <c r="AVO134" s="251"/>
      <c r="AVP134" s="251"/>
      <c r="AVQ134" s="251"/>
      <c r="AVR134" s="251"/>
      <c r="AVS134" s="251"/>
      <c r="AVT134" s="251"/>
      <c r="AVU134" s="251"/>
      <c r="AVV134" s="251"/>
      <c r="AVW134" s="251"/>
      <c r="AVX134" s="251"/>
      <c r="AVY134" s="251"/>
      <c r="AVZ134" s="251"/>
      <c r="AWA134" s="251"/>
      <c r="AWB134" s="251"/>
      <c r="AWC134" s="251"/>
      <c r="AWD134" s="251"/>
      <c r="AWE134" s="251"/>
      <c r="AWF134" s="251"/>
      <c r="AWG134" s="251"/>
      <c r="AWH134" s="251"/>
      <c r="AWI134" s="251"/>
      <c r="AWJ134" s="251"/>
      <c r="AWK134" s="251"/>
      <c r="AWL134" s="251"/>
      <c r="AWM134" s="251"/>
      <c r="AWN134" s="251"/>
      <c r="AWO134" s="251"/>
      <c r="AWP134" s="251"/>
      <c r="AWQ134" s="251"/>
      <c r="AWR134" s="251"/>
      <c r="AWS134" s="251"/>
      <c r="AWT134" s="251"/>
      <c r="AWU134" s="251"/>
      <c r="AWV134" s="251"/>
      <c r="AWW134" s="251"/>
      <c r="AWX134" s="251"/>
      <c r="AWY134" s="251"/>
      <c r="AWZ134" s="251"/>
      <c r="AXA134" s="251"/>
      <c r="AXB134" s="251"/>
      <c r="AXC134" s="251"/>
      <c r="AXD134" s="251"/>
      <c r="AXE134" s="251"/>
      <c r="AXF134" s="251"/>
      <c r="AXG134" s="251"/>
      <c r="AXH134" s="251"/>
      <c r="AXI134" s="251"/>
      <c r="AXJ134" s="251"/>
      <c r="AXK134" s="251"/>
      <c r="AXL134" s="251"/>
      <c r="AXM134" s="251"/>
      <c r="AXN134" s="251"/>
      <c r="AXO134" s="251"/>
      <c r="AXP134" s="251"/>
      <c r="AXQ134" s="251"/>
      <c r="AXR134" s="251"/>
      <c r="AXS134" s="251"/>
      <c r="AXT134" s="251"/>
      <c r="AXU134" s="251"/>
      <c r="AXV134" s="251"/>
      <c r="AXW134" s="251"/>
      <c r="AXX134" s="251"/>
      <c r="AXY134" s="251"/>
      <c r="AXZ134" s="251"/>
      <c r="AYA134" s="251"/>
      <c r="AYB134" s="251"/>
      <c r="AYC134" s="251"/>
      <c r="AYD134" s="251"/>
      <c r="AYE134" s="251"/>
      <c r="AYF134" s="251"/>
      <c r="AYG134" s="251"/>
      <c r="AYH134" s="251"/>
      <c r="AYI134" s="251"/>
      <c r="AYJ134" s="251"/>
      <c r="AYK134" s="251"/>
      <c r="AYL134" s="251"/>
      <c r="AYM134" s="251"/>
      <c r="AYN134" s="251"/>
      <c r="AYO134" s="251"/>
      <c r="AYP134" s="251"/>
      <c r="AYQ134" s="251"/>
      <c r="AYR134" s="251"/>
      <c r="AYS134" s="251"/>
      <c r="AYT134" s="251"/>
      <c r="AYU134" s="251"/>
      <c r="AYV134" s="251"/>
      <c r="AYW134" s="251"/>
      <c r="AYX134" s="251"/>
      <c r="AYY134" s="251"/>
      <c r="AYZ134" s="251"/>
      <c r="AZA134" s="251"/>
      <c r="AZB134" s="251"/>
      <c r="AZC134" s="251"/>
      <c r="AZD134" s="251"/>
      <c r="AZE134" s="251"/>
      <c r="AZF134" s="251"/>
      <c r="AZG134" s="251"/>
      <c r="AZH134" s="251"/>
      <c r="AZI134" s="251"/>
      <c r="AZJ134" s="251"/>
      <c r="AZK134" s="251"/>
      <c r="AZL134" s="251"/>
      <c r="AZM134" s="251"/>
      <c r="AZN134" s="251"/>
      <c r="AZO134" s="251"/>
      <c r="AZP134" s="251"/>
      <c r="AZQ134" s="251"/>
      <c r="AZR134" s="251"/>
      <c r="AZS134" s="251"/>
      <c r="AZT134" s="251"/>
      <c r="AZU134" s="251"/>
      <c r="AZV134" s="251"/>
      <c r="AZW134" s="251"/>
      <c r="AZX134" s="251"/>
      <c r="AZY134" s="251"/>
      <c r="AZZ134" s="251"/>
      <c r="BAA134" s="251"/>
      <c r="BAB134" s="251"/>
      <c r="BAC134" s="251"/>
      <c r="BAD134" s="251"/>
      <c r="BAE134" s="251"/>
      <c r="BAF134" s="251"/>
      <c r="BAG134" s="251"/>
      <c r="BAH134" s="251"/>
      <c r="BAI134" s="251"/>
      <c r="BAJ134" s="251"/>
      <c r="BAK134" s="251"/>
      <c r="BAL134" s="251"/>
      <c r="BAM134" s="251"/>
      <c r="BAN134" s="251"/>
      <c r="BAO134" s="251"/>
      <c r="BAP134" s="251"/>
      <c r="BAQ134" s="251"/>
      <c r="BAR134" s="251"/>
      <c r="BAS134" s="251"/>
      <c r="BAT134" s="251"/>
      <c r="BAU134" s="251"/>
      <c r="BAV134" s="251"/>
      <c r="BAW134" s="251"/>
      <c r="BAX134" s="251"/>
      <c r="BAY134" s="251"/>
      <c r="BAZ134" s="251"/>
      <c r="BBA134" s="251"/>
      <c r="BBB134" s="251"/>
      <c r="BBC134" s="251"/>
      <c r="BBD134" s="251"/>
      <c r="BBE134" s="251"/>
      <c r="BBF134" s="251"/>
      <c r="BBG134" s="251"/>
      <c r="BBH134" s="251"/>
      <c r="BBI134" s="251"/>
      <c r="BBJ134" s="251"/>
      <c r="BBK134" s="251"/>
      <c r="BBL134" s="251"/>
      <c r="BBM134" s="251"/>
      <c r="BBN134" s="251"/>
      <c r="BBO134" s="251"/>
      <c r="BBP134" s="251"/>
      <c r="BBQ134" s="251"/>
      <c r="BBR134" s="251"/>
      <c r="BBS134" s="251"/>
      <c r="BBT134" s="251"/>
      <c r="BBU134" s="251"/>
      <c r="BBV134" s="251"/>
      <c r="BBW134" s="251"/>
      <c r="BBX134" s="251"/>
      <c r="BBY134" s="251"/>
      <c r="BBZ134" s="251"/>
      <c r="BCA134" s="251"/>
      <c r="BCB134" s="251"/>
      <c r="BCC134" s="251"/>
      <c r="BCD134" s="251"/>
      <c r="BCE134" s="251"/>
      <c r="BCF134" s="251"/>
      <c r="BCG134" s="251"/>
      <c r="BCH134" s="251"/>
      <c r="BCI134" s="251"/>
      <c r="BCJ134" s="251"/>
      <c r="BCK134" s="251"/>
      <c r="BCL134" s="251"/>
      <c r="BCM134" s="251"/>
      <c r="BCN134" s="251"/>
      <c r="BCO134" s="251"/>
      <c r="BCP134" s="251"/>
      <c r="BCQ134" s="251"/>
      <c r="BCR134" s="251"/>
      <c r="BCS134" s="251"/>
      <c r="BCT134" s="251"/>
      <c r="BCU134" s="251"/>
      <c r="BCV134" s="251"/>
      <c r="BCW134" s="251"/>
      <c r="BCX134" s="251"/>
      <c r="BCY134" s="251"/>
      <c r="BCZ134" s="251"/>
      <c r="BDA134" s="251"/>
      <c r="BDB134" s="251"/>
      <c r="BDC134" s="251"/>
      <c r="BDD134" s="251"/>
      <c r="BDE134" s="251"/>
      <c r="BDF134" s="251"/>
      <c r="BDG134" s="251"/>
      <c r="BDH134" s="251"/>
      <c r="BDI134" s="251"/>
      <c r="BDJ134" s="251"/>
      <c r="BDK134" s="251"/>
      <c r="BDL134" s="251"/>
      <c r="BDM134" s="251"/>
      <c r="BDN134" s="251"/>
      <c r="BDO134" s="251"/>
      <c r="BDP134" s="251"/>
      <c r="BDQ134" s="251"/>
      <c r="BDR134" s="251"/>
      <c r="BDS134" s="251"/>
      <c r="BDT134" s="251"/>
      <c r="BDU134" s="251"/>
      <c r="BDV134" s="251"/>
      <c r="BDW134" s="251"/>
      <c r="BDX134" s="251"/>
      <c r="BDY134" s="251"/>
      <c r="BDZ134" s="251"/>
      <c r="BEA134" s="251"/>
      <c r="BEB134" s="251"/>
      <c r="BEC134" s="251"/>
      <c r="BED134" s="251"/>
      <c r="BEE134" s="251"/>
      <c r="BEF134" s="251"/>
      <c r="BEG134" s="251"/>
      <c r="BEH134" s="251"/>
      <c r="BEI134" s="251"/>
      <c r="BEJ134" s="251"/>
      <c r="BEK134" s="251"/>
      <c r="BEL134" s="251"/>
      <c r="BEM134" s="251"/>
      <c r="BEN134" s="251"/>
      <c r="BEO134" s="251"/>
      <c r="BEP134" s="251"/>
      <c r="BEQ134" s="251"/>
      <c r="BER134" s="251"/>
      <c r="BES134" s="251"/>
      <c r="BET134" s="251"/>
      <c r="BEU134" s="251"/>
      <c r="BEV134" s="251"/>
      <c r="BEW134" s="251"/>
      <c r="BEX134" s="251"/>
      <c r="BEY134" s="251"/>
      <c r="BEZ134" s="251"/>
      <c r="BFA134" s="251"/>
      <c r="BFB134" s="251"/>
      <c r="BFC134" s="251"/>
      <c r="BFD134" s="251"/>
      <c r="BFE134" s="251"/>
      <c r="BFF134" s="251"/>
      <c r="BFG134" s="251"/>
      <c r="BFH134" s="251"/>
      <c r="BFI134" s="251"/>
      <c r="BFJ134" s="251"/>
      <c r="BFK134" s="251"/>
      <c r="BFL134" s="251"/>
      <c r="BFM134" s="251"/>
      <c r="BFN134" s="251"/>
      <c r="BFO134" s="251"/>
      <c r="BFP134" s="251"/>
      <c r="BFQ134" s="251"/>
      <c r="BFR134" s="251"/>
      <c r="BFS134" s="251"/>
      <c r="BFT134" s="251"/>
      <c r="BFU134" s="251"/>
      <c r="BFV134" s="251"/>
      <c r="BFW134" s="251"/>
      <c r="BFX134" s="251"/>
      <c r="BFY134" s="251"/>
      <c r="BFZ134" s="251"/>
      <c r="BGA134" s="251"/>
      <c r="BGB134" s="251"/>
      <c r="BGC134" s="251"/>
      <c r="BGD134" s="251"/>
      <c r="BGE134" s="251"/>
      <c r="BGF134" s="251"/>
      <c r="BGG134" s="251"/>
      <c r="BGH134" s="251"/>
      <c r="BGI134" s="251"/>
      <c r="BGJ134" s="251"/>
      <c r="BGK134" s="251"/>
      <c r="BGL134" s="251"/>
      <c r="BGM134" s="251"/>
      <c r="BGN134" s="251"/>
      <c r="BGO134" s="251"/>
      <c r="BGP134" s="251"/>
      <c r="BGQ134" s="251"/>
      <c r="BGR134" s="251"/>
      <c r="BGS134" s="251"/>
      <c r="BGT134" s="251"/>
      <c r="BGU134" s="251"/>
      <c r="BGV134" s="251"/>
      <c r="BGW134" s="251"/>
      <c r="BGX134" s="251"/>
      <c r="BGY134" s="251"/>
      <c r="BGZ134" s="251"/>
      <c r="BHA134" s="251"/>
      <c r="BHB134" s="251"/>
      <c r="BHC134" s="251"/>
      <c r="BHD134" s="251"/>
      <c r="BHE134" s="251"/>
      <c r="BHF134" s="251"/>
      <c r="BHG134" s="251"/>
      <c r="BHH134" s="251"/>
      <c r="BHI134" s="251"/>
      <c r="BHJ134" s="251"/>
      <c r="BHK134" s="251"/>
      <c r="BHL134" s="251"/>
      <c r="BHM134" s="251"/>
      <c r="BHN134" s="251"/>
      <c r="BHO134" s="251"/>
      <c r="BHP134" s="251"/>
      <c r="BHQ134" s="251"/>
      <c r="BHR134" s="251"/>
      <c r="BHS134" s="251"/>
      <c r="BHT134" s="251"/>
      <c r="BHU134" s="251"/>
      <c r="BHV134" s="251"/>
      <c r="BHW134" s="251"/>
      <c r="BHX134" s="251"/>
      <c r="BHY134" s="251"/>
      <c r="BHZ134" s="251"/>
      <c r="BIA134" s="251"/>
      <c r="BIB134" s="251"/>
      <c r="BIC134" s="251"/>
      <c r="BID134" s="251"/>
      <c r="BIE134" s="251"/>
      <c r="BIF134" s="251"/>
      <c r="BIG134" s="251"/>
      <c r="BIH134" s="251"/>
      <c r="BII134" s="251"/>
      <c r="BIJ134" s="251"/>
      <c r="BIK134" s="251"/>
      <c r="BIL134" s="251"/>
      <c r="BIM134" s="251"/>
      <c r="BIN134" s="251"/>
      <c r="BIO134" s="251"/>
      <c r="BIP134" s="251"/>
      <c r="BIQ134" s="251"/>
      <c r="BIR134" s="251"/>
      <c r="BIS134" s="251"/>
      <c r="BIT134" s="251"/>
      <c r="BIU134" s="251"/>
      <c r="BIV134" s="251"/>
      <c r="BIW134" s="251"/>
      <c r="BIX134" s="251"/>
      <c r="BIY134" s="251"/>
      <c r="BIZ134" s="251"/>
      <c r="BJA134" s="251"/>
      <c r="BJB134" s="251"/>
      <c r="BJC134" s="251"/>
      <c r="BJD134" s="251"/>
      <c r="BJE134" s="251"/>
      <c r="BJF134" s="251"/>
      <c r="BJG134" s="251"/>
      <c r="BJH134" s="251"/>
      <c r="BJI134" s="251"/>
      <c r="BJJ134" s="251"/>
      <c r="BJK134" s="251"/>
      <c r="BJL134" s="251"/>
      <c r="BJM134" s="251"/>
      <c r="BJN134" s="251"/>
      <c r="BJO134" s="251"/>
      <c r="BJP134" s="251"/>
      <c r="BJQ134" s="251"/>
      <c r="BJR134" s="251"/>
      <c r="BJS134" s="251"/>
      <c r="BJT134" s="251"/>
      <c r="BJU134" s="251"/>
      <c r="BJV134" s="251"/>
      <c r="BJW134" s="251"/>
      <c r="BJX134" s="251"/>
      <c r="BJY134" s="251"/>
      <c r="BJZ134" s="251"/>
      <c r="BKA134" s="251"/>
      <c r="BKB134" s="251"/>
      <c r="BKC134" s="251"/>
      <c r="BKD134" s="251"/>
      <c r="BKE134" s="251"/>
      <c r="BKF134" s="251"/>
      <c r="BKG134" s="251"/>
      <c r="BKH134" s="251"/>
      <c r="BKI134" s="251"/>
      <c r="BKJ134" s="251"/>
      <c r="BKK134" s="251"/>
      <c r="BKL134" s="251"/>
      <c r="BKM134" s="251"/>
      <c r="BKN134" s="251"/>
      <c r="BKO134" s="251"/>
      <c r="BKP134" s="251"/>
      <c r="BKQ134" s="251"/>
      <c r="BKR134" s="251"/>
      <c r="BKS134" s="251"/>
      <c r="BKT134" s="251"/>
      <c r="BKU134" s="251"/>
      <c r="BKV134" s="251"/>
      <c r="BKW134" s="251"/>
      <c r="BKX134" s="251"/>
      <c r="BKY134" s="251"/>
      <c r="BKZ134" s="251"/>
      <c r="BLA134" s="251"/>
      <c r="BLB134" s="251"/>
      <c r="BLC134" s="251"/>
      <c r="BLD134" s="251"/>
      <c r="BLE134" s="251"/>
      <c r="BLF134" s="251"/>
      <c r="BLG134" s="251"/>
      <c r="BLH134" s="251"/>
      <c r="BLI134" s="251"/>
      <c r="BLJ134" s="251"/>
      <c r="BLK134" s="251"/>
      <c r="BLL134" s="251"/>
      <c r="BLM134" s="251"/>
      <c r="BLN134" s="251"/>
      <c r="BLO134" s="251"/>
      <c r="BLP134" s="251"/>
      <c r="BLQ134" s="251"/>
      <c r="BLR134" s="251"/>
      <c r="BLS134" s="251"/>
      <c r="BLT134" s="251"/>
      <c r="BLU134" s="251"/>
      <c r="BLV134" s="251"/>
      <c r="BLW134" s="251"/>
      <c r="BLX134" s="251"/>
      <c r="BLY134" s="251"/>
      <c r="BLZ134" s="251"/>
      <c r="BMA134" s="251"/>
      <c r="BMB134" s="251"/>
      <c r="BMC134" s="251"/>
      <c r="BMD134" s="251"/>
      <c r="BME134" s="251"/>
      <c r="BMF134" s="251"/>
      <c r="BMG134" s="251"/>
      <c r="BMH134" s="251"/>
      <c r="BMI134" s="251"/>
      <c r="BMJ134" s="251"/>
      <c r="BMK134" s="251"/>
      <c r="BML134" s="251"/>
      <c r="BMM134" s="251"/>
      <c r="BMN134" s="251"/>
      <c r="BMO134" s="251"/>
      <c r="BMP134" s="251"/>
      <c r="BMQ134" s="251"/>
      <c r="BMR134" s="251"/>
      <c r="BMS134" s="251"/>
      <c r="BMT134" s="251"/>
      <c r="BMU134" s="251"/>
      <c r="BMV134" s="251"/>
      <c r="BMW134" s="251"/>
      <c r="BMX134" s="251"/>
      <c r="BMY134" s="251"/>
      <c r="BMZ134" s="251"/>
      <c r="BNA134" s="251"/>
      <c r="BNB134" s="251"/>
      <c r="BNC134" s="251"/>
      <c r="BND134" s="251"/>
      <c r="BNE134" s="251"/>
      <c r="BNF134" s="251"/>
      <c r="BNG134" s="251"/>
      <c r="BNH134" s="251"/>
      <c r="BNI134" s="251"/>
      <c r="BNJ134" s="251"/>
      <c r="BNK134" s="251"/>
      <c r="BNL134" s="251"/>
      <c r="BNM134" s="251"/>
      <c r="BNN134" s="251"/>
      <c r="BNO134" s="251"/>
      <c r="BNP134" s="251"/>
      <c r="BNQ134" s="251"/>
      <c r="BNR134" s="251"/>
      <c r="BNS134" s="251"/>
      <c r="BNT134" s="251"/>
      <c r="BNU134" s="251"/>
      <c r="BNV134" s="251"/>
      <c r="BNW134" s="251"/>
      <c r="BNX134" s="251"/>
      <c r="BNY134" s="251"/>
      <c r="BNZ134" s="251"/>
      <c r="BOA134" s="251"/>
      <c r="BOB134" s="251"/>
      <c r="BOC134" s="251"/>
      <c r="BOD134" s="251"/>
      <c r="BOE134" s="251"/>
      <c r="BOF134" s="251"/>
      <c r="BOG134" s="251"/>
      <c r="BOH134" s="251"/>
      <c r="BOI134" s="251"/>
      <c r="BOJ134" s="251"/>
      <c r="BOK134" s="251"/>
      <c r="BOL134" s="251"/>
      <c r="BOM134" s="251"/>
      <c r="BON134" s="251"/>
      <c r="BOO134" s="251"/>
      <c r="BOP134" s="251"/>
      <c r="BOQ134" s="251"/>
      <c r="BOR134" s="251"/>
      <c r="BOS134" s="251"/>
      <c r="BOT134" s="251"/>
      <c r="BOU134" s="251"/>
      <c r="BOV134" s="251"/>
      <c r="BOW134" s="251"/>
      <c r="BOX134" s="251"/>
      <c r="BOY134" s="251"/>
      <c r="BOZ134" s="251"/>
      <c r="BPA134" s="251"/>
      <c r="BPB134" s="251"/>
      <c r="BPC134" s="251"/>
      <c r="BPD134" s="251"/>
      <c r="BPE134" s="251"/>
      <c r="BPF134" s="251"/>
      <c r="BPG134" s="251"/>
      <c r="BPH134" s="251"/>
      <c r="BPI134" s="251"/>
      <c r="BPJ134" s="251"/>
      <c r="BPK134" s="251"/>
      <c r="BPL134" s="251"/>
      <c r="BPM134" s="251"/>
      <c r="BPN134" s="251"/>
      <c r="BPO134" s="251"/>
      <c r="BPP134" s="251"/>
      <c r="BPQ134" s="251"/>
      <c r="BPR134" s="251"/>
      <c r="BPS134" s="251"/>
      <c r="BPT134" s="251"/>
      <c r="BPU134" s="251"/>
      <c r="BPV134" s="251"/>
      <c r="BPW134" s="251"/>
      <c r="BPX134" s="251"/>
      <c r="BPY134" s="251"/>
      <c r="BPZ134" s="251"/>
      <c r="BQA134" s="251"/>
      <c r="BQB134" s="251"/>
      <c r="BQC134" s="251"/>
      <c r="BQD134" s="251"/>
      <c r="BQE134" s="251"/>
      <c r="BQF134" s="251"/>
      <c r="BQG134" s="251"/>
      <c r="BQH134" s="251"/>
      <c r="BQI134" s="251"/>
      <c r="BQJ134" s="251"/>
      <c r="BQK134" s="251"/>
      <c r="BQL134" s="251"/>
      <c r="BQM134" s="251"/>
      <c r="BQN134" s="251"/>
      <c r="BQO134" s="251"/>
      <c r="BQP134" s="251"/>
      <c r="BQQ134" s="251"/>
      <c r="BQR134" s="251"/>
      <c r="BQS134" s="251"/>
      <c r="BQT134" s="251"/>
      <c r="BQU134" s="251"/>
      <c r="BQV134" s="251"/>
      <c r="BQW134" s="251"/>
      <c r="BQX134" s="251"/>
      <c r="BQY134" s="251"/>
      <c r="BQZ134" s="251"/>
      <c r="BRA134" s="251"/>
      <c r="BRB134" s="251"/>
      <c r="BRC134" s="251"/>
      <c r="BRD134" s="251"/>
      <c r="BRE134" s="251"/>
      <c r="BRF134" s="251"/>
      <c r="BRG134" s="251"/>
      <c r="BRH134" s="251"/>
      <c r="BRI134" s="251"/>
      <c r="BRJ134" s="251"/>
      <c r="BRK134" s="251"/>
      <c r="BRL134" s="251"/>
      <c r="BRM134" s="251"/>
      <c r="BRN134" s="251"/>
      <c r="BRO134" s="251"/>
      <c r="BRP134" s="251"/>
      <c r="BRQ134" s="251"/>
      <c r="BRR134" s="251"/>
      <c r="BRS134" s="251"/>
      <c r="BRT134" s="251"/>
      <c r="BRU134" s="251"/>
      <c r="BRV134" s="251"/>
      <c r="BRW134" s="251"/>
      <c r="BRX134" s="251"/>
      <c r="BRY134" s="251"/>
      <c r="BRZ134" s="251"/>
      <c r="BSA134" s="251"/>
      <c r="BSB134" s="251"/>
      <c r="BSC134" s="251"/>
      <c r="BSD134" s="251"/>
      <c r="BSE134" s="251"/>
      <c r="BSF134" s="251"/>
      <c r="BSG134" s="251"/>
      <c r="BSH134" s="251"/>
      <c r="BSI134" s="251"/>
      <c r="BSJ134" s="251"/>
      <c r="BSK134" s="251"/>
      <c r="BSL134" s="251"/>
      <c r="BSM134" s="251"/>
      <c r="BSN134" s="251"/>
      <c r="BSO134" s="251"/>
      <c r="BSP134" s="251"/>
      <c r="BSQ134" s="251"/>
      <c r="BSR134" s="251"/>
      <c r="BSS134" s="251"/>
      <c r="BST134" s="251"/>
      <c r="BSU134" s="251"/>
      <c r="BSV134" s="251"/>
      <c r="BSW134" s="251"/>
      <c r="BSX134" s="251"/>
      <c r="BSY134" s="251"/>
      <c r="BSZ134" s="251"/>
      <c r="BTA134" s="251"/>
      <c r="BTB134" s="251"/>
      <c r="BTC134" s="251"/>
      <c r="BTD134" s="251"/>
      <c r="BTE134" s="251"/>
      <c r="BTF134" s="251"/>
      <c r="BTG134" s="251"/>
      <c r="BTH134" s="251"/>
      <c r="BTI134" s="251"/>
      <c r="BTJ134" s="251"/>
      <c r="BTK134" s="251"/>
      <c r="BTL134" s="251"/>
      <c r="BTM134" s="251"/>
      <c r="BTN134" s="251"/>
      <c r="BTO134" s="251"/>
      <c r="BTP134" s="251"/>
      <c r="BTQ134" s="251"/>
      <c r="BTR134" s="251"/>
      <c r="BTS134" s="251"/>
      <c r="BTT134" s="251"/>
      <c r="BTU134" s="251"/>
      <c r="BTV134" s="251"/>
      <c r="BTW134" s="251"/>
      <c r="BTX134" s="251"/>
      <c r="BTY134" s="251"/>
      <c r="BTZ134" s="251"/>
      <c r="BUA134" s="251"/>
      <c r="BUB134" s="251"/>
      <c r="BUC134" s="251"/>
      <c r="BUD134" s="251"/>
      <c r="BUE134" s="251"/>
      <c r="BUF134" s="251"/>
      <c r="BUG134" s="251"/>
      <c r="BUH134" s="251"/>
      <c r="BUI134" s="251"/>
      <c r="BUJ134" s="251"/>
      <c r="BUK134" s="251"/>
      <c r="BUL134" s="251"/>
      <c r="BUM134" s="251"/>
      <c r="BUN134" s="251"/>
      <c r="BUO134" s="251"/>
      <c r="BUP134" s="251"/>
      <c r="BUQ134" s="251"/>
      <c r="BUR134" s="251"/>
      <c r="BUS134" s="251"/>
      <c r="BUT134" s="251"/>
      <c r="BUU134" s="251"/>
      <c r="BUV134" s="251"/>
      <c r="BUW134" s="251"/>
      <c r="BUX134" s="251"/>
      <c r="BUY134" s="251"/>
      <c r="BUZ134" s="251"/>
      <c r="BVA134" s="251"/>
      <c r="BVB134" s="251"/>
      <c r="BVC134" s="251"/>
      <c r="BVD134" s="251"/>
      <c r="BVE134" s="251"/>
      <c r="BVF134" s="251"/>
      <c r="BVG134" s="251"/>
      <c r="BVH134" s="251"/>
      <c r="BVI134" s="251"/>
      <c r="BVJ134" s="251"/>
      <c r="BVK134" s="251"/>
      <c r="BVL134" s="251"/>
      <c r="BVM134" s="251"/>
      <c r="BVN134" s="251"/>
      <c r="BVO134" s="251"/>
      <c r="BVP134" s="251"/>
      <c r="BVQ134" s="251"/>
      <c r="BVR134" s="251"/>
      <c r="BVS134" s="251"/>
      <c r="BVT134" s="251"/>
      <c r="BVU134" s="251"/>
      <c r="BVV134" s="251"/>
      <c r="BVW134" s="251"/>
      <c r="BVX134" s="251"/>
      <c r="BVY134" s="251"/>
      <c r="BVZ134" s="251"/>
      <c r="BWA134" s="251"/>
      <c r="BWB134" s="251"/>
      <c r="BWC134" s="251"/>
      <c r="BWD134" s="251"/>
      <c r="BWE134" s="251"/>
      <c r="BWF134" s="251"/>
      <c r="BWG134" s="251"/>
      <c r="BWH134" s="251"/>
      <c r="BWI134" s="251"/>
      <c r="BWJ134" s="251"/>
      <c r="BWK134" s="251"/>
      <c r="BWL134" s="251"/>
      <c r="BWM134" s="251"/>
      <c r="BWN134" s="251"/>
      <c r="BWO134" s="251"/>
      <c r="BWP134" s="251"/>
      <c r="BWQ134" s="251"/>
      <c r="BWR134" s="251"/>
      <c r="BWS134" s="251"/>
      <c r="BWT134" s="251"/>
      <c r="BWU134" s="251"/>
      <c r="BWV134" s="251"/>
      <c r="BWW134" s="251"/>
      <c r="BWX134" s="251"/>
      <c r="BWY134" s="251"/>
      <c r="BWZ134" s="251"/>
      <c r="BXA134" s="251"/>
      <c r="BXB134" s="251"/>
      <c r="BXC134" s="251"/>
      <c r="BXD134" s="251"/>
      <c r="BXE134" s="251"/>
      <c r="BXF134" s="251"/>
      <c r="BXG134" s="251"/>
      <c r="BXH134" s="251"/>
      <c r="BXI134" s="251"/>
      <c r="BXJ134" s="251"/>
      <c r="BXK134" s="251"/>
      <c r="BXL134" s="251"/>
      <c r="BXM134" s="251"/>
      <c r="BXN134" s="251"/>
      <c r="BXO134" s="251"/>
      <c r="BXP134" s="251"/>
      <c r="BXQ134" s="251"/>
      <c r="BXR134" s="251"/>
      <c r="BXS134" s="251"/>
      <c r="BXT134" s="251"/>
      <c r="BXU134" s="251"/>
      <c r="BXV134" s="251"/>
      <c r="BXW134" s="251"/>
      <c r="BXX134" s="251"/>
      <c r="BXY134" s="251"/>
      <c r="BXZ134" s="251"/>
      <c r="BYA134" s="251"/>
      <c r="BYB134" s="251"/>
      <c r="BYC134" s="251"/>
      <c r="BYD134" s="251"/>
      <c r="BYE134" s="251"/>
      <c r="BYF134" s="251"/>
      <c r="BYG134" s="251"/>
      <c r="BYH134" s="251"/>
      <c r="BYI134" s="251"/>
      <c r="BYJ134" s="251"/>
      <c r="BYK134" s="251"/>
      <c r="BYL134" s="251"/>
      <c r="BYM134" s="251"/>
      <c r="BYN134" s="251"/>
      <c r="BYO134" s="251"/>
      <c r="BYP134" s="251"/>
      <c r="BYQ134" s="251"/>
      <c r="BYR134" s="251"/>
      <c r="BYS134" s="251"/>
      <c r="BYT134" s="251"/>
      <c r="BYU134" s="251"/>
      <c r="BYV134" s="251"/>
      <c r="BYW134" s="251"/>
      <c r="BYX134" s="251"/>
      <c r="BYY134" s="251"/>
      <c r="BYZ134" s="251"/>
      <c r="BZA134" s="251"/>
      <c r="BZB134" s="251"/>
      <c r="BZC134" s="251"/>
      <c r="BZD134" s="251"/>
      <c r="BZE134" s="251"/>
      <c r="BZF134" s="251"/>
      <c r="BZG134" s="251"/>
      <c r="BZH134" s="251"/>
      <c r="BZI134" s="251"/>
      <c r="BZJ134" s="251"/>
      <c r="BZK134" s="251"/>
      <c r="BZL134" s="251"/>
      <c r="BZM134" s="251"/>
      <c r="BZN134" s="251"/>
      <c r="BZO134" s="251"/>
      <c r="BZP134" s="251"/>
      <c r="BZQ134" s="251"/>
      <c r="BZR134" s="251"/>
      <c r="BZS134" s="251"/>
      <c r="BZT134" s="251"/>
      <c r="BZU134" s="251"/>
      <c r="BZV134" s="251"/>
      <c r="BZW134" s="251"/>
      <c r="BZX134" s="251"/>
      <c r="BZY134" s="251"/>
      <c r="BZZ134" s="251"/>
      <c r="CAA134" s="251"/>
      <c r="CAB134" s="251"/>
      <c r="CAC134" s="251"/>
      <c r="CAD134" s="251"/>
      <c r="CAE134" s="251"/>
      <c r="CAF134" s="251"/>
      <c r="CAG134" s="251"/>
      <c r="CAH134" s="251"/>
      <c r="CAI134" s="251"/>
      <c r="CAJ134" s="251"/>
      <c r="CAK134" s="251"/>
      <c r="CAL134" s="251"/>
      <c r="CAM134" s="251"/>
      <c r="CAN134" s="251"/>
      <c r="CAO134" s="251"/>
      <c r="CAP134" s="251"/>
      <c r="CAQ134" s="251"/>
      <c r="CAR134" s="251"/>
      <c r="CAS134" s="251"/>
      <c r="CAT134" s="251"/>
      <c r="CAU134" s="251"/>
      <c r="CAV134" s="251"/>
      <c r="CAW134" s="251"/>
      <c r="CAX134" s="251"/>
      <c r="CAY134" s="251"/>
      <c r="CAZ134" s="251"/>
      <c r="CBA134" s="251"/>
      <c r="CBB134" s="251"/>
      <c r="CBC134" s="251"/>
      <c r="CBD134" s="251"/>
      <c r="CBE134" s="251"/>
      <c r="CBF134" s="251"/>
      <c r="CBG134" s="251"/>
      <c r="CBH134" s="251"/>
      <c r="CBI134" s="251"/>
      <c r="CBJ134" s="251"/>
      <c r="CBK134" s="251"/>
      <c r="CBL134" s="251"/>
      <c r="CBM134" s="251"/>
      <c r="CBN134" s="251"/>
      <c r="CBO134" s="251"/>
      <c r="CBP134" s="251"/>
      <c r="CBQ134" s="251"/>
      <c r="CBR134" s="251"/>
      <c r="CBS134" s="251"/>
      <c r="CBT134" s="251"/>
      <c r="CBU134" s="251"/>
      <c r="CBV134" s="251"/>
      <c r="CBW134" s="251"/>
      <c r="CBX134" s="251"/>
      <c r="CBY134" s="251"/>
      <c r="CBZ134" s="251"/>
      <c r="CCA134" s="251"/>
      <c r="CCB134" s="251"/>
      <c r="CCC134" s="251"/>
      <c r="CCD134" s="251"/>
      <c r="CCE134" s="251"/>
      <c r="CCF134" s="251"/>
      <c r="CCG134" s="251"/>
      <c r="CCH134" s="251"/>
      <c r="CCI134" s="251"/>
      <c r="CCJ134" s="251"/>
      <c r="CCK134" s="251"/>
      <c r="CCL134" s="251"/>
      <c r="CCM134" s="251"/>
      <c r="CCN134" s="251"/>
      <c r="CCO134" s="251"/>
      <c r="CCP134" s="251"/>
      <c r="CCQ134" s="251"/>
      <c r="CCR134" s="251"/>
      <c r="CCS134" s="251"/>
      <c r="CCT134" s="251"/>
      <c r="CCU134" s="251"/>
      <c r="CCV134" s="251"/>
      <c r="CCW134" s="251"/>
      <c r="CCX134" s="251"/>
      <c r="CCY134" s="251"/>
      <c r="CCZ134" s="251"/>
      <c r="CDA134" s="251"/>
      <c r="CDB134" s="251"/>
      <c r="CDC134" s="251"/>
      <c r="CDD134" s="251"/>
      <c r="CDE134" s="251"/>
      <c r="CDF134" s="251"/>
      <c r="CDG134" s="251"/>
      <c r="CDH134" s="251"/>
      <c r="CDI134" s="251"/>
      <c r="CDJ134" s="251"/>
      <c r="CDK134" s="251"/>
      <c r="CDL134" s="251"/>
      <c r="CDM134" s="251"/>
      <c r="CDN134" s="251"/>
      <c r="CDO134" s="251"/>
      <c r="CDP134" s="251"/>
      <c r="CDQ134" s="251"/>
      <c r="CDR134" s="251"/>
      <c r="CDS134" s="251"/>
      <c r="CDT134" s="251"/>
      <c r="CDU134" s="251"/>
      <c r="CDV134" s="251"/>
      <c r="CDW134" s="251"/>
      <c r="CDX134" s="251"/>
      <c r="CDY134" s="251"/>
      <c r="CDZ134" s="251"/>
      <c r="CEA134" s="251"/>
      <c r="CEB134" s="251"/>
      <c r="CEC134" s="251"/>
      <c r="CED134" s="251"/>
      <c r="CEE134" s="251"/>
      <c r="CEF134" s="251"/>
      <c r="CEG134" s="251"/>
      <c r="CEH134" s="251"/>
      <c r="CEI134" s="251"/>
      <c r="CEJ134" s="251"/>
      <c r="CEK134" s="251"/>
      <c r="CEL134" s="251"/>
      <c r="CEM134" s="251"/>
      <c r="CEN134" s="251"/>
      <c r="CEO134" s="251"/>
      <c r="CEP134" s="251"/>
      <c r="CEQ134" s="251"/>
      <c r="CER134" s="251"/>
      <c r="CES134" s="251"/>
      <c r="CET134" s="251"/>
      <c r="CEU134" s="251"/>
      <c r="CEV134" s="251"/>
      <c r="CEW134" s="251"/>
      <c r="CEX134" s="251"/>
      <c r="CEY134" s="251"/>
      <c r="CEZ134" s="251"/>
      <c r="CFA134" s="251"/>
      <c r="CFB134" s="251"/>
      <c r="CFC134" s="251"/>
      <c r="CFD134" s="251"/>
      <c r="CFE134" s="251"/>
      <c r="CFF134" s="251"/>
      <c r="CFG134" s="251"/>
      <c r="CFH134" s="251"/>
      <c r="CFI134" s="251"/>
      <c r="CFJ134" s="251"/>
      <c r="CFK134" s="251"/>
      <c r="CFL134" s="251"/>
      <c r="CFM134" s="251"/>
      <c r="CFN134" s="251"/>
      <c r="CFO134" s="251"/>
      <c r="CFP134" s="251"/>
      <c r="CFQ134" s="251"/>
      <c r="CFR134" s="251"/>
      <c r="CFS134" s="251"/>
      <c r="CFT134" s="251"/>
      <c r="CFU134" s="251"/>
      <c r="CFV134" s="251"/>
      <c r="CFW134" s="251"/>
      <c r="CFX134" s="251"/>
      <c r="CFY134" s="251"/>
      <c r="CFZ134" s="251"/>
      <c r="CGA134" s="251"/>
      <c r="CGB134" s="251"/>
      <c r="CGC134" s="251"/>
      <c r="CGD134" s="251"/>
      <c r="CGE134" s="251"/>
      <c r="CGF134" s="251"/>
      <c r="CGG134" s="251"/>
      <c r="CGH134" s="251"/>
      <c r="CGI134" s="251"/>
      <c r="CGJ134" s="251"/>
      <c r="CGK134" s="251"/>
      <c r="CGL134" s="251"/>
      <c r="CGM134" s="251"/>
      <c r="CGN134" s="251"/>
      <c r="CGO134" s="251"/>
      <c r="CGP134" s="251"/>
      <c r="CGQ134" s="251"/>
      <c r="CGR134" s="251"/>
      <c r="CGS134" s="251"/>
      <c r="CGT134" s="251"/>
      <c r="CGU134" s="251"/>
      <c r="CGV134" s="251"/>
      <c r="CGW134" s="251"/>
      <c r="CGX134" s="251"/>
      <c r="CGY134" s="251"/>
      <c r="CGZ134" s="251"/>
      <c r="CHA134" s="251"/>
      <c r="CHB134" s="251"/>
      <c r="CHC134" s="251"/>
      <c r="CHD134" s="251"/>
      <c r="CHE134" s="251"/>
      <c r="CHF134" s="251"/>
      <c r="CHG134" s="251"/>
      <c r="CHH134" s="251"/>
      <c r="CHI134" s="251"/>
      <c r="CHJ134" s="251"/>
      <c r="CHK134" s="251"/>
      <c r="CHL134" s="251"/>
      <c r="CHM134" s="251"/>
      <c r="CHN134" s="251"/>
      <c r="CHO134" s="251"/>
      <c r="CHP134" s="251"/>
      <c r="CHQ134" s="251"/>
      <c r="CHR134" s="251"/>
      <c r="CHS134" s="251"/>
      <c r="CHT134" s="251"/>
      <c r="CHU134" s="251"/>
      <c r="CHV134" s="251"/>
      <c r="CHW134" s="251"/>
      <c r="CHX134" s="251"/>
      <c r="CHY134" s="251"/>
      <c r="CHZ134" s="251"/>
      <c r="CIA134" s="251"/>
      <c r="CIB134" s="251"/>
      <c r="CIC134" s="251"/>
      <c r="CID134" s="251"/>
      <c r="CIE134" s="251"/>
      <c r="CIF134" s="251"/>
      <c r="CIG134" s="251"/>
      <c r="CIH134" s="251"/>
      <c r="CII134" s="251"/>
      <c r="CIJ134" s="251"/>
      <c r="CIK134" s="251"/>
      <c r="CIL134" s="251"/>
      <c r="CIM134" s="251"/>
      <c r="CIN134" s="251"/>
      <c r="CIO134" s="251"/>
      <c r="CIP134" s="251"/>
      <c r="CIQ134" s="251"/>
      <c r="CIR134" s="251"/>
      <c r="CIS134" s="251"/>
      <c r="CIT134" s="251"/>
      <c r="CIU134" s="251"/>
      <c r="CIV134" s="251"/>
      <c r="CIW134" s="251"/>
      <c r="CIX134" s="251"/>
      <c r="CIY134" s="251"/>
      <c r="CIZ134" s="251"/>
      <c r="CJA134" s="251"/>
      <c r="CJB134" s="251"/>
      <c r="CJC134" s="251"/>
      <c r="CJD134" s="251"/>
      <c r="CJE134" s="251"/>
      <c r="CJF134" s="251"/>
      <c r="CJG134" s="251"/>
      <c r="CJH134" s="251"/>
      <c r="CJI134" s="251"/>
      <c r="CJJ134" s="251"/>
      <c r="CJK134" s="251"/>
      <c r="CJL134" s="251"/>
      <c r="CJM134" s="251"/>
      <c r="CJN134" s="251"/>
      <c r="CJO134" s="251"/>
      <c r="CJP134" s="251"/>
      <c r="CJQ134" s="251"/>
      <c r="CJR134" s="251"/>
      <c r="CJS134" s="251"/>
      <c r="CJT134" s="251"/>
      <c r="CJU134" s="251"/>
      <c r="CJV134" s="251"/>
      <c r="CJW134" s="251"/>
      <c r="CJX134" s="251"/>
      <c r="CJY134" s="251"/>
      <c r="CJZ134" s="251"/>
      <c r="CKA134" s="251"/>
      <c r="CKB134" s="251"/>
      <c r="CKC134" s="251"/>
      <c r="CKD134" s="251"/>
      <c r="CKE134" s="251"/>
      <c r="CKF134" s="251"/>
      <c r="CKG134" s="251"/>
      <c r="CKH134" s="251"/>
      <c r="CKI134" s="251"/>
      <c r="CKJ134" s="251"/>
      <c r="CKK134" s="251"/>
      <c r="CKL134" s="251"/>
      <c r="CKM134" s="251"/>
      <c r="CKN134" s="251"/>
      <c r="CKO134" s="251"/>
      <c r="CKP134" s="251"/>
      <c r="CKQ134" s="251"/>
      <c r="CKR134" s="251"/>
      <c r="CKS134" s="251"/>
      <c r="CKT134" s="251"/>
      <c r="CKU134" s="251"/>
      <c r="CKV134" s="251"/>
      <c r="CKW134" s="251"/>
      <c r="CKX134" s="251"/>
      <c r="CKY134" s="251"/>
      <c r="CKZ134" s="251"/>
      <c r="CLA134" s="251"/>
      <c r="CLB134" s="251"/>
      <c r="CLC134" s="251"/>
      <c r="CLD134" s="251"/>
      <c r="CLE134" s="251"/>
      <c r="CLF134" s="251"/>
      <c r="CLG134" s="251"/>
      <c r="CLH134" s="251"/>
      <c r="CLI134" s="251"/>
      <c r="CLJ134" s="251"/>
      <c r="CLK134" s="251"/>
      <c r="CLL134" s="251"/>
      <c r="CLM134" s="251"/>
      <c r="CLN134" s="251"/>
      <c r="CLO134" s="251"/>
      <c r="CLP134" s="251"/>
      <c r="CLQ134" s="251"/>
      <c r="CLR134" s="251"/>
      <c r="CLS134" s="251"/>
      <c r="CLT134" s="251"/>
      <c r="CLU134" s="251"/>
      <c r="CLV134" s="251"/>
      <c r="CLW134" s="251"/>
      <c r="CLX134" s="251"/>
      <c r="CLY134" s="251"/>
      <c r="CLZ134" s="251"/>
      <c r="CMA134" s="251"/>
      <c r="CMB134" s="251"/>
      <c r="CMC134" s="251"/>
      <c r="CMD134" s="251"/>
      <c r="CME134" s="251"/>
      <c r="CMF134" s="251"/>
      <c r="CMG134" s="251"/>
      <c r="CMH134" s="251"/>
      <c r="CMI134" s="251"/>
      <c r="CMJ134" s="251"/>
      <c r="CMK134" s="251"/>
      <c r="CML134" s="251"/>
      <c r="CMM134" s="251"/>
      <c r="CMN134" s="251"/>
      <c r="CMO134" s="251"/>
      <c r="CMP134" s="251"/>
      <c r="CMQ134" s="251"/>
      <c r="CMR134" s="251"/>
      <c r="CMS134" s="251"/>
      <c r="CMT134" s="251"/>
      <c r="CMU134" s="251"/>
      <c r="CMV134" s="251"/>
      <c r="CMW134" s="251"/>
      <c r="CMX134" s="251"/>
      <c r="CMY134" s="251"/>
      <c r="CMZ134" s="251"/>
      <c r="CNA134" s="251"/>
      <c r="CNB134" s="251"/>
      <c r="CNC134" s="251"/>
      <c r="CND134" s="251"/>
      <c r="CNE134" s="251"/>
      <c r="CNF134" s="251"/>
      <c r="CNG134" s="251"/>
      <c r="CNH134" s="251"/>
      <c r="CNI134" s="251"/>
      <c r="CNJ134" s="251"/>
      <c r="CNK134" s="251"/>
      <c r="CNL134" s="251"/>
      <c r="CNM134" s="251"/>
      <c r="CNN134" s="251"/>
      <c r="CNO134" s="251"/>
      <c r="CNP134" s="251"/>
      <c r="CNQ134" s="251"/>
      <c r="CNR134" s="251"/>
      <c r="CNS134" s="251"/>
      <c r="CNT134" s="251"/>
      <c r="CNU134" s="251"/>
      <c r="CNV134" s="251"/>
      <c r="CNW134" s="251"/>
      <c r="CNX134" s="251"/>
      <c r="CNY134" s="251"/>
      <c r="CNZ134" s="251"/>
      <c r="COA134" s="251"/>
      <c r="COB134" s="251"/>
      <c r="COC134" s="251"/>
      <c r="COD134" s="251"/>
      <c r="COE134" s="251"/>
      <c r="COF134" s="251"/>
      <c r="COG134" s="251"/>
      <c r="COH134" s="251"/>
      <c r="COI134" s="251"/>
      <c r="COJ134" s="251"/>
      <c r="COK134" s="251"/>
      <c r="COL134" s="251"/>
      <c r="COM134" s="251"/>
      <c r="CON134" s="251"/>
      <c r="COO134" s="251"/>
      <c r="COP134" s="251"/>
      <c r="COQ134" s="251"/>
      <c r="COR134" s="251"/>
      <c r="COS134" s="251"/>
      <c r="COT134" s="251"/>
      <c r="COU134" s="251"/>
      <c r="COV134" s="251"/>
      <c r="COW134" s="251"/>
      <c r="COX134" s="251"/>
      <c r="COY134" s="251"/>
      <c r="COZ134" s="251"/>
      <c r="CPA134" s="251"/>
      <c r="CPB134" s="251"/>
      <c r="CPC134" s="251"/>
      <c r="CPD134" s="251"/>
      <c r="CPE134" s="251"/>
      <c r="CPF134" s="251"/>
      <c r="CPG134" s="251"/>
      <c r="CPH134" s="251"/>
      <c r="CPI134" s="251"/>
      <c r="CPJ134" s="251"/>
      <c r="CPK134" s="251"/>
      <c r="CPL134" s="251"/>
      <c r="CPM134" s="251"/>
      <c r="CPN134" s="251"/>
      <c r="CPO134" s="251"/>
      <c r="CPP134" s="251"/>
      <c r="CPQ134" s="251"/>
      <c r="CPR134" s="251"/>
      <c r="CPS134" s="251"/>
      <c r="CPT134" s="251"/>
      <c r="CPU134" s="251"/>
      <c r="CPV134" s="251"/>
      <c r="CPW134" s="251"/>
      <c r="CPX134" s="251"/>
      <c r="CPY134" s="251"/>
      <c r="CPZ134" s="251"/>
      <c r="CQA134" s="251"/>
      <c r="CQB134" s="251"/>
      <c r="CQC134" s="251"/>
      <c r="CQD134" s="251"/>
      <c r="CQE134" s="251"/>
      <c r="CQF134" s="251"/>
      <c r="CQG134" s="251"/>
      <c r="CQH134" s="251"/>
      <c r="CQI134" s="251"/>
      <c r="CQJ134" s="251"/>
      <c r="CQK134" s="251"/>
      <c r="CQL134" s="251"/>
      <c r="CQM134" s="251"/>
      <c r="CQN134" s="251"/>
      <c r="CQO134" s="251"/>
      <c r="CQP134" s="251"/>
      <c r="CQQ134" s="251"/>
      <c r="CQR134" s="251"/>
      <c r="CQS134" s="251"/>
      <c r="CQT134" s="251"/>
      <c r="CQU134" s="251"/>
      <c r="CQV134" s="251"/>
      <c r="CQW134" s="251"/>
      <c r="CQX134" s="251"/>
      <c r="CQY134" s="251"/>
      <c r="CQZ134" s="251"/>
      <c r="CRA134" s="251"/>
      <c r="CRB134" s="251"/>
      <c r="CRC134" s="251"/>
      <c r="CRD134" s="251"/>
      <c r="CRE134" s="251"/>
      <c r="CRF134" s="251"/>
      <c r="CRG134" s="251"/>
      <c r="CRH134" s="251"/>
      <c r="CRI134" s="251"/>
      <c r="CRJ134" s="251"/>
      <c r="CRK134" s="251"/>
      <c r="CRL134" s="251"/>
      <c r="CRM134" s="251"/>
      <c r="CRN134" s="251"/>
      <c r="CRO134" s="251"/>
      <c r="CRP134" s="251"/>
      <c r="CRQ134" s="251"/>
      <c r="CRR134" s="251"/>
      <c r="CRS134" s="251"/>
      <c r="CRT134" s="251"/>
      <c r="CRU134" s="251"/>
      <c r="CRV134" s="251"/>
      <c r="CRW134" s="251"/>
      <c r="CRX134" s="251"/>
      <c r="CRY134" s="251"/>
      <c r="CRZ134" s="251"/>
      <c r="CSA134" s="251"/>
      <c r="CSB134" s="251"/>
      <c r="CSC134" s="251"/>
      <c r="CSD134" s="251"/>
      <c r="CSE134" s="251"/>
      <c r="CSF134" s="251"/>
      <c r="CSG134" s="251"/>
      <c r="CSH134" s="251"/>
      <c r="CSI134" s="251"/>
      <c r="CSJ134" s="251"/>
      <c r="CSK134" s="251"/>
      <c r="CSL134" s="251"/>
      <c r="CSM134" s="251"/>
      <c r="CSN134" s="251"/>
      <c r="CSO134" s="251"/>
      <c r="CSP134" s="251"/>
      <c r="CSQ134" s="251"/>
      <c r="CSR134" s="251"/>
      <c r="CSS134" s="251"/>
      <c r="CST134" s="251"/>
      <c r="CSU134" s="251"/>
      <c r="CSV134" s="251"/>
      <c r="CSW134" s="251"/>
      <c r="CSX134" s="251"/>
      <c r="CSY134" s="251"/>
      <c r="CSZ134" s="251"/>
      <c r="CTA134" s="251"/>
      <c r="CTB134" s="251"/>
      <c r="CTC134" s="251"/>
      <c r="CTD134" s="251"/>
      <c r="CTE134" s="251"/>
      <c r="CTF134" s="251"/>
      <c r="CTG134" s="251"/>
      <c r="CTH134" s="251"/>
      <c r="CTI134" s="251"/>
      <c r="CTJ134" s="251"/>
      <c r="CTK134" s="251"/>
      <c r="CTL134" s="251"/>
      <c r="CTM134" s="251"/>
      <c r="CTN134" s="251"/>
      <c r="CTO134" s="251"/>
      <c r="CTP134" s="251"/>
      <c r="CTQ134" s="251"/>
      <c r="CTR134" s="251"/>
      <c r="CTS134" s="251"/>
      <c r="CTT134" s="251"/>
      <c r="CTU134" s="251"/>
      <c r="CTV134" s="251"/>
      <c r="CTW134" s="251"/>
      <c r="CTX134" s="251"/>
      <c r="CTY134" s="251"/>
      <c r="CTZ134" s="251"/>
      <c r="CUA134" s="251"/>
      <c r="CUB134" s="251"/>
      <c r="CUC134" s="251"/>
      <c r="CUD134" s="251"/>
      <c r="CUE134" s="251"/>
      <c r="CUF134" s="251"/>
      <c r="CUG134" s="251"/>
      <c r="CUH134" s="251"/>
      <c r="CUI134" s="251"/>
      <c r="CUJ134" s="251"/>
      <c r="CUK134" s="251"/>
      <c r="CUL134" s="251"/>
      <c r="CUM134" s="251"/>
      <c r="CUN134" s="251"/>
      <c r="CUO134" s="251"/>
      <c r="CUP134" s="251"/>
      <c r="CUQ134" s="251"/>
      <c r="CUR134" s="251"/>
      <c r="CUS134" s="251"/>
      <c r="CUT134" s="251"/>
      <c r="CUU134" s="251"/>
      <c r="CUV134" s="251"/>
      <c r="CUW134" s="251"/>
      <c r="CUX134" s="251"/>
      <c r="CUY134" s="251"/>
      <c r="CUZ134" s="251"/>
      <c r="CVA134" s="251"/>
      <c r="CVB134" s="251"/>
      <c r="CVC134" s="251"/>
      <c r="CVD134" s="251"/>
      <c r="CVE134" s="251"/>
      <c r="CVF134" s="251"/>
      <c r="CVG134" s="251"/>
      <c r="CVH134" s="251"/>
      <c r="CVI134" s="251"/>
      <c r="CVJ134" s="251"/>
      <c r="CVK134" s="251"/>
      <c r="CVL134" s="251"/>
      <c r="CVM134" s="251"/>
      <c r="CVN134" s="251"/>
      <c r="CVO134" s="251"/>
      <c r="CVP134" s="251"/>
      <c r="CVQ134" s="251"/>
      <c r="CVR134" s="251"/>
      <c r="CVS134" s="251"/>
      <c r="CVT134" s="251"/>
      <c r="CVU134" s="251"/>
      <c r="CVV134" s="251"/>
      <c r="CVW134" s="251"/>
      <c r="CVX134" s="251"/>
      <c r="CVY134" s="251"/>
      <c r="CVZ134" s="251"/>
      <c r="CWA134" s="251"/>
      <c r="CWB134" s="251"/>
      <c r="CWC134" s="251"/>
      <c r="CWD134" s="251"/>
      <c r="CWE134" s="251"/>
      <c r="CWF134" s="251"/>
      <c r="CWG134" s="251"/>
      <c r="CWH134" s="251"/>
      <c r="CWI134" s="251"/>
      <c r="CWJ134" s="251"/>
      <c r="CWK134" s="251"/>
      <c r="CWL134" s="251"/>
      <c r="CWM134" s="251"/>
      <c r="CWN134" s="251"/>
      <c r="CWO134" s="251"/>
      <c r="CWP134" s="251"/>
      <c r="CWQ134" s="251"/>
      <c r="CWR134" s="251"/>
      <c r="CWS134" s="251"/>
      <c r="CWT134" s="251"/>
      <c r="CWU134" s="251"/>
      <c r="CWV134" s="251"/>
      <c r="CWW134" s="251"/>
      <c r="CWX134" s="251"/>
      <c r="CWY134" s="251"/>
      <c r="CWZ134" s="251"/>
      <c r="CXA134" s="251"/>
      <c r="CXB134" s="251"/>
      <c r="CXC134" s="251"/>
      <c r="CXD134" s="251"/>
      <c r="CXE134" s="251"/>
      <c r="CXF134" s="251"/>
      <c r="CXG134" s="251"/>
      <c r="CXH134" s="251"/>
      <c r="CXI134" s="251"/>
      <c r="CXJ134" s="251"/>
      <c r="CXK134" s="251"/>
      <c r="CXL134" s="251"/>
      <c r="CXM134" s="251"/>
      <c r="CXN134" s="251"/>
      <c r="CXO134" s="251"/>
      <c r="CXP134" s="251"/>
      <c r="CXQ134" s="251"/>
      <c r="CXR134" s="251"/>
      <c r="CXS134" s="251"/>
      <c r="CXT134" s="251"/>
      <c r="CXU134" s="251"/>
      <c r="CXV134" s="251"/>
      <c r="CXW134" s="251"/>
      <c r="CXX134" s="251"/>
      <c r="CXY134" s="251"/>
      <c r="CXZ134" s="251"/>
      <c r="CYA134" s="251"/>
      <c r="CYB134" s="251"/>
      <c r="CYC134" s="251"/>
      <c r="CYD134" s="251"/>
      <c r="CYE134" s="251"/>
      <c r="CYF134" s="251"/>
      <c r="CYG134" s="251"/>
      <c r="CYH134" s="251"/>
      <c r="CYI134" s="251"/>
      <c r="CYJ134" s="251"/>
      <c r="CYK134" s="251"/>
      <c r="CYL134" s="251"/>
      <c r="CYM134" s="251"/>
      <c r="CYN134" s="251"/>
      <c r="CYO134" s="251"/>
      <c r="CYP134" s="251"/>
      <c r="CYQ134" s="251"/>
      <c r="CYR134" s="251"/>
      <c r="CYS134" s="251"/>
      <c r="CYT134" s="251"/>
      <c r="CYU134" s="251"/>
      <c r="CYV134" s="251"/>
      <c r="CYW134" s="251"/>
      <c r="CYX134" s="251"/>
      <c r="CYY134" s="251"/>
      <c r="CYZ134" s="251"/>
      <c r="CZA134" s="251"/>
      <c r="CZB134" s="251"/>
      <c r="CZC134" s="251"/>
      <c r="CZD134" s="251"/>
      <c r="CZE134" s="251"/>
      <c r="CZF134" s="251"/>
      <c r="CZG134" s="251"/>
      <c r="CZH134" s="251"/>
      <c r="CZI134" s="251"/>
      <c r="CZJ134" s="251"/>
      <c r="CZK134" s="251"/>
      <c r="CZL134" s="251"/>
      <c r="CZM134" s="251"/>
      <c r="CZN134" s="251"/>
      <c r="CZO134" s="251"/>
      <c r="CZP134" s="251"/>
      <c r="CZQ134" s="251"/>
      <c r="CZR134" s="251"/>
      <c r="CZS134" s="251"/>
      <c r="CZT134" s="251"/>
      <c r="CZU134" s="251"/>
      <c r="CZV134" s="251"/>
      <c r="CZW134" s="251"/>
      <c r="CZX134" s="251"/>
      <c r="CZY134" s="251"/>
      <c r="CZZ134" s="251"/>
      <c r="DAA134" s="251"/>
      <c r="DAB134" s="251"/>
      <c r="DAC134" s="251"/>
      <c r="DAD134" s="251"/>
      <c r="DAE134" s="251"/>
      <c r="DAF134" s="251"/>
      <c r="DAG134" s="251"/>
      <c r="DAH134" s="251"/>
      <c r="DAI134" s="251"/>
      <c r="DAJ134" s="251"/>
      <c r="DAK134" s="251"/>
      <c r="DAL134" s="251"/>
      <c r="DAM134" s="251"/>
      <c r="DAN134" s="251"/>
      <c r="DAO134" s="251"/>
      <c r="DAP134" s="251"/>
      <c r="DAQ134" s="251"/>
      <c r="DAR134" s="251"/>
      <c r="DAS134" s="251"/>
      <c r="DAT134" s="251"/>
      <c r="DAU134" s="251"/>
      <c r="DAV134" s="251"/>
      <c r="DAW134" s="251"/>
      <c r="DAX134" s="251"/>
      <c r="DAY134" s="251"/>
      <c r="DAZ134" s="251"/>
      <c r="DBA134" s="251"/>
      <c r="DBB134" s="251"/>
      <c r="DBC134" s="251"/>
      <c r="DBD134" s="251"/>
      <c r="DBE134" s="251"/>
      <c r="DBF134" s="251"/>
      <c r="DBG134" s="251"/>
      <c r="DBH134" s="251"/>
      <c r="DBI134" s="251"/>
      <c r="DBJ134" s="251"/>
      <c r="DBK134" s="251"/>
      <c r="DBL134" s="251"/>
      <c r="DBM134" s="251"/>
      <c r="DBN134" s="251"/>
      <c r="DBO134" s="251"/>
      <c r="DBP134" s="251"/>
      <c r="DBQ134" s="251"/>
      <c r="DBR134" s="251"/>
      <c r="DBS134" s="251"/>
      <c r="DBT134" s="251"/>
      <c r="DBU134" s="251"/>
      <c r="DBV134" s="251"/>
      <c r="DBW134" s="251"/>
      <c r="DBX134" s="251"/>
      <c r="DBY134" s="251"/>
      <c r="DBZ134" s="251"/>
      <c r="DCA134" s="251"/>
      <c r="DCB134" s="251"/>
      <c r="DCC134" s="251"/>
      <c r="DCD134" s="251"/>
      <c r="DCE134" s="251"/>
      <c r="DCF134" s="251"/>
      <c r="DCG134" s="251"/>
      <c r="DCH134" s="251"/>
      <c r="DCI134" s="251"/>
      <c r="DCJ134" s="251"/>
      <c r="DCK134" s="251"/>
      <c r="DCL134" s="251"/>
      <c r="DCM134" s="251"/>
      <c r="DCN134" s="251"/>
      <c r="DCO134" s="251"/>
      <c r="DCP134" s="251"/>
      <c r="DCQ134" s="251"/>
      <c r="DCR134" s="251"/>
      <c r="DCS134" s="251"/>
      <c r="DCT134" s="251"/>
      <c r="DCU134" s="251"/>
      <c r="DCV134" s="251"/>
      <c r="DCW134" s="251"/>
      <c r="DCX134" s="251"/>
      <c r="DCY134" s="251"/>
      <c r="DCZ134" s="251"/>
      <c r="DDA134" s="251"/>
      <c r="DDB134" s="251"/>
      <c r="DDC134" s="251"/>
      <c r="DDD134" s="251"/>
      <c r="DDE134" s="251"/>
      <c r="DDF134" s="251"/>
      <c r="DDG134" s="251"/>
      <c r="DDH134" s="251"/>
      <c r="DDI134" s="251"/>
      <c r="DDJ134" s="251"/>
      <c r="DDK134" s="251"/>
      <c r="DDL134" s="251"/>
      <c r="DDM134" s="251"/>
      <c r="DDN134" s="251"/>
      <c r="DDO134" s="251"/>
      <c r="DDP134" s="251"/>
      <c r="DDQ134" s="251"/>
      <c r="DDR134" s="251"/>
      <c r="DDS134" s="251"/>
      <c r="DDT134" s="251"/>
      <c r="DDU134" s="251"/>
      <c r="DDV134" s="251"/>
      <c r="DDW134" s="251"/>
      <c r="DDX134" s="251"/>
      <c r="DDY134" s="251"/>
      <c r="DDZ134" s="251"/>
      <c r="DEA134" s="251"/>
      <c r="DEB134" s="251"/>
      <c r="DEC134" s="251"/>
      <c r="DED134" s="251"/>
      <c r="DEE134" s="251"/>
      <c r="DEF134" s="251"/>
      <c r="DEG134" s="251"/>
      <c r="DEH134" s="251"/>
      <c r="DEI134" s="251"/>
      <c r="DEJ134" s="251"/>
      <c r="DEK134" s="251"/>
      <c r="DEL134" s="251"/>
      <c r="DEM134" s="251"/>
      <c r="DEN134" s="251"/>
      <c r="DEO134" s="251"/>
      <c r="DEP134" s="251"/>
      <c r="DEQ134" s="251"/>
      <c r="DER134" s="251"/>
      <c r="DES134" s="251"/>
      <c r="DET134" s="251"/>
      <c r="DEU134" s="251"/>
      <c r="DEV134" s="251"/>
      <c r="DEW134" s="251"/>
      <c r="DEX134" s="251"/>
      <c r="DEY134" s="251"/>
      <c r="DEZ134" s="251"/>
      <c r="DFA134" s="251"/>
      <c r="DFB134" s="251"/>
      <c r="DFC134" s="251"/>
      <c r="DFD134" s="251"/>
      <c r="DFE134" s="251"/>
      <c r="DFF134" s="251"/>
      <c r="DFG134" s="251"/>
      <c r="DFH134" s="251"/>
      <c r="DFI134" s="251"/>
      <c r="DFJ134" s="251"/>
      <c r="DFK134" s="251"/>
      <c r="DFL134" s="251"/>
      <c r="DFM134" s="251"/>
      <c r="DFN134" s="251"/>
      <c r="DFO134" s="251"/>
      <c r="DFP134" s="251"/>
      <c r="DFQ134" s="251"/>
      <c r="DFR134" s="251"/>
      <c r="DFS134" s="251"/>
      <c r="DFT134" s="251"/>
      <c r="DFU134" s="251"/>
      <c r="DFV134" s="251"/>
      <c r="DFW134" s="251"/>
      <c r="DFX134" s="251"/>
      <c r="DFY134" s="251"/>
      <c r="DFZ134" s="251"/>
      <c r="DGA134" s="251"/>
      <c r="DGB134" s="251"/>
      <c r="DGC134" s="251"/>
      <c r="DGD134" s="251"/>
      <c r="DGE134" s="251"/>
      <c r="DGF134" s="251"/>
      <c r="DGG134" s="251"/>
      <c r="DGH134" s="251"/>
      <c r="DGI134" s="251"/>
      <c r="DGJ134" s="251"/>
      <c r="DGK134" s="251"/>
      <c r="DGL134" s="251"/>
      <c r="DGM134" s="251"/>
      <c r="DGN134" s="251"/>
      <c r="DGO134" s="251"/>
      <c r="DGP134" s="251"/>
      <c r="DGQ134" s="251"/>
      <c r="DGR134" s="251"/>
      <c r="DGS134" s="251"/>
      <c r="DGT134" s="251"/>
      <c r="DGU134" s="251"/>
      <c r="DGV134" s="251"/>
      <c r="DGW134" s="251"/>
      <c r="DGX134" s="251"/>
      <c r="DGY134" s="251"/>
      <c r="DGZ134" s="251"/>
      <c r="DHA134" s="251"/>
      <c r="DHB134" s="251"/>
      <c r="DHC134" s="251"/>
      <c r="DHD134" s="251"/>
      <c r="DHE134" s="251"/>
      <c r="DHF134" s="251"/>
      <c r="DHG134" s="251"/>
      <c r="DHH134" s="251"/>
      <c r="DHI134" s="251"/>
      <c r="DHJ134" s="251"/>
      <c r="DHK134" s="251"/>
      <c r="DHL134" s="251"/>
      <c r="DHM134" s="251"/>
      <c r="DHN134" s="251"/>
      <c r="DHO134" s="251"/>
      <c r="DHP134" s="251"/>
      <c r="DHQ134" s="251"/>
      <c r="DHR134" s="251"/>
      <c r="DHS134" s="251"/>
      <c r="DHT134" s="251"/>
      <c r="DHU134" s="251"/>
      <c r="DHV134" s="251"/>
      <c r="DHW134" s="251"/>
      <c r="DHX134" s="251"/>
      <c r="DHY134" s="251"/>
      <c r="DHZ134" s="251"/>
      <c r="DIA134" s="251"/>
      <c r="DIB134" s="251"/>
      <c r="DIC134" s="251"/>
      <c r="DID134" s="251"/>
      <c r="DIE134" s="251"/>
      <c r="DIF134" s="251"/>
      <c r="DIG134" s="251"/>
      <c r="DIH134" s="251"/>
      <c r="DII134" s="251"/>
      <c r="DIJ134" s="251"/>
      <c r="DIK134" s="251"/>
      <c r="DIL134" s="251"/>
      <c r="DIM134" s="251"/>
      <c r="DIN134" s="251"/>
      <c r="DIO134" s="251"/>
      <c r="DIP134" s="251"/>
      <c r="DIQ134" s="251"/>
      <c r="DIR134" s="251"/>
      <c r="DIS134" s="251"/>
      <c r="DIT134" s="251"/>
      <c r="DIU134" s="251"/>
      <c r="DIV134" s="251"/>
      <c r="DIW134" s="251"/>
      <c r="DIX134" s="251"/>
      <c r="DIY134" s="251"/>
      <c r="DIZ134" s="251"/>
      <c r="DJA134" s="251"/>
      <c r="DJB134" s="251"/>
      <c r="DJC134" s="251"/>
      <c r="DJD134" s="251"/>
      <c r="DJE134" s="251"/>
      <c r="DJF134" s="251"/>
      <c r="DJG134" s="251"/>
      <c r="DJH134" s="251"/>
      <c r="DJI134" s="251"/>
      <c r="DJJ134" s="251"/>
      <c r="DJK134" s="251"/>
      <c r="DJL134" s="251"/>
      <c r="DJM134" s="251"/>
      <c r="DJN134" s="251"/>
      <c r="DJO134" s="251"/>
      <c r="DJP134" s="251"/>
      <c r="DJQ134" s="251"/>
      <c r="DJR134" s="251"/>
      <c r="DJS134" s="251"/>
      <c r="DJT134" s="251"/>
      <c r="DJU134" s="251"/>
      <c r="DJV134" s="251"/>
      <c r="DJW134" s="251"/>
      <c r="DJX134" s="251"/>
      <c r="DJY134" s="251"/>
      <c r="DJZ134" s="251"/>
      <c r="DKA134" s="251"/>
      <c r="DKB134" s="251"/>
      <c r="DKC134" s="251"/>
      <c r="DKD134" s="251"/>
      <c r="DKE134" s="251"/>
      <c r="DKF134" s="251"/>
      <c r="DKG134" s="251"/>
      <c r="DKH134" s="251"/>
      <c r="DKI134" s="251"/>
      <c r="DKJ134" s="251"/>
      <c r="DKK134" s="251"/>
      <c r="DKL134" s="251"/>
      <c r="DKM134" s="251"/>
      <c r="DKN134" s="251"/>
      <c r="DKO134" s="251"/>
      <c r="DKP134" s="251"/>
      <c r="DKQ134" s="251"/>
      <c r="DKR134" s="251"/>
      <c r="DKS134" s="251"/>
      <c r="DKT134" s="251"/>
      <c r="DKU134" s="251"/>
      <c r="DKV134" s="251"/>
      <c r="DKW134" s="251"/>
      <c r="DKX134" s="251"/>
      <c r="DKY134" s="251"/>
      <c r="DKZ134" s="251"/>
      <c r="DLA134" s="251"/>
      <c r="DLB134" s="251"/>
      <c r="DLC134" s="251"/>
      <c r="DLD134" s="251"/>
      <c r="DLE134" s="251"/>
      <c r="DLF134" s="251"/>
      <c r="DLG134" s="251"/>
      <c r="DLH134" s="251"/>
      <c r="DLI134" s="251"/>
      <c r="DLJ134" s="251"/>
      <c r="DLK134" s="251"/>
      <c r="DLL134" s="251"/>
      <c r="DLM134" s="251"/>
      <c r="DLN134" s="251"/>
      <c r="DLO134" s="251"/>
      <c r="DLP134" s="251"/>
      <c r="DLQ134" s="251"/>
      <c r="DLR134" s="251"/>
      <c r="DLS134" s="251"/>
      <c r="DLT134" s="251"/>
      <c r="DLU134" s="251"/>
      <c r="DLV134" s="251"/>
      <c r="DLW134" s="251"/>
      <c r="DLX134" s="251"/>
      <c r="DLY134" s="251"/>
      <c r="DLZ134" s="251"/>
      <c r="DMA134" s="251"/>
      <c r="DMB134" s="251"/>
      <c r="DMC134" s="251"/>
      <c r="DMD134" s="251"/>
      <c r="DME134" s="251"/>
      <c r="DMF134" s="251"/>
      <c r="DMG134" s="251"/>
      <c r="DMH134" s="251"/>
      <c r="DMI134" s="251"/>
      <c r="DMJ134" s="251"/>
      <c r="DMK134" s="251"/>
      <c r="DML134" s="251"/>
      <c r="DMM134" s="251"/>
      <c r="DMN134" s="251"/>
      <c r="DMO134" s="251"/>
      <c r="DMP134" s="251"/>
      <c r="DMQ134" s="251"/>
      <c r="DMR134" s="251"/>
      <c r="DMS134" s="251"/>
      <c r="DMT134" s="251"/>
      <c r="DMU134" s="251"/>
      <c r="DMV134" s="251"/>
      <c r="DMW134" s="251"/>
      <c r="DMX134" s="251"/>
      <c r="DMY134" s="251"/>
      <c r="DMZ134" s="251"/>
      <c r="DNA134" s="251"/>
      <c r="DNB134" s="251"/>
      <c r="DNC134" s="251"/>
      <c r="DND134" s="251"/>
      <c r="DNE134" s="251"/>
      <c r="DNF134" s="251"/>
      <c r="DNG134" s="251"/>
      <c r="DNH134" s="251"/>
      <c r="DNI134" s="251"/>
      <c r="DNJ134" s="251"/>
      <c r="DNK134" s="251"/>
      <c r="DNL134" s="251"/>
      <c r="DNM134" s="251"/>
      <c r="DNN134" s="251"/>
      <c r="DNO134" s="251"/>
      <c r="DNP134" s="251"/>
      <c r="DNQ134" s="251"/>
      <c r="DNR134" s="251"/>
      <c r="DNS134" s="251"/>
      <c r="DNT134" s="251"/>
      <c r="DNU134" s="251"/>
      <c r="DNV134" s="251"/>
      <c r="DNW134" s="251"/>
      <c r="DNX134" s="251"/>
      <c r="DNY134" s="251"/>
      <c r="DNZ134" s="251"/>
      <c r="DOA134" s="251"/>
      <c r="DOB134" s="251"/>
      <c r="DOC134" s="251"/>
      <c r="DOD134" s="251"/>
      <c r="DOE134" s="251"/>
      <c r="DOF134" s="251"/>
      <c r="DOG134" s="251"/>
      <c r="DOH134" s="251"/>
      <c r="DOI134" s="251"/>
      <c r="DOJ134" s="251"/>
      <c r="DOK134" s="251"/>
      <c r="DOL134" s="251"/>
      <c r="DOM134" s="251"/>
      <c r="DON134" s="251"/>
      <c r="DOO134" s="251"/>
      <c r="DOP134" s="251"/>
      <c r="DOQ134" s="251"/>
      <c r="DOR134" s="251"/>
      <c r="DOS134" s="251"/>
      <c r="DOT134" s="251"/>
      <c r="DOU134" s="251"/>
      <c r="DOV134" s="251"/>
      <c r="DOW134" s="251"/>
      <c r="DOX134" s="251"/>
      <c r="DOY134" s="251"/>
      <c r="DOZ134" s="251"/>
      <c r="DPA134" s="251"/>
      <c r="DPB134" s="251"/>
      <c r="DPC134" s="251"/>
      <c r="DPD134" s="251"/>
      <c r="DPE134" s="251"/>
      <c r="DPF134" s="251"/>
      <c r="DPG134" s="251"/>
      <c r="DPH134" s="251"/>
      <c r="DPI134" s="251"/>
      <c r="DPJ134" s="251"/>
      <c r="DPK134" s="251"/>
      <c r="DPL134" s="251"/>
      <c r="DPM134" s="251"/>
      <c r="DPN134" s="251"/>
      <c r="DPO134" s="251"/>
      <c r="DPP134" s="251"/>
      <c r="DPQ134" s="251"/>
      <c r="DPR134" s="251"/>
      <c r="DPS134" s="251"/>
      <c r="DPT134" s="251"/>
      <c r="DPU134" s="251"/>
      <c r="DPV134" s="251"/>
      <c r="DPW134" s="251"/>
      <c r="DPX134" s="251"/>
      <c r="DPY134" s="251"/>
      <c r="DPZ134" s="251"/>
      <c r="DQA134" s="251"/>
      <c r="DQB134" s="251"/>
      <c r="DQC134" s="251"/>
      <c r="DQD134" s="251"/>
      <c r="DQE134" s="251"/>
      <c r="DQF134" s="251"/>
      <c r="DQG134" s="251"/>
      <c r="DQH134" s="251"/>
      <c r="DQI134" s="251"/>
      <c r="DQJ134" s="251"/>
      <c r="DQK134" s="251"/>
      <c r="DQL134" s="251"/>
      <c r="DQM134" s="251"/>
      <c r="DQN134" s="251"/>
      <c r="DQO134" s="251"/>
      <c r="DQP134" s="251"/>
      <c r="DQQ134" s="251"/>
      <c r="DQR134" s="251"/>
      <c r="DQS134" s="251"/>
      <c r="DQT134" s="251"/>
      <c r="DQU134" s="251"/>
      <c r="DQV134" s="251"/>
      <c r="DQW134" s="251"/>
      <c r="DQX134" s="251"/>
      <c r="DQY134" s="251"/>
      <c r="DQZ134" s="251"/>
      <c r="DRA134" s="251"/>
      <c r="DRB134" s="251"/>
      <c r="DRC134" s="251"/>
      <c r="DRD134" s="251"/>
      <c r="DRE134" s="251"/>
      <c r="DRF134" s="251"/>
      <c r="DRG134" s="251"/>
      <c r="DRH134" s="251"/>
      <c r="DRI134" s="251"/>
      <c r="DRJ134" s="251"/>
      <c r="DRK134" s="251"/>
      <c r="DRL134" s="251"/>
      <c r="DRM134" s="251"/>
      <c r="DRN134" s="251"/>
      <c r="DRO134" s="251"/>
      <c r="DRP134" s="251"/>
      <c r="DRQ134" s="251"/>
      <c r="DRR134" s="251"/>
      <c r="DRS134" s="251"/>
      <c r="DRT134" s="251"/>
      <c r="DRU134" s="251"/>
      <c r="DRV134" s="251"/>
      <c r="DRW134" s="251"/>
      <c r="DRX134" s="251"/>
      <c r="DRY134" s="251"/>
      <c r="DRZ134" s="251"/>
      <c r="DSA134" s="251"/>
      <c r="DSB134" s="251"/>
      <c r="DSC134" s="251"/>
      <c r="DSD134" s="251"/>
      <c r="DSE134" s="251"/>
      <c r="DSF134" s="251"/>
      <c r="DSG134" s="251"/>
      <c r="DSH134" s="251"/>
      <c r="DSI134" s="251"/>
      <c r="DSJ134" s="251"/>
      <c r="DSK134" s="251"/>
      <c r="DSL134" s="251"/>
      <c r="DSM134" s="251"/>
      <c r="DSN134" s="251"/>
      <c r="DSO134" s="251"/>
      <c r="DSP134" s="251"/>
      <c r="DSQ134" s="251"/>
      <c r="DSR134" s="251"/>
      <c r="DSS134" s="251"/>
      <c r="DST134" s="251"/>
      <c r="DSU134" s="251"/>
      <c r="DSV134" s="251"/>
      <c r="DSW134" s="251"/>
      <c r="DSX134" s="251"/>
      <c r="DSY134" s="251"/>
      <c r="DSZ134" s="251"/>
      <c r="DTA134" s="251"/>
      <c r="DTB134" s="251"/>
      <c r="DTC134" s="251"/>
      <c r="DTD134" s="251"/>
      <c r="DTE134" s="251"/>
      <c r="DTF134" s="251"/>
      <c r="DTG134" s="251"/>
      <c r="DTH134" s="251"/>
      <c r="DTI134" s="251"/>
      <c r="DTJ134" s="251"/>
      <c r="DTK134" s="251"/>
      <c r="DTL134" s="251"/>
      <c r="DTM134" s="251"/>
      <c r="DTN134" s="251"/>
      <c r="DTO134" s="251"/>
      <c r="DTP134" s="251"/>
      <c r="DTQ134" s="251"/>
      <c r="DTR134" s="251"/>
      <c r="DTS134" s="251"/>
      <c r="DTT134" s="251"/>
      <c r="DTU134" s="251"/>
      <c r="DTV134" s="251"/>
      <c r="DTW134" s="251"/>
      <c r="DTX134" s="251"/>
      <c r="DTY134" s="251"/>
      <c r="DTZ134" s="251"/>
      <c r="DUA134" s="251"/>
      <c r="DUB134" s="251"/>
      <c r="DUC134" s="251"/>
      <c r="DUD134" s="251"/>
      <c r="DUE134" s="251"/>
      <c r="DUF134" s="251"/>
      <c r="DUG134" s="251"/>
      <c r="DUH134" s="251"/>
      <c r="DUI134" s="251"/>
      <c r="DUJ134" s="251"/>
      <c r="DUK134" s="251"/>
      <c r="DUL134" s="251"/>
      <c r="DUM134" s="251"/>
      <c r="DUN134" s="251"/>
      <c r="DUO134" s="251"/>
      <c r="DUP134" s="251"/>
      <c r="DUQ134" s="251"/>
      <c r="DUR134" s="251"/>
      <c r="DUS134" s="251"/>
      <c r="DUT134" s="251"/>
      <c r="DUU134" s="251"/>
      <c r="DUV134" s="251"/>
      <c r="DUW134" s="251"/>
      <c r="DUX134" s="251"/>
      <c r="DUY134" s="251"/>
      <c r="DUZ134" s="251"/>
      <c r="DVA134" s="251"/>
      <c r="DVB134" s="251"/>
      <c r="DVC134" s="251"/>
      <c r="DVD134" s="251"/>
      <c r="DVE134" s="251"/>
      <c r="DVF134" s="251"/>
      <c r="DVG134" s="251"/>
      <c r="DVH134" s="251"/>
      <c r="DVI134" s="251"/>
      <c r="DVJ134" s="251"/>
      <c r="DVK134" s="251"/>
      <c r="DVL134" s="251"/>
      <c r="DVM134" s="251"/>
      <c r="DVN134" s="251"/>
      <c r="DVO134" s="251"/>
      <c r="DVP134" s="251"/>
      <c r="DVQ134" s="251"/>
      <c r="DVR134" s="251"/>
      <c r="DVS134" s="251"/>
      <c r="DVT134" s="251"/>
      <c r="DVU134" s="251"/>
      <c r="DVV134" s="251"/>
      <c r="DVW134" s="251"/>
      <c r="DVX134" s="251"/>
      <c r="DVY134" s="251"/>
      <c r="DVZ134" s="251"/>
      <c r="DWA134" s="251"/>
      <c r="DWB134" s="251"/>
      <c r="DWC134" s="251"/>
      <c r="DWD134" s="251"/>
      <c r="DWE134" s="251"/>
      <c r="DWF134" s="251"/>
      <c r="DWG134" s="251"/>
      <c r="DWH134" s="251"/>
      <c r="DWI134" s="251"/>
      <c r="DWJ134" s="251"/>
      <c r="DWK134" s="251"/>
      <c r="DWL134" s="251"/>
      <c r="DWM134" s="251"/>
      <c r="DWN134" s="251"/>
      <c r="DWO134" s="251"/>
      <c r="DWP134" s="251"/>
      <c r="DWQ134" s="251"/>
      <c r="DWR134" s="251"/>
      <c r="DWS134" s="251"/>
      <c r="DWT134" s="251"/>
      <c r="DWU134" s="251"/>
      <c r="DWV134" s="251"/>
      <c r="DWW134" s="251"/>
      <c r="DWX134" s="251"/>
      <c r="DWY134" s="251"/>
      <c r="DWZ134" s="251"/>
      <c r="DXA134" s="251"/>
      <c r="DXB134" s="251"/>
      <c r="DXC134" s="251"/>
      <c r="DXD134" s="251"/>
      <c r="DXE134" s="251"/>
      <c r="DXF134" s="251"/>
      <c r="DXG134" s="251"/>
      <c r="DXH134" s="251"/>
      <c r="DXI134" s="251"/>
      <c r="DXJ134" s="251"/>
      <c r="DXK134" s="251"/>
      <c r="DXL134" s="251"/>
      <c r="DXM134" s="251"/>
      <c r="DXN134" s="251"/>
      <c r="DXO134" s="251"/>
      <c r="DXP134" s="251"/>
      <c r="DXQ134" s="251"/>
      <c r="DXR134" s="251"/>
      <c r="DXS134" s="251"/>
      <c r="DXT134" s="251"/>
      <c r="DXU134" s="251"/>
      <c r="DXV134" s="251"/>
      <c r="DXW134" s="251"/>
      <c r="DXX134" s="251"/>
      <c r="DXY134" s="251"/>
      <c r="DXZ134" s="251"/>
      <c r="DYA134" s="251"/>
      <c r="DYB134" s="251"/>
      <c r="DYC134" s="251"/>
      <c r="DYD134" s="251"/>
      <c r="DYE134" s="251"/>
      <c r="DYF134" s="251"/>
      <c r="DYG134" s="251"/>
      <c r="DYH134" s="251"/>
      <c r="DYI134" s="251"/>
      <c r="DYJ134" s="251"/>
      <c r="DYK134" s="251"/>
      <c r="DYL134" s="251"/>
      <c r="DYM134" s="251"/>
      <c r="DYN134" s="251"/>
      <c r="DYO134" s="251"/>
      <c r="DYP134" s="251"/>
      <c r="DYQ134" s="251"/>
      <c r="DYR134" s="251"/>
      <c r="DYS134" s="251"/>
      <c r="DYT134" s="251"/>
      <c r="DYU134" s="251"/>
      <c r="DYV134" s="251"/>
      <c r="DYW134" s="251"/>
      <c r="DYX134" s="251"/>
      <c r="DYY134" s="251"/>
      <c r="DYZ134" s="251"/>
      <c r="DZA134" s="251"/>
      <c r="DZB134" s="251"/>
      <c r="DZC134" s="251"/>
      <c r="DZD134" s="251"/>
      <c r="DZE134" s="251"/>
      <c r="DZF134" s="251"/>
      <c r="DZG134" s="251"/>
      <c r="DZH134" s="251"/>
      <c r="DZI134" s="251"/>
      <c r="DZJ134" s="251"/>
      <c r="DZK134" s="251"/>
      <c r="DZL134" s="251"/>
      <c r="DZM134" s="251"/>
      <c r="DZN134" s="251"/>
      <c r="DZO134" s="251"/>
      <c r="DZP134" s="251"/>
      <c r="DZQ134" s="251"/>
      <c r="DZR134" s="251"/>
      <c r="DZS134" s="251"/>
      <c r="DZT134" s="251"/>
      <c r="DZU134" s="251"/>
      <c r="DZV134" s="251"/>
      <c r="DZW134" s="251"/>
      <c r="DZX134" s="251"/>
      <c r="DZY134" s="251"/>
      <c r="DZZ134" s="251"/>
      <c r="EAA134" s="251"/>
      <c r="EAB134" s="251"/>
      <c r="EAC134" s="251"/>
      <c r="EAD134" s="251"/>
      <c r="EAE134" s="251"/>
      <c r="EAF134" s="251"/>
      <c r="EAG134" s="251"/>
      <c r="EAH134" s="251"/>
      <c r="EAI134" s="251"/>
      <c r="EAJ134" s="251"/>
      <c r="EAK134" s="251"/>
      <c r="EAL134" s="251"/>
      <c r="EAM134" s="251"/>
      <c r="EAN134" s="251"/>
      <c r="EAO134" s="251"/>
      <c r="EAP134" s="251"/>
      <c r="EAQ134" s="251"/>
      <c r="EAR134" s="251"/>
      <c r="EAS134" s="251"/>
      <c r="EAT134" s="251"/>
      <c r="EAU134" s="251"/>
      <c r="EAV134" s="251"/>
      <c r="EAW134" s="251"/>
      <c r="EAX134" s="251"/>
      <c r="EAY134" s="251"/>
      <c r="EAZ134" s="251"/>
      <c r="EBA134" s="251"/>
      <c r="EBB134" s="251"/>
      <c r="EBC134" s="251"/>
      <c r="EBD134" s="251"/>
      <c r="EBE134" s="251"/>
      <c r="EBF134" s="251"/>
      <c r="EBG134" s="251"/>
      <c r="EBH134" s="251"/>
      <c r="EBI134" s="251"/>
      <c r="EBJ134" s="251"/>
      <c r="EBK134" s="251"/>
      <c r="EBL134" s="251"/>
      <c r="EBM134" s="251"/>
      <c r="EBN134" s="251"/>
      <c r="EBO134" s="251"/>
      <c r="EBP134" s="251"/>
      <c r="EBQ134" s="251"/>
      <c r="EBR134" s="251"/>
      <c r="EBS134" s="251"/>
      <c r="EBT134" s="251"/>
      <c r="EBU134" s="251"/>
      <c r="EBV134" s="251"/>
      <c r="EBW134" s="251"/>
      <c r="EBX134" s="251"/>
      <c r="EBY134" s="251"/>
      <c r="EBZ134" s="251"/>
      <c r="ECA134" s="251"/>
      <c r="ECB134" s="251"/>
      <c r="ECC134" s="251"/>
      <c r="ECD134" s="251"/>
      <c r="ECE134" s="251"/>
      <c r="ECF134" s="251"/>
      <c r="ECG134" s="251"/>
      <c r="ECH134" s="251"/>
      <c r="ECI134" s="251"/>
      <c r="ECJ134" s="251"/>
      <c r="ECK134" s="251"/>
      <c r="ECL134" s="251"/>
      <c r="ECM134" s="251"/>
      <c r="ECN134" s="251"/>
      <c r="ECO134" s="251"/>
      <c r="ECP134" s="251"/>
      <c r="ECQ134" s="251"/>
      <c r="ECR134" s="251"/>
      <c r="ECS134" s="251"/>
      <c r="ECT134" s="251"/>
      <c r="ECU134" s="251"/>
      <c r="ECV134" s="251"/>
      <c r="ECW134" s="251"/>
      <c r="ECX134" s="251"/>
      <c r="ECY134" s="251"/>
      <c r="ECZ134" s="251"/>
      <c r="EDA134" s="251"/>
      <c r="EDB134" s="251"/>
      <c r="EDC134" s="251"/>
      <c r="EDD134" s="251"/>
      <c r="EDE134" s="251"/>
      <c r="EDF134" s="251"/>
      <c r="EDG134" s="251"/>
      <c r="EDH134" s="251"/>
      <c r="EDI134" s="251"/>
      <c r="EDJ134" s="251"/>
      <c r="EDK134" s="251"/>
      <c r="EDL134" s="251"/>
      <c r="EDM134" s="251"/>
      <c r="EDN134" s="251"/>
      <c r="EDO134" s="251"/>
      <c r="EDP134" s="251"/>
      <c r="EDQ134" s="251"/>
      <c r="EDR134" s="251"/>
      <c r="EDS134" s="251"/>
      <c r="EDT134" s="251"/>
      <c r="EDU134" s="251"/>
      <c r="EDV134" s="251"/>
      <c r="EDW134" s="251"/>
      <c r="EDX134" s="251"/>
      <c r="EDY134" s="251"/>
      <c r="EDZ134" s="251"/>
      <c r="EEA134" s="251"/>
      <c r="EEB134" s="251"/>
      <c r="EEC134" s="251"/>
      <c r="EED134" s="251"/>
      <c r="EEE134" s="251"/>
      <c r="EEF134" s="251"/>
      <c r="EEG134" s="251"/>
      <c r="EEH134" s="251"/>
      <c r="EEI134" s="251"/>
      <c r="EEJ134" s="251"/>
      <c r="EEK134" s="251"/>
      <c r="EEL134" s="251"/>
      <c r="EEM134" s="251"/>
      <c r="EEN134" s="251"/>
      <c r="EEO134" s="251"/>
      <c r="EEP134" s="251"/>
      <c r="EEQ134" s="251"/>
      <c r="EER134" s="251"/>
      <c r="EES134" s="251"/>
      <c r="EET134" s="251"/>
      <c r="EEU134" s="251"/>
      <c r="EEV134" s="251"/>
      <c r="EEW134" s="251"/>
      <c r="EEX134" s="251"/>
      <c r="EEY134" s="251"/>
      <c r="EEZ134" s="251"/>
      <c r="EFA134" s="251"/>
      <c r="EFB134" s="251"/>
      <c r="EFC134" s="251"/>
      <c r="EFD134" s="251"/>
      <c r="EFE134" s="251"/>
      <c r="EFF134" s="251"/>
      <c r="EFG134" s="251"/>
      <c r="EFH134" s="251"/>
      <c r="EFI134" s="251"/>
      <c r="EFJ134" s="251"/>
      <c r="EFK134" s="251"/>
      <c r="EFL134" s="251"/>
      <c r="EFM134" s="251"/>
      <c r="EFN134" s="251"/>
      <c r="EFO134" s="251"/>
      <c r="EFP134" s="251"/>
      <c r="EFQ134" s="251"/>
      <c r="EFR134" s="251"/>
      <c r="EFS134" s="251"/>
      <c r="EFT134" s="251"/>
      <c r="EFU134" s="251"/>
      <c r="EFV134" s="251"/>
      <c r="EFW134" s="251"/>
      <c r="EFX134" s="251"/>
      <c r="EFY134" s="251"/>
      <c r="EFZ134" s="251"/>
      <c r="EGA134" s="251"/>
      <c r="EGB134" s="251"/>
      <c r="EGC134" s="251"/>
      <c r="EGD134" s="251"/>
      <c r="EGE134" s="251"/>
      <c r="EGF134" s="251"/>
      <c r="EGG134" s="251"/>
      <c r="EGH134" s="251"/>
      <c r="EGI134" s="251"/>
      <c r="EGJ134" s="251"/>
      <c r="EGK134" s="251"/>
      <c r="EGL134" s="251"/>
      <c r="EGM134" s="251"/>
      <c r="EGN134" s="251"/>
      <c r="EGO134" s="251"/>
      <c r="EGP134" s="251"/>
      <c r="EGQ134" s="251"/>
      <c r="EGR134" s="251"/>
      <c r="EGS134" s="251"/>
      <c r="EGT134" s="251"/>
      <c r="EGU134" s="251"/>
      <c r="EGV134" s="251"/>
      <c r="EGW134" s="251"/>
      <c r="EGX134" s="251"/>
      <c r="EGY134" s="251"/>
      <c r="EGZ134" s="251"/>
      <c r="EHA134" s="251"/>
      <c r="EHB134" s="251"/>
      <c r="EHC134" s="251"/>
      <c r="EHD134" s="251"/>
      <c r="EHE134" s="251"/>
      <c r="EHF134" s="251"/>
      <c r="EHG134" s="251"/>
      <c r="EHH134" s="251"/>
      <c r="EHI134" s="251"/>
      <c r="EHJ134" s="251"/>
      <c r="EHK134" s="251"/>
      <c r="EHL134" s="251"/>
      <c r="EHM134" s="251"/>
      <c r="EHN134" s="251"/>
      <c r="EHO134" s="251"/>
      <c r="EHP134" s="251"/>
      <c r="EHQ134" s="251"/>
      <c r="EHR134" s="251"/>
      <c r="EHS134" s="251"/>
      <c r="EHT134" s="251"/>
      <c r="EHU134" s="251"/>
      <c r="EHV134" s="251"/>
      <c r="EHW134" s="251"/>
      <c r="EHX134" s="251"/>
      <c r="EHY134" s="251"/>
      <c r="EHZ134" s="251"/>
      <c r="EIA134" s="251"/>
      <c r="EIB134" s="251"/>
      <c r="EIC134" s="251"/>
      <c r="EID134" s="251"/>
      <c r="EIE134" s="251"/>
      <c r="EIF134" s="251"/>
      <c r="EIG134" s="251"/>
      <c r="EIH134" s="251"/>
      <c r="EII134" s="251"/>
      <c r="EIJ134" s="251"/>
      <c r="EIK134" s="251"/>
      <c r="EIL134" s="251"/>
      <c r="EIM134" s="251"/>
      <c r="EIN134" s="251"/>
      <c r="EIO134" s="251"/>
      <c r="EIP134" s="251"/>
      <c r="EIQ134" s="251"/>
      <c r="EIR134" s="251"/>
      <c r="EIS134" s="251"/>
      <c r="EIT134" s="251"/>
      <c r="EIU134" s="251"/>
      <c r="EIV134" s="251"/>
      <c r="EIW134" s="251"/>
      <c r="EIX134" s="251"/>
      <c r="EIY134" s="251"/>
      <c r="EIZ134" s="251"/>
      <c r="EJA134" s="251"/>
      <c r="EJB134" s="251"/>
      <c r="EJC134" s="251"/>
      <c r="EJD134" s="251"/>
      <c r="EJE134" s="251"/>
      <c r="EJF134" s="251"/>
      <c r="EJG134" s="251"/>
      <c r="EJH134" s="251"/>
      <c r="EJI134" s="251"/>
      <c r="EJJ134" s="251"/>
      <c r="EJK134" s="251"/>
      <c r="EJL134" s="251"/>
      <c r="EJM134" s="251"/>
      <c r="EJN134" s="251"/>
      <c r="EJO134" s="251"/>
      <c r="EJP134" s="251"/>
      <c r="EJQ134" s="251"/>
      <c r="EJR134" s="251"/>
      <c r="EJS134" s="251"/>
      <c r="EJT134" s="251"/>
      <c r="EJU134" s="251"/>
      <c r="EJV134" s="251"/>
      <c r="EJW134" s="251"/>
      <c r="EJX134" s="251"/>
      <c r="EJY134" s="251"/>
      <c r="EJZ134" s="251"/>
      <c r="EKA134" s="251"/>
      <c r="EKB134" s="251"/>
      <c r="EKC134" s="251"/>
      <c r="EKD134" s="251"/>
      <c r="EKE134" s="251"/>
      <c r="EKF134" s="251"/>
      <c r="EKG134" s="251"/>
      <c r="EKH134" s="251"/>
      <c r="EKI134" s="251"/>
      <c r="EKJ134" s="251"/>
      <c r="EKK134" s="251"/>
      <c r="EKL134" s="251"/>
      <c r="EKM134" s="251"/>
      <c r="EKN134" s="251"/>
      <c r="EKO134" s="251"/>
      <c r="EKP134" s="251"/>
      <c r="EKQ134" s="251"/>
      <c r="EKR134" s="251"/>
      <c r="EKS134" s="251"/>
      <c r="EKT134" s="251"/>
      <c r="EKU134" s="251"/>
      <c r="EKV134" s="251"/>
      <c r="EKW134" s="251"/>
      <c r="EKX134" s="251"/>
      <c r="EKY134" s="251"/>
      <c r="EKZ134" s="251"/>
      <c r="ELA134" s="251"/>
      <c r="ELB134" s="251"/>
      <c r="ELC134" s="251"/>
      <c r="ELD134" s="251"/>
      <c r="ELE134" s="251"/>
      <c r="ELF134" s="251"/>
      <c r="ELG134" s="251"/>
      <c r="ELH134" s="251"/>
      <c r="ELI134" s="251"/>
      <c r="ELJ134" s="251"/>
      <c r="ELK134" s="251"/>
      <c r="ELL134" s="251"/>
      <c r="ELM134" s="251"/>
      <c r="ELN134" s="251"/>
      <c r="ELO134" s="251"/>
      <c r="ELP134" s="251"/>
      <c r="ELQ134" s="251"/>
      <c r="ELR134" s="251"/>
      <c r="ELS134" s="251"/>
      <c r="ELT134" s="251"/>
      <c r="ELU134" s="251"/>
      <c r="ELV134" s="251"/>
      <c r="ELW134" s="251"/>
      <c r="ELX134" s="251"/>
      <c r="ELY134" s="251"/>
      <c r="ELZ134" s="251"/>
      <c r="EMA134" s="251"/>
      <c r="EMB134" s="251"/>
      <c r="EMC134" s="251"/>
      <c r="EMD134" s="251"/>
      <c r="EME134" s="251"/>
      <c r="EMF134" s="251"/>
      <c r="EMG134" s="251"/>
      <c r="EMH134" s="251"/>
      <c r="EMI134" s="251"/>
      <c r="EMJ134" s="251"/>
      <c r="EMK134" s="251"/>
      <c r="EML134" s="251"/>
      <c r="EMM134" s="251"/>
      <c r="EMN134" s="251"/>
      <c r="EMO134" s="251"/>
      <c r="EMP134" s="251"/>
      <c r="EMQ134" s="251"/>
      <c r="EMR134" s="251"/>
      <c r="EMS134" s="251"/>
      <c r="EMT134" s="251"/>
      <c r="EMU134" s="251"/>
      <c r="EMV134" s="251"/>
      <c r="EMW134" s="251"/>
      <c r="EMX134" s="251"/>
      <c r="EMY134" s="251"/>
      <c r="EMZ134" s="251"/>
      <c r="ENA134" s="251"/>
      <c r="ENB134" s="251"/>
      <c r="ENC134" s="251"/>
      <c r="END134" s="251"/>
      <c r="ENE134" s="251"/>
      <c r="ENF134" s="251"/>
      <c r="ENG134" s="251"/>
      <c r="ENH134" s="251"/>
      <c r="ENI134" s="251"/>
      <c r="ENJ134" s="251"/>
      <c r="ENK134" s="251"/>
      <c r="ENL134" s="251"/>
      <c r="ENM134" s="251"/>
      <c r="ENN134" s="251"/>
      <c r="ENO134" s="251"/>
      <c r="ENP134" s="251"/>
      <c r="ENQ134" s="251"/>
      <c r="ENR134" s="251"/>
      <c r="ENS134" s="251"/>
      <c r="ENT134" s="251"/>
      <c r="ENU134" s="251"/>
      <c r="ENV134" s="251"/>
      <c r="ENW134" s="251"/>
      <c r="ENX134" s="251"/>
      <c r="ENY134" s="251"/>
      <c r="ENZ134" s="251"/>
      <c r="EOA134" s="251"/>
      <c r="EOB134" s="251"/>
      <c r="EOC134" s="251"/>
      <c r="EOD134" s="251"/>
      <c r="EOE134" s="251"/>
      <c r="EOF134" s="251"/>
      <c r="EOG134" s="251"/>
      <c r="EOH134" s="251"/>
      <c r="EOI134" s="251"/>
      <c r="EOJ134" s="251"/>
      <c r="EOK134" s="251"/>
      <c r="EOL134" s="251"/>
      <c r="EOM134" s="251"/>
      <c r="EON134" s="251"/>
      <c r="EOO134" s="251"/>
      <c r="EOP134" s="251"/>
      <c r="EOQ134" s="251"/>
      <c r="EOR134" s="251"/>
      <c r="EOS134" s="251"/>
      <c r="EOT134" s="251"/>
      <c r="EOU134" s="251"/>
      <c r="EOV134" s="251"/>
      <c r="EOW134" s="251"/>
      <c r="EOX134" s="251"/>
      <c r="EOY134" s="251"/>
      <c r="EOZ134" s="251"/>
      <c r="EPA134" s="251"/>
      <c r="EPB134" s="251"/>
      <c r="EPC134" s="251"/>
      <c r="EPD134" s="251"/>
      <c r="EPE134" s="251"/>
      <c r="EPF134" s="251"/>
      <c r="EPG134" s="251"/>
      <c r="EPH134" s="251"/>
      <c r="EPI134" s="251"/>
      <c r="EPJ134" s="251"/>
      <c r="EPK134" s="251"/>
      <c r="EPL134" s="251"/>
      <c r="EPM134" s="251"/>
      <c r="EPN134" s="251"/>
      <c r="EPO134" s="251"/>
      <c r="EPP134" s="251"/>
      <c r="EPQ134" s="251"/>
      <c r="EPR134" s="251"/>
      <c r="EPS134" s="251"/>
      <c r="EPT134" s="251"/>
      <c r="EPU134" s="251"/>
      <c r="EPV134" s="251"/>
      <c r="EPW134" s="251"/>
      <c r="EPX134" s="251"/>
      <c r="EPY134" s="251"/>
      <c r="EPZ134" s="251"/>
      <c r="EQA134" s="251"/>
      <c r="EQB134" s="251"/>
      <c r="EQC134" s="251"/>
      <c r="EQD134" s="251"/>
      <c r="EQE134" s="251"/>
      <c r="EQF134" s="251"/>
      <c r="EQG134" s="251"/>
      <c r="EQH134" s="251"/>
      <c r="EQI134" s="251"/>
      <c r="EQJ134" s="251"/>
      <c r="EQK134" s="251"/>
      <c r="EQL134" s="251"/>
      <c r="EQM134" s="251"/>
      <c r="EQN134" s="251"/>
      <c r="EQO134" s="251"/>
      <c r="EQP134" s="251"/>
      <c r="EQQ134" s="251"/>
      <c r="EQR134" s="251"/>
      <c r="EQS134" s="251"/>
      <c r="EQT134" s="251"/>
      <c r="EQU134" s="251"/>
      <c r="EQV134" s="251"/>
      <c r="EQW134" s="251"/>
      <c r="EQX134" s="251"/>
      <c r="EQY134" s="251"/>
      <c r="EQZ134" s="251"/>
      <c r="ERA134" s="251"/>
      <c r="ERB134" s="251"/>
      <c r="ERC134" s="251"/>
      <c r="ERD134" s="251"/>
      <c r="ERE134" s="251"/>
      <c r="ERF134" s="251"/>
      <c r="ERG134" s="251"/>
      <c r="ERH134" s="251"/>
      <c r="ERI134" s="251"/>
      <c r="ERJ134" s="251"/>
      <c r="ERK134" s="251"/>
      <c r="ERL134" s="251"/>
      <c r="ERM134" s="251"/>
      <c r="ERN134" s="251"/>
      <c r="ERO134" s="251"/>
      <c r="ERP134" s="251"/>
      <c r="ERQ134" s="251"/>
      <c r="ERR134" s="251"/>
      <c r="ERS134" s="251"/>
      <c r="ERT134" s="251"/>
      <c r="ERU134" s="251"/>
      <c r="ERV134" s="251"/>
      <c r="ERW134" s="251"/>
      <c r="ERX134" s="251"/>
      <c r="ERY134" s="251"/>
      <c r="ERZ134" s="251"/>
      <c r="ESA134" s="251"/>
      <c r="ESB134" s="251"/>
      <c r="ESC134" s="251"/>
      <c r="ESD134" s="251"/>
      <c r="ESE134" s="251"/>
      <c r="ESF134" s="251"/>
      <c r="ESG134" s="251"/>
      <c r="ESH134" s="251"/>
      <c r="ESI134" s="251"/>
      <c r="ESJ134" s="251"/>
      <c r="ESK134" s="251"/>
      <c r="ESL134" s="251"/>
      <c r="ESM134" s="251"/>
      <c r="ESN134" s="251"/>
      <c r="ESO134" s="251"/>
      <c r="ESP134" s="251"/>
      <c r="ESQ134" s="251"/>
      <c r="ESR134" s="251"/>
      <c r="ESS134" s="251"/>
      <c r="EST134" s="251"/>
      <c r="ESU134" s="251"/>
      <c r="ESV134" s="251"/>
      <c r="ESW134" s="251"/>
      <c r="ESX134" s="251"/>
      <c r="ESY134" s="251"/>
      <c r="ESZ134" s="251"/>
      <c r="ETA134" s="251"/>
      <c r="ETB134" s="251"/>
      <c r="ETC134" s="251"/>
      <c r="ETD134" s="251"/>
      <c r="ETE134" s="251"/>
      <c r="ETF134" s="251"/>
      <c r="ETG134" s="251"/>
      <c r="ETH134" s="251"/>
      <c r="ETI134" s="251"/>
      <c r="ETJ134" s="251"/>
      <c r="ETK134" s="251"/>
      <c r="ETL134" s="251"/>
      <c r="ETM134" s="251"/>
      <c r="ETN134" s="251"/>
      <c r="ETO134" s="251"/>
      <c r="ETP134" s="251"/>
      <c r="ETQ134" s="251"/>
      <c r="ETR134" s="251"/>
      <c r="ETS134" s="251"/>
      <c r="ETT134" s="251"/>
      <c r="ETU134" s="251"/>
      <c r="ETV134" s="251"/>
      <c r="ETW134" s="251"/>
      <c r="ETX134" s="251"/>
      <c r="ETY134" s="251"/>
      <c r="ETZ134" s="251"/>
      <c r="EUA134" s="251"/>
      <c r="EUB134" s="251"/>
      <c r="EUC134" s="251"/>
      <c r="EUD134" s="251"/>
      <c r="EUE134" s="251"/>
      <c r="EUF134" s="251"/>
      <c r="EUG134" s="251"/>
      <c r="EUH134" s="251"/>
      <c r="EUI134" s="251"/>
      <c r="EUJ134" s="251"/>
      <c r="EUK134" s="251"/>
      <c r="EUL134" s="251"/>
      <c r="EUM134" s="251"/>
      <c r="EUN134" s="251"/>
      <c r="EUO134" s="251"/>
      <c r="EUP134" s="251"/>
      <c r="EUQ134" s="251"/>
      <c r="EUR134" s="251"/>
      <c r="EUS134" s="251"/>
      <c r="EUT134" s="251"/>
      <c r="EUU134" s="251"/>
      <c r="EUV134" s="251"/>
      <c r="EUW134" s="251"/>
      <c r="EUX134" s="251"/>
      <c r="EUY134" s="251"/>
      <c r="EUZ134" s="251"/>
      <c r="EVA134" s="251"/>
      <c r="EVB134" s="251"/>
      <c r="EVC134" s="251"/>
      <c r="EVD134" s="251"/>
      <c r="EVE134" s="251"/>
      <c r="EVF134" s="251"/>
      <c r="EVG134" s="251"/>
      <c r="EVH134" s="251"/>
      <c r="EVI134" s="251"/>
      <c r="EVJ134" s="251"/>
      <c r="EVK134" s="251"/>
      <c r="EVL134" s="251"/>
      <c r="EVM134" s="251"/>
      <c r="EVN134" s="251"/>
      <c r="EVO134" s="251"/>
      <c r="EVP134" s="251"/>
      <c r="EVQ134" s="251"/>
      <c r="EVR134" s="251"/>
      <c r="EVS134" s="251"/>
      <c r="EVT134" s="251"/>
      <c r="EVU134" s="251"/>
      <c r="EVV134" s="251"/>
      <c r="EVW134" s="251"/>
      <c r="EVX134" s="251"/>
      <c r="EVY134" s="251"/>
      <c r="EVZ134" s="251"/>
      <c r="EWA134" s="251"/>
      <c r="EWB134" s="251"/>
      <c r="EWC134" s="251"/>
      <c r="EWD134" s="251"/>
      <c r="EWE134" s="251"/>
      <c r="EWF134" s="251"/>
      <c r="EWG134" s="251"/>
      <c r="EWH134" s="251"/>
      <c r="EWI134" s="251"/>
      <c r="EWJ134" s="251"/>
      <c r="EWK134" s="251"/>
      <c r="EWL134" s="251"/>
      <c r="EWM134" s="251"/>
      <c r="EWN134" s="251"/>
      <c r="EWO134" s="251"/>
      <c r="EWP134" s="251"/>
      <c r="EWQ134" s="251"/>
      <c r="EWR134" s="251"/>
      <c r="EWS134" s="251"/>
      <c r="EWT134" s="251"/>
      <c r="EWU134" s="251"/>
      <c r="EWV134" s="251"/>
      <c r="EWW134" s="251"/>
      <c r="EWX134" s="251"/>
      <c r="EWY134" s="251"/>
      <c r="EWZ134" s="251"/>
      <c r="EXA134" s="251"/>
      <c r="EXB134" s="251"/>
      <c r="EXC134" s="251"/>
      <c r="EXD134" s="251"/>
      <c r="EXE134" s="251"/>
      <c r="EXF134" s="251"/>
      <c r="EXG134" s="251"/>
      <c r="EXH134" s="251"/>
      <c r="EXI134" s="251"/>
      <c r="EXJ134" s="251"/>
      <c r="EXK134" s="251"/>
      <c r="EXL134" s="251"/>
      <c r="EXM134" s="251"/>
      <c r="EXN134" s="251"/>
      <c r="EXO134" s="251"/>
      <c r="EXP134" s="251"/>
      <c r="EXQ134" s="251"/>
      <c r="EXR134" s="251"/>
      <c r="EXS134" s="251"/>
      <c r="EXT134" s="251"/>
      <c r="EXU134" s="251"/>
      <c r="EXV134" s="251"/>
      <c r="EXW134" s="251"/>
      <c r="EXX134" s="251"/>
      <c r="EXY134" s="251"/>
      <c r="EXZ134" s="251"/>
      <c r="EYA134" s="251"/>
      <c r="EYB134" s="251"/>
      <c r="EYC134" s="251"/>
      <c r="EYD134" s="251"/>
      <c r="EYE134" s="251"/>
      <c r="EYF134" s="251"/>
      <c r="EYG134" s="251"/>
      <c r="EYH134" s="251"/>
      <c r="EYI134" s="251"/>
      <c r="EYJ134" s="251"/>
      <c r="EYK134" s="251"/>
      <c r="EYL134" s="251"/>
      <c r="EYM134" s="251"/>
      <c r="EYN134" s="251"/>
      <c r="EYO134" s="251"/>
      <c r="EYP134" s="251"/>
      <c r="EYQ134" s="251"/>
      <c r="EYR134" s="251"/>
      <c r="EYS134" s="251"/>
      <c r="EYT134" s="251"/>
      <c r="EYU134" s="251"/>
      <c r="EYV134" s="251"/>
      <c r="EYW134" s="251"/>
      <c r="EYX134" s="251"/>
      <c r="EYY134" s="251"/>
      <c r="EYZ134" s="251"/>
      <c r="EZA134" s="251"/>
      <c r="EZB134" s="251"/>
      <c r="EZC134" s="251"/>
      <c r="EZD134" s="251"/>
      <c r="EZE134" s="251"/>
      <c r="EZF134" s="251"/>
      <c r="EZG134" s="251"/>
      <c r="EZH134" s="251"/>
      <c r="EZI134" s="251"/>
      <c r="EZJ134" s="251"/>
      <c r="EZK134" s="251"/>
      <c r="EZL134" s="251"/>
      <c r="EZM134" s="251"/>
      <c r="EZN134" s="251"/>
      <c r="EZO134" s="251"/>
      <c r="EZP134" s="251"/>
      <c r="EZQ134" s="251"/>
      <c r="EZR134" s="251"/>
      <c r="EZS134" s="251"/>
      <c r="EZT134" s="251"/>
      <c r="EZU134" s="251"/>
      <c r="EZV134" s="251"/>
      <c r="EZW134" s="251"/>
      <c r="EZX134" s="251"/>
      <c r="EZY134" s="251"/>
      <c r="EZZ134" s="251"/>
      <c r="FAA134" s="251"/>
      <c r="FAB134" s="251"/>
      <c r="FAC134" s="251"/>
      <c r="FAD134" s="251"/>
      <c r="FAE134" s="251"/>
      <c r="FAF134" s="251"/>
      <c r="FAG134" s="251"/>
      <c r="FAH134" s="251"/>
      <c r="FAI134" s="251"/>
      <c r="FAJ134" s="251"/>
      <c r="FAK134" s="251"/>
      <c r="FAL134" s="251"/>
      <c r="FAM134" s="251"/>
      <c r="FAN134" s="251"/>
      <c r="FAO134" s="251"/>
      <c r="FAP134" s="251"/>
      <c r="FAQ134" s="251"/>
      <c r="FAR134" s="251"/>
      <c r="FAS134" s="251"/>
      <c r="FAT134" s="251"/>
      <c r="FAU134" s="251"/>
      <c r="FAV134" s="251"/>
      <c r="FAW134" s="251"/>
      <c r="FAX134" s="251"/>
      <c r="FAY134" s="251"/>
      <c r="FAZ134" s="251"/>
      <c r="FBA134" s="251"/>
      <c r="FBB134" s="251"/>
      <c r="FBC134" s="251"/>
      <c r="FBD134" s="251"/>
      <c r="FBE134" s="251"/>
      <c r="FBF134" s="251"/>
      <c r="FBG134" s="251"/>
      <c r="FBH134" s="251"/>
      <c r="FBI134" s="251"/>
      <c r="FBJ134" s="251"/>
      <c r="FBK134" s="251"/>
      <c r="FBL134" s="251"/>
      <c r="FBM134" s="251"/>
      <c r="FBN134" s="251"/>
      <c r="FBO134" s="251"/>
      <c r="FBP134" s="251"/>
      <c r="FBQ134" s="251"/>
      <c r="FBR134" s="251"/>
      <c r="FBS134" s="251"/>
      <c r="FBT134" s="251"/>
      <c r="FBU134" s="251"/>
      <c r="FBV134" s="251"/>
      <c r="FBW134" s="251"/>
      <c r="FBX134" s="251"/>
      <c r="FBY134" s="251"/>
      <c r="FBZ134" s="251"/>
      <c r="FCA134" s="251"/>
      <c r="FCB134" s="251"/>
      <c r="FCC134" s="251"/>
      <c r="FCD134" s="251"/>
      <c r="FCE134" s="251"/>
      <c r="FCF134" s="251"/>
      <c r="FCG134" s="251"/>
      <c r="FCH134" s="251"/>
      <c r="FCI134" s="251"/>
      <c r="FCJ134" s="251"/>
      <c r="FCK134" s="251"/>
      <c r="FCL134" s="251"/>
      <c r="FCM134" s="251"/>
      <c r="FCN134" s="251"/>
      <c r="FCO134" s="251"/>
      <c r="FCP134" s="251"/>
      <c r="FCQ134" s="251"/>
      <c r="FCR134" s="251"/>
      <c r="FCS134" s="251"/>
      <c r="FCT134" s="251"/>
      <c r="FCU134" s="251"/>
      <c r="FCV134" s="251"/>
      <c r="FCW134" s="251"/>
      <c r="FCX134" s="251"/>
      <c r="FCY134" s="251"/>
      <c r="FCZ134" s="251"/>
      <c r="FDA134" s="251"/>
      <c r="FDB134" s="251"/>
      <c r="FDC134" s="251"/>
      <c r="FDD134" s="251"/>
      <c r="FDE134" s="251"/>
      <c r="FDF134" s="251"/>
      <c r="FDG134" s="251"/>
      <c r="FDH134" s="251"/>
      <c r="FDI134" s="251"/>
      <c r="FDJ134" s="251"/>
      <c r="FDK134" s="251"/>
      <c r="FDL134" s="251"/>
      <c r="FDM134" s="251"/>
      <c r="FDN134" s="251"/>
      <c r="FDO134" s="251"/>
      <c r="FDP134" s="251"/>
      <c r="FDQ134" s="251"/>
      <c r="FDR134" s="251"/>
      <c r="FDS134" s="251"/>
      <c r="FDT134" s="251"/>
      <c r="FDU134" s="251"/>
      <c r="FDV134" s="251"/>
      <c r="FDW134" s="251"/>
      <c r="FDX134" s="251"/>
      <c r="FDY134" s="251"/>
      <c r="FDZ134" s="251"/>
      <c r="FEA134" s="251"/>
      <c r="FEB134" s="251"/>
      <c r="FEC134" s="251"/>
      <c r="FED134" s="251"/>
      <c r="FEE134" s="251"/>
      <c r="FEF134" s="251"/>
      <c r="FEG134" s="251"/>
      <c r="FEH134" s="251"/>
      <c r="FEI134" s="251"/>
      <c r="FEJ134" s="251"/>
      <c r="FEK134" s="251"/>
      <c r="FEL134" s="251"/>
      <c r="FEM134" s="251"/>
      <c r="FEN134" s="251"/>
      <c r="FEO134" s="251"/>
      <c r="FEP134" s="251"/>
      <c r="FEQ134" s="251"/>
      <c r="FER134" s="251"/>
      <c r="FES134" s="251"/>
      <c r="FET134" s="251"/>
      <c r="FEU134" s="251"/>
      <c r="FEV134" s="251"/>
      <c r="FEW134" s="251"/>
      <c r="FEX134" s="251"/>
      <c r="FEY134" s="251"/>
      <c r="FEZ134" s="251"/>
      <c r="FFA134" s="251"/>
      <c r="FFB134" s="251"/>
      <c r="FFC134" s="251"/>
      <c r="FFD134" s="251"/>
      <c r="FFE134" s="251"/>
      <c r="FFF134" s="251"/>
      <c r="FFG134" s="251"/>
      <c r="FFH134" s="251"/>
      <c r="FFI134" s="251"/>
      <c r="FFJ134" s="251"/>
      <c r="FFK134" s="251"/>
      <c r="FFL134" s="251"/>
      <c r="FFM134" s="251"/>
      <c r="FFN134" s="251"/>
      <c r="FFO134" s="251"/>
      <c r="FFP134" s="251"/>
      <c r="FFQ134" s="251"/>
      <c r="FFR134" s="251"/>
      <c r="FFS134" s="251"/>
      <c r="FFT134" s="251"/>
      <c r="FFU134" s="251"/>
      <c r="FFV134" s="251"/>
      <c r="FFW134" s="251"/>
      <c r="FFX134" s="251"/>
      <c r="FFY134" s="251"/>
      <c r="FFZ134" s="251"/>
      <c r="FGA134" s="251"/>
      <c r="FGB134" s="251"/>
      <c r="FGC134" s="251"/>
      <c r="FGD134" s="251"/>
      <c r="FGE134" s="251"/>
      <c r="FGF134" s="251"/>
      <c r="FGG134" s="251"/>
      <c r="FGH134" s="251"/>
      <c r="FGI134" s="251"/>
      <c r="FGJ134" s="251"/>
      <c r="FGK134" s="251"/>
      <c r="FGL134" s="251"/>
      <c r="FGM134" s="251"/>
      <c r="FGN134" s="251"/>
      <c r="FGO134" s="251"/>
      <c r="FGP134" s="251"/>
      <c r="FGQ134" s="251"/>
      <c r="FGR134" s="251"/>
      <c r="FGS134" s="251"/>
      <c r="FGT134" s="251"/>
      <c r="FGU134" s="251"/>
      <c r="FGV134" s="251"/>
      <c r="FGW134" s="251"/>
      <c r="FGX134" s="251"/>
      <c r="FGY134" s="251"/>
      <c r="FGZ134" s="251"/>
      <c r="FHA134" s="251"/>
      <c r="FHB134" s="251"/>
      <c r="FHC134" s="251"/>
      <c r="FHD134" s="251"/>
      <c r="FHE134" s="251"/>
      <c r="FHF134" s="251"/>
      <c r="FHG134" s="251"/>
      <c r="FHH134" s="251"/>
      <c r="FHI134" s="251"/>
      <c r="FHJ134" s="251"/>
      <c r="FHK134" s="251"/>
      <c r="FHL134" s="251"/>
      <c r="FHM134" s="251"/>
      <c r="FHN134" s="251"/>
      <c r="FHO134" s="251"/>
      <c r="FHP134" s="251"/>
      <c r="FHQ134" s="251"/>
      <c r="FHR134" s="251"/>
      <c r="FHS134" s="251"/>
      <c r="FHT134" s="251"/>
      <c r="FHU134" s="251"/>
      <c r="FHV134" s="251"/>
      <c r="FHW134" s="251"/>
      <c r="FHX134" s="251"/>
      <c r="FHY134" s="251"/>
      <c r="FHZ134" s="251"/>
      <c r="FIA134" s="251"/>
      <c r="FIB134" s="251"/>
      <c r="FIC134" s="251"/>
      <c r="FID134" s="251"/>
      <c r="FIE134" s="251"/>
      <c r="FIF134" s="251"/>
      <c r="FIG134" s="251"/>
      <c r="FIH134" s="251"/>
      <c r="FII134" s="251"/>
      <c r="FIJ134" s="251"/>
      <c r="FIK134" s="251"/>
      <c r="FIL134" s="251"/>
      <c r="FIM134" s="251"/>
      <c r="FIN134" s="251"/>
      <c r="FIO134" s="251"/>
      <c r="FIP134" s="251"/>
      <c r="FIQ134" s="251"/>
      <c r="FIR134" s="251"/>
      <c r="FIS134" s="251"/>
      <c r="FIT134" s="251"/>
      <c r="FIU134" s="251"/>
      <c r="FIV134" s="251"/>
      <c r="FIW134" s="251"/>
      <c r="FIX134" s="251"/>
      <c r="FIY134" s="251"/>
      <c r="FIZ134" s="251"/>
      <c r="FJA134" s="251"/>
      <c r="FJB134" s="251"/>
      <c r="FJC134" s="251"/>
      <c r="FJD134" s="251"/>
      <c r="FJE134" s="251"/>
      <c r="FJF134" s="251"/>
      <c r="FJG134" s="251"/>
      <c r="FJH134" s="251"/>
      <c r="FJI134" s="251"/>
      <c r="FJJ134" s="251"/>
      <c r="FJK134" s="251"/>
      <c r="FJL134" s="251"/>
      <c r="FJM134" s="251"/>
      <c r="FJN134" s="251"/>
      <c r="FJO134" s="251"/>
      <c r="FJP134" s="251"/>
      <c r="FJQ134" s="251"/>
      <c r="FJR134" s="251"/>
      <c r="FJS134" s="251"/>
      <c r="FJT134" s="251"/>
      <c r="FJU134" s="251"/>
      <c r="FJV134" s="251"/>
      <c r="FJW134" s="251"/>
      <c r="FJX134" s="251"/>
      <c r="FJY134" s="251"/>
      <c r="FJZ134" s="251"/>
      <c r="FKA134" s="251"/>
      <c r="FKB134" s="251"/>
      <c r="FKC134" s="251"/>
      <c r="FKD134" s="251"/>
      <c r="FKE134" s="251"/>
      <c r="FKF134" s="251"/>
      <c r="FKG134" s="251"/>
      <c r="FKH134" s="251"/>
      <c r="FKI134" s="251"/>
      <c r="FKJ134" s="251"/>
      <c r="FKK134" s="251"/>
      <c r="FKL134" s="251"/>
      <c r="FKM134" s="251"/>
      <c r="FKN134" s="251"/>
      <c r="FKO134" s="251"/>
      <c r="FKP134" s="251"/>
      <c r="FKQ134" s="251"/>
      <c r="FKR134" s="251"/>
      <c r="FKS134" s="251"/>
      <c r="FKT134" s="251"/>
      <c r="FKU134" s="251"/>
      <c r="FKV134" s="251"/>
      <c r="FKW134" s="251"/>
      <c r="FKX134" s="251"/>
      <c r="FKY134" s="251"/>
      <c r="FKZ134" s="251"/>
      <c r="FLA134" s="251"/>
      <c r="FLB134" s="251"/>
      <c r="FLC134" s="251"/>
      <c r="FLD134" s="251"/>
      <c r="FLE134" s="251"/>
      <c r="FLF134" s="251"/>
      <c r="FLG134" s="251"/>
      <c r="FLH134" s="251"/>
      <c r="FLI134" s="251"/>
      <c r="FLJ134" s="251"/>
      <c r="FLK134" s="251"/>
      <c r="FLL134" s="251"/>
      <c r="FLM134" s="251"/>
      <c r="FLN134" s="251"/>
      <c r="FLO134" s="251"/>
      <c r="FLP134" s="251"/>
      <c r="FLQ134" s="251"/>
      <c r="FLR134" s="251"/>
      <c r="FLS134" s="251"/>
      <c r="FLT134" s="251"/>
      <c r="FLU134" s="251"/>
      <c r="FLV134" s="251"/>
      <c r="FLW134" s="251"/>
      <c r="FLX134" s="251"/>
      <c r="FLY134" s="251"/>
      <c r="FLZ134" s="251"/>
      <c r="FMA134" s="251"/>
      <c r="FMB134" s="251"/>
      <c r="FMC134" s="251"/>
      <c r="FMD134" s="251"/>
      <c r="FME134" s="251"/>
      <c r="FMF134" s="251"/>
      <c r="FMG134" s="251"/>
      <c r="FMH134" s="251"/>
      <c r="FMI134" s="251"/>
      <c r="FMJ134" s="251"/>
      <c r="FMK134" s="251"/>
      <c r="FML134" s="251"/>
      <c r="FMM134" s="251"/>
      <c r="FMN134" s="251"/>
      <c r="FMO134" s="251"/>
      <c r="FMP134" s="251"/>
      <c r="FMQ134" s="251"/>
      <c r="FMR134" s="251"/>
      <c r="FMS134" s="251"/>
      <c r="FMT134" s="251"/>
      <c r="FMU134" s="251"/>
      <c r="FMV134" s="251"/>
      <c r="FMW134" s="251"/>
      <c r="FMX134" s="251"/>
      <c r="FMY134" s="251"/>
      <c r="FMZ134" s="251"/>
      <c r="FNA134" s="251"/>
      <c r="FNB134" s="251"/>
      <c r="FNC134" s="251"/>
      <c r="FND134" s="251"/>
      <c r="FNE134" s="251"/>
      <c r="FNF134" s="251"/>
      <c r="FNG134" s="251"/>
      <c r="FNH134" s="251"/>
      <c r="FNI134" s="251"/>
      <c r="FNJ134" s="251"/>
      <c r="FNK134" s="251"/>
      <c r="FNL134" s="251"/>
      <c r="FNM134" s="251"/>
      <c r="FNN134" s="251"/>
      <c r="FNO134" s="251"/>
      <c r="FNP134" s="251"/>
      <c r="FNQ134" s="251"/>
      <c r="FNR134" s="251"/>
      <c r="FNS134" s="251"/>
      <c r="FNT134" s="251"/>
      <c r="FNU134" s="251"/>
      <c r="FNV134" s="251"/>
      <c r="FNW134" s="251"/>
      <c r="FNX134" s="251"/>
      <c r="FNY134" s="251"/>
      <c r="FNZ134" s="251"/>
      <c r="FOA134" s="251"/>
      <c r="FOB134" s="251"/>
      <c r="FOC134" s="251"/>
      <c r="FOD134" s="251"/>
      <c r="FOE134" s="251"/>
      <c r="FOF134" s="251"/>
      <c r="FOG134" s="251"/>
      <c r="FOH134" s="251"/>
      <c r="FOI134" s="251"/>
      <c r="FOJ134" s="251"/>
      <c r="FOK134" s="251"/>
      <c r="FOL134" s="251"/>
      <c r="FOM134" s="251"/>
      <c r="FON134" s="251"/>
      <c r="FOO134" s="251"/>
      <c r="FOP134" s="251"/>
      <c r="FOQ134" s="251"/>
      <c r="FOR134" s="251"/>
      <c r="FOS134" s="251"/>
      <c r="FOT134" s="251"/>
      <c r="FOU134" s="251"/>
      <c r="FOV134" s="251"/>
      <c r="FOW134" s="251"/>
      <c r="FOX134" s="251"/>
      <c r="FOY134" s="251"/>
      <c r="FOZ134" s="251"/>
      <c r="FPA134" s="251"/>
      <c r="FPB134" s="251"/>
      <c r="FPC134" s="251"/>
      <c r="FPD134" s="251"/>
      <c r="FPE134" s="251"/>
      <c r="FPF134" s="251"/>
      <c r="FPG134" s="251"/>
      <c r="FPH134" s="251"/>
      <c r="FPI134" s="251"/>
      <c r="FPJ134" s="251"/>
      <c r="FPK134" s="251"/>
      <c r="FPL134" s="251"/>
      <c r="FPM134" s="251"/>
      <c r="FPN134" s="251"/>
      <c r="FPO134" s="251"/>
      <c r="FPP134" s="251"/>
      <c r="FPQ134" s="251"/>
      <c r="FPR134" s="251"/>
      <c r="FPS134" s="251"/>
      <c r="FPT134" s="251"/>
      <c r="FPU134" s="251"/>
      <c r="FPV134" s="251"/>
      <c r="FPW134" s="251"/>
      <c r="FPX134" s="251"/>
      <c r="FPY134" s="251"/>
      <c r="FPZ134" s="251"/>
      <c r="FQA134" s="251"/>
      <c r="FQB134" s="251"/>
      <c r="FQC134" s="251"/>
      <c r="FQD134" s="251"/>
      <c r="FQE134" s="251"/>
      <c r="FQF134" s="251"/>
      <c r="FQG134" s="251"/>
      <c r="FQH134" s="251"/>
      <c r="FQI134" s="251"/>
      <c r="FQJ134" s="251"/>
      <c r="FQK134" s="251"/>
      <c r="FQL134" s="251"/>
      <c r="FQM134" s="251"/>
      <c r="FQN134" s="251"/>
      <c r="FQO134" s="251"/>
      <c r="FQP134" s="251"/>
      <c r="FQQ134" s="251"/>
      <c r="FQR134" s="251"/>
      <c r="FQS134" s="251"/>
      <c r="FQT134" s="251"/>
      <c r="FQU134" s="251"/>
      <c r="FQV134" s="251"/>
      <c r="FQW134" s="251"/>
      <c r="FQX134" s="251"/>
      <c r="FQY134" s="251"/>
      <c r="FQZ134" s="251"/>
      <c r="FRA134" s="251"/>
      <c r="FRB134" s="251"/>
      <c r="FRC134" s="251"/>
      <c r="FRD134" s="251"/>
      <c r="FRE134" s="251"/>
      <c r="FRF134" s="251"/>
      <c r="FRG134" s="251"/>
      <c r="FRH134" s="251"/>
      <c r="FRI134" s="251"/>
      <c r="FRJ134" s="251"/>
      <c r="FRK134" s="251"/>
      <c r="FRL134" s="251"/>
      <c r="FRM134" s="251"/>
      <c r="FRN134" s="251"/>
      <c r="FRO134" s="251"/>
      <c r="FRP134" s="251"/>
      <c r="FRQ134" s="251"/>
      <c r="FRR134" s="251"/>
      <c r="FRS134" s="251"/>
      <c r="FRT134" s="251"/>
      <c r="FRU134" s="251"/>
      <c r="FRV134" s="251"/>
      <c r="FRW134" s="251"/>
      <c r="FRX134" s="251"/>
      <c r="FRY134" s="251"/>
      <c r="FRZ134" s="251"/>
      <c r="FSA134" s="251"/>
      <c r="FSB134" s="251"/>
      <c r="FSC134" s="251"/>
      <c r="FSD134" s="251"/>
      <c r="FSE134" s="251"/>
      <c r="FSF134" s="251"/>
      <c r="FSG134" s="251"/>
      <c r="FSH134" s="251"/>
      <c r="FSI134" s="251"/>
      <c r="FSJ134" s="251"/>
      <c r="FSK134" s="251"/>
      <c r="FSL134" s="251"/>
      <c r="FSM134" s="251"/>
      <c r="FSN134" s="251"/>
      <c r="FSO134" s="251"/>
      <c r="FSP134" s="251"/>
      <c r="FSQ134" s="251"/>
      <c r="FSR134" s="251"/>
      <c r="FSS134" s="251"/>
      <c r="FST134" s="251"/>
      <c r="FSU134" s="251"/>
      <c r="FSV134" s="251"/>
      <c r="FSW134" s="251"/>
      <c r="FSX134" s="251"/>
      <c r="FSY134" s="251"/>
      <c r="FSZ134" s="251"/>
      <c r="FTA134" s="251"/>
      <c r="FTB134" s="251"/>
      <c r="FTC134" s="251"/>
      <c r="FTD134" s="251"/>
      <c r="FTE134" s="251"/>
      <c r="FTF134" s="251"/>
      <c r="FTG134" s="251"/>
      <c r="FTH134" s="251"/>
      <c r="FTI134" s="251"/>
      <c r="FTJ134" s="251"/>
      <c r="FTK134" s="251"/>
      <c r="FTL134" s="251"/>
      <c r="FTM134" s="251"/>
      <c r="FTN134" s="251"/>
      <c r="FTO134" s="251"/>
      <c r="FTP134" s="251"/>
      <c r="FTQ134" s="251"/>
      <c r="FTR134" s="251"/>
      <c r="FTS134" s="251"/>
      <c r="FTT134" s="251"/>
      <c r="FTU134" s="251"/>
      <c r="FTV134" s="251"/>
      <c r="FTW134" s="251"/>
      <c r="FTX134" s="251"/>
      <c r="FTY134" s="251"/>
      <c r="FTZ134" s="251"/>
      <c r="FUA134" s="251"/>
      <c r="FUB134" s="251"/>
      <c r="FUC134" s="251"/>
      <c r="FUD134" s="251"/>
      <c r="FUE134" s="251"/>
      <c r="FUF134" s="251"/>
      <c r="FUG134" s="251"/>
      <c r="FUH134" s="251"/>
      <c r="FUI134" s="251"/>
      <c r="FUJ134" s="251"/>
      <c r="FUK134" s="251"/>
      <c r="FUL134" s="251"/>
      <c r="FUM134" s="251"/>
      <c r="FUN134" s="251"/>
      <c r="FUO134" s="251"/>
      <c r="FUP134" s="251"/>
      <c r="FUQ134" s="251"/>
      <c r="FUR134" s="251"/>
      <c r="FUS134" s="251"/>
      <c r="FUT134" s="251"/>
      <c r="FUU134" s="251"/>
      <c r="FUV134" s="251"/>
      <c r="FUW134" s="251"/>
      <c r="FUX134" s="251"/>
      <c r="FUY134" s="251"/>
      <c r="FUZ134" s="251"/>
      <c r="FVA134" s="251"/>
      <c r="FVB134" s="251"/>
      <c r="FVC134" s="251"/>
      <c r="FVD134" s="251"/>
      <c r="FVE134" s="251"/>
      <c r="FVF134" s="251"/>
      <c r="FVG134" s="251"/>
      <c r="FVH134" s="251"/>
      <c r="FVI134" s="251"/>
      <c r="FVJ134" s="251"/>
      <c r="FVK134" s="251"/>
      <c r="FVL134" s="251"/>
      <c r="FVM134" s="251"/>
      <c r="FVN134" s="251"/>
      <c r="FVO134" s="251"/>
      <c r="FVP134" s="251"/>
      <c r="FVQ134" s="251"/>
      <c r="FVR134" s="251"/>
      <c r="FVS134" s="251"/>
      <c r="FVT134" s="251"/>
      <c r="FVU134" s="251"/>
      <c r="FVV134" s="251"/>
      <c r="FVW134" s="251"/>
      <c r="FVX134" s="251"/>
      <c r="FVY134" s="251"/>
      <c r="FVZ134" s="251"/>
      <c r="FWA134" s="251"/>
      <c r="FWB134" s="251"/>
      <c r="FWC134" s="251"/>
      <c r="FWD134" s="251"/>
      <c r="FWE134" s="251"/>
      <c r="FWF134" s="251"/>
      <c r="FWG134" s="251"/>
      <c r="FWH134" s="251"/>
      <c r="FWI134" s="251"/>
      <c r="FWJ134" s="251"/>
      <c r="FWK134" s="251"/>
      <c r="FWL134" s="251"/>
      <c r="FWM134" s="251"/>
      <c r="FWN134" s="251"/>
      <c r="FWO134" s="251"/>
      <c r="FWP134" s="251"/>
      <c r="FWQ134" s="251"/>
      <c r="FWR134" s="251"/>
      <c r="FWS134" s="251"/>
      <c r="FWT134" s="251"/>
      <c r="FWU134" s="251"/>
      <c r="FWV134" s="251"/>
      <c r="FWW134" s="251"/>
      <c r="FWX134" s="251"/>
      <c r="FWY134" s="251"/>
      <c r="FWZ134" s="251"/>
      <c r="FXA134" s="251"/>
      <c r="FXB134" s="251"/>
      <c r="FXC134" s="251"/>
      <c r="FXD134" s="251"/>
      <c r="FXE134" s="251"/>
      <c r="FXF134" s="251"/>
      <c r="FXG134" s="251"/>
      <c r="FXH134" s="251"/>
      <c r="FXI134" s="251"/>
      <c r="FXJ134" s="251"/>
      <c r="FXK134" s="251"/>
      <c r="FXL134" s="251"/>
      <c r="FXM134" s="251"/>
      <c r="FXN134" s="251"/>
      <c r="FXO134" s="251"/>
      <c r="FXP134" s="251"/>
      <c r="FXQ134" s="251"/>
      <c r="FXR134" s="251"/>
      <c r="FXS134" s="251"/>
      <c r="FXT134" s="251"/>
      <c r="FXU134" s="251"/>
      <c r="FXV134" s="251"/>
      <c r="FXW134" s="251"/>
      <c r="FXX134" s="251"/>
      <c r="FXY134" s="251"/>
      <c r="FXZ134" s="251"/>
      <c r="FYA134" s="251"/>
      <c r="FYB134" s="251"/>
      <c r="FYC134" s="251"/>
      <c r="FYD134" s="251"/>
      <c r="FYE134" s="251"/>
      <c r="FYF134" s="251"/>
      <c r="FYG134" s="251"/>
      <c r="FYH134" s="251"/>
      <c r="FYI134" s="251"/>
      <c r="FYJ134" s="251"/>
      <c r="FYK134" s="251"/>
      <c r="FYL134" s="251"/>
      <c r="FYM134" s="251"/>
      <c r="FYN134" s="251"/>
      <c r="FYO134" s="251"/>
      <c r="FYP134" s="251"/>
      <c r="FYQ134" s="251"/>
      <c r="FYR134" s="251"/>
      <c r="FYS134" s="251"/>
      <c r="FYT134" s="251"/>
      <c r="FYU134" s="251"/>
      <c r="FYV134" s="251"/>
      <c r="FYW134" s="251"/>
      <c r="FYX134" s="251"/>
      <c r="FYY134" s="251"/>
      <c r="FYZ134" s="251"/>
      <c r="FZA134" s="251"/>
      <c r="FZB134" s="251"/>
      <c r="FZC134" s="251"/>
      <c r="FZD134" s="251"/>
      <c r="FZE134" s="251"/>
      <c r="FZF134" s="251"/>
      <c r="FZG134" s="251"/>
      <c r="FZH134" s="251"/>
      <c r="FZI134" s="251"/>
      <c r="FZJ134" s="251"/>
      <c r="FZK134" s="251"/>
      <c r="FZL134" s="251"/>
      <c r="FZM134" s="251"/>
      <c r="FZN134" s="251"/>
      <c r="FZO134" s="251"/>
      <c r="FZP134" s="251"/>
      <c r="FZQ134" s="251"/>
      <c r="FZR134" s="251"/>
      <c r="FZS134" s="251"/>
      <c r="FZT134" s="251"/>
      <c r="FZU134" s="251"/>
      <c r="FZV134" s="251"/>
      <c r="FZW134" s="251"/>
      <c r="FZX134" s="251"/>
      <c r="FZY134" s="251"/>
      <c r="FZZ134" s="251"/>
      <c r="GAA134" s="251"/>
      <c r="GAB134" s="251"/>
      <c r="GAC134" s="251"/>
      <c r="GAD134" s="251"/>
      <c r="GAE134" s="251"/>
      <c r="GAF134" s="251"/>
      <c r="GAG134" s="251"/>
      <c r="GAH134" s="251"/>
      <c r="GAI134" s="251"/>
      <c r="GAJ134" s="251"/>
      <c r="GAK134" s="251"/>
      <c r="GAL134" s="251"/>
      <c r="GAM134" s="251"/>
      <c r="GAN134" s="251"/>
      <c r="GAO134" s="251"/>
      <c r="GAP134" s="251"/>
      <c r="GAQ134" s="251"/>
      <c r="GAR134" s="251"/>
      <c r="GAS134" s="251"/>
      <c r="GAT134" s="251"/>
      <c r="GAU134" s="251"/>
      <c r="GAV134" s="251"/>
      <c r="GAW134" s="251"/>
      <c r="GAX134" s="251"/>
      <c r="GAY134" s="251"/>
      <c r="GAZ134" s="251"/>
      <c r="GBA134" s="251"/>
      <c r="GBB134" s="251"/>
      <c r="GBC134" s="251"/>
      <c r="GBD134" s="251"/>
      <c r="GBE134" s="251"/>
      <c r="GBF134" s="251"/>
      <c r="GBG134" s="251"/>
      <c r="GBH134" s="251"/>
      <c r="GBI134" s="251"/>
      <c r="GBJ134" s="251"/>
      <c r="GBK134" s="251"/>
      <c r="GBL134" s="251"/>
      <c r="GBM134" s="251"/>
      <c r="GBN134" s="251"/>
      <c r="GBO134" s="251"/>
      <c r="GBP134" s="251"/>
      <c r="GBQ134" s="251"/>
      <c r="GBR134" s="251"/>
      <c r="GBS134" s="251"/>
      <c r="GBT134" s="251"/>
      <c r="GBU134" s="251"/>
      <c r="GBV134" s="251"/>
      <c r="GBW134" s="251"/>
      <c r="GBX134" s="251"/>
      <c r="GBY134" s="251"/>
      <c r="GBZ134" s="251"/>
      <c r="GCA134" s="251"/>
      <c r="GCB134" s="251"/>
      <c r="GCC134" s="251"/>
      <c r="GCD134" s="251"/>
      <c r="GCE134" s="251"/>
      <c r="GCF134" s="251"/>
      <c r="GCG134" s="251"/>
      <c r="GCH134" s="251"/>
      <c r="GCI134" s="251"/>
      <c r="GCJ134" s="251"/>
      <c r="GCK134" s="251"/>
      <c r="GCL134" s="251"/>
      <c r="GCM134" s="251"/>
      <c r="GCN134" s="251"/>
      <c r="GCO134" s="251"/>
      <c r="GCP134" s="251"/>
      <c r="GCQ134" s="251"/>
      <c r="GCR134" s="251"/>
      <c r="GCS134" s="251"/>
      <c r="GCT134" s="251"/>
      <c r="GCU134" s="251"/>
      <c r="GCV134" s="251"/>
      <c r="GCW134" s="251"/>
      <c r="GCX134" s="251"/>
      <c r="GCY134" s="251"/>
      <c r="GCZ134" s="251"/>
      <c r="GDA134" s="251"/>
      <c r="GDB134" s="251"/>
      <c r="GDC134" s="251"/>
      <c r="GDD134" s="251"/>
      <c r="GDE134" s="251"/>
      <c r="GDF134" s="251"/>
      <c r="GDG134" s="251"/>
      <c r="GDH134" s="251"/>
      <c r="GDI134" s="251"/>
      <c r="GDJ134" s="251"/>
      <c r="GDK134" s="251"/>
      <c r="GDL134" s="251"/>
      <c r="GDM134" s="251"/>
      <c r="GDN134" s="251"/>
      <c r="GDO134" s="251"/>
      <c r="GDP134" s="251"/>
      <c r="GDQ134" s="251"/>
      <c r="GDR134" s="251"/>
      <c r="GDS134" s="251"/>
      <c r="GDT134" s="251"/>
      <c r="GDU134" s="251"/>
      <c r="GDV134" s="251"/>
      <c r="GDW134" s="251"/>
      <c r="GDX134" s="251"/>
      <c r="GDY134" s="251"/>
      <c r="GDZ134" s="251"/>
      <c r="GEA134" s="251"/>
      <c r="GEB134" s="251"/>
      <c r="GEC134" s="251"/>
      <c r="GED134" s="251"/>
      <c r="GEE134" s="251"/>
      <c r="GEF134" s="251"/>
      <c r="GEG134" s="251"/>
      <c r="GEH134" s="251"/>
      <c r="GEI134" s="251"/>
      <c r="GEJ134" s="251"/>
      <c r="GEK134" s="251"/>
      <c r="GEL134" s="251"/>
      <c r="GEM134" s="251"/>
      <c r="GEN134" s="251"/>
      <c r="GEO134" s="251"/>
      <c r="GEP134" s="251"/>
      <c r="GEQ134" s="251"/>
      <c r="GER134" s="251"/>
      <c r="GES134" s="251"/>
      <c r="GET134" s="251"/>
      <c r="GEU134" s="251"/>
      <c r="GEV134" s="251"/>
      <c r="GEW134" s="251"/>
      <c r="GEX134" s="251"/>
      <c r="GEY134" s="251"/>
      <c r="GEZ134" s="251"/>
      <c r="GFA134" s="251"/>
      <c r="GFB134" s="251"/>
      <c r="GFC134" s="251"/>
      <c r="GFD134" s="251"/>
      <c r="GFE134" s="251"/>
      <c r="GFF134" s="251"/>
      <c r="GFG134" s="251"/>
      <c r="GFH134" s="251"/>
      <c r="GFI134" s="251"/>
      <c r="GFJ134" s="251"/>
      <c r="GFK134" s="251"/>
      <c r="GFL134" s="251"/>
      <c r="GFM134" s="251"/>
      <c r="GFN134" s="251"/>
      <c r="GFO134" s="251"/>
      <c r="GFP134" s="251"/>
      <c r="GFQ134" s="251"/>
      <c r="GFR134" s="251"/>
      <c r="GFS134" s="251"/>
      <c r="GFT134" s="251"/>
      <c r="GFU134" s="251"/>
      <c r="GFV134" s="251"/>
      <c r="GFW134" s="251"/>
      <c r="GFX134" s="251"/>
      <c r="GFY134" s="251"/>
      <c r="GFZ134" s="251"/>
      <c r="GGA134" s="251"/>
      <c r="GGB134" s="251"/>
      <c r="GGC134" s="251"/>
      <c r="GGD134" s="251"/>
      <c r="GGE134" s="251"/>
      <c r="GGF134" s="251"/>
      <c r="GGG134" s="251"/>
      <c r="GGH134" s="251"/>
      <c r="GGI134" s="251"/>
      <c r="GGJ134" s="251"/>
      <c r="GGK134" s="251"/>
      <c r="GGL134" s="251"/>
      <c r="GGM134" s="251"/>
      <c r="GGN134" s="251"/>
      <c r="GGO134" s="251"/>
      <c r="GGP134" s="251"/>
      <c r="GGQ134" s="251"/>
      <c r="GGR134" s="251"/>
      <c r="GGS134" s="251"/>
      <c r="GGT134" s="251"/>
      <c r="GGU134" s="251"/>
      <c r="GGV134" s="251"/>
      <c r="GGW134" s="251"/>
      <c r="GGX134" s="251"/>
      <c r="GGY134" s="251"/>
      <c r="GGZ134" s="251"/>
      <c r="GHA134" s="251"/>
      <c r="GHB134" s="251"/>
      <c r="GHC134" s="251"/>
      <c r="GHD134" s="251"/>
      <c r="GHE134" s="251"/>
      <c r="GHF134" s="251"/>
      <c r="GHG134" s="251"/>
      <c r="GHH134" s="251"/>
      <c r="GHI134" s="251"/>
      <c r="GHJ134" s="251"/>
      <c r="GHK134" s="251"/>
      <c r="GHL134" s="251"/>
      <c r="GHM134" s="251"/>
      <c r="GHN134" s="251"/>
      <c r="GHO134" s="251"/>
      <c r="GHP134" s="251"/>
      <c r="GHQ134" s="251"/>
      <c r="GHR134" s="251"/>
      <c r="GHS134" s="251"/>
      <c r="GHT134" s="251"/>
      <c r="GHU134" s="251"/>
      <c r="GHV134" s="251"/>
      <c r="GHW134" s="251"/>
      <c r="GHX134" s="251"/>
      <c r="GHY134" s="251"/>
      <c r="GHZ134" s="251"/>
      <c r="GIA134" s="251"/>
      <c r="GIB134" s="251"/>
      <c r="GIC134" s="251"/>
      <c r="GID134" s="251"/>
      <c r="GIE134" s="251"/>
      <c r="GIF134" s="251"/>
      <c r="GIG134" s="251"/>
      <c r="GIH134" s="251"/>
      <c r="GII134" s="251"/>
      <c r="GIJ134" s="251"/>
      <c r="GIK134" s="251"/>
      <c r="GIL134" s="251"/>
      <c r="GIM134" s="251"/>
      <c r="GIN134" s="251"/>
      <c r="GIO134" s="251"/>
      <c r="GIP134" s="251"/>
      <c r="GIQ134" s="251"/>
      <c r="GIR134" s="251"/>
      <c r="GIS134" s="251"/>
      <c r="GIT134" s="251"/>
      <c r="GIU134" s="251"/>
      <c r="GIV134" s="251"/>
      <c r="GIW134" s="251"/>
      <c r="GIX134" s="251"/>
      <c r="GIY134" s="251"/>
      <c r="GIZ134" s="251"/>
      <c r="GJA134" s="251"/>
      <c r="GJB134" s="251"/>
      <c r="GJC134" s="251"/>
      <c r="GJD134" s="251"/>
      <c r="GJE134" s="251"/>
      <c r="GJF134" s="251"/>
      <c r="GJG134" s="251"/>
      <c r="GJH134" s="251"/>
      <c r="GJI134" s="251"/>
      <c r="GJJ134" s="251"/>
      <c r="GJK134" s="251"/>
      <c r="GJL134" s="251"/>
      <c r="GJM134" s="251"/>
      <c r="GJN134" s="251"/>
      <c r="GJO134" s="251"/>
      <c r="GJP134" s="251"/>
      <c r="GJQ134" s="251"/>
      <c r="GJR134" s="251"/>
      <c r="GJS134" s="251"/>
      <c r="GJT134" s="251"/>
      <c r="GJU134" s="251"/>
      <c r="GJV134" s="251"/>
      <c r="GJW134" s="251"/>
      <c r="GJX134" s="251"/>
      <c r="GJY134" s="251"/>
      <c r="GJZ134" s="251"/>
      <c r="GKA134" s="251"/>
      <c r="GKB134" s="251"/>
      <c r="GKC134" s="251"/>
      <c r="GKD134" s="251"/>
      <c r="GKE134" s="251"/>
      <c r="GKF134" s="251"/>
      <c r="GKG134" s="251"/>
      <c r="GKH134" s="251"/>
      <c r="GKI134" s="251"/>
      <c r="GKJ134" s="251"/>
      <c r="GKK134" s="251"/>
      <c r="GKL134" s="251"/>
      <c r="GKM134" s="251"/>
      <c r="GKN134" s="251"/>
      <c r="GKO134" s="251"/>
      <c r="GKP134" s="251"/>
      <c r="GKQ134" s="251"/>
      <c r="GKR134" s="251"/>
      <c r="GKS134" s="251"/>
      <c r="GKT134" s="251"/>
      <c r="GKU134" s="251"/>
      <c r="GKV134" s="251"/>
      <c r="GKW134" s="251"/>
      <c r="GKX134" s="251"/>
      <c r="GKY134" s="251"/>
      <c r="GKZ134" s="251"/>
      <c r="GLA134" s="251"/>
      <c r="GLB134" s="251"/>
      <c r="GLC134" s="251"/>
      <c r="GLD134" s="251"/>
      <c r="GLE134" s="251"/>
      <c r="GLF134" s="251"/>
      <c r="GLG134" s="251"/>
      <c r="GLH134" s="251"/>
      <c r="GLI134" s="251"/>
      <c r="GLJ134" s="251"/>
      <c r="GLK134" s="251"/>
      <c r="GLL134" s="251"/>
      <c r="GLM134" s="251"/>
      <c r="GLN134" s="251"/>
      <c r="GLO134" s="251"/>
      <c r="GLP134" s="251"/>
      <c r="GLQ134" s="251"/>
      <c r="GLR134" s="251"/>
      <c r="GLS134" s="251"/>
      <c r="GLT134" s="251"/>
      <c r="GLU134" s="251"/>
      <c r="GLV134" s="251"/>
      <c r="GLW134" s="251"/>
      <c r="GLX134" s="251"/>
      <c r="GLY134" s="251"/>
      <c r="GLZ134" s="251"/>
      <c r="GMA134" s="251"/>
      <c r="GMB134" s="251"/>
      <c r="GMC134" s="251"/>
      <c r="GMD134" s="251"/>
      <c r="GME134" s="251"/>
      <c r="GMF134" s="251"/>
      <c r="GMG134" s="251"/>
      <c r="GMH134" s="251"/>
      <c r="GMI134" s="251"/>
      <c r="GMJ134" s="251"/>
      <c r="GMK134" s="251"/>
      <c r="GML134" s="251"/>
      <c r="GMM134" s="251"/>
      <c r="GMN134" s="251"/>
      <c r="GMO134" s="251"/>
      <c r="GMP134" s="251"/>
      <c r="GMQ134" s="251"/>
      <c r="GMR134" s="251"/>
      <c r="GMS134" s="251"/>
      <c r="GMT134" s="251"/>
      <c r="GMU134" s="251"/>
      <c r="GMV134" s="251"/>
      <c r="GMW134" s="251"/>
      <c r="GMX134" s="251"/>
      <c r="GMY134" s="251"/>
      <c r="GMZ134" s="251"/>
      <c r="GNA134" s="251"/>
      <c r="GNB134" s="251"/>
      <c r="GNC134" s="251"/>
      <c r="GND134" s="251"/>
      <c r="GNE134" s="251"/>
      <c r="GNF134" s="251"/>
      <c r="GNG134" s="251"/>
      <c r="GNH134" s="251"/>
      <c r="GNI134" s="251"/>
      <c r="GNJ134" s="251"/>
      <c r="GNK134" s="251"/>
      <c r="GNL134" s="251"/>
      <c r="GNM134" s="251"/>
      <c r="GNN134" s="251"/>
      <c r="GNO134" s="251"/>
      <c r="GNP134" s="251"/>
      <c r="GNQ134" s="251"/>
      <c r="GNR134" s="251"/>
      <c r="GNS134" s="251"/>
      <c r="GNT134" s="251"/>
      <c r="GNU134" s="251"/>
      <c r="GNV134" s="251"/>
      <c r="GNW134" s="251"/>
      <c r="GNX134" s="251"/>
      <c r="GNY134" s="251"/>
      <c r="GNZ134" s="251"/>
      <c r="GOA134" s="251"/>
      <c r="GOB134" s="251"/>
      <c r="GOC134" s="251"/>
      <c r="GOD134" s="251"/>
      <c r="GOE134" s="251"/>
      <c r="GOF134" s="251"/>
      <c r="GOG134" s="251"/>
      <c r="GOH134" s="251"/>
      <c r="GOI134" s="251"/>
      <c r="GOJ134" s="251"/>
      <c r="GOK134" s="251"/>
      <c r="GOL134" s="251"/>
      <c r="GOM134" s="251"/>
      <c r="GON134" s="251"/>
      <c r="GOO134" s="251"/>
      <c r="GOP134" s="251"/>
      <c r="GOQ134" s="251"/>
      <c r="GOR134" s="251"/>
      <c r="GOS134" s="251"/>
      <c r="GOT134" s="251"/>
      <c r="GOU134" s="251"/>
      <c r="GOV134" s="251"/>
      <c r="GOW134" s="251"/>
      <c r="GOX134" s="251"/>
      <c r="GOY134" s="251"/>
      <c r="GOZ134" s="251"/>
      <c r="GPA134" s="251"/>
      <c r="GPB134" s="251"/>
      <c r="GPC134" s="251"/>
      <c r="GPD134" s="251"/>
      <c r="GPE134" s="251"/>
      <c r="GPF134" s="251"/>
      <c r="GPG134" s="251"/>
      <c r="GPH134" s="251"/>
      <c r="GPI134" s="251"/>
      <c r="GPJ134" s="251"/>
      <c r="GPK134" s="251"/>
      <c r="GPL134" s="251"/>
      <c r="GPM134" s="251"/>
      <c r="GPN134" s="251"/>
      <c r="GPO134" s="251"/>
      <c r="GPP134" s="251"/>
      <c r="GPQ134" s="251"/>
      <c r="GPR134" s="251"/>
      <c r="GPS134" s="251"/>
      <c r="GPT134" s="251"/>
      <c r="GPU134" s="251"/>
      <c r="GPV134" s="251"/>
      <c r="GPW134" s="251"/>
      <c r="GPX134" s="251"/>
      <c r="GPY134" s="251"/>
      <c r="GPZ134" s="251"/>
      <c r="GQA134" s="251"/>
      <c r="GQB134" s="251"/>
      <c r="GQC134" s="251"/>
      <c r="GQD134" s="251"/>
      <c r="GQE134" s="251"/>
      <c r="GQF134" s="251"/>
      <c r="GQG134" s="251"/>
      <c r="GQH134" s="251"/>
      <c r="GQI134" s="251"/>
      <c r="GQJ134" s="251"/>
      <c r="GQK134" s="251"/>
      <c r="GQL134" s="251"/>
      <c r="GQM134" s="251"/>
      <c r="GQN134" s="251"/>
      <c r="GQO134" s="251"/>
      <c r="GQP134" s="251"/>
      <c r="GQQ134" s="251"/>
      <c r="GQR134" s="251"/>
      <c r="GQS134" s="251"/>
      <c r="GQT134" s="251"/>
      <c r="GQU134" s="251"/>
      <c r="GQV134" s="251"/>
      <c r="GQW134" s="251"/>
      <c r="GQX134" s="251"/>
      <c r="GQY134" s="251"/>
      <c r="GQZ134" s="251"/>
      <c r="GRA134" s="251"/>
      <c r="GRB134" s="251"/>
      <c r="GRC134" s="251"/>
      <c r="GRD134" s="251"/>
      <c r="GRE134" s="251"/>
      <c r="GRF134" s="251"/>
      <c r="GRG134" s="251"/>
      <c r="GRH134" s="251"/>
      <c r="GRI134" s="251"/>
      <c r="GRJ134" s="251"/>
      <c r="GRK134" s="251"/>
      <c r="GRL134" s="251"/>
      <c r="GRM134" s="251"/>
      <c r="GRN134" s="251"/>
      <c r="GRO134" s="251"/>
      <c r="GRP134" s="251"/>
      <c r="GRQ134" s="251"/>
      <c r="GRR134" s="251"/>
      <c r="GRS134" s="251"/>
      <c r="GRT134" s="251"/>
      <c r="GRU134" s="251"/>
      <c r="GRV134" s="251"/>
      <c r="GRW134" s="251"/>
      <c r="GRX134" s="251"/>
      <c r="GRY134" s="251"/>
      <c r="GRZ134" s="251"/>
      <c r="GSA134" s="251"/>
      <c r="GSB134" s="251"/>
      <c r="GSC134" s="251"/>
      <c r="GSD134" s="251"/>
      <c r="GSE134" s="251"/>
      <c r="GSF134" s="251"/>
      <c r="GSG134" s="251"/>
      <c r="GSH134" s="251"/>
      <c r="GSI134" s="251"/>
      <c r="GSJ134" s="251"/>
      <c r="GSK134" s="251"/>
      <c r="GSL134" s="251"/>
      <c r="GSM134" s="251"/>
      <c r="GSN134" s="251"/>
      <c r="GSO134" s="251"/>
      <c r="GSP134" s="251"/>
      <c r="GSQ134" s="251"/>
      <c r="GSR134" s="251"/>
      <c r="GSS134" s="251"/>
      <c r="GST134" s="251"/>
      <c r="GSU134" s="251"/>
      <c r="GSV134" s="251"/>
      <c r="GSW134" s="251"/>
      <c r="GSX134" s="251"/>
      <c r="GSY134" s="251"/>
      <c r="GSZ134" s="251"/>
      <c r="GTA134" s="251"/>
      <c r="GTB134" s="251"/>
      <c r="GTC134" s="251"/>
      <c r="GTD134" s="251"/>
      <c r="GTE134" s="251"/>
      <c r="GTF134" s="251"/>
      <c r="GTG134" s="251"/>
      <c r="GTH134" s="251"/>
      <c r="GTI134" s="251"/>
      <c r="GTJ134" s="251"/>
      <c r="GTK134" s="251"/>
      <c r="GTL134" s="251"/>
      <c r="GTM134" s="251"/>
      <c r="GTN134" s="251"/>
      <c r="GTO134" s="251"/>
      <c r="GTP134" s="251"/>
      <c r="GTQ134" s="251"/>
      <c r="GTR134" s="251"/>
      <c r="GTS134" s="251"/>
      <c r="GTT134" s="251"/>
      <c r="GTU134" s="251"/>
      <c r="GTV134" s="251"/>
      <c r="GTW134" s="251"/>
      <c r="GTX134" s="251"/>
      <c r="GTY134" s="251"/>
      <c r="GTZ134" s="251"/>
      <c r="GUA134" s="251"/>
      <c r="GUB134" s="251"/>
      <c r="GUC134" s="251"/>
      <c r="GUD134" s="251"/>
      <c r="GUE134" s="251"/>
      <c r="GUF134" s="251"/>
      <c r="GUG134" s="251"/>
      <c r="GUH134" s="251"/>
      <c r="GUI134" s="251"/>
      <c r="GUJ134" s="251"/>
      <c r="GUK134" s="251"/>
      <c r="GUL134" s="251"/>
      <c r="GUM134" s="251"/>
      <c r="GUN134" s="251"/>
      <c r="GUO134" s="251"/>
      <c r="GUP134" s="251"/>
      <c r="GUQ134" s="251"/>
      <c r="GUR134" s="251"/>
      <c r="GUS134" s="251"/>
      <c r="GUT134" s="251"/>
      <c r="GUU134" s="251"/>
      <c r="GUV134" s="251"/>
      <c r="GUW134" s="251"/>
      <c r="GUX134" s="251"/>
      <c r="GUY134" s="251"/>
      <c r="GUZ134" s="251"/>
      <c r="GVA134" s="251"/>
      <c r="GVB134" s="251"/>
      <c r="GVC134" s="251"/>
      <c r="GVD134" s="251"/>
      <c r="GVE134" s="251"/>
      <c r="GVF134" s="251"/>
      <c r="GVG134" s="251"/>
      <c r="GVH134" s="251"/>
      <c r="GVI134" s="251"/>
      <c r="GVJ134" s="251"/>
      <c r="GVK134" s="251"/>
      <c r="GVL134" s="251"/>
      <c r="GVM134" s="251"/>
      <c r="GVN134" s="251"/>
      <c r="GVO134" s="251"/>
      <c r="GVP134" s="251"/>
      <c r="GVQ134" s="251"/>
      <c r="GVR134" s="251"/>
      <c r="GVS134" s="251"/>
      <c r="GVT134" s="251"/>
      <c r="GVU134" s="251"/>
      <c r="GVV134" s="251"/>
      <c r="GVW134" s="251"/>
      <c r="GVX134" s="251"/>
      <c r="GVY134" s="251"/>
      <c r="GVZ134" s="251"/>
      <c r="GWA134" s="251"/>
      <c r="GWB134" s="251"/>
      <c r="GWC134" s="251"/>
      <c r="GWD134" s="251"/>
      <c r="GWE134" s="251"/>
      <c r="GWF134" s="251"/>
      <c r="GWG134" s="251"/>
      <c r="GWH134" s="251"/>
      <c r="GWI134" s="251"/>
      <c r="GWJ134" s="251"/>
      <c r="GWK134" s="251"/>
      <c r="GWL134" s="251"/>
      <c r="GWM134" s="251"/>
      <c r="GWN134" s="251"/>
      <c r="GWO134" s="251"/>
      <c r="GWP134" s="251"/>
      <c r="GWQ134" s="251"/>
      <c r="GWR134" s="251"/>
      <c r="GWS134" s="251"/>
      <c r="GWT134" s="251"/>
      <c r="GWU134" s="251"/>
      <c r="GWV134" s="251"/>
      <c r="GWW134" s="251"/>
      <c r="GWX134" s="251"/>
      <c r="GWY134" s="251"/>
      <c r="GWZ134" s="251"/>
      <c r="GXA134" s="251"/>
      <c r="GXB134" s="251"/>
      <c r="GXC134" s="251"/>
      <c r="GXD134" s="251"/>
      <c r="GXE134" s="251"/>
      <c r="GXF134" s="251"/>
      <c r="GXG134" s="251"/>
      <c r="GXH134" s="251"/>
      <c r="GXI134" s="251"/>
      <c r="GXJ134" s="251"/>
      <c r="GXK134" s="251"/>
      <c r="GXL134" s="251"/>
      <c r="GXM134" s="251"/>
      <c r="GXN134" s="251"/>
      <c r="GXO134" s="251"/>
      <c r="GXP134" s="251"/>
      <c r="GXQ134" s="251"/>
      <c r="GXR134" s="251"/>
      <c r="GXS134" s="251"/>
      <c r="GXT134" s="251"/>
      <c r="GXU134" s="251"/>
      <c r="GXV134" s="251"/>
      <c r="GXW134" s="251"/>
      <c r="GXX134" s="251"/>
      <c r="GXY134" s="251"/>
      <c r="GXZ134" s="251"/>
      <c r="GYA134" s="251"/>
      <c r="GYB134" s="251"/>
      <c r="GYC134" s="251"/>
      <c r="GYD134" s="251"/>
      <c r="GYE134" s="251"/>
      <c r="GYF134" s="251"/>
      <c r="GYG134" s="251"/>
      <c r="GYH134" s="251"/>
      <c r="GYI134" s="251"/>
      <c r="GYJ134" s="251"/>
      <c r="GYK134" s="251"/>
      <c r="GYL134" s="251"/>
      <c r="GYM134" s="251"/>
      <c r="GYN134" s="251"/>
      <c r="GYO134" s="251"/>
      <c r="GYP134" s="251"/>
      <c r="GYQ134" s="251"/>
      <c r="GYR134" s="251"/>
      <c r="GYS134" s="251"/>
      <c r="GYT134" s="251"/>
      <c r="GYU134" s="251"/>
      <c r="GYV134" s="251"/>
      <c r="GYW134" s="251"/>
      <c r="GYX134" s="251"/>
      <c r="GYY134" s="251"/>
      <c r="GYZ134" s="251"/>
      <c r="GZA134" s="251"/>
      <c r="GZB134" s="251"/>
      <c r="GZC134" s="251"/>
      <c r="GZD134" s="251"/>
      <c r="GZE134" s="251"/>
      <c r="GZF134" s="251"/>
      <c r="GZG134" s="251"/>
      <c r="GZH134" s="251"/>
      <c r="GZI134" s="251"/>
      <c r="GZJ134" s="251"/>
      <c r="GZK134" s="251"/>
      <c r="GZL134" s="251"/>
      <c r="GZM134" s="251"/>
      <c r="GZN134" s="251"/>
      <c r="GZO134" s="251"/>
      <c r="GZP134" s="251"/>
      <c r="GZQ134" s="251"/>
      <c r="GZR134" s="251"/>
      <c r="GZS134" s="251"/>
      <c r="GZT134" s="251"/>
      <c r="GZU134" s="251"/>
      <c r="GZV134" s="251"/>
      <c r="GZW134" s="251"/>
      <c r="GZX134" s="251"/>
      <c r="GZY134" s="251"/>
      <c r="GZZ134" s="251"/>
      <c r="HAA134" s="251"/>
      <c r="HAB134" s="251"/>
      <c r="HAC134" s="251"/>
      <c r="HAD134" s="251"/>
      <c r="HAE134" s="251"/>
      <c r="HAF134" s="251"/>
      <c r="HAG134" s="251"/>
      <c r="HAH134" s="251"/>
      <c r="HAI134" s="251"/>
      <c r="HAJ134" s="251"/>
      <c r="HAK134" s="251"/>
      <c r="HAL134" s="251"/>
      <c r="HAM134" s="251"/>
      <c r="HAN134" s="251"/>
      <c r="HAO134" s="251"/>
      <c r="HAP134" s="251"/>
      <c r="HAQ134" s="251"/>
      <c r="HAR134" s="251"/>
      <c r="HAS134" s="251"/>
      <c r="HAT134" s="251"/>
      <c r="HAU134" s="251"/>
      <c r="HAV134" s="251"/>
      <c r="HAW134" s="251"/>
      <c r="HAX134" s="251"/>
      <c r="HAY134" s="251"/>
      <c r="HAZ134" s="251"/>
      <c r="HBA134" s="251"/>
      <c r="HBB134" s="251"/>
      <c r="HBC134" s="251"/>
      <c r="HBD134" s="251"/>
      <c r="HBE134" s="251"/>
      <c r="HBF134" s="251"/>
      <c r="HBG134" s="251"/>
      <c r="HBH134" s="251"/>
      <c r="HBI134" s="251"/>
      <c r="HBJ134" s="251"/>
      <c r="HBK134" s="251"/>
      <c r="HBL134" s="251"/>
      <c r="HBM134" s="251"/>
      <c r="HBN134" s="251"/>
      <c r="HBO134" s="251"/>
      <c r="HBP134" s="251"/>
      <c r="HBQ134" s="251"/>
      <c r="HBR134" s="251"/>
      <c r="HBS134" s="251"/>
      <c r="HBT134" s="251"/>
      <c r="HBU134" s="251"/>
      <c r="HBV134" s="251"/>
      <c r="HBW134" s="251"/>
      <c r="HBX134" s="251"/>
      <c r="HBY134" s="251"/>
      <c r="HBZ134" s="251"/>
      <c r="HCA134" s="251"/>
      <c r="HCB134" s="251"/>
      <c r="HCC134" s="251"/>
      <c r="HCD134" s="251"/>
      <c r="HCE134" s="251"/>
      <c r="HCF134" s="251"/>
      <c r="HCG134" s="251"/>
      <c r="HCH134" s="251"/>
      <c r="HCI134" s="251"/>
      <c r="HCJ134" s="251"/>
      <c r="HCK134" s="251"/>
      <c r="HCL134" s="251"/>
      <c r="HCM134" s="251"/>
      <c r="HCN134" s="251"/>
      <c r="HCO134" s="251"/>
      <c r="HCP134" s="251"/>
      <c r="HCQ134" s="251"/>
      <c r="HCR134" s="251"/>
      <c r="HCS134" s="251"/>
      <c r="HCT134" s="251"/>
      <c r="HCU134" s="251"/>
      <c r="HCV134" s="251"/>
      <c r="HCW134" s="251"/>
      <c r="HCX134" s="251"/>
      <c r="HCY134" s="251"/>
      <c r="HCZ134" s="251"/>
      <c r="HDA134" s="251"/>
      <c r="HDB134" s="251"/>
      <c r="HDC134" s="251"/>
      <c r="HDD134" s="251"/>
      <c r="HDE134" s="251"/>
      <c r="HDF134" s="251"/>
      <c r="HDG134" s="251"/>
      <c r="HDH134" s="251"/>
      <c r="HDI134" s="251"/>
      <c r="HDJ134" s="251"/>
      <c r="HDK134" s="251"/>
      <c r="HDL134" s="251"/>
      <c r="HDM134" s="251"/>
      <c r="HDN134" s="251"/>
      <c r="HDO134" s="251"/>
      <c r="HDP134" s="251"/>
      <c r="HDQ134" s="251"/>
      <c r="HDR134" s="251"/>
      <c r="HDS134" s="251"/>
      <c r="HDT134" s="251"/>
      <c r="HDU134" s="251"/>
      <c r="HDV134" s="251"/>
      <c r="HDW134" s="251"/>
      <c r="HDX134" s="251"/>
      <c r="HDY134" s="251"/>
      <c r="HDZ134" s="251"/>
      <c r="HEA134" s="251"/>
      <c r="HEB134" s="251"/>
      <c r="HEC134" s="251"/>
      <c r="HED134" s="251"/>
      <c r="HEE134" s="251"/>
      <c r="HEF134" s="251"/>
      <c r="HEG134" s="251"/>
      <c r="HEH134" s="251"/>
      <c r="HEI134" s="251"/>
      <c r="HEJ134" s="251"/>
      <c r="HEK134" s="251"/>
      <c r="HEL134" s="251"/>
      <c r="HEM134" s="251"/>
      <c r="HEN134" s="251"/>
      <c r="HEO134" s="251"/>
      <c r="HEP134" s="251"/>
      <c r="HEQ134" s="251"/>
      <c r="HER134" s="251"/>
      <c r="HES134" s="251"/>
      <c r="HET134" s="251"/>
      <c r="HEU134" s="251"/>
      <c r="HEV134" s="251"/>
      <c r="HEW134" s="251"/>
      <c r="HEX134" s="251"/>
      <c r="HEY134" s="251"/>
      <c r="HEZ134" s="251"/>
      <c r="HFA134" s="251"/>
      <c r="HFB134" s="251"/>
      <c r="HFC134" s="251"/>
      <c r="HFD134" s="251"/>
      <c r="HFE134" s="251"/>
      <c r="HFF134" s="251"/>
      <c r="HFG134" s="251"/>
      <c r="HFH134" s="251"/>
      <c r="HFI134" s="251"/>
      <c r="HFJ134" s="251"/>
      <c r="HFK134" s="251"/>
      <c r="HFL134" s="251"/>
      <c r="HFM134" s="251"/>
      <c r="HFN134" s="251"/>
      <c r="HFO134" s="251"/>
      <c r="HFP134" s="251"/>
      <c r="HFQ134" s="251"/>
      <c r="HFR134" s="251"/>
      <c r="HFS134" s="251"/>
      <c r="HFT134" s="251"/>
      <c r="HFU134" s="251"/>
      <c r="HFV134" s="251"/>
      <c r="HFW134" s="251"/>
      <c r="HFX134" s="251"/>
      <c r="HFY134" s="251"/>
      <c r="HFZ134" s="251"/>
      <c r="HGA134" s="251"/>
      <c r="HGB134" s="251"/>
      <c r="HGC134" s="251"/>
      <c r="HGD134" s="251"/>
      <c r="HGE134" s="251"/>
      <c r="HGF134" s="251"/>
      <c r="HGG134" s="251"/>
      <c r="HGH134" s="251"/>
      <c r="HGI134" s="251"/>
      <c r="HGJ134" s="251"/>
      <c r="HGK134" s="251"/>
      <c r="HGL134" s="251"/>
      <c r="HGM134" s="251"/>
      <c r="HGN134" s="251"/>
      <c r="HGO134" s="251"/>
      <c r="HGP134" s="251"/>
      <c r="HGQ134" s="251"/>
      <c r="HGR134" s="251"/>
      <c r="HGS134" s="251"/>
      <c r="HGT134" s="251"/>
      <c r="HGU134" s="251"/>
      <c r="HGV134" s="251"/>
      <c r="HGW134" s="251"/>
      <c r="HGX134" s="251"/>
      <c r="HGY134" s="251"/>
      <c r="HGZ134" s="251"/>
      <c r="HHA134" s="251"/>
      <c r="HHB134" s="251"/>
      <c r="HHC134" s="251"/>
      <c r="HHD134" s="251"/>
      <c r="HHE134" s="251"/>
      <c r="HHF134" s="251"/>
      <c r="HHG134" s="251"/>
      <c r="HHH134" s="251"/>
      <c r="HHI134" s="251"/>
      <c r="HHJ134" s="251"/>
      <c r="HHK134" s="251"/>
      <c r="HHL134" s="251"/>
      <c r="HHM134" s="251"/>
      <c r="HHN134" s="251"/>
      <c r="HHO134" s="251"/>
      <c r="HHP134" s="251"/>
      <c r="HHQ134" s="251"/>
      <c r="HHR134" s="251"/>
      <c r="HHS134" s="251"/>
      <c r="HHT134" s="251"/>
      <c r="HHU134" s="251"/>
      <c r="HHV134" s="251"/>
      <c r="HHW134" s="251"/>
      <c r="HHX134" s="251"/>
      <c r="HHY134" s="251"/>
      <c r="HHZ134" s="251"/>
      <c r="HIA134" s="251"/>
      <c r="HIB134" s="251"/>
      <c r="HIC134" s="251"/>
      <c r="HID134" s="251"/>
      <c r="HIE134" s="251"/>
      <c r="HIF134" s="251"/>
      <c r="HIG134" s="251"/>
      <c r="HIH134" s="251"/>
      <c r="HII134" s="251"/>
      <c r="HIJ134" s="251"/>
      <c r="HIK134" s="251"/>
      <c r="HIL134" s="251"/>
      <c r="HIM134" s="251"/>
      <c r="HIN134" s="251"/>
      <c r="HIO134" s="251"/>
      <c r="HIP134" s="251"/>
      <c r="HIQ134" s="251"/>
      <c r="HIR134" s="251"/>
      <c r="HIS134" s="251"/>
      <c r="HIT134" s="251"/>
      <c r="HIU134" s="251"/>
      <c r="HIV134" s="251"/>
      <c r="HIW134" s="251"/>
      <c r="HIX134" s="251"/>
      <c r="HIY134" s="251"/>
      <c r="HIZ134" s="251"/>
      <c r="HJA134" s="251"/>
      <c r="HJB134" s="251"/>
      <c r="HJC134" s="251"/>
      <c r="HJD134" s="251"/>
      <c r="HJE134" s="251"/>
      <c r="HJF134" s="251"/>
      <c r="HJG134" s="251"/>
      <c r="HJH134" s="251"/>
      <c r="HJI134" s="251"/>
      <c r="HJJ134" s="251"/>
      <c r="HJK134" s="251"/>
      <c r="HJL134" s="251"/>
      <c r="HJM134" s="251"/>
      <c r="HJN134" s="251"/>
      <c r="HJO134" s="251"/>
      <c r="HJP134" s="251"/>
      <c r="HJQ134" s="251"/>
      <c r="HJR134" s="251"/>
      <c r="HJS134" s="251"/>
      <c r="HJT134" s="251"/>
      <c r="HJU134" s="251"/>
      <c r="HJV134" s="251"/>
      <c r="HJW134" s="251"/>
      <c r="HJX134" s="251"/>
      <c r="HJY134" s="251"/>
      <c r="HJZ134" s="251"/>
      <c r="HKA134" s="251"/>
      <c r="HKB134" s="251"/>
      <c r="HKC134" s="251"/>
      <c r="HKD134" s="251"/>
      <c r="HKE134" s="251"/>
      <c r="HKF134" s="251"/>
      <c r="HKG134" s="251"/>
      <c r="HKH134" s="251"/>
      <c r="HKI134" s="251"/>
      <c r="HKJ134" s="251"/>
      <c r="HKK134" s="251"/>
      <c r="HKL134" s="251"/>
      <c r="HKM134" s="251"/>
      <c r="HKN134" s="251"/>
      <c r="HKO134" s="251"/>
      <c r="HKP134" s="251"/>
      <c r="HKQ134" s="251"/>
      <c r="HKR134" s="251"/>
      <c r="HKS134" s="251"/>
      <c r="HKT134" s="251"/>
      <c r="HKU134" s="251"/>
      <c r="HKV134" s="251"/>
      <c r="HKW134" s="251"/>
      <c r="HKX134" s="251"/>
      <c r="HKY134" s="251"/>
      <c r="HKZ134" s="251"/>
      <c r="HLA134" s="251"/>
      <c r="HLB134" s="251"/>
      <c r="HLC134" s="251"/>
      <c r="HLD134" s="251"/>
      <c r="HLE134" s="251"/>
      <c r="HLF134" s="251"/>
      <c r="HLG134" s="251"/>
      <c r="HLH134" s="251"/>
      <c r="HLI134" s="251"/>
      <c r="HLJ134" s="251"/>
      <c r="HLK134" s="251"/>
      <c r="HLL134" s="251"/>
      <c r="HLM134" s="251"/>
      <c r="HLN134" s="251"/>
      <c r="HLO134" s="251"/>
      <c r="HLP134" s="251"/>
      <c r="HLQ134" s="251"/>
      <c r="HLR134" s="251"/>
      <c r="HLS134" s="251"/>
      <c r="HLT134" s="251"/>
      <c r="HLU134" s="251"/>
      <c r="HLV134" s="251"/>
      <c r="HLW134" s="251"/>
      <c r="HLX134" s="251"/>
      <c r="HLY134" s="251"/>
      <c r="HLZ134" s="251"/>
      <c r="HMA134" s="251"/>
      <c r="HMB134" s="251"/>
      <c r="HMC134" s="251"/>
      <c r="HMD134" s="251"/>
      <c r="HME134" s="251"/>
      <c r="HMF134" s="251"/>
      <c r="HMG134" s="251"/>
      <c r="HMH134" s="251"/>
      <c r="HMI134" s="251"/>
      <c r="HMJ134" s="251"/>
      <c r="HMK134" s="251"/>
      <c r="HML134" s="251"/>
      <c r="HMM134" s="251"/>
      <c r="HMN134" s="251"/>
      <c r="HMO134" s="251"/>
      <c r="HMP134" s="251"/>
      <c r="HMQ134" s="251"/>
      <c r="HMR134" s="251"/>
      <c r="HMS134" s="251"/>
      <c r="HMT134" s="251"/>
      <c r="HMU134" s="251"/>
      <c r="HMV134" s="251"/>
      <c r="HMW134" s="251"/>
      <c r="HMX134" s="251"/>
      <c r="HMY134" s="251"/>
      <c r="HMZ134" s="251"/>
      <c r="HNA134" s="251"/>
      <c r="HNB134" s="251"/>
      <c r="HNC134" s="251"/>
      <c r="HND134" s="251"/>
      <c r="HNE134" s="251"/>
      <c r="HNF134" s="251"/>
      <c r="HNG134" s="251"/>
      <c r="HNH134" s="251"/>
      <c r="HNI134" s="251"/>
      <c r="HNJ134" s="251"/>
      <c r="HNK134" s="251"/>
      <c r="HNL134" s="251"/>
      <c r="HNM134" s="251"/>
      <c r="HNN134" s="251"/>
      <c r="HNO134" s="251"/>
      <c r="HNP134" s="251"/>
      <c r="HNQ134" s="251"/>
      <c r="HNR134" s="251"/>
      <c r="HNS134" s="251"/>
      <c r="HNT134" s="251"/>
      <c r="HNU134" s="251"/>
      <c r="HNV134" s="251"/>
      <c r="HNW134" s="251"/>
      <c r="HNX134" s="251"/>
      <c r="HNY134" s="251"/>
      <c r="HNZ134" s="251"/>
      <c r="HOA134" s="251"/>
      <c r="HOB134" s="251"/>
      <c r="HOC134" s="251"/>
      <c r="HOD134" s="251"/>
      <c r="HOE134" s="251"/>
      <c r="HOF134" s="251"/>
      <c r="HOG134" s="251"/>
      <c r="HOH134" s="251"/>
      <c r="HOI134" s="251"/>
      <c r="HOJ134" s="251"/>
      <c r="HOK134" s="251"/>
      <c r="HOL134" s="251"/>
      <c r="HOM134" s="251"/>
      <c r="HON134" s="251"/>
      <c r="HOO134" s="251"/>
      <c r="HOP134" s="251"/>
      <c r="HOQ134" s="251"/>
      <c r="HOR134" s="251"/>
      <c r="HOS134" s="251"/>
      <c r="HOT134" s="251"/>
      <c r="HOU134" s="251"/>
      <c r="HOV134" s="251"/>
      <c r="HOW134" s="251"/>
      <c r="HOX134" s="251"/>
      <c r="HOY134" s="251"/>
      <c r="HOZ134" s="251"/>
      <c r="HPA134" s="251"/>
      <c r="HPB134" s="251"/>
      <c r="HPC134" s="251"/>
      <c r="HPD134" s="251"/>
      <c r="HPE134" s="251"/>
      <c r="HPF134" s="251"/>
      <c r="HPG134" s="251"/>
      <c r="HPH134" s="251"/>
      <c r="HPI134" s="251"/>
      <c r="HPJ134" s="251"/>
      <c r="HPK134" s="251"/>
      <c r="HPL134" s="251"/>
      <c r="HPM134" s="251"/>
      <c r="HPN134" s="251"/>
      <c r="HPO134" s="251"/>
      <c r="HPP134" s="251"/>
      <c r="HPQ134" s="251"/>
      <c r="HPR134" s="251"/>
      <c r="HPS134" s="251"/>
      <c r="HPT134" s="251"/>
      <c r="HPU134" s="251"/>
      <c r="HPV134" s="251"/>
      <c r="HPW134" s="251"/>
      <c r="HPX134" s="251"/>
      <c r="HPY134" s="251"/>
      <c r="HPZ134" s="251"/>
      <c r="HQA134" s="251"/>
      <c r="HQB134" s="251"/>
      <c r="HQC134" s="251"/>
      <c r="HQD134" s="251"/>
      <c r="HQE134" s="251"/>
      <c r="HQF134" s="251"/>
      <c r="HQG134" s="251"/>
      <c r="HQH134" s="251"/>
      <c r="HQI134" s="251"/>
      <c r="HQJ134" s="251"/>
      <c r="HQK134" s="251"/>
      <c r="HQL134" s="251"/>
      <c r="HQM134" s="251"/>
      <c r="HQN134" s="251"/>
      <c r="HQO134" s="251"/>
      <c r="HQP134" s="251"/>
      <c r="HQQ134" s="251"/>
      <c r="HQR134" s="251"/>
      <c r="HQS134" s="251"/>
      <c r="HQT134" s="251"/>
      <c r="HQU134" s="251"/>
      <c r="HQV134" s="251"/>
      <c r="HQW134" s="251"/>
      <c r="HQX134" s="251"/>
      <c r="HQY134" s="251"/>
      <c r="HQZ134" s="251"/>
      <c r="HRA134" s="251"/>
      <c r="HRB134" s="251"/>
      <c r="HRC134" s="251"/>
      <c r="HRD134" s="251"/>
      <c r="HRE134" s="251"/>
      <c r="HRF134" s="251"/>
      <c r="HRG134" s="251"/>
      <c r="HRH134" s="251"/>
      <c r="HRI134" s="251"/>
      <c r="HRJ134" s="251"/>
      <c r="HRK134" s="251"/>
      <c r="HRL134" s="251"/>
      <c r="HRM134" s="251"/>
      <c r="HRN134" s="251"/>
      <c r="HRO134" s="251"/>
      <c r="HRP134" s="251"/>
      <c r="HRQ134" s="251"/>
      <c r="HRR134" s="251"/>
      <c r="HRS134" s="251"/>
      <c r="HRT134" s="251"/>
      <c r="HRU134" s="251"/>
      <c r="HRV134" s="251"/>
      <c r="HRW134" s="251"/>
      <c r="HRX134" s="251"/>
      <c r="HRY134" s="251"/>
      <c r="HRZ134" s="251"/>
      <c r="HSA134" s="251"/>
      <c r="HSB134" s="251"/>
      <c r="HSC134" s="251"/>
      <c r="HSD134" s="251"/>
      <c r="HSE134" s="251"/>
      <c r="HSF134" s="251"/>
      <c r="HSG134" s="251"/>
      <c r="HSH134" s="251"/>
      <c r="HSI134" s="251"/>
      <c r="HSJ134" s="251"/>
      <c r="HSK134" s="251"/>
      <c r="HSL134" s="251"/>
      <c r="HSM134" s="251"/>
      <c r="HSN134" s="251"/>
      <c r="HSO134" s="251"/>
      <c r="HSP134" s="251"/>
      <c r="HSQ134" s="251"/>
      <c r="HSR134" s="251"/>
      <c r="HSS134" s="251"/>
      <c r="HST134" s="251"/>
      <c r="HSU134" s="251"/>
      <c r="HSV134" s="251"/>
      <c r="HSW134" s="251"/>
      <c r="HSX134" s="251"/>
      <c r="HSY134" s="251"/>
      <c r="HSZ134" s="251"/>
      <c r="HTA134" s="251"/>
      <c r="HTB134" s="251"/>
      <c r="HTC134" s="251"/>
      <c r="HTD134" s="251"/>
      <c r="HTE134" s="251"/>
      <c r="HTF134" s="251"/>
      <c r="HTG134" s="251"/>
      <c r="HTH134" s="251"/>
      <c r="HTI134" s="251"/>
      <c r="HTJ134" s="251"/>
      <c r="HTK134" s="251"/>
      <c r="HTL134" s="251"/>
      <c r="HTM134" s="251"/>
      <c r="HTN134" s="251"/>
      <c r="HTO134" s="251"/>
      <c r="HTP134" s="251"/>
      <c r="HTQ134" s="251"/>
      <c r="HTR134" s="251"/>
      <c r="HTS134" s="251"/>
      <c r="HTT134" s="251"/>
      <c r="HTU134" s="251"/>
      <c r="HTV134" s="251"/>
      <c r="HTW134" s="251"/>
      <c r="HTX134" s="251"/>
      <c r="HTY134" s="251"/>
      <c r="HTZ134" s="251"/>
      <c r="HUA134" s="251"/>
      <c r="HUB134" s="251"/>
      <c r="HUC134" s="251"/>
      <c r="HUD134" s="251"/>
      <c r="HUE134" s="251"/>
      <c r="HUF134" s="251"/>
      <c r="HUG134" s="251"/>
      <c r="HUH134" s="251"/>
      <c r="HUI134" s="251"/>
      <c r="HUJ134" s="251"/>
      <c r="HUK134" s="251"/>
      <c r="HUL134" s="251"/>
      <c r="HUM134" s="251"/>
      <c r="HUN134" s="251"/>
      <c r="HUO134" s="251"/>
      <c r="HUP134" s="251"/>
      <c r="HUQ134" s="251"/>
      <c r="HUR134" s="251"/>
      <c r="HUS134" s="251"/>
      <c r="HUT134" s="251"/>
      <c r="HUU134" s="251"/>
      <c r="HUV134" s="251"/>
      <c r="HUW134" s="251"/>
      <c r="HUX134" s="251"/>
      <c r="HUY134" s="251"/>
      <c r="HUZ134" s="251"/>
      <c r="HVA134" s="251"/>
      <c r="HVB134" s="251"/>
      <c r="HVC134" s="251"/>
      <c r="HVD134" s="251"/>
      <c r="HVE134" s="251"/>
      <c r="HVF134" s="251"/>
      <c r="HVG134" s="251"/>
      <c r="HVH134" s="251"/>
      <c r="HVI134" s="251"/>
      <c r="HVJ134" s="251"/>
      <c r="HVK134" s="251"/>
      <c r="HVL134" s="251"/>
      <c r="HVM134" s="251"/>
      <c r="HVN134" s="251"/>
      <c r="HVO134" s="251"/>
      <c r="HVP134" s="251"/>
      <c r="HVQ134" s="251"/>
      <c r="HVR134" s="251"/>
      <c r="HVS134" s="251"/>
      <c r="HVT134" s="251"/>
      <c r="HVU134" s="251"/>
      <c r="HVV134" s="251"/>
      <c r="HVW134" s="251"/>
      <c r="HVX134" s="251"/>
      <c r="HVY134" s="251"/>
      <c r="HVZ134" s="251"/>
      <c r="HWA134" s="251"/>
      <c r="HWB134" s="251"/>
      <c r="HWC134" s="251"/>
      <c r="HWD134" s="251"/>
      <c r="HWE134" s="251"/>
      <c r="HWF134" s="251"/>
      <c r="HWG134" s="251"/>
      <c r="HWH134" s="251"/>
      <c r="HWI134" s="251"/>
      <c r="HWJ134" s="251"/>
      <c r="HWK134" s="251"/>
      <c r="HWL134" s="251"/>
      <c r="HWM134" s="251"/>
      <c r="HWN134" s="251"/>
      <c r="HWO134" s="251"/>
      <c r="HWP134" s="251"/>
      <c r="HWQ134" s="251"/>
      <c r="HWR134" s="251"/>
      <c r="HWS134" s="251"/>
      <c r="HWT134" s="251"/>
      <c r="HWU134" s="251"/>
      <c r="HWV134" s="251"/>
      <c r="HWW134" s="251"/>
      <c r="HWX134" s="251"/>
      <c r="HWY134" s="251"/>
      <c r="HWZ134" s="251"/>
      <c r="HXA134" s="251"/>
      <c r="HXB134" s="251"/>
      <c r="HXC134" s="251"/>
      <c r="HXD134" s="251"/>
      <c r="HXE134" s="251"/>
      <c r="HXF134" s="251"/>
      <c r="HXG134" s="251"/>
      <c r="HXH134" s="251"/>
      <c r="HXI134" s="251"/>
      <c r="HXJ134" s="251"/>
      <c r="HXK134" s="251"/>
      <c r="HXL134" s="251"/>
      <c r="HXM134" s="251"/>
      <c r="HXN134" s="251"/>
      <c r="HXO134" s="251"/>
      <c r="HXP134" s="251"/>
      <c r="HXQ134" s="251"/>
      <c r="HXR134" s="251"/>
      <c r="HXS134" s="251"/>
      <c r="HXT134" s="251"/>
      <c r="HXU134" s="251"/>
      <c r="HXV134" s="251"/>
      <c r="HXW134" s="251"/>
      <c r="HXX134" s="251"/>
      <c r="HXY134" s="251"/>
      <c r="HXZ134" s="251"/>
      <c r="HYA134" s="251"/>
      <c r="HYB134" s="251"/>
      <c r="HYC134" s="251"/>
      <c r="HYD134" s="251"/>
      <c r="HYE134" s="251"/>
      <c r="HYF134" s="251"/>
      <c r="HYG134" s="251"/>
      <c r="HYH134" s="251"/>
      <c r="HYI134" s="251"/>
      <c r="HYJ134" s="251"/>
      <c r="HYK134" s="251"/>
      <c r="HYL134" s="251"/>
      <c r="HYM134" s="251"/>
      <c r="HYN134" s="251"/>
      <c r="HYO134" s="251"/>
      <c r="HYP134" s="251"/>
      <c r="HYQ134" s="251"/>
      <c r="HYR134" s="251"/>
      <c r="HYS134" s="251"/>
      <c r="HYT134" s="251"/>
      <c r="HYU134" s="251"/>
      <c r="HYV134" s="251"/>
      <c r="HYW134" s="251"/>
      <c r="HYX134" s="251"/>
      <c r="HYY134" s="251"/>
      <c r="HYZ134" s="251"/>
      <c r="HZA134" s="251"/>
      <c r="HZB134" s="251"/>
      <c r="HZC134" s="251"/>
      <c r="HZD134" s="251"/>
      <c r="HZE134" s="251"/>
      <c r="HZF134" s="251"/>
      <c r="HZG134" s="251"/>
      <c r="HZH134" s="251"/>
      <c r="HZI134" s="251"/>
      <c r="HZJ134" s="251"/>
      <c r="HZK134" s="251"/>
      <c r="HZL134" s="251"/>
      <c r="HZM134" s="251"/>
      <c r="HZN134" s="251"/>
      <c r="HZO134" s="251"/>
      <c r="HZP134" s="251"/>
      <c r="HZQ134" s="251"/>
      <c r="HZR134" s="251"/>
      <c r="HZS134" s="251"/>
      <c r="HZT134" s="251"/>
      <c r="HZU134" s="251"/>
      <c r="HZV134" s="251"/>
      <c r="HZW134" s="251"/>
      <c r="HZX134" s="251"/>
      <c r="HZY134" s="251"/>
      <c r="HZZ134" s="251"/>
      <c r="IAA134" s="251"/>
      <c r="IAB134" s="251"/>
      <c r="IAC134" s="251"/>
      <c r="IAD134" s="251"/>
      <c r="IAE134" s="251"/>
      <c r="IAF134" s="251"/>
      <c r="IAG134" s="251"/>
      <c r="IAH134" s="251"/>
      <c r="IAI134" s="251"/>
      <c r="IAJ134" s="251"/>
      <c r="IAK134" s="251"/>
      <c r="IAL134" s="251"/>
      <c r="IAM134" s="251"/>
      <c r="IAN134" s="251"/>
      <c r="IAO134" s="251"/>
      <c r="IAP134" s="251"/>
      <c r="IAQ134" s="251"/>
      <c r="IAR134" s="251"/>
      <c r="IAS134" s="251"/>
      <c r="IAT134" s="251"/>
      <c r="IAU134" s="251"/>
      <c r="IAV134" s="251"/>
      <c r="IAW134" s="251"/>
      <c r="IAX134" s="251"/>
      <c r="IAY134" s="251"/>
      <c r="IAZ134" s="251"/>
      <c r="IBA134" s="251"/>
      <c r="IBB134" s="251"/>
      <c r="IBC134" s="251"/>
      <c r="IBD134" s="251"/>
      <c r="IBE134" s="251"/>
      <c r="IBF134" s="251"/>
      <c r="IBG134" s="251"/>
      <c r="IBH134" s="251"/>
      <c r="IBI134" s="251"/>
      <c r="IBJ134" s="251"/>
      <c r="IBK134" s="251"/>
      <c r="IBL134" s="251"/>
      <c r="IBM134" s="251"/>
      <c r="IBN134" s="251"/>
      <c r="IBO134" s="251"/>
      <c r="IBP134" s="251"/>
      <c r="IBQ134" s="251"/>
      <c r="IBR134" s="251"/>
      <c r="IBS134" s="251"/>
      <c r="IBT134" s="251"/>
      <c r="IBU134" s="251"/>
      <c r="IBV134" s="251"/>
      <c r="IBW134" s="251"/>
      <c r="IBX134" s="251"/>
      <c r="IBY134" s="251"/>
      <c r="IBZ134" s="251"/>
      <c r="ICA134" s="251"/>
      <c r="ICB134" s="251"/>
      <c r="ICC134" s="251"/>
      <c r="ICD134" s="251"/>
      <c r="ICE134" s="251"/>
      <c r="ICF134" s="251"/>
      <c r="ICG134" s="251"/>
      <c r="ICH134" s="251"/>
      <c r="ICI134" s="251"/>
      <c r="ICJ134" s="251"/>
      <c r="ICK134" s="251"/>
      <c r="ICL134" s="251"/>
      <c r="ICM134" s="251"/>
      <c r="ICN134" s="251"/>
      <c r="ICO134" s="251"/>
      <c r="ICP134" s="251"/>
      <c r="ICQ134" s="251"/>
      <c r="ICR134" s="251"/>
      <c r="ICS134" s="251"/>
      <c r="ICT134" s="251"/>
      <c r="ICU134" s="251"/>
      <c r="ICV134" s="251"/>
      <c r="ICW134" s="251"/>
      <c r="ICX134" s="251"/>
      <c r="ICY134" s="251"/>
      <c r="ICZ134" s="251"/>
      <c r="IDA134" s="251"/>
      <c r="IDB134" s="251"/>
      <c r="IDC134" s="251"/>
      <c r="IDD134" s="251"/>
      <c r="IDE134" s="251"/>
      <c r="IDF134" s="251"/>
      <c r="IDG134" s="251"/>
      <c r="IDH134" s="251"/>
      <c r="IDI134" s="251"/>
      <c r="IDJ134" s="251"/>
      <c r="IDK134" s="251"/>
      <c r="IDL134" s="251"/>
      <c r="IDM134" s="251"/>
      <c r="IDN134" s="251"/>
      <c r="IDO134" s="251"/>
      <c r="IDP134" s="251"/>
      <c r="IDQ134" s="251"/>
      <c r="IDR134" s="251"/>
      <c r="IDS134" s="251"/>
      <c r="IDT134" s="251"/>
      <c r="IDU134" s="251"/>
      <c r="IDV134" s="251"/>
      <c r="IDW134" s="251"/>
      <c r="IDX134" s="251"/>
      <c r="IDY134" s="251"/>
      <c r="IDZ134" s="251"/>
      <c r="IEA134" s="251"/>
      <c r="IEB134" s="251"/>
      <c r="IEC134" s="251"/>
      <c r="IED134" s="251"/>
      <c r="IEE134" s="251"/>
      <c r="IEF134" s="251"/>
      <c r="IEG134" s="251"/>
      <c r="IEH134" s="251"/>
      <c r="IEI134" s="251"/>
      <c r="IEJ134" s="251"/>
      <c r="IEK134" s="251"/>
      <c r="IEL134" s="251"/>
      <c r="IEM134" s="251"/>
      <c r="IEN134" s="251"/>
      <c r="IEO134" s="251"/>
      <c r="IEP134" s="251"/>
      <c r="IEQ134" s="251"/>
      <c r="IER134" s="251"/>
      <c r="IES134" s="251"/>
      <c r="IET134" s="251"/>
      <c r="IEU134" s="251"/>
      <c r="IEV134" s="251"/>
      <c r="IEW134" s="251"/>
      <c r="IEX134" s="251"/>
      <c r="IEY134" s="251"/>
      <c r="IEZ134" s="251"/>
      <c r="IFA134" s="251"/>
      <c r="IFB134" s="251"/>
      <c r="IFC134" s="251"/>
      <c r="IFD134" s="251"/>
      <c r="IFE134" s="251"/>
      <c r="IFF134" s="251"/>
      <c r="IFG134" s="251"/>
      <c r="IFH134" s="251"/>
      <c r="IFI134" s="251"/>
      <c r="IFJ134" s="251"/>
      <c r="IFK134" s="251"/>
      <c r="IFL134" s="251"/>
      <c r="IFM134" s="251"/>
      <c r="IFN134" s="251"/>
      <c r="IFO134" s="251"/>
      <c r="IFP134" s="251"/>
      <c r="IFQ134" s="251"/>
      <c r="IFR134" s="251"/>
      <c r="IFS134" s="251"/>
      <c r="IFT134" s="251"/>
      <c r="IFU134" s="251"/>
      <c r="IFV134" s="251"/>
      <c r="IFW134" s="251"/>
      <c r="IFX134" s="251"/>
      <c r="IFY134" s="251"/>
      <c r="IFZ134" s="251"/>
      <c r="IGA134" s="251"/>
      <c r="IGB134" s="251"/>
      <c r="IGC134" s="251"/>
      <c r="IGD134" s="251"/>
      <c r="IGE134" s="251"/>
      <c r="IGF134" s="251"/>
      <c r="IGG134" s="251"/>
      <c r="IGH134" s="251"/>
      <c r="IGI134" s="251"/>
      <c r="IGJ134" s="251"/>
      <c r="IGK134" s="251"/>
      <c r="IGL134" s="251"/>
      <c r="IGM134" s="251"/>
      <c r="IGN134" s="251"/>
      <c r="IGO134" s="251"/>
      <c r="IGP134" s="251"/>
      <c r="IGQ134" s="251"/>
      <c r="IGR134" s="251"/>
      <c r="IGS134" s="251"/>
      <c r="IGT134" s="251"/>
      <c r="IGU134" s="251"/>
      <c r="IGV134" s="251"/>
      <c r="IGW134" s="251"/>
      <c r="IGX134" s="251"/>
      <c r="IGY134" s="251"/>
      <c r="IGZ134" s="251"/>
      <c r="IHA134" s="251"/>
      <c r="IHB134" s="251"/>
      <c r="IHC134" s="251"/>
      <c r="IHD134" s="251"/>
      <c r="IHE134" s="251"/>
      <c r="IHF134" s="251"/>
      <c r="IHG134" s="251"/>
      <c r="IHH134" s="251"/>
      <c r="IHI134" s="251"/>
      <c r="IHJ134" s="251"/>
      <c r="IHK134" s="251"/>
      <c r="IHL134" s="251"/>
      <c r="IHM134" s="251"/>
      <c r="IHN134" s="251"/>
      <c r="IHO134" s="251"/>
      <c r="IHP134" s="251"/>
      <c r="IHQ134" s="251"/>
      <c r="IHR134" s="251"/>
      <c r="IHS134" s="251"/>
      <c r="IHT134" s="251"/>
      <c r="IHU134" s="251"/>
      <c r="IHV134" s="251"/>
      <c r="IHW134" s="251"/>
      <c r="IHX134" s="251"/>
      <c r="IHY134" s="251"/>
      <c r="IHZ134" s="251"/>
      <c r="IIA134" s="251"/>
      <c r="IIB134" s="251"/>
      <c r="IIC134" s="251"/>
      <c r="IID134" s="251"/>
      <c r="IIE134" s="251"/>
      <c r="IIF134" s="251"/>
      <c r="IIG134" s="251"/>
      <c r="IIH134" s="251"/>
      <c r="III134" s="251"/>
      <c r="IIJ134" s="251"/>
      <c r="IIK134" s="251"/>
      <c r="IIL134" s="251"/>
      <c r="IIM134" s="251"/>
      <c r="IIN134" s="251"/>
      <c r="IIO134" s="251"/>
      <c r="IIP134" s="251"/>
      <c r="IIQ134" s="251"/>
      <c r="IIR134" s="251"/>
      <c r="IIS134" s="251"/>
      <c r="IIT134" s="251"/>
      <c r="IIU134" s="251"/>
      <c r="IIV134" s="251"/>
      <c r="IIW134" s="251"/>
      <c r="IIX134" s="251"/>
      <c r="IIY134" s="251"/>
      <c r="IIZ134" s="251"/>
      <c r="IJA134" s="251"/>
      <c r="IJB134" s="251"/>
      <c r="IJC134" s="251"/>
      <c r="IJD134" s="251"/>
      <c r="IJE134" s="251"/>
      <c r="IJF134" s="251"/>
      <c r="IJG134" s="251"/>
      <c r="IJH134" s="251"/>
      <c r="IJI134" s="251"/>
      <c r="IJJ134" s="251"/>
      <c r="IJK134" s="251"/>
      <c r="IJL134" s="251"/>
      <c r="IJM134" s="251"/>
      <c r="IJN134" s="251"/>
      <c r="IJO134" s="251"/>
      <c r="IJP134" s="251"/>
      <c r="IJQ134" s="251"/>
      <c r="IJR134" s="251"/>
      <c r="IJS134" s="251"/>
      <c r="IJT134" s="251"/>
      <c r="IJU134" s="251"/>
      <c r="IJV134" s="251"/>
      <c r="IJW134" s="251"/>
      <c r="IJX134" s="251"/>
      <c r="IJY134" s="251"/>
      <c r="IJZ134" s="251"/>
      <c r="IKA134" s="251"/>
      <c r="IKB134" s="251"/>
      <c r="IKC134" s="251"/>
      <c r="IKD134" s="251"/>
      <c r="IKE134" s="251"/>
      <c r="IKF134" s="251"/>
      <c r="IKG134" s="251"/>
      <c r="IKH134" s="251"/>
      <c r="IKI134" s="251"/>
      <c r="IKJ134" s="251"/>
      <c r="IKK134" s="251"/>
      <c r="IKL134" s="251"/>
      <c r="IKM134" s="251"/>
      <c r="IKN134" s="251"/>
      <c r="IKO134" s="251"/>
      <c r="IKP134" s="251"/>
      <c r="IKQ134" s="251"/>
      <c r="IKR134" s="251"/>
      <c r="IKS134" s="251"/>
      <c r="IKT134" s="251"/>
      <c r="IKU134" s="251"/>
      <c r="IKV134" s="251"/>
      <c r="IKW134" s="251"/>
      <c r="IKX134" s="251"/>
      <c r="IKY134" s="251"/>
      <c r="IKZ134" s="251"/>
      <c r="ILA134" s="251"/>
      <c r="ILB134" s="251"/>
      <c r="ILC134" s="251"/>
      <c r="ILD134" s="251"/>
      <c r="ILE134" s="251"/>
      <c r="ILF134" s="251"/>
      <c r="ILG134" s="251"/>
      <c r="ILH134" s="251"/>
      <c r="ILI134" s="251"/>
      <c r="ILJ134" s="251"/>
      <c r="ILK134" s="251"/>
      <c r="ILL134" s="251"/>
      <c r="ILM134" s="251"/>
      <c r="ILN134" s="251"/>
      <c r="ILO134" s="251"/>
      <c r="ILP134" s="251"/>
      <c r="ILQ134" s="251"/>
      <c r="ILR134" s="251"/>
      <c r="ILS134" s="251"/>
      <c r="ILT134" s="251"/>
      <c r="ILU134" s="251"/>
      <c r="ILV134" s="251"/>
      <c r="ILW134" s="251"/>
      <c r="ILX134" s="251"/>
      <c r="ILY134" s="251"/>
      <c r="ILZ134" s="251"/>
      <c r="IMA134" s="251"/>
      <c r="IMB134" s="251"/>
      <c r="IMC134" s="251"/>
      <c r="IMD134" s="251"/>
      <c r="IME134" s="251"/>
      <c r="IMF134" s="251"/>
      <c r="IMG134" s="251"/>
      <c r="IMH134" s="251"/>
      <c r="IMI134" s="251"/>
      <c r="IMJ134" s="251"/>
      <c r="IMK134" s="251"/>
      <c r="IML134" s="251"/>
      <c r="IMM134" s="251"/>
      <c r="IMN134" s="251"/>
      <c r="IMO134" s="251"/>
      <c r="IMP134" s="251"/>
      <c r="IMQ134" s="251"/>
      <c r="IMR134" s="251"/>
      <c r="IMS134" s="251"/>
      <c r="IMT134" s="251"/>
      <c r="IMU134" s="251"/>
      <c r="IMV134" s="251"/>
      <c r="IMW134" s="251"/>
      <c r="IMX134" s="251"/>
      <c r="IMY134" s="251"/>
      <c r="IMZ134" s="251"/>
      <c r="INA134" s="251"/>
      <c r="INB134" s="251"/>
      <c r="INC134" s="251"/>
      <c r="IND134" s="251"/>
      <c r="INE134" s="251"/>
      <c r="INF134" s="251"/>
      <c r="ING134" s="251"/>
      <c r="INH134" s="251"/>
      <c r="INI134" s="251"/>
      <c r="INJ134" s="251"/>
      <c r="INK134" s="251"/>
      <c r="INL134" s="251"/>
      <c r="INM134" s="251"/>
      <c r="INN134" s="251"/>
      <c r="INO134" s="251"/>
      <c r="INP134" s="251"/>
      <c r="INQ134" s="251"/>
      <c r="INR134" s="251"/>
      <c r="INS134" s="251"/>
      <c r="INT134" s="251"/>
      <c r="INU134" s="251"/>
      <c r="INV134" s="251"/>
      <c r="INW134" s="251"/>
      <c r="INX134" s="251"/>
      <c r="INY134" s="251"/>
      <c r="INZ134" s="251"/>
      <c r="IOA134" s="251"/>
      <c r="IOB134" s="251"/>
      <c r="IOC134" s="251"/>
      <c r="IOD134" s="251"/>
      <c r="IOE134" s="251"/>
      <c r="IOF134" s="251"/>
      <c r="IOG134" s="251"/>
      <c r="IOH134" s="251"/>
      <c r="IOI134" s="251"/>
      <c r="IOJ134" s="251"/>
      <c r="IOK134" s="251"/>
      <c r="IOL134" s="251"/>
      <c r="IOM134" s="251"/>
      <c r="ION134" s="251"/>
      <c r="IOO134" s="251"/>
      <c r="IOP134" s="251"/>
      <c r="IOQ134" s="251"/>
      <c r="IOR134" s="251"/>
      <c r="IOS134" s="251"/>
      <c r="IOT134" s="251"/>
      <c r="IOU134" s="251"/>
      <c r="IOV134" s="251"/>
      <c r="IOW134" s="251"/>
      <c r="IOX134" s="251"/>
      <c r="IOY134" s="251"/>
      <c r="IOZ134" s="251"/>
      <c r="IPA134" s="251"/>
      <c r="IPB134" s="251"/>
      <c r="IPC134" s="251"/>
      <c r="IPD134" s="251"/>
      <c r="IPE134" s="251"/>
      <c r="IPF134" s="251"/>
      <c r="IPG134" s="251"/>
      <c r="IPH134" s="251"/>
      <c r="IPI134" s="251"/>
      <c r="IPJ134" s="251"/>
      <c r="IPK134" s="251"/>
      <c r="IPL134" s="251"/>
      <c r="IPM134" s="251"/>
      <c r="IPN134" s="251"/>
      <c r="IPO134" s="251"/>
      <c r="IPP134" s="251"/>
      <c r="IPQ134" s="251"/>
      <c r="IPR134" s="251"/>
      <c r="IPS134" s="251"/>
      <c r="IPT134" s="251"/>
      <c r="IPU134" s="251"/>
      <c r="IPV134" s="251"/>
      <c r="IPW134" s="251"/>
      <c r="IPX134" s="251"/>
      <c r="IPY134" s="251"/>
      <c r="IPZ134" s="251"/>
      <c r="IQA134" s="251"/>
      <c r="IQB134" s="251"/>
      <c r="IQC134" s="251"/>
      <c r="IQD134" s="251"/>
      <c r="IQE134" s="251"/>
      <c r="IQF134" s="251"/>
      <c r="IQG134" s="251"/>
      <c r="IQH134" s="251"/>
      <c r="IQI134" s="251"/>
      <c r="IQJ134" s="251"/>
      <c r="IQK134" s="251"/>
      <c r="IQL134" s="251"/>
      <c r="IQM134" s="251"/>
      <c r="IQN134" s="251"/>
      <c r="IQO134" s="251"/>
      <c r="IQP134" s="251"/>
      <c r="IQQ134" s="251"/>
      <c r="IQR134" s="251"/>
      <c r="IQS134" s="251"/>
      <c r="IQT134" s="251"/>
      <c r="IQU134" s="251"/>
      <c r="IQV134" s="251"/>
      <c r="IQW134" s="251"/>
      <c r="IQX134" s="251"/>
      <c r="IQY134" s="251"/>
      <c r="IQZ134" s="251"/>
      <c r="IRA134" s="251"/>
      <c r="IRB134" s="251"/>
      <c r="IRC134" s="251"/>
      <c r="IRD134" s="251"/>
      <c r="IRE134" s="251"/>
      <c r="IRF134" s="251"/>
      <c r="IRG134" s="251"/>
      <c r="IRH134" s="251"/>
      <c r="IRI134" s="251"/>
      <c r="IRJ134" s="251"/>
      <c r="IRK134" s="251"/>
      <c r="IRL134" s="251"/>
      <c r="IRM134" s="251"/>
      <c r="IRN134" s="251"/>
      <c r="IRO134" s="251"/>
      <c r="IRP134" s="251"/>
      <c r="IRQ134" s="251"/>
      <c r="IRR134" s="251"/>
      <c r="IRS134" s="251"/>
      <c r="IRT134" s="251"/>
      <c r="IRU134" s="251"/>
      <c r="IRV134" s="251"/>
      <c r="IRW134" s="251"/>
      <c r="IRX134" s="251"/>
      <c r="IRY134" s="251"/>
      <c r="IRZ134" s="251"/>
      <c r="ISA134" s="251"/>
      <c r="ISB134" s="251"/>
      <c r="ISC134" s="251"/>
      <c r="ISD134" s="251"/>
      <c r="ISE134" s="251"/>
      <c r="ISF134" s="251"/>
      <c r="ISG134" s="251"/>
      <c r="ISH134" s="251"/>
      <c r="ISI134" s="251"/>
      <c r="ISJ134" s="251"/>
      <c r="ISK134" s="251"/>
      <c r="ISL134" s="251"/>
      <c r="ISM134" s="251"/>
      <c r="ISN134" s="251"/>
      <c r="ISO134" s="251"/>
      <c r="ISP134" s="251"/>
      <c r="ISQ134" s="251"/>
      <c r="ISR134" s="251"/>
      <c r="ISS134" s="251"/>
      <c r="IST134" s="251"/>
      <c r="ISU134" s="251"/>
      <c r="ISV134" s="251"/>
      <c r="ISW134" s="251"/>
      <c r="ISX134" s="251"/>
      <c r="ISY134" s="251"/>
      <c r="ISZ134" s="251"/>
      <c r="ITA134" s="251"/>
      <c r="ITB134" s="251"/>
      <c r="ITC134" s="251"/>
      <c r="ITD134" s="251"/>
      <c r="ITE134" s="251"/>
      <c r="ITF134" s="251"/>
      <c r="ITG134" s="251"/>
      <c r="ITH134" s="251"/>
      <c r="ITI134" s="251"/>
      <c r="ITJ134" s="251"/>
      <c r="ITK134" s="251"/>
      <c r="ITL134" s="251"/>
      <c r="ITM134" s="251"/>
      <c r="ITN134" s="251"/>
      <c r="ITO134" s="251"/>
      <c r="ITP134" s="251"/>
      <c r="ITQ134" s="251"/>
      <c r="ITR134" s="251"/>
      <c r="ITS134" s="251"/>
      <c r="ITT134" s="251"/>
      <c r="ITU134" s="251"/>
      <c r="ITV134" s="251"/>
      <c r="ITW134" s="251"/>
      <c r="ITX134" s="251"/>
      <c r="ITY134" s="251"/>
      <c r="ITZ134" s="251"/>
      <c r="IUA134" s="251"/>
      <c r="IUB134" s="251"/>
      <c r="IUC134" s="251"/>
      <c r="IUD134" s="251"/>
      <c r="IUE134" s="251"/>
      <c r="IUF134" s="251"/>
      <c r="IUG134" s="251"/>
      <c r="IUH134" s="251"/>
      <c r="IUI134" s="251"/>
      <c r="IUJ134" s="251"/>
      <c r="IUK134" s="251"/>
      <c r="IUL134" s="251"/>
      <c r="IUM134" s="251"/>
      <c r="IUN134" s="251"/>
      <c r="IUO134" s="251"/>
      <c r="IUP134" s="251"/>
      <c r="IUQ134" s="251"/>
      <c r="IUR134" s="251"/>
      <c r="IUS134" s="251"/>
      <c r="IUT134" s="251"/>
      <c r="IUU134" s="251"/>
      <c r="IUV134" s="251"/>
      <c r="IUW134" s="251"/>
      <c r="IUX134" s="251"/>
      <c r="IUY134" s="251"/>
      <c r="IUZ134" s="251"/>
      <c r="IVA134" s="251"/>
      <c r="IVB134" s="251"/>
      <c r="IVC134" s="251"/>
      <c r="IVD134" s="251"/>
      <c r="IVE134" s="251"/>
      <c r="IVF134" s="251"/>
      <c r="IVG134" s="251"/>
      <c r="IVH134" s="251"/>
      <c r="IVI134" s="251"/>
      <c r="IVJ134" s="251"/>
      <c r="IVK134" s="251"/>
      <c r="IVL134" s="251"/>
      <c r="IVM134" s="251"/>
      <c r="IVN134" s="251"/>
      <c r="IVO134" s="251"/>
      <c r="IVP134" s="251"/>
      <c r="IVQ134" s="251"/>
      <c r="IVR134" s="251"/>
      <c r="IVS134" s="251"/>
      <c r="IVT134" s="251"/>
      <c r="IVU134" s="251"/>
      <c r="IVV134" s="251"/>
      <c r="IVW134" s="251"/>
      <c r="IVX134" s="251"/>
      <c r="IVY134" s="251"/>
      <c r="IVZ134" s="251"/>
      <c r="IWA134" s="251"/>
      <c r="IWB134" s="251"/>
      <c r="IWC134" s="251"/>
      <c r="IWD134" s="251"/>
      <c r="IWE134" s="251"/>
      <c r="IWF134" s="251"/>
      <c r="IWG134" s="251"/>
      <c r="IWH134" s="251"/>
      <c r="IWI134" s="251"/>
      <c r="IWJ134" s="251"/>
      <c r="IWK134" s="251"/>
      <c r="IWL134" s="251"/>
      <c r="IWM134" s="251"/>
      <c r="IWN134" s="251"/>
      <c r="IWO134" s="251"/>
      <c r="IWP134" s="251"/>
      <c r="IWQ134" s="251"/>
      <c r="IWR134" s="251"/>
      <c r="IWS134" s="251"/>
      <c r="IWT134" s="251"/>
      <c r="IWU134" s="251"/>
      <c r="IWV134" s="251"/>
      <c r="IWW134" s="251"/>
      <c r="IWX134" s="251"/>
      <c r="IWY134" s="251"/>
      <c r="IWZ134" s="251"/>
      <c r="IXA134" s="251"/>
      <c r="IXB134" s="251"/>
      <c r="IXC134" s="251"/>
      <c r="IXD134" s="251"/>
      <c r="IXE134" s="251"/>
      <c r="IXF134" s="251"/>
      <c r="IXG134" s="251"/>
      <c r="IXH134" s="251"/>
      <c r="IXI134" s="251"/>
      <c r="IXJ134" s="251"/>
      <c r="IXK134" s="251"/>
      <c r="IXL134" s="251"/>
      <c r="IXM134" s="251"/>
      <c r="IXN134" s="251"/>
      <c r="IXO134" s="251"/>
      <c r="IXP134" s="251"/>
      <c r="IXQ134" s="251"/>
      <c r="IXR134" s="251"/>
      <c r="IXS134" s="251"/>
      <c r="IXT134" s="251"/>
      <c r="IXU134" s="251"/>
      <c r="IXV134" s="251"/>
      <c r="IXW134" s="251"/>
      <c r="IXX134" s="251"/>
      <c r="IXY134" s="251"/>
      <c r="IXZ134" s="251"/>
      <c r="IYA134" s="251"/>
      <c r="IYB134" s="251"/>
      <c r="IYC134" s="251"/>
      <c r="IYD134" s="251"/>
      <c r="IYE134" s="251"/>
      <c r="IYF134" s="251"/>
      <c r="IYG134" s="251"/>
      <c r="IYH134" s="251"/>
      <c r="IYI134" s="251"/>
      <c r="IYJ134" s="251"/>
      <c r="IYK134" s="251"/>
      <c r="IYL134" s="251"/>
      <c r="IYM134" s="251"/>
      <c r="IYN134" s="251"/>
      <c r="IYO134" s="251"/>
      <c r="IYP134" s="251"/>
      <c r="IYQ134" s="251"/>
      <c r="IYR134" s="251"/>
      <c r="IYS134" s="251"/>
      <c r="IYT134" s="251"/>
      <c r="IYU134" s="251"/>
      <c r="IYV134" s="251"/>
      <c r="IYW134" s="251"/>
      <c r="IYX134" s="251"/>
      <c r="IYY134" s="251"/>
      <c r="IYZ134" s="251"/>
      <c r="IZA134" s="251"/>
      <c r="IZB134" s="251"/>
      <c r="IZC134" s="251"/>
      <c r="IZD134" s="251"/>
      <c r="IZE134" s="251"/>
      <c r="IZF134" s="251"/>
      <c r="IZG134" s="251"/>
      <c r="IZH134" s="251"/>
      <c r="IZI134" s="251"/>
      <c r="IZJ134" s="251"/>
      <c r="IZK134" s="251"/>
      <c r="IZL134" s="251"/>
      <c r="IZM134" s="251"/>
      <c r="IZN134" s="251"/>
      <c r="IZO134" s="251"/>
      <c r="IZP134" s="251"/>
      <c r="IZQ134" s="251"/>
      <c r="IZR134" s="251"/>
      <c r="IZS134" s="251"/>
      <c r="IZT134" s="251"/>
      <c r="IZU134" s="251"/>
      <c r="IZV134" s="251"/>
      <c r="IZW134" s="251"/>
      <c r="IZX134" s="251"/>
      <c r="IZY134" s="251"/>
      <c r="IZZ134" s="251"/>
      <c r="JAA134" s="251"/>
      <c r="JAB134" s="251"/>
      <c r="JAC134" s="251"/>
      <c r="JAD134" s="251"/>
      <c r="JAE134" s="251"/>
      <c r="JAF134" s="251"/>
      <c r="JAG134" s="251"/>
      <c r="JAH134" s="251"/>
      <c r="JAI134" s="251"/>
      <c r="JAJ134" s="251"/>
      <c r="JAK134" s="251"/>
      <c r="JAL134" s="251"/>
      <c r="JAM134" s="251"/>
      <c r="JAN134" s="251"/>
      <c r="JAO134" s="251"/>
      <c r="JAP134" s="251"/>
      <c r="JAQ134" s="251"/>
      <c r="JAR134" s="251"/>
      <c r="JAS134" s="251"/>
      <c r="JAT134" s="251"/>
      <c r="JAU134" s="251"/>
      <c r="JAV134" s="251"/>
      <c r="JAW134" s="251"/>
      <c r="JAX134" s="251"/>
      <c r="JAY134" s="251"/>
      <c r="JAZ134" s="251"/>
      <c r="JBA134" s="251"/>
      <c r="JBB134" s="251"/>
      <c r="JBC134" s="251"/>
      <c r="JBD134" s="251"/>
      <c r="JBE134" s="251"/>
      <c r="JBF134" s="251"/>
      <c r="JBG134" s="251"/>
      <c r="JBH134" s="251"/>
      <c r="JBI134" s="251"/>
      <c r="JBJ134" s="251"/>
      <c r="JBK134" s="251"/>
      <c r="JBL134" s="251"/>
      <c r="JBM134" s="251"/>
      <c r="JBN134" s="251"/>
      <c r="JBO134" s="251"/>
      <c r="JBP134" s="251"/>
      <c r="JBQ134" s="251"/>
      <c r="JBR134" s="251"/>
      <c r="JBS134" s="251"/>
      <c r="JBT134" s="251"/>
      <c r="JBU134" s="251"/>
      <c r="JBV134" s="251"/>
      <c r="JBW134" s="251"/>
      <c r="JBX134" s="251"/>
      <c r="JBY134" s="251"/>
      <c r="JBZ134" s="251"/>
      <c r="JCA134" s="251"/>
      <c r="JCB134" s="251"/>
      <c r="JCC134" s="251"/>
      <c r="JCD134" s="251"/>
      <c r="JCE134" s="251"/>
      <c r="JCF134" s="251"/>
      <c r="JCG134" s="251"/>
      <c r="JCH134" s="251"/>
      <c r="JCI134" s="251"/>
      <c r="JCJ134" s="251"/>
      <c r="JCK134" s="251"/>
      <c r="JCL134" s="251"/>
      <c r="JCM134" s="251"/>
      <c r="JCN134" s="251"/>
      <c r="JCO134" s="251"/>
      <c r="JCP134" s="251"/>
      <c r="JCQ134" s="251"/>
      <c r="JCR134" s="251"/>
      <c r="JCS134" s="251"/>
      <c r="JCT134" s="251"/>
      <c r="JCU134" s="251"/>
      <c r="JCV134" s="251"/>
      <c r="JCW134" s="251"/>
      <c r="JCX134" s="251"/>
      <c r="JCY134" s="251"/>
      <c r="JCZ134" s="251"/>
      <c r="JDA134" s="251"/>
      <c r="JDB134" s="251"/>
      <c r="JDC134" s="251"/>
      <c r="JDD134" s="251"/>
      <c r="JDE134" s="251"/>
      <c r="JDF134" s="251"/>
      <c r="JDG134" s="251"/>
      <c r="JDH134" s="251"/>
      <c r="JDI134" s="251"/>
      <c r="JDJ134" s="251"/>
      <c r="JDK134" s="251"/>
      <c r="JDL134" s="251"/>
      <c r="JDM134" s="251"/>
      <c r="JDN134" s="251"/>
      <c r="JDO134" s="251"/>
      <c r="JDP134" s="251"/>
      <c r="JDQ134" s="251"/>
      <c r="JDR134" s="251"/>
      <c r="JDS134" s="251"/>
      <c r="JDT134" s="251"/>
      <c r="JDU134" s="251"/>
      <c r="JDV134" s="251"/>
      <c r="JDW134" s="251"/>
      <c r="JDX134" s="251"/>
      <c r="JDY134" s="251"/>
      <c r="JDZ134" s="251"/>
      <c r="JEA134" s="251"/>
      <c r="JEB134" s="251"/>
      <c r="JEC134" s="251"/>
      <c r="JED134" s="251"/>
      <c r="JEE134" s="251"/>
      <c r="JEF134" s="251"/>
      <c r="JEG134" s="251"/>
      <c r="JEH134" s="251"/>
      <c r="JEI134" s="251"/>
      <c r="JEJ134" s="251"/>
      <c r="JEK134" s="251"/>
      <c r="JEL134" s="251"/>
      <c r="JEM134" s="251"/>
      <c r="JEN134" s="251"/>
      <c r="JEO134" s="251"/>
      <c r="JEP134" s="251"/>
      <c r="JEQ134" s="251"/>
      <c r="JER134" s="251"/>
      <c r="JES134" s="251"/>
      <c r="JET134" s="251"/>
      <c r="JEU134" s="251"/>
      <c r="JEV134" s="251"/>
      <c r="JEW134" s="251"/>
      <c r="JEX134" s="251"/>
      <c r="JEY134" s="251"/>
      <c r="JEZ134" s="251"/>
      <c r="JFA134" s="251"/>
      <c r="JFB134" s="251"/>
      <c r="JFC134" s="251"/>
      <c r="JFD134" s="251"/>
      <c r="JFE134" s="251"/>
      <c r="JFF134" s="251"/>
      <c r="JFG134" s="251"/>
      <c r="JFH134" s="251"/>
      <c r="JFI134" s="251"/>
      <c r="JFJ134" s="251"/>
      <c r="JFK134" s="251"/>
      <c r="JFL134" s="251"/>
      <c r="JFM134" s="251"/>
      <c r="JFN134" s="251"/>
      <c r="JFO134" s="251"/>
      <c r="JFP134" s="251"/>
      <c r="JFQ134" s="251"/>
      <c r="JFR134" s="251"/>
      <c r="JFS134" s="251"/>
      <c r="JFT134" s="251"/>
      <c r="JFU134" s="251"/>
      <c r="JFV134" s="251"/>
      <c r="JFW134" s="251"/>
      <c r="JFX134" s="251"/>
      <c r="JFY134" s="251"/>
      <c r="JFZ134" s="251"/>
      <c r="JGA134" s="251"/>
      <c r="JGB134" s="251"/>
      <c r="JGC134" s="251"/>
      <c r="JGD134" s="251"/>
      <c r="JGE134" s="251"/>
      <c r="JGF134" s="251"/>
      <c r="JGG134" s="251"/>
      <c r="JGH134" s="251"/>
      <c r="JGI134" s="251"/>
      <c r="JGJ134" s="251"/>
      <c r="JGK134" s="251"/>
      <c r="JGL134" s="251"/>
      <c r="JGM134" s="251"/>
      <c r="JGN134" s="251"/>
      <c r="JGO134" s="251"/>
      <c r="JGP134" s="251"/>
      <c r="JGQ134" s="251"/>
      <c r="JGR134" s="251"/>
      <c r="JGS134" s="251"/>
      <c r="JGT134" s="251"/>
      <c r="JGU134" s="251"/>
      <c r="JGV134" s="251"/>
      <c r="JGW134" s="251"/>
      <c r="JGX134" s="251"/>
      <c r="JGY134" s="251"/>
      <c r="JGZ134" s="251"/>
      <c r="JHA134" s="251"/>
      <c r="JHB134" s="251"/>
      <c r="JHC134" s="251"/>
      <c r="JHD134" s="251"/>
      <c r="JHE134" s="251"/>
      <c r="JHF134" s="251"/>
      <c r="JHG134" s="251"/>
      <c r="JHH134" s="251"/>
      <c r="JHI134" s="251"/>
      <c r="JHJ134" s="251"/>
      <c r="JHK134" s="251"/>
      <c r="JHL134" s="251"/>
      <c r="JHM134" s="251"/>
      <c r="JHN134" s="251"/>
      <c r="JHO134" s="251"/>
      <c r="JHP134" s="251"/>
      <c r="JHQ134" s="251"/>
      <c r="JHR134" s="251"/>
      <c r="JHS134" s="251"/>
      <c r="JHT134" s="251"/>
      <c r="JHU134" s="251"/>
      <c r="JHV134" s="251"/>
      <c r="JHW134" s="251"/>
      <c r="JHX134" s="251"/>
      <c r="JHY134" s="251"/>
      <c r="JHZ134" s="251"/>
      <c r="JIA134" s="251"/>
      <c r="JIB134" s="251"/>
      <c r="JIC134" s="251"/>
      <c r="JID134" s="251"/>
      <c r="JIE134" s="251"/>
      <c r="JIF134" s="251"/>
      <c r="JIG134" s="251"/>
      <c r="JIH134" s="251"/>
      <c r="JII134" s="251"/>
      <c r="JIJ134" s="251"/>
      <c r="JIK134" s="251"/>
      <c r="JIL134" s="251"/>
      <c r="JIM134" s="251"/>
      <c r="JIN134" s="251"/>
      <c r="JIO134" s="251"/>
      <c r="JIP134" s="251"/>
      <c r="JIQ134" s="251"/>
      <c r="JIR134" s="251"/>
      <c r="JIS134" s="251"/>
      <c r="JIT134" s="251"/>
      <c r="JIU134" s="251"/>
      <c r="JIV134" s="251"/>
      <c r="JIW134" s="251"/>
      <c r="JIX134" s="251"/>
      <c r="JIY134" s="251"/>
      <c r="JIZ134" s="251"/>
      <c r="JJA134" s="251"/>
      <c r="JJB134" s="251"/>
      <c r="JJC134" s="251"/>
      <c r="JJD134" s="251"/>
      <c r="JJE134" s="251"/>
      <c r="JJF134" s="251"/>
      <c r="JJG134" s="251"/>
      <c r="JJH134" s="251"/>
      <c r="JJI134" s="251"/>
      <c r="JJJ134" s="251"/>
      <c r="JJK134" s="251"/>
      <c r="JJL134" s="251"/>
      <c r="JJM134" s="251"/>
      <c r="JJN134" s="251"/>
      <c r="JJO134" s="251"/>
      <c r="JJP134" s="251"/>
      <c r="JJQ134" s="251"/>
      <c r="JJR134" s="251"/>
      <c r="JJS134" s="251"/>
      <c r="JJT134" s="251"/>
      <c r="JJU134" s="251"/>
      <c r="JJV134" s="251"/>
      <c r="JJW134" s="251"/>
      <c r="JJX134" s="251"/>
      <c r="JJY134" s="251"/>
      <c r="JJZ134" s="251"/>
      <c r="JKA134" s="251"/>
      <c r="JKB134" s="251"/>
      <c r="JKC134" s="251"/>
      <c r="JKD134" s="251"/>
      <c r="JKE134" s="251"/>
      <c r="JKF134" s="251"/>
      <c r="JKG134" s="251"/>
      <c r="JKH134" s="251"/>
      <c r="JKI134" s="251"/>
      <c r="JKJ134" s="251"/>
      <c r="JKK134" s="251"/>
      <c r="JKL134" s="251"/>
      <c r="JKM134" s="251"/>
      <c r="JKN134" s="251"/>
      <c r="JKO134" s="251"/>
      <c r="JKP134" s="251"/>
      <c r="JKQ134" s="251"/>
      <c r="JKR134" s="251"/>
      <c r="JKS134" s="251"/>
      <c r="JKT134" s="251"/>
      <c r="JKU134" s="251"/>
      <c r="JKV134" s="251"/>
      <c r="JKW134" s="251"/>
      <c r="JKX134" s="251"/>
      <c r="JKY134" s="251"/>
      <c r="JKZ134" s="251"/>
      <c r="JLA134" s="251"/>
      <c r="JLB134" s="251"/>
      <c r="JLC134" s="251"/>
      <c r="JLD134" s="251"/>
      <c r="JLE134" s="251"/>
      <c r="JLF134" s="251"/>
      <c r="JLG134" s="251"/>
      <c r="JLH134" s="251"/>
      <c r="JLI134" s="251"/>
      <c r="JLJ134" s="251"/>
      <c r="JLK134" s="251"/>
      <c r="JLL134" s="251"/>
      <c r="JLM134" s="251"/>
      <c r="JLN134" s="251"/>
      <c r="JLO134" s="251"/>
      <c r="JLP134" s="251"/>
      <c r="JLQ134" s="251"/>
      <c r="JLR134" s="251"/>
      <c r="JLS134" s="251"/>
      <c r="JLT134" s="251"/>
      <c r="JLU134" s="251"/>
      <c r="JLV134" s="251"/>
      <c r="JLW134" s="251"/>
      <c r="JLX134" s="251"/>
      <c r="JLY134" s="251"/>
      <c r="JLZ134" s="251"/>
      <c r="JMA134" s="251"/>
      <c r="JMB134" s="251"/>
      <c r="JMC134" s="251"/>
      <c r="JMD134" s="251"/>
      <c r="JME134" s="251"/>
      <c r="JMF134" s="251"/>
      <c r="JMG134" s="251"/>
      <c r="JMH134" s="251"/>
      <c r="JMI134" s="251"/>
      <c r="JMJ134" s="251"/>
      <c r="JMK134" s="251"/>
      <c r="JML134" s="251"/>
      <c r="JMM134" s="251"/>
      <c r="JMN134" s="251"/>
      <c r="JMO134" s="251"/>
      <c r="JMP134" s="251"/>
      <c r="JMQ134" s="251"/>
      <c r="JMR134" s="251"/>
      <c r="JMS134" s="251"/>
      <c r="JMT134" s="251"/>
      <c r="JMU134" s="251"/>
      <c r="JMV134" s="251"/>
      <c r="JMW134" s="251"/>
      <c r="JMX134" s="251"/>
      <c r="JMY134" s="251"/>
      <c r="JMZ134" s="251"/>
      <c r="JNA134" s="251"/>
      <c r="JNB134" s="251"/>
      <c r="JNC134" s="251"/>
      <c r="JND134" s="251"/>
      <c r="JNE134" s="251"/>
      <c r="JNF134" s="251"/>
      <c r="JNG134" s="251"/>
      <c r="JNH134" s="251"/>
      <c r="JNI134" s="251"/>
      <c r="JNJ134" s="251"/>
      <c r="JNK134" s="251"/>
      <c r="JNL134" s="251"/>
      <c r="JNM134" s="251"/>
      <c r="JNN134" s="251"/>
      <c r="JNO134" s="251"/>
      <c r="JNP134" s="251"/>
      <c r="JNQ134" s="251"/>
      <c r="JNR134" s="251"/>
      <c r="JNS134" s="251"/>
      <c r="JNT134" s="251"/>
      <c r="JNU134" s="251"/>
      <c r="JNV134" s="251"/>
      <c r="JNW134" s="251"/>
      <c r="JNX134" s="251"/>
      <c r="JNY134" s="251"/>
      <c r="JNZ134" s="251"/>
      <c r="JOA134" s="251"/>
      <c r="JOB134" s="251"/>
      <c r="JOC134" s="251"/>
      <c r="JOD134" s="251"/>
      <c r="JOE134" s="251"/>
      <c r="JOF134" s="251"/>
      <c r="JOG134" s="251"/>
      <c r="JOH134" s="251"/>
      <c r="JOI134" s="251"/>
      <c r="JOJ134" s="251"/>
      <c r="JOK134" s="251"/>
      <c r="JOL134" s="251"/>
      <c r="JOM134" s="251"/>
      <c r="JON134" s="251"/>
      <c r="JOO134" s="251"/>
      <c r="JOP134" s="251"/>
      <c r="JOQ134" s="251"/>
      <c r="JOR134" s="251"/>
      <c r="JOS134" s="251"/>
      <c r="JOT134" s="251"/>
      <c r="JOU134" s="251"/>
      <c r="JOV134" s="251"/>
      <c r="JOW134" s="251"/>
      <c r="JOX134" s="251"/>
      <c r="JOY134" s="251"/>
      <c r="JOZ134" s="251"/>
      <c r="JPA134" s="251"/>
      <c r="JPB134" s="251"/>
      <c r="JPC134" s="251"/>
      <c r="JPD134" s="251"/>
      <c r="JPE134" s="251"/>
      <c r="JPF134" s="251"/>
      <c r="JPG134" s="251"/>
      <c r="JPH134" s="251"/>
      <c r="JPI134" s="251"/>
      <c r="JPJ134" s="251"/>
      <c r="JPK134" s="251"/>
      <c r="JPL134" s="251"/>
      <c r="JPM134" s="251"/>
      <c r="JPN134" s="251"/>
      <c r="JPO134" s="251"/>
      <c r="JPP134" s="251"/>
      <c r="JPQ134" s="251"/>
      <c r="JPR134" s="251"/>
      <c r="JPS134" s="251"/>
      <c r="JPT134" s="251"/>
      <c r="JPU134" s="251"/>
      <c r="JPV134" s="251"/>
      <c r="JPW134" s="251"/>
      <c r="JPX134" s="251"/>
      <c r="JPY134" s="251"/>
      <c r="JPZ134" s="251"/>
      <c r="JQA134" s="251"/>
      <c r="JQB134" s="251"/>
      <c r="JQC134" s="251"/>
      <c r="JQD134" s="251"/>
      <c r="JQE134" s="251"/>
      <c r="JQF134" s="251"/>
      <c r="JQG134" s="251"/>
      <c r="JQH134" s="251"/>
      <c r="JQI134" s="251"/>
      <c r="JQJ134" s="251"/>
      <c r="JQK134" s="251"/>
      <c r="JQL134" s="251"/>
      <c r="JQM134" s="251"/>
      <c r="JQN134" s="251"/>
      <c r="JQO134" s="251"/>
      <c r="JQP134" s="251"/>
      <c r="JQQ134" s="251"/>
      <c r="JQR134" s="251"/>
      <c r="JQS134" s="251"/>
      <c r="JQT134" s="251"/>
      <c r="JQU134" s="251"/>
      <c r="JQV134" s="251"/>
      <c r="JQW134" s="251"/>
      <c r="JQX134" s="251"/>
      <c r="JQY134" s="251"/>
      <c r="JQZ134" s="251"/>
      <c r="JRA134" s="251"/>
      <c r="JRB134" s="251"/>
      <c r="JRC134" s="251"/>
      <c r="JRD134" s="251"/>
      <c r="JRE134" s="251"/>
      <c r="JRF134" s="251"/>
      <c r="JRG134" s="251"/>
      <c r="JRH134" s="251"/>
      <c r="JRI134" s="251"/>
      <c r="JRJ134" s="251"/>
      <c r="JRK134" s="251"/>
      <c r="JRL134" s="251"/>
      <c r="JRM134" s="251"/>
      <c r="JRN134" s="251"/>
      <c r="JRO134" s="251"/>
      <c r="JRP134" s="251"/>
      <c r="JRQ134" s="251"/>
      <c r="JRR134" s="251"/>
      <c r="JRS134" s="251"/>
      <c r="JRT134" s="251"/>
      <c r="JRU134" s="251"/>
      <c r="JRV134" s="251"/>
      <c r="JRW134" s="251"/>
      <c r="JRX134" s="251"/>
      <c r="JRY134" s="251"/>
      <c r="JRZ134" s="251"/>
      <c r="JSA134" s="251"/>
      <c r="JSB134" s="251"/>
      <c r="JSC134" s="251"/>
      <c r="JSD134" s="251"/>
      <c r="JSE134" s="251"/>
      <c r="JSF134" s="251"/>
      <c r="JSG134" s="251"/>
      <c r="JSH134" s="251"/>
      <c r="JSI134" s="251"/>
      <c r="JSJ134" s="251"/>
      <c r="JSK134" s="251"/>
      <c r="JSL134" s="251"/>
      <c r="JSM134" s="251"/>
      <c r="JSN134" s="251"/>
      <c r="JSO134" s="251"/>
      <c r="JSP134" s="251"/>
      <c r="JSQ134" s="251"/>
      <c r="JSR134" s="251"/>
      <c r="JSS134" s="251"/>
      <c r="JST134" s="251"/>
      <c r="JSU134" s="251"/>
      <c r="JSV134" s="251"/>
      <c r="JSW134" s="251"/>
      <c r="JSX134" s="251"/>
      <c r="JSY134" s="251"/>
      <c r="JSZ134" s="251"/>
      <c r="JTA134" s="251"/>
      <c r="JTB134" s="251"/>
      <c r="JTC134" s="251"/>
      <c r="JTD134" s="251"/>
      <c r="JTE134" s="251"/>
      <c r="JTF134" s="251"/>
      <c r="JTG134" s="251"/>
      <c r="JTH134" s="251"/>
      <c r="JTI134" s="251"/>
      <c r="JTJ134" s="251"/>
      <c r="JTK134" s="251"/>
      <c r="JTL134" s="251"/>
      <c r="JTM134" s="251"/>
      <c r="JTN134" s="251"/>
      <c r="JTO134" s="251"/>
      <c r="JTP134" s="251"/>
      <c r="JTQ134" s="251"/>
      <c r="JTR134" s="251"/>
      <c r="JTS134" s="251"/>
      <c r="JTT134" s="251"/>
      <c r="JTU134" s="251"/>
      <c r="JTV134" s="251"/>
      <c r="JTW134" s="251"/>
      <c r="JTX134" s="251"/>
      <c r="JTY134" s="251"/>
      <c r="JTZ134" s="251"/>
      <c r="JUA134" s="251"/>
      <c r="JUB134" s="251"/>
      <c r="JUC134" s="251"/>
      <c r="JUD134" s="251"/>
      <c r="JUE134" s="251"/>
      <c r="JUF134" s="251"/>
      <c r="JUG134" s="251"/>
      <c r="JUH134" s="251"/>
      <c r="JUI134" s="251"/>
      <c r="JUJ134" s="251"/>
      <c r="JUK134" s="251"/>
      <c r="JUL134" s="251"/>
      <c r="JUM134" s="251"/>
      <c r="JUN134" s="251"/>
      <c r="JUO134" s="251"/>
      <c r="JUP134" s="251"/>
      <c r="JUQ134" s="251"/>
      <c r="JUR134" s="251"/>
      <c r="JUS134" s="251"/>
      <c r="JUT134" s="251"/>
      <c r="JUU134" s="251"/>
      <c r="JUV134" s="251"/>
      <c r="JUW134" s="251"/>
      <c r="JUX134" s="251"/>
      <c r="JUY134" s="251"/>
      <c r="JUZ134" s="251"/>
      <c r="JVA134" s="251"/>
      <c r="JVB134" s="251"/>
      <c r="JVC134" s="251"/>
      <c r="JVD134" s="251"/>
      <c r="JVE134" s="251"/>
      <c r="JVF134" s="251"/>
      <c r="JVG134" s="251"/>
      <c r="JVH134" s="251"/>
      <c r="JVI134" s="251"/>
      <c r="JVJ134" s="251"/>
      <c r="JVK134" s="251"/>
      <c r="JVL134" s="251"/>
      <c r="JVM134" s="251"/>
      <c r="JVN134" s="251"/>
      <c r="JVO134" s="251"/>
      <c r="JVP134" s="251"/>
      <c r="JVQ134" s="251"/>
      <c r="JVR134" s="251"/>
      <c r="JVS134" s="251"/>
      <c r="JVT134" s="251"/>
      <c r="JVU134" s="251"/>
      <c r="JVV134" s="251"/>
      <c r="JVW134" s="251"/>
      <c r="JVX134" s="251"/>
      <c r="JVY134" s="251"/>
      <c r="JVZ134" s="251"/>
      <c r="JWA134" s="251"/>
      <c r="JWB134" s="251"/>
      <c r="JWC134" s="251"/>
      <c r="JWD134" s="251"/>
      <c r="JWE134" s="251"/>
      <c r="JWF134" s="251"/>
      <c r="JWG134" s="251"/>
      <c r="JWH134" s="251"/>
      <c r="JWI134" s="251"/>
      <c r="JWJ134" s="251"/>
      <c r="JWK134" s="251"/>
      <c r="JWL134" s="251"/>
      <c r="JWM134" s="251"/>
      <c r="JWN134" s="251"/>
      <c r="JWO134" s="251"/>
      <c r="JWP134" s="251"/>
      <c r="JWQ134" s="251"/>
      <c r="JWR134" s="251"/>
      <c r="JWS134" s="251"/>
      <c r="JWT134" s="251"/>
      <c r="JWU134" s="251"/>
      <c r="JWV134" s="251"/>
      <c r="JWW134" s="251"/>
      <c r="JWX134" s="251"/>
      <c r="JWY134" s="251"/>
      <c r="JWZ134" s="251"/>
      <c r="JXA134" s="251"/>
      <c r="JXB134" s="251"/>
      <c r="JXC134" s="251"/>
      <c r="JXD134" s="251"/>
      <c r="JXE134" s="251"/>
      <c r="JXF134" s="251"/>
      <c r="JXG134" s="251"/>
      <c r="JXH134" s="251"/>
      <c r="JXI134" s="251"/>
      <c r="JXJ134" s="251"/>
      <c r="JXK134" s="251"/>
      <c r="JXL134" s="251"/>
      <c r="JXM134" s="251"/>
      <c r="JXN134" s="251"/>
      <c r="JXO134" s="251"/>
      <c r="JXP134" s="251"/>
      <c r="JXQ134" s="251"/>
      <c r="JXR134" s="251"/>
      <c r="JXS134" s="251"/>
      <c r="JXT134" s="251"/>
      <c r="JXU134" s="251"/>
      <c r="JXV134" s="251"/>
      <c r="JXW134" s="251"/>
      <c r="JXX134" s="251"/>
      <c r="JXY134" s="251"/>
      <c r="JXZ134" s="251"/>
      <c r="JYA134" s="251"/>
      <c r="JYB134" s="251"/>
      <c r="JYC134" s="251"/>
      <c r="JYD134" s="251"/>
      <c r="JYE134" s="251"/>
      <c r="JYF134" s="251"/>
      <c r="JYG134" s="251"/>
      <c r="JYH134" s="251"/>
      <c r="JYI134" s="251"/>
      <c r="JYJ134" s="251"/>
      <c r="JYK134" s="251"/>
      <c r="JYL134" s="251"/>
      <c r="JYM134" s="251"/>
      <c r="JYN134" s="251"/>
      <c r="JYO134" s="251"/>
      <c r="JYP134" s="251"/>
      <c r="JYQ134" s="251"/>
      <c r="JYR134" s="251"/>
      <c r="JYS134" s="251"/>
      <c r="JYT134" s="251"/>
      <c r="JYU134" s="251"/>
      <c r="JYV134" s="251"/>
      <c r="JYW134" s="251"/>
      <c r="JYX134" s="251"/>
      <c r="JYY134" s="251"/>
      <c r="JYZ134" s="251"/>
      <c r="JZA134" s="251"/>
      <c r="JZB134" s="251"/>
      <c r="JZC134" s="251"/>
      <c r="JZD134" s="251"/>
      <c r="JZE134" s="251"/>
      <c r="JZF134" s="251"/>
      <c r="JZG134" s="251"/>
      <c r="JZH134" s="251"/>
      <c r="JZI134" s="251"/>
      <c r="JZJ134" s="251"/>
      <c r="JZK134" s="251"/>
      <c r="JZL134" s="251"/>
      <c r="JZM134" s="251"/>
      <c r="JZN134" s="251"/>
      <c r="JZO134" s="251"/>
      <c r="JZP134" s="251"/>
      <c r="JZQ134" s="251"/>
      <c r="JZR134" s="251"/>
      <c r="JZS134" s="251"/>
      <c r="JZT134" s="251"/>
      <c r="JZU134" s="251"/>
      <c r="JZV134" s="251"/>
      <c r="JZW134" s="251"/>
      <c r="JZX134" s="251"/>
      <c r="JZY134" s="251"/>
      <c r="JZZ134" s="251"/>
      <c r="KAA134" s="251"/>
      <c r="KAB134" s="251"/>
      <c r="KAC134" s="251"/>
      <c r="KAD134" s="251"/>
      <c r="KAE134" s="251"/>
      <c r="KAF134" s="251"/>
      <c r="KAG134" s="251"/>
      <c r="KAH134" s="251"/>
      <c r="KAI134" s="251"/>
      <c r="KAJ134" s="251"/>
      <c r="KAK134" s="251"/>
      <c r="KAL134" s="251"/>
      <c r="KAM134" s="251"/>
      <c r="KAN134" s="251"/>
      <c r="KAO134" s="251"/>
      <c r="KAP134" s="251"/>
      <c r="KAQ134" s="251"/>
      <c r="KAR134" s="251"/>
      <c r="KAS134" s="251"/>
      <c r="KAT134" s="251"/>
      <c r="KAU134" s="251"/>
      <c r="KAV134" s="251"/>
      <c r="KAW134" s="251"/>
      <c r="KAX134" s="251"/>
      <c r="KAY134" s="251"/>
      <c r="KAZ134" s="251"/>
      <c r="KBA134" s="251"/>
      <c r="KBB134" s="251"/>
      <c r="KBC134" s="251"/>
      <c r="KBD134" s="251"/>
      <c r="KBE134" s="251"/>
      <c r="KBF134" s="251"/>
      <c r="KBG134" s="251"/>
      <c r="KBH134" s="251"/>
      <c r="KBI134" s="251"/>
      <c r="KBJ134" s="251"/>
      <c r="KBK134" s="251"/>
      <c r="KBL134" s="251"/>
      <c r="KBM134" s="251"/>
      <c r="KBN134" s="251"/>
      <c r="KBO134" s="251"/>
      <c r="KBP134" s="251"/>
      <c r="KBQ134" s="251"/>
      <c r="KBR134" s="251"/>
      <c r="KBS134" s="251"/>
      <c r="KBT134" s="251"/>
      <c r="KBU134" s="251"/>
      <c r="KBV134" s="251"/>
      <c r="KBW134" s="251"/>
      <c r="KBX134" s="251"/>
      <c r="KBY134" s="251"/>
      <c r="KBZ134" s="251"/>
      <c r="KCA134" s="251"/>
      <c r="KCB134" s="251"/>
      <c r="KCC134" s="251"/>
      <c r="KCD134" s="251"/>
      <c r="KCE134" s="251"/>
      <c r="KCF134" s="251"/>
      <c r="KCG134" s="251"/>
      <c r="KCH134" s="251"/>
      <c r="KCI134" s="251"/>
      <c r="KCJ134" s="251"/>
      <c r="KCK134" s="251"/>
      <c r="KCL134" s="251"/>
      <c r="KCM134" s="251"/>
      <c r="KCN134" s="251"/>
      <c r="KCO134" s="251"/>
      <c r="KCP134" s="251"/>
      <c r="KCQ134" s="251"/>
      <c r="KCR134" s="251"/>
      <c r="KCS134" s="251"/>
      <c r="KCT134" s="251"/>
      <c r="KCU134" s="251"/>
      <c r="KCV134" s="251"/>
      <c r="KCW134" s="251"/>
      <c r="KCX134" s="251"/>
      <c r="KCY134" s="251"/>
      <c r="KCZ134" s="251"/>
      <c r="KDA134" s="251"/>
      <c r="KDB134" s="251"/>
      <c r="KDC134" s="251"/>
      <c r="KDD134" s="251"/>
      <c r="KDE134" s="251"/>
      <c r="KDF134" s="251"/>
      <c r="KDG134" s="251"/>
      <c r="KDH134" s="251"/>
      <c r="KDI134" s="251"/>
      <c r="KDJ134" s="251"/>
      <c r="KDK134" s="251"/>
      <c r="KDL134" s="251"/>
      <c r="KDM134" s="251"/>
      <c r="KDN134" s="251"/>
      <c r="KDO134" s="251"/>
      <c r="KDP134" s="251"/>
      <c r="KDQ134" s="251"/>
      <c r="KDR134" s="251"/>
      <c r="KDS134" s="251"/>
      <c r="KDT134" s="251"/>
      <c r="KDU134" s="251"/>
      <c r="KDV134" s="251"/>
      <c r="KDW134" s="251"/>
      <c r="KDX134" s="251"/>
      <c r="KDY134" s="251"/>
      <c r="KDZ134" s="251"/>
      <c r="KEA134" s="251"/>
      <c r="KEB134" s="251"/>
      <c r="KEC134" s="251"/>
      <c r="KED134" s="251"/>
      <c r="KEE134" s="251"/>
      <c r="KEF134" s="251"/>
      <c r="KEG134" s="251"/>
      <c r="KEH134" s="251"/>
      <c r="KEI134" s="251"/>
      <c r="KEJ134" s="251"/>
      <c r="KEK134" s="251"/>
      <c r="KEL134" s="251"/>
      <c r="KEM134" s="251"/>
      <c r="KEN134" s="251"/>
      <c r="KEO134" s="251"/>
      <c r="KEP134" s="251"/>
      <c r="KEQ134" s="251"/>
      <c r="KER134" s="251"/>
      <c r="KES134" s="251"/>
      <c r="KET134" s="251"/>
      <c r="KEU134" s="251"/>
      <c r="KEV134" s="251"/>
      <c r="KEW134" s="251"/>
      <c r="KEX134" s="251"/>
      <c r="KEY134" s="251"/>
      <c r="KEZ134" s="251"/>
      <c r="KFA134" s="251"/>
      <c r="KFB134" s="251"/>
      <c r="KFC134" s="251"/>
      <c r="KFD134" s="251"/>
      <c r="KFE134" s="251"/>
      <c r="KFF134" s="251"/>
      <c r="KFG134" s="251"/>
      <c r="KFH134" s="251"/>
      <c r="KFI134" s="251"/>
      <c r="KFJ134" s="251"/>
      <c r="KFK134" s="251"/>
      <c r="KFL134" s="251"/>
      <c r="KFM134" s="251"/>
      <c r="KFN134" s="251"/>
      <c r="KFO134" s="251"/>
      <c r="KFP134" s="251"/>
      <c r="KFQ134" s="251"/>
      <c r="KFR134" s="251"/>
      <c r="KFS134" s="251"/>
      <c r="KFT134" s="251"/>
      <c r="KFU134" s="251"/>
      <c r="KFV134" s="251"/>
      <c r="KFW134" s="251"/>
      <c r="KFX134" s="251"/>
      <c r="KFY134" s="251"/>
      <c r="KFZ134" s="251"/>
      <c r="KGA134" s="251"/>
      <c r="KGB134" s="251"/>
      <c r="KGC134" s="251"/>
      <c r="KGD134" s="251"/>
      <c r="KGE134" s="251"/>
      <c r="KGF134" s="251"/>
      <c r="KGG134" s="251"/>
      <c r="KGH134" s="251"/>
      <c r="KGI134" s="251"/>
      <c r="KGJ134" s="251"/>
      <c r="KGK134" s="251"/>
      <c r="KGL134" s="251"/>
      <c r="KGM134" s="251"/>
      <c r="KGN134" s="251"/>
      <c r="KGO134" s="251"/>
      <c r="KGP134" s="251"/>
      <c r="KGQ134" s="251"/>
      <c r="KGR134" s="251"/>
      <c r="KGS134" s="251"/>
      <c r="KGT134" s="251"/>
      <c r="KGU134" s="251"/>
      <c r="KGV134" s="251"/>
      <c r="KGW134" s="251"/>
      <c r="KGX134" s="251"/>
      <c r="KGY134" s="251"/>
      <c r="KGZ134" s="251"/>
      <c r="KHA134" s="251"/>
      <c r="KHB134" s="251"/>
      <c r="KHC134" s="251"/>
      <c r="KHD134" s="251"/>
      <c r="KHE134" s="251"/>
      <c r="KHF134" s="251"/>
      <c r="KHG134" s="251"/>
      <c r="KHH134" s="251"/>
      <c r="KHI134" s="251"/>
      <c r="KHJ134" s="251"/>
      <c r="KHK134" s="251"/>
      <c r="KHL134" s="251"/>
      <c r="KHM134" s="251"/>
      <c r="KHN134" s="251"/>
      <c r="KHO134" s="251"/>
      <c r="KHP134" s="251"/>
      <c r="KHQ134" s="251"/>
      <c r="KHR134" s="251"/>
      <c r="KHS134" s="251"/>
      <c r="KHT134" s="251"/>
      <c r="KHU134" s="251"/>
      <c r="KHV134" s="251"/>
      <c r="KHW134" s="251"/>
      <c r="KHX134" s="251"/>
      <c r="KHY134" s="251"/>
      <c r="KHZ134" s="251"/>
      <c r="KIA134" s="251"/>
      <c r="KIB134" s="251"/>
      <c r="KIC134" s="251"/>
      <c r="KID134" s="251"/>
      <c r="KIE134" s="251"/>
      <c r="KIF134" s="251"/>
      <c r="KIG134" s="251"/>
      <c r="KIH134" s="251"/>
      <c r="KII134" s="251"/>
      <c r="KIJ134" s="251"/>
      <c r="KIK134" s="251"/>
      <c r="KIL134" s="251"/>
      <c r="KIM134" s="251"/>
      <c r="KIN134" s="251"/>
      <c r="KIO134" s="251"/>
      <c r="KIP134" s="251"/>
      <c r="KIQ134" s="251"/>
      <c r="KIR134" s="251"/>
      <c r="KIS134" s="251"/>
      <c r="KIT134" s="251"/>
      <c r="KIU134" s="251"/>
      <c r="KIV134" s="251"/>
      <c r="KIW134" s="251"/>
      <c r="KIX134" s="251"/>
      <c r="KIY134" s="251"/>
      <c r="KIZ134" s="251"/>
      <c r="KJA134" s="251"/>
      <c r="KJB134" s="251"/>
      <c r="KJC134" s="251"/>
      <c r="KJD134" s="251"/>
      <c r="KJE134" s="251"/>
      <c r="KJF134" s="251"/>
      <c r="KJG134" s="251"/>
      <c r="KJH134" s="251"/>
      <c r="KJI134" s="251"/>
      <c r="KJJ134" s="251"/>
      <c r="KJK134" s="251"/>
      <c r="KJL134" s="251"/>
      <c r="KJM134" s="251"/>
      <c r="KJN134" s="251"/>
      <c r="KJO134" s="251"/>
      <c r="KJP134" s="251"/>
      <c r="KJQ134" s="251"/>
      <c r="KJR134" s="251"/>
      <c r="KJS134" s="251"/>
      <c r="KJT134" s="251"/>
      <c r="KJU134" s="251"/>
      <c r="KJV134" s="251"/>
      <c r="KJW134" s="251"/>
      <c r="KJX134" s="251"/>
      <c r="KJY134" s="251"/>
      <c r="KJZ134" s="251"/>
      <c r="KKA134" s="251"/>
      <c r="KKB134" s="251"/>
      <c r="KKC134" s="251"/>
      <c r="KKD134" s="251"/>
      <c r="KKE134" s="251"/>
      <c r="KKF134" s="251"/>
      <c r="KKG134" s="251"/>
      <c r="KKH134" s="251"/>
      <c r="KKI134" s="251"/>
      <c r="KKJ134" s="251"/>
      <c r="KKK134" s="251"/>
      <c r="KKL134" s="251"/>
      <c r="KKM134" s="251"/>
      <c r="KKN134" s="251"/>
      <c r="KKO134" s="251"/>
      <c r="KKP134" s="251"/>
      <c r="KKQ134" s="251"/>
      <c r="KKR134" s="251"/>
      <c r="KKS134" s="251"/>
      <c r="KKT134" s="251"/>
      <c r="KKU134" s="251"/>
      <c r="KKV134" s="251"/>
      <c r="KKW134" s="251"/>
      <c r="KKX134" s="251"/>
      <c r="KKY134" s="251"/>
      <c r="KKZ134" s="251"/>
      <c r="KLA134" s="251"/>
      <c r="KLB134" s="251"/>
      <c r="KLC134" s="251"/>
      <c r="KLD134" s="251"/>
      <c r="KLE134" s="251"/>
      <c r="KLF134" s="251"/>
      <c r="KLG134" s="251"/>
      <c r="KLH134" s="251"/>
      <c r="KLI134" s="251"/>
      <c r="KLJ134" s="251"/>
      <c r="KLK134" s="251"/>
      <c r="KLL134" s="251"/>
      <c r="KLM134" s="251"/>
      <c r="KLN134" s="251"/>
      <c r="KLO134" s="251"/>
      <c r="KLP134" s="251"/>
      <c r="KLQ134" s="251"/>
      <c r="KLR134" s="251"/>
      <c r="KLS134" s="251"/>
      <c r="KLT134" s="251"/>
      <c r="KLU134" s="251"/>
      <c r="KLV134" s="251"/>
      <c r="KLW134" s="251"/>
      <c r="KLX134" s="251"/>
      <c r="KLY134" s="251"/>
      <c r="KLZ134" s="251"/>
      <c r="KMA134" s="251"/>
      <c r="KMB134" s="251"/>
      <c r="KMC134" s="251"/>
      <c r="KMD134" s="251"/>
      <c r="KME134" s="251"/>
      <c r="KMF134" s="251"/>
      <c r="KMG134" s="251"/>
      <c r="KMH134" s="251"/>
      <c r="KMI134" s="251"/>
      <c r="KMJ134" s="251"/>
      <c r="KMK134" s="251"/>
      <c r="KML134" s="251"/>
      <c r="KMM134" s="251"/>
      <c r="KMN134" s="251"/>
      <c r="KMO134" s="251"/>
      <c r="KMP134" s="251"/>
      <c r="KMQ134" s="251"/>
      <c r="KMR134" s="251"/>
      <c r="KMS134" s="251"/>
      <c r="KMT134" s="251"/>
      <c r="KMU134" s="251"/>
      <c r="KMV134" s="251"/>
      <c r="KMW134" s="251"/>
      <c r="KMX134" s="251"/>
      <c r="KMY134" s="251"/>
      <c r="KMZ134" s="251"/>
      <c r="KNA134" s="251"/>
      <c r="KNB134" s="251"/>
      <c r="KNC134" s="251"/>
      <c r="KND134" s="251"/>
      <c r="KNE134" s="251"/>
      <c r="KNF134" s="251"/>
      <c r="KNG134" s="251"/>
      <c r="KNH134" s="251"/>
      <c r="KNI134" s="251"/>
      <c r="KNJ134" s="251"/>
      <c r="KNK134" s="251"/>
      <c r="KNL134" s="251"/>
      <c r="KNM134" s="251"/>
      <c r="KNN134" s="251"/>
      <c r="KNO134" s="251"/>
      <c r="KNP134" s="251"/>
      <c r="KNQ134" s="251"/>
      <c r="KNR134" s="251"/>
      <c r="KNS134" s="251"/>
      <c r="KNT134" s="251"/>
      <c r="KNU134" s="251"/>
      <c r="KNV134" s="251"/>
      <c r="KNW134" s="251"/>
      <c r="KNX134" s="251"/>
      <c r="KNY134" s="251"/>
      <c r="KNZ134" s="251"/>
      <c r="KOA134" s="251"/>
      <c r="KOB134" s="251"/>
      <c r="KOC134" s="251"/>
      <c r="KOD134" s="251"/>
      <c r="KOE134" s="251"/>
      <c r="KOF134" s="251"/>
      <c r="KOG134" s="251"/>
      <c r="KOH134" s="251"/>
      <c r="KOI134" s="251"/>
      <c r="KOJ134" s="251"/>
      <c r="KOK134" s="251"/>
      <c r="KOL134" s="251"/>
      <c r="KOM134" s="251"/>
      <c r="KON134" s="251"/>
      <c r="KOO134" s="251"/>
      <c r="KOP134" s="251"/>
      <c r="KOQ134" s="251"/>
      <c r="KOR134" s="251"/>
      <c r="KOS134" s="251"/>
      <c r="KOT134" s="251"/>
      <c r="KOU134" s="251"/>
      <c r="KOV134" s="251"/>
      <c r="KOW134" s="251"/>
      <c r="KOX134" s="251"/>
      <c r="KOY134" s="251"/>
      <c r="KOZ134" s="251"/>
      <c r="KPA134" s="251"/>
      <c r="KPB134" s="251"/>
      <c r="KPC134" s="251"/>
      <c r="KPD134" s="251"/>
      <c r="KPE134" s="251"/>
      <c r="KPF134" s="251"/>
      <c r="KPG134" s="251"/>
      <c r="KPH134" s="251"/>
      <c r="KPI134" s="251"/>
      <c r="KPJ134" s="251"/>
      <c r="KPK134" s="251"/>
      <c r="KPL134" s="251"/>
      <c r="KPM134" s="251"/>
      <c r="KPN134" s="251"/>
      <c r="KPO134" s="251"/>
      <c r="KPP134" s="251"/>
      <c r="KPQ134" s="251"/>
      <c r="KPR134" s="251"/>
      <c r="KPS134" s="251"/>
      <c r="KPT134" s="251"/>
      <c r="KPU134" s="251"/>
      <c r="KPV134" s="251"/>
      <c r="KPW134" s="251"/>
      <c r="KPX134" s="251"/>
      <c r="KPY134" s="251"/>
      <c r="KPZ134" s="251"/>
      <c r="KQA134" s="251"/>
      <c r="KQB134" s="251"/>
      <c r="KQC134" s="251"/>
      <c r="KQD134" s="251"/>
      <c r="KQE134" s="251"/>
      <c r="KQF134" s="251"/>
      <c r="KQG134" s="251"/>
      <c r="KQH134" s="251"/>
      <c r="KQI134" s="251"/>
      <c r="KQJ134" s="251"/>
      <c r="KQK134" s="251"/>
      <c r="KQL134" s="251"/>
      <c r="KQM134" s="251"/>
      <c r="KQN134" s="251"/>
      <c r="KQO134" s="251"/>
      <c r="KQP134" s="251"/>
      <c r="KQQ134" s="251"/>
      <c r="KQR134" s="251"/>
      <c r="KQS134" s="251"/>
      <c r="KQT134" s="251"/>
      <c r="KQU134" s="251"/>
      <c r="KQV134" s="251"/>
      <c r="KQW134" s="251"/>
      <c r="KQX134" s="251"/>
      <c r="KQY134" s="251"/>
      <c r="KQZ134" s="251"/>
      <c r="KRA134" s="251"/>
      <c r="KRB134" s="251"/>
      <c r="KRC134" s="251"/>
      <c r="KRD134" s="251"/>
      <c r="KRE134" s="251"/>
      <c r="KRF134" s="251"/>
      <c r="KRG134" s="251"/>
      <c r="KRH134" s="251"/>
      <c r="KRI134" s="251"/>
      <c r="KRJ134" s="251"/>
      <c r="KRK134" s="251"/>
      <c r="KRL134" s="251"/>
      <c r="KRM134" s="251"/>
      <c r="KRN134" s="251"/>
      <c r="KRO134" s="251"/>
      <c r="KRP134" s="251"/>
      <c r="KRQ134" s="251"/>
      <c r="KRR134" s="251"/>
      <c r="KRS134" s="251"/>
      <c r="KRT134" s="251"/>
      <c r="KRU134" s="251"/>
      <c r="KRV134" s="251"/>
      <c r="KRW134" s="251"/>
      <c r="KRX134" s="251"/>
      <c r="KRY134" s="251"/>
      <c r="KRZ134" s="251"/>
      <c r="KSA134" s="251"/>
      <c r="KSB134" s="251"/>
      <c r="KSC134" s="251"/>
      <c r="KSD134" s="251"/>
      <c r="KSE134" s="251"/>
      <c r="KSF134" s="251"/>
      <c r="KSG134" s="251"/>
      <c r="KSH134" s="251"/>
      <c r="KSI134" s="251"/>
      <c r="KSJ134" s="251"/>
      <c r="KSK134" s="251"/>
      <c r="KSL134" s="251"/>
      <c r="KSM134" s="251"/>
      <c r="KSN134" s="251"/>
      <c r="KSO134" s="251"/>
      <c r="KSP134" s="251"/>
      <c r="KSQ134" s="251"/>
      <c r="KSR134" s="251"/>
      <c r="KSS134" s="251"/>
      <c r="KST134" s="251"/>
      <c r="KSU134" s="251"/>
      <c r="KSV134" s="251"/>
      <c r="KSW134" s="251"/>
      <c r="KSX134" s="251"/>
      <c r="KSY134" s="251"/>
      <c r="KSZ134" s="251"/>
      <c r="KTA134" s="251"/>
      <c r="KTB134" s="251"/>
      <c r="KTC134" s="251"/>
      <c r="KTD134" s="251"/>
      <c r="KTE134" s="251"/>
      <c r="KTF134" s="251"/>
      <c r="KTG134" s="251"/>
      <c r="KTH134" s="251"/>
      <c r="KTI134" s="251"/>
      <c r="KTJ134" s="251"/>
      <c r="KTK134" s="251"/>
      <c r="KTL134" s="251"/>
      <c r="KTM134" s="251"/>
      <c r="KTN134" s="251"/>
      <c r="KTO134" s="251"/>
      <c r="KTP134" s="251"/>
      <c r="KTQ134" s="251"/>
      <c r="KTR134" s="251"/>
      <c r="KTS134" s="251"/>
      <c r="KTT134" s="251"/>
      <c r="KTU134" s="251"/>
      <c r="KTV134" s="251"/>
      <c r="KTW134" s="251"/>
      <c r="KTX134" s="251"/>
      <c r="KTY134" s="251"/>
      <c r="KTZ134" s="251"/>
      <c r="KUA134" s="251"/>
      <c r="KUB134" s="251"/>
      <c r="KUC134" s="251"/>
      <c r="KUD134" s="251"/>
      <c r="KUE134" s="251"/>
      <c r="KUF134" s="251"/>
      <c r="KUG134" s="251"/>
      <c r="KUH134" s="251"/>
      <c r="KUI134" s="251"/>
      <c r="KUJ134" s="251"/>
      <c r="KUK134" s="251"/>
      <c r="KUL134" s="251"/>
      <c r="KUM134" s="251"/>
      <c r="KUN134" s="251"/>
      <c r="KUO134" s="251"/>
      <c r="KUP134" s="251"/>
      <c r="KUQ134" s="251"/>
      <c r="KUR134" s="251"/>
      <c r="KUS134" s="251"/>
      <c r="KUT134" s="251"/>
      <c r="KUU134" s="251"/>
      <c r="KUV134" s="251"/>
      <c r="KUW134" s="251"/>
      <c r="KUX134" s="251"/>
      <c r="KUY134" s="251"/>
      <c r="KUZ134" s="251"/>
      <c r="KVA134" s="251"/>
      <c r="KVB134" s="251"/>
      <c r="KVC134" s="251"/>
      <c r="KVD134" s="251"/>
      <c r="KVE134" s="251"/>
      <c r="KVF134" s="251"/>
      <c r="KVG134" s="251"/>
      <c r="KVH134" s="251"/>
      <c r="KVI134" s="251"/>
      <c r="KVJ134" s="251"/>
      <c r="KVK134" s="251"/>
      <c r="KVL134" s="251"/>
      <c r="KVM134" s="251"/>
      <c r="KVN134" s="251"/>
      <c r="KVO134" s="251"/>
      <c r="KVP134" s="251"/>
      <c r="KVQ134" s="251"/>
      <c r="KVR134" s="251"/>
      <c r="KVS134" s="251"/>
      <c r="KVT134" s="251"/>
      <c r="KVU134" s="251"/>
      <c r="KVV134" s="251"/>
      <c r="KVW134" s="251"/>
      <c r="KVX134" s="251"/>
      <c r="KVY134" s="251"/>
      <c r="KVZ134" s="251"/>
      <c r="KWA134" s="251"/>
      <c r="KWB134" s="251"/>
      <c r="KWC134" s="251"/>
      <c r="KWD134" s="251"/>
      <c r="KWE134" s="251"/>
      <c r="KWF134" s="251"/>
      <c r="KWG134" s="251"/>
      <c r="KWH134" s="251"/>
      <c r="KWI134" s="251"/>
      <c r="KWJ134" s="251"/>
      <c r="KWK134" s="251"/>
      <c r="KWL134" s="251"/>
      <c r="KWM134" s="251"/>
      <c r="KWN134" s="251"/>
      <c r="KWO134" s="251"/>
      <c r="KWP134" s="251"/>
      <c r="KWQ134" s="251"/>
      <c r="KWR134" s="251"/>
      <c r="KWS134" s="251"/>
      <c r="KWT134" s="251"/>
      <c r="KWU134" s="251"/>
      <c r="KWV134" s="251"/>
      <c r="KWW134" s="251"/>
      <c r="KWX134" s="251"/>
      <c r="KWY134" s="251"/>
      <c r="KWZ134" s="251"/>
      <c r="KXA134" s="251"/>
      <c r="KXB134" s="251"/>
      <c r="KXC134" s="251"/>
      <c r="KXD134" s="251"/>
      <c r="KXE134" s="251"/>
      <c r="KXF134" s="251"/>
      <c r="KXG134" s="251"/>
      <c r="KXH134" s="251"/>
      <c r="KXI134" s="251"/>
      <c r="KXJ134" s="251"/>
      <c r="KXK134" s="251"/>
      <c r="KXL134" s="251"/>
      <c r="KXM134" s="251"/>
      <c r="KXN134" s="251"/>
      <c r="KXO134" s="251"/>
      <c r="KXP134" s="251"/>
      <c r="KXQ134" s="251"/>
      <c r="KXR134" s="251"/>
      <c r="KXS134" s="251"/>
      <c r="KXT134" s="251"/>
      <c r="KXU134" s="251"/>
      <c r="KXV134" s="251"/>
      <c r="KXW134" s="251"/>
      <c r="KXX134" s="251"/>
      <c r="KXY134" s="251"/>
      <c r="KXZ134" s="251"/>
      <c r="KYA134" s="251"/>
      <c r="KYB134" s="251"/>
      <c r="KYC134" s="251"/>
      <c r="KYD134" s="251"/>
      <c r="KYE134" s="251"/>
      <c r="KYF134" s="251"/>
      <c r="KYG134" s="251"/>
      <c r="KYH134" s="251"/>
      <c r="KYI134" s="251"/>
      <c r="KYJ134" s="251"/>
      <c r="KYK134" s="251"/>
      <c r="KYL134" s="251"/>
      <c r="KYM134" s="251"/>
      <c r="KYN134" s="251"/>
      <c r="KYO134" s="251"/>
      <c r="KYP134" s="251"/>
      <c r="KYQ134" s="251"/>
      <c r="KYR134" s="251"/>
      <c r="KYS134" s="251"/>
      <c r="KYT134" s="251"/>
      <c r="KYU134" s="251"/>
      <c r="KYV134" s="251"/>
      <c r="KYW134" s="251"/>
      <c r="KYX134" s="251"/>
      <c r="KYY134" s="251"/>
      <c r="KYZ134" s="251"/>
      <c r="KZA134" s="251"/>
      <c r="KZB134" s="251"/>
      <c r="KZC134" s="251"/>
      <c r="KZD134" s="251"/>
      <c r="KZE134" s="251"/>
      <c r="KZF134" s="251"/>
      <c r="KZG134" s="251"/>
      <c r="KZH134" s="251"/>
      <c r="KZI134" s="251"/>
      <c r="KZJ134" s="251"/>
      <c r="KZK134" s="251"/>
      <c r="KZL134" s="251"/>
      <c r="KZM134" s="251"/>
      <c r="KZN134" s="251"/>
      <c r="KZO134" s="251"/>
      <c r="KZP134" s="251"/>
      <c r="KZQ134" s="251"/>
      <c r="KZR134" s="251"/>
      <c r="KZS134" s="251"/>
      <c r="KZT134" s="251"/>
      <c r="KZU134" s="251"/>
      <c r="KZV134" s="251"/>
      <c r="KZW134" s="251"/>
      <c r="KZX134" s="251"/>
      <c r="KZY134" s="251"/>
      <c r="KZZ134" s="251"/>
      <c r="LAA134" s="251"/>
      <c r="LAB134" s="251"/>
      <c r="LAC134" s="251"/>
      <c r="LAD134" s="251"/>
      <c r="LAE134" s="251"/>
      <c r="LAF134" s="251"/>
      <c r="LAG134" s="251"/>
      <c r="LAH134" s="251"/>
      <c r="LAI134" s="251"/>
      <c r="LAJ134" s="251"/>
      <c r="LAK134" s="251"/>
      <c r="LAL134" s="251"/>
      <c r="LAM134" s="251"/>
      <c r="LAN134" s="251"/>
      <c r="LAO134" s="251"/>
      <c r="LAP134" s="251"/>
      <c r="LAQ134" s="251"/>
      <c r="LAR134" s="251"/>
      <c r="LAS134" s="251"/>
      <c r="LAT134" s="251"/>
      <c r="LAU134" s="251"/>
      <c r="LAV134" s="251"/>
      <c r="LAW134" s="251"/>
      <c r="LAX134" s="251"/>
      <c r="LAY134" s="251"/>
      <c r="LAZ134" s="251"/>
      <c r="LBA134" s="251"/>
      <c r="LBB134" s="251"/>
      <c r="LBC134" s="251"/>
      <c r="LBD134" s="251"/>
      <c r="LBE134" s="251"/>
      <c r="LBF134" s="251"/>
      <c r="LBG134" s="251"/>
      <c r="LBH134" s="251"/>
      <c r="LBI134" s="251"/>
      <c r="LBJ134" s="251"/>
      <c r="LBK134" s="251"/>
      <c r="LBL134" s="251"/>
      <c r="LBM134" s="251"/>
      <c r="LBN134" s="251"/>
      <c r="LBO134" s="251"/>
      <c r="LBP134" s="251"/>
      <c r="LBQ134" s="251"/>
      <c r="LBR134" s="251"/>
      <c r="LBS134" s="251"/>
      <c r="LBT134" s="251"/>
      <c r="LBU134" s="251"/>
      <c r="LBV134" s="251"/>
      <c r="LBW134" s="251"/>
      <c r="LBX134" s="251"/>
      <c r="LBY134" s="251"/>
      <c r="LBZ134" s="251"/>
      <c r="LCA134" s="251"/>
      <c r="LCB134" s="251"/>
      <c r="LCC134" s="251"/>
      <c r="LCD134" s="251"/>
      <c r="LCE134" s="251"/>
      <c r="LCF134" s="251"/>
      <c r="LCG134" s="251"/>
      <c r="LCH134" s="251"/>
      <c r="LCI134" s="251"/>
      <c r="LCJ134" s="251"/>
      <c r="LCK134" s="251"/>
      <c r="LCL134" s="251"/>
      <c r="LCM134" s="251"/>
      <c r="LCN134" s="251"/>
      <c r="LCO134" s="251"/>
      <c r="LCP134" s="251"/>
      <c r="LCQ134" s="251"/>
      <c r="LCR134" s="251"/>
      <c r="LCS134" s="251"/>
      <c r="LCT134" s="251"/>
      <c r="LCU134" s="251"/>
      <c r="LCV134" s="251"/>
      <c r="LCW134" s="251"/>
      <c r="LCX134" s="251"/>
      <c r="LCY134" s="251"/>
      <c r="LCZ134" s="251"/>
      <c r="LDA134" s="251"/>
      <c r="LDB134" s="251"/>
      <c r="LDC134" s="251"/>
      <c r="LDD134" s="251"/>
      <c r="LDE134" s="251"/>
      <c r="LDF134" s="251"/>
      <c r="LDG134" s="251"/>
      <c r="LDH134" s="251"/>
      <c r="LDI134" s="251"/>
      <c r="LDJ134" s="251"/>
      <c r="LDK134" s="251"/>
      <c r="LDL134" s="251"/>
      <c r="LDM134" s="251"/>
      <c r="LDN134" s="251"/>
      <c r="LDO134" s="251"/>
      <c r="LDP134" s="251"/>
      <c r="LDQ134" s="251"/>
      <c r="LDR134" s="251"/>
      <c r="LDS134" s="251"/>
      <c r="LDT134" s="251"/>
      <c r="LDU134" s="251"/>
      <c r="LDV134" s="251"/>
      <c r="LDW134" s="251"/>
      <c r="LDX134" s="251"/>
      <c r="LDY134" s="251"/>
      <c r="LDZ134" s="251"/>
      <c r="LEA134" s="251"/>
      <c r="LEB134" s="251"/>
      <c r="LEC134" s="251"/>
      <c r="LED134" s="251"/>
      <c r="LEE134" s="251"/>
      <c r="LEF134" s="251"/>
      <c r="LEG134" s="251"/>
      <c r="LEH134" s="251"/>
      <c r="LEI134" s="251"/>
      <c r="LEJ134" s="251"/>
      <c r="LEK134" s="251"/>
      <c r="LEL134" s="251"/>
      <c r="LEM134" s="251"/>
      <c r="LEN134" s="251"/>
      <c r="LEO134" s="251"/>
      <c r="LEP134" s="251"/>
      <c r="LEQ134" s="251"/>
      <c r="LER134" s="251"/>
      <c r="LES134" s="251"/>
      <c r="LET134" s="251"/>
      <c r="LEU134" s="251"/>
      <c r="LEV134" s="251"/>
      <c r="LEW134" s="251"/>
      <c r="LEX134" s="251"/>
      <c r="LEY134" s="251"/>
      <c r="LEZ134" s="251"/>
      <c r="LFA134" s="251"/>
      <c r="LFB134" s="251"/>
      <c r="LFC134" s="251"/>
      <c r="LFD134" s="251"/>
      <c r="LFE134" s="251"/>
      <c r="LFF134" s="251"/>
      <c r="LFG134" s="251"/>
      <c r="LFH134" s="251"/>
      <c r="LFI134" s="251"/>
      <c r="LFJ134" s="251"/>
      <c r="LFK134" s="251"/>
      <c r="LFL134" s="251"/>
      <c r="LFM134" s="251"/>
      <c r="LFN134" s="251"/>
      <c r="LFO134" s="251"/>
      <c r="LFP134" s="251"/>
      <c r="LFQ134" s="251"/>
      <c r="LFR134" s="251"/>
      <c r="LFS134" s="251"/>
      <c r="LFT134" s="251"/>
      <c r="LFU134" s="251"/>
      <c r="LFV134" s="251"/>
      <c r="LFW134" s="251"/>
      <c r="LFX134" s="251"/>
      <c r="LFY134" s="251"/>
      <c r="LFZ134" s="251"/>
      <c r="LGA134" s="251"/>
      <c r="LGB134" s="251"/>
      <c r="LGC134" s="251"/>
      <c r="LGD134" s="251"/>
      <c r="LGE134" s="251"/>
      <c r="LGF134" s="251"/>
      <c r="LGG134" s="251"/>
      <c r="LGH134" s="251"/>
      <c r="LGI134" s="251"/>
      <c r="LGJ134" s="251"/>
      <c r="LGK134" s="251"/>
      <c r="LGL134" s="251"/>
      <c r="LGM134" s="251"/>
      <c r="LGN134" s="251"/>
      <c r="LGO134" s="251"/>
      <c r="LGP134" s="251"/>
      <c r="LGQ134" s="251"/>
      <c r="LGR134" s="251"/>
      <c r="LGS134" s="251"/>
      <c r="LGT134" s="251"/>
      <c r="LGU134" s="251"/>
      <c r="LGV134" s="251"/>
      <c r="LGW134" s="251"/>
      <c r="LGX134" s="251"/>
      <c r="LGY134" s="251"/>
      <c r="LGZ134" s="251"/>
      <c r="LHA134" s="251"/>
      <c r="LHB134" s="251"/>
      <c r="LHC134" s="251"/>
      <c r="LHD134" s="251"/>
      <c r="LHE134" s="251"/>
      <c r="LHF134" s="251"/>
      <c r="LHG134" s="251"/>
      <c r="LHH134" s="251"/>
      <c r="LHI134" s="251"/>
      <c r="LHJ134" s="251"/>
      <c r="LHK134" s="251"/>
      <c r="LHL134" s="251"/>
      <c r="LHM134" s="251"/>
      <c r="LHN134" s="251"/>
      <c r="LHO134" s="251"/>
      <c r="LHP134" s="251"/>
      <c r="LHQ134" s="251"/>
      <c r="LHR134" s="251"/>
      <c r="LHS134" s="251"/>
      <c r="LHT134" s="251"/>
      <c r="LHU134" s="251"/>
      <c r="LHV134" s="251"/>
      <c r="LHW134" s="251"/>
      <c r="LHX134" s="251"/>
      <c r="LHY134" s="251"/>
      <c r="LHZ134" s="251"/>
      <c r="LIA134" s="251"/>
      <c r="LIB134" s="251"/>
      <c r="LIC134" s="251"/>
      <c r="LID134" s="251"/>
      <c r="LIE134" s="251"/>
      <c r="LIF134" s="251"/>
      <c r="LIG134" s="251"/>
      <c r="LIH134" s="251"/>
      <c r="LII134" s="251"/>
      <c r="LIJ134" s="251"/>
      <c r="LIK134" s="251"/>
      <c r="LIL134" s="251"/>
      <c r="LIM134" s="251"/>
      <c r="LIN134" s="251"/>
      <c r="LIO134" s="251"/>
      <c r="LIP134" s="251"/>
      <c r="LIQ134" s="251"/>
      <c r="LIR134" s="251"/>
      <c r="LIS134" s="251"/>
      <c r="LIT134" s="251"/>
      <c r="LIU134" s="251"/>
      <c r="LIV134" s="251"/>
      <c r="LIW134" s="251"/>
      <c r="LIX134" s="251"/>
      <c r="LIY134" s="251"/>
      <c r="LIZ134" s="251"/>
      <c r="LJA134" s="251"/>
      <c r="LJB134" s="251"/>
      <c r="LJC134" s="251"/>
      <c r="LJD134" s="251"/>
      <c r="LJE134" s="251"/>
      <c r="LJF134" s="251"/>
      <c r="LJG134" s="251"/>
      <c r="LJH134" s="251"/>
      <c r="LJI134" s="251"/>
      <c r="LJJ134" s="251"/>
      <c r="LJK134" s="251"/>
      <c r="LJL134" s="251"/>
      <c r="LJM134" s="251"/>
      <c r="LJN134" s="251"/>
      <c r="LJO134" s="251"/>
      <c r="LJP134" s="251"/>
      <c r="LJQ134" s="251"/>
      <c r="LJR134" s="251"/>
      <c r="LJS134" s="251"/>
      <c r="LJT134" s="251"/>
      <c r="LJU134" s="251"/>
      <c r="LJV134" s="251"/>
      <c r="LJW134" s="251"/>
      <c r="LJX134" s="251"/>
      <c r="LJY134" s="251"/>
      <c r="LJZ134" s="251"/>
      <c r="LKA134" s="251"/>
      <c r="LKB134" s="251"/>
      <c r="LKC134" s="251"/>
      <c r="LKD134" s="251"/>
      <c r="LKE134" s="251"/>
      <c r="LKF134" s="251"/>
      <c r="LKG134" s="251"/>
      <c r="LKH134" s="251"/>
      <c r="LKI134" s="251"/>
      <c r="LKJ134" s="251"/>
      <c r="LKK134" s="251"/>
      <c r="LKL134" s="251"/>
      <c r="LKM134" s="251"/>
      <c r="LKN134" s="251"/>
      <c r="LKO134" s="251"/>
      <c r="LKP134" s="251"/>
      <c r="LKQ134" s="251"/>
      <c r="LKR134" s="251"/>
      <c r="LKS134" s="251"/>
      <c r="LKT134" s="251"/>
      <c r="LKU134" s="251"/>
      <c r="LKV134" s="251"/>
      <c r="LKW134" s="251"/>
      <c r="LKX134" s="251"/>
      <c r="LKY134" s="251"/>
      <c r="LKZ134" s="251"/>
      <c r="LLA134" s="251"/>
      <c r="LLB134" s="251"/>
      <c r="LLC134" s="251"/>
      <c r="LLD134" s="251"/>
      <c r="LLE134" s="251"/>
      <c r="LLF134" s="251"/>
      <c r="LLG134" s="251"/>
      <c r="LLH134" s="251"/>
      <c r="LLI134" s="251"/>
      <c r="LLJ134" s="251"/>
      <c r="LLK134" s="251"/>
      <c r="LLL134" s="251"/>
      <c r="LLM134" s="251"/>
      <c r="LLN134" s="251"/>
      <c r="LLO134" s="251"/>
      <c r="LLP134" s="251"/>
      <c r="LLQ134" s="251"/>
      <c r="LLR134" s="251"/>
      <c r="LLS134" s="251"/>
      <c r="LLT134" s="251"/>
      <c r="LLU134" s="251"/>
      <c r="LLV134" s="251"/>
      <c r="LLW134" s="251"/>
      <c r="LLX134" s="251"/>
      <c r="LLY134" s="251"/>
      <c r="LLZ134" s="251"/>
      <c r="LMA134" s="251"/>
      <c r="LMB134" s="251"/>
      <c r="LMC134" s="251"/>
      <c r="LMD134" s="251"/>
      <c r="LME134" s="251"/>
      <c r="LMF134" s="251"/>
      <c r="LMG134" s="251"/>
      <c r="LMH134" s="251"/>
      <c r="LMI134" s="251"/>
      <c r="LMJ134" s="251"/>
      <c r="LMK134" s="251"/>
      <c r="LML134" s="251"/>
      <c r="LMM134" s="251"/>
      <c r="LMN134" s="251"/>
      <c r="LMO134" s="251"/>
      <c r="LMP134" s="251"/>
      <c r="LMQ134" s="251"/>
      <c r="LMR134" s="251"/>
      <c r="LMS134" s="251"/>
      <c r="LMT134" s="251"/>
      <c r="LMU134" s="251"/>
      <c r="LMV134" s="251"/>
      <c r="LMW134" s="251"/>
      <c r="LMX134" s="251"/>
      <c r="LMY134" s="251"/>
      <c r="LMZ134" s="251"/>
      <c r="LNA134" s="251"/>
      <c r="LNB134" s="251"/>
      <c r="LNC134" s="251"/>
      <c r="LND134" s="251"/>
      <c r="LNE134" s="251"/>
      <c r="LNF134" s="251"/>
      <c r="LNG134" s="251"/>
      <c r="LNH134" s="251"/>
      <c r="LNI134" s="251"/>
      <c r="LNJ134" s="251"/>
      <c r="LNK134" s="251"/>
      <c r="LNL134" s="251"/>
      <c r="LNM134" s="251"/>
      <c r="LNN134" s="251"/>
      <c r="LNO134" s="251"/>
      <c r="LNP134" s="251"/>
      <c r="LNQ134" s="251"/>
      <c r="LNR134" s="251"/>
      <c r="LNS134" s="251"/>
      <c r="LNT134" s="251"/>
      <c r="LNU134" s="251"/>
      <c r="LNV134" s="251"/>
      <c r="LNW134" s="251"/>
      <c r="LNX134" s="251"/>
      <c r="LNY134" s="251"/>
      <c r="LNZ134" s="251"/>
      <c r="LOA134" s="251"/>
      <c r="LOB134" s="251"/>
      <c r="LOC134" s="251"/>
      <c r="LOD134" s="251"/>
      <c r="LOE134" s="251"/>
      <c r="LOF134" s="251"/>
      <c r="LOG134" s="251"/>
      <c r="LOH134" s="251"/>
      <c r="LOI134" s="251"/>
      <c r="LOJ134" s="251"/>
      <c r="LOK134" s="251"/>
      <c r="LOL134" s="251"/>
      <c r="LOM134" s="251"/>
      <c r="LON134" s="251"/>
      <c r="LOO134" s="251"/>
      <c r="LOP134" s="251"/>
      <c r="LOQ134" s="251"/>
      <c r="LOR134" s="251"/>
      <c r="LOS134" s="251"/>
      <c r="LOT134" s="251"/>
      <c r="LOU134" s="251"/>
      <c r="LOV134" s="251"/>
      <c r="LOW134" s="251"/>
      <c r="LOX134" s="251"/>
      <c r="LOY134" s="251"/>
      <c r="LOZ134" s="251"/>
      <c r="LPA134" s="251"/>
      <c r="LPB134" s="251"/>
      <c r="LPC134" s="251"/>
      <c r="LPD134" s="251"/>
      <c r="LPE134" s="251"/>
      <c r="LPF134" s="251"/>
      <c r="LPG134" s="251"/>
      <c r="LPH134" s="251"/>
      <c r="LPI134" s="251"/>
      <c r="LPJ134" s="251"/>
      <c r="LPK134" s="251"/>
      <c r="LPL134" s="251"/>
      <c r="LPM134" s="251"/>
      <c r="LPN134" s="251"/>
      <c r="LPO134" s="251"/>
      <c r="LPP134" s="251"/>
      <c r="LPQ134" s="251"/>
      <c r="LPR134" s="251"/>
      <c r="LPS134" s="251"/>
      <c r="LPT134" s="251"/>
      <c r="LPU134" s="251"/>
      <c r="LPV134" s="251"/>
      <c r="LPW134" s="251"/>
      <c r="LPX134" s="251"/>
      <c r="LPY134" s="251"/>
      <c r="LPZ134" s="251"/>
      <c r="LQA134" s="251"/>
      <c r="LQB134" s="251"/>
      <c r="LQC134" s="251"/>
      <c r="LQD134" s="251"/>
      <c r="LQE134" s="251"/>
      <c r="LQF134" s="251"/>
      <c r="LQG134" s="251"/>
      <c r="LQH134" s="251"/>
      <c r="LQI134" s="251"/>
      <c r="LQJ134" s="251"/>
      <c r="LQK134" s="251"/>
      <c r="LQL134" s="251"/>
      <c r="LQM134" s="251"/>
      <c r="LQN134" s="251"/>
      <c r="LQO134" s="251"/>
      <c r="LQP134" s="251"/>
      <c r="LQQ134" s="251"/>
      <c r="LQR134" s="251"/>
      <c r="LQS134" s="251"/>
      <c r="LQT134" s="251"/>
      <c r="LQU134" s="251"/>
      <c r="LQV134" s="251"/>
      <c r="LQW134" s="251"/>
      <c r="LQX134" s="251"/>
      <c r="LQY134" s="251"/>
      <c r="LQZ134" s="251"/>
      <c r="LRA134" s="251"/>
      <c r="LRB134" s="251"/>
      <c r="LRC134" s="251"/>
      <c r="LRD134" s="251"/>
      <c r="LRE134" s="251"/>
      <c r="LRF134" s="251"/>
      <c r="LRG134" s="251"/>
      <c r="LRH134" s="251"/>
      <c r="LRI134" s="251"/>
      <c r="LRJ134" s="251"/>
      <c r="LRK134" s="251"/>
      <c r="LRL134" s="251"/>
      <c r="LRM134" s="251"/>
      <c r="LRN134" s="251"/>
      <c r="LRO134" s="251"/>
      <c r="LRP134" s="251"/>
      <c r="LRQ134" s="251"/>
      <c r="LRR134" s="251"/>
      <c r="LRS134" s="251"/>
      <c r="LRT134" s="251"/>
      <c r="LRU134" s="251"/>
      <c r="LRV134" s="251"/>
      <c r="LRW134" s="251"/>
      <c r="LRX134" s="251"/>
      <c r="LRY134" s="251"/>
      <c r="LRZ134" s="251"/>
      <c r="LSA134" s="251"/>
      <c r="LSB134" s="251"/>
      <c r="LSC134" s="251"/>
      <c r="LSD134" s="251"/>
      <c r="LSE134" s="251"/>
      <c r="LSF134" s="251"/>
      <c r="LSG134" s="251"/>
      <c r="LSH134" s="251"/>
      <c r="LSI134" s="251"/>
      <c r="LSJ134" s="251"/>
      <c r="LSK134" s="251"/>
      <c r="LSL134" s="251"/>
      <c r="LSM134" s="251"/>
      <c r="LSN134" s="251"/>
      <c r="LSO134" s="251"/>
      <c r="LSP134" s="251"/>
      <c r="LSQ134" s="251"/>
      <c r="LSR134" s="251"/>
      <c r="LSS134" s="251"/>
      <c r="LST134" s="251"/>
      <c r="LSU134" s="251"/>
      <c r="LSV134" s="251"/>
      <c r="LSW134" s="251"/>
      <c r="LSX134" s="251"/>
      <c r="LSY134" s="251"/>
      <c r="LSZ134" s="251"/>
      <c r="LTA134" s="251"/>
      <c r="LTB134" s="251"/>
      <c r="LTC134" s="251"/>
      <c r="LTD134" s="251"/>
      <c r="LTE134" s="251"/>
      <c r="LTF134" s="251"/>
      <c r="LTG134" s="251"/>
      <c r="LTH134" s="251"/>
      <c r="LTI134" s="251"/>
      <c r="LTJ134" s="251"/>
      <c r="LTK134" s="251"/>
      <c r="LTL134" s="251"/>
      <c r="LTM134" s="251"/>
      <c r="LTN134" s="251"/>
      <c r="LTO134" s="251"/>
      <c r="LTP134" s="251"/>
      <c r="LTQ134" s="251"/>
      <c r="LTR134" s="251"/>
      <c r="LTS134" s="251"/>
      <c r="LTT134" s="251"/>
      <c r="LTU134" s="251"/>
      <c r="LTV134" s="251"/>
      <c r="LTW134" s="251"/>
      <c r="LTX134" s="251"/>
      <c r="LTY134" s="251"/>
      <c r="LTZ134" s="251"/>
      <c r="LUA134" s="251"/>
      <c r="LUB134" s="251"/>
      <c r="LUC134" s="251"/>
      <c r="LUD134" s="251"/>
      <c r="LUE134" s="251"/>
      <c r="LUF134" s="251"/>
      <c r="LUG134" s="251"/>
      <c r="LUH134" s="251"/>
      <c r="LUI134" s="251"/>
      <c r="LUJ134" s="251"/>
      <c r="LUK134" s="251"/>
      <c r="LUL134" s="251"/>
      <c r="LUM134" s="251"/>
      <c r="LUN134" s="251"/>
      <c r="LUO134" s="251"/>
      <c r="LUP134" s="251"/>
      <c r="LUQ134" s="251"/>
      <c r="LUR134" s="251"/>
      <c r="LUS134" s="251"/>
      <c r="LUT134" s="251"/>
      <c r="LUU134" s="251"/>
      <c r="LUV134" s="251"/>
      <c r="LUW134" s="251"/>
      <c r="LUX134" s="251"/>
      <c r="LUY134" s="251"/>
      <c r="LUZ134" s="251"/>
      <c r="LVA134" s="251"/>
      <c r="LVB134" s="251"/>
      <c r="LVC134" s="251"/>
      <c r="LVD134" s="251"/>
      <c r="LVE134" s="251"/>
      <c r="LVF134" s="251"/>
      <c r="LVG134" s="251"/>
      <c r="LVH134" s="251"/>
      <c r="LVI134" s="251"/>
      <c r="LVJ134" s="251"/>
      <c r="LVK134" s="251"/>
      <c r="LVL134" s="251"/>
      <c r="LVM134" s="251"/>
      <c r="LVN134" s="251"/>
      <c r="LVO134" s="251"/>
      <c r="LVP134" s="251"/>
      <c r="LVQ134" s="251"/>
      <c r="LVR134" s="251"/>
      <c r="LVS134" s="251"/>
      <c r="LVT134" s="251"/>
      <c r="LVU134" s="251"/>
      <c r="LVV134" s="251"/>
      <c r="LVW134" s="251"/>
      <c r="LVX134" s="251"/>
      <c r="LVY134" s="251"/>
      <c r="LVZ134" s="251"/>
      <c r="LWA134" s="251"/>
      <c r="LWB134" s="251"/>
      <c r="LWC134" s="251"/>
      <c r="LWD134" s="251"/>
      <c r="LWE134" s="251"/>
      <c r="LWF134" s="251"/>
      <c r="LWG134" s="251"/>
      <c r="LWH134" s="251"/>
      <c r="LWI134" s="251"/>
      <c r="LWJ134" s="251"/>
      <c r="LWK134" s="251"/>
      <c r="LWL134" s="251"/>
      <c r="LWM134" s="251"/>
      <c r="LWN134" s="251"/>
      <c r="LWO134" s="251"/>
      <c r="LWP134" s="251"/>
      <c r="LWQ134" s="251"/>
      <c r="LWR134" s="251"/>
      <c r="LWS134" s="251"/>
      <c r="LWT134" s="251"/>
      <c r="LWU134" s="251"/>
      <c r="LWV134" s="251"/>
      <c r="LWW134" s="251"/>
      <c r="LWX134" s="251"/>
      <c r="LWY134" s="251"/>
      <c r="LWZ134" s="251"/>
      <c r="LXA134" s="251"/>
      <c r="LXB134" s="251"/>
      <c r="LXC134" s="251"/>
      <c r="LXD134" s="251"/>
      <c r="LXE134" s="251"/>
      <c r="LXF134" s="251"/>
      <c r="LXG134" s="251"/>
      <c r="LXH134" s="251"/>
      <c r="LXI134" s="251"/>
      <c r="LXJ134" s="251"/>
      <c r="LXK134" s="251"/>
      <c r="LXL134" s="251"/>
      <c r="LXM134" s="251"/>
      <c r="LXN134" s="251"/>
      <c r="LXO134" s="251"/>
      <c r="LXP134" s="251"/>
      <c r="LXQ134" s="251"/>
      <c r="LXR134" s="251"/>
      <c r="LXS134" s="251"/>
      <c r="LXT134" s="251"/>
      <c r="LXU134" s="251"/>
      <c r="LXV134" s="251"/>
      <c r="LXW134" s="251"/>
      <c r="LXX134" s="251"/>
      <c r="LXY134" s="251"/>
      <c r="LXZ134" s="251"/>
      <c r="LYA134" s="251"/>
      <c r="LYB134" s="251"/>
      <c r="LYC134" s="251"/>
      <c r="LYD134" s="251"/>
      <c r="LYE134" s="251"/>
      <c r="LYF134" s="251"/>
      <c r="LYG134" s="251"/>
      <c r="LYH134" s="251"/>
      <c r="LYI134" s="251"/>
      <c r="LYJ134" s="251"/>
      <c r="LYK134" s="251"/>
      <c r="LYL134" s="251"/>
      <c r="LYM134" s="251"/>
      <c r="LYN134" s="251"/>
      <c r="LYO134" s="251"/>
      <c r="LYP134" s="251"/>
      <c r="LYQ134" s="251"/>
      <c r="LYR134" s="251"/>
      <c r="LYS134" s="251"/>
      <c r="LYT134" s="251"/>
      <c r="LYU134" s="251"/>
      <c r="LYV134" s="251"/>
      <c r="LYW134" s="251"/>
      <c r="LYX134" s="251"/>
      <c r="LYY134" s="251"/>
      <c r="LYZ134" s="251"/>
      <c r="LZA134" s="251"/>
      <c r="LZB134" s="251"/>
      <c r="LZC134" s="251"/>
      <c r="LZD134" s="251"/>
      <c r="LZE134" s="251"/>
      <c r="LZF134" s="251"/>
      <c r="LZG134" s="251"/>
      <c r="LZH134" s="251"/>
      <c r="LZI134" s="251"/>
      <c r="LZJ134" s="251"/>
      <c r="LZK134" s="251"/>
      <c r="LZL134" s="251"/>
      <c r="LZM134" s="251"/>
      <c r="LZN134" s="251"/>
      <c r="LZO134" s="251"/>
      <c r="LZP134" s="251"/>
      <c r="LZQ134" s="251"/>
      <c r="LZR134" s="251"/>
      <c r="LZS134" s="251"/>
      <c r="LZT134" s="251"/>
      <c r="LZU134" s="251"/>
      <c r="LZV134" s="251"/>
      <c r="LZW134" s="251"/>
      <c r="LZX134" s="251"/>
      <c r="LZY134" s="251"/>
      <c r="LZZ134" s="251"/>
      <c r="MAA134" s="251"/>
      <c r="MAB134" s="251"/>
      <c r="MAC134" s="251"/>
      <c r="MAD134" s="251"/>
      <c r="MAE134" s="251"/>
      <c r="MAF134" s="251"/>
      <c r="MAG134" s="251"/>
      <c r="MAH134" s="251"/>
      <c r="MAI134" s="251"/>
      <c r="MAJ134" s="251"/>
      <c r="MAK134" s="251"/>
      <c r="MAL134" s="251"/>
      <c r="MAM134" s="251"/>
      <c r="MAN134" s="251"/>
      <c r="MAO134" s="251"/>
      <c r="MAP134" s="251"/>
      <c r="MAQ134" s="251"/>
      <c r="MAR134" s="251"/>
      <c r="MAS134" s="251"/>
      <c r="MAT134" s="251"/>
      <c r="MAU134" s="251"/>
      <c r="MAV134" s="251"/>
      <c r="MAW134" s="251"/>
      <c r="MAX134" s="251"/>
      <c r="MAY134" s="251"/>
      <c r="MAZ134" s="251"/>
      <c r="MBA134" s="251"/>
      <c r="MBB134" s="251"/>
      <c r="MBC134" s="251"/>
      <c r="MBD134" s="251"/>
      <c r="MBE134" s="251"/>
      <c r="MBF134" s="251"/>
      <c r="MBG134" s="251"/>
      <c r="MBH134" s="251"/>
      <c r="MBI134" s="251"/>
      <c r="MBJ134" s="251"/>
      <c r="MBK134" s="251"/>
      <c r="MBL134" s="251"/>
      <c r="MBM134" s="251"/>
      <c r="MBN134" s="251"/>
      <c r="MBO134" s="251"/>
      <c r="MBP134" s="251"/>
      <c r="MBQ134" s="251"/>
      <c r="MBR134" s="251"/>
      <c r="MBS134" s="251"/>
      <c r="MBT134" s="251"/>
      <c r="MBU134" s="251"/>
      <c r="MBV134" s="251"/>
      <c r="MBW134" s="251"/>
      <c r="MBX134" s="251"/>
      <c r="MBY134" s="251"/>
      <c r="MBZ134" s="251"/>
      <c r="MCA134" s="251"/>
      <c r="MCB134" s="251"/>
      <c r="MCC134" s="251"/>
      <c r="MCD134" s="251"/>
      <c r="MCE134" s="251"/>
      <c r="MCF134" s="251"/>
      <c r="MCG134" s="251"/>
      <c r="MCH134" s="251"/>
      <c r="MCI134" s="251"/>
      <c r="MCJ134" s="251"/>
      <c r="MCK134" s="251"/>
      <c r="MCL134" s="251"/>
      <c r="MCM134" s="251"/>
      <c r="MCN134" s="251"/>
      <c r="MCO134" s="251"/>
      <c r="MCP134" s="251"/>
      <c r="MCQ134" s="251"/>
      <c r="MCR134" s="251"/>
      <c r="MCS134" s="251"/>
      <c r="MCT134" s="251"/>
      <c r="MCU134" s="251"/>
      <c r="MCV134" s="251"/>
      <c r="MCW134" s="251"/>
      <c r="MCX134" s="251"/>
      <c r="MCY134" s="251"/>
      <c r="MCZ134" s="251"/>
      <c r="MDA134" s="251"/>
      <c r="MDB134" s="251"/>
      <c r="MDC134" s="251"/>
      <c r="MDD134" s="251"/>
      <c r="MDE134" s="251"/>
      <c r="MDF134" s="251"/>
      <c r="MDG134" s="251"/>
      <c r="MDH134" s="251"/>
      <c r="MDI134" s="251"/>
      <c r="MDJ134" s="251"/>
      <c r="MDK134" s="251"/>
      <c r="MDL134" s="251"/>
      <c r="MDM134" s="251"/>
      <c r="MDN134" s="251"/>
      <c r="MDO134" s="251"/>
      <c r="MDP134" s="251"/>
      <c r="MDQ134" s="251"/>
      <c r="MDR134" s="251"/>
      <c r="MDS134" s="251"/>
      <c r="MDT134" s="251"/>
      <c r="MDU134" s="251"/>
      <c r="MDV134" s="251"/>
      <c r="MDW134" s="251"/>
      <c r="MDX134" s="251"/>
      <c r="MDY134" s="251"/>
      <c r="MDZ134" s="251"/>
      <c r="MEA134" s="251"/>
      <c r="MEB134" s="251"/>
      <c r="MEC134" s="251"/>
      <c r="MED134" s="251"/>
      <c r="MEE134" s="251"/>
      <c r="MEF134" s="251"/>
      <c r="MEG134" s="251"/>
      <c r="MEH134" s="251"/>
      <c r="MEI134" s="251"/>
      <c r="MEJ134" s="251"/>
      <c r="MEK134" s="251"/>
      <c r="MEL134" s="251"/>
      <c r="MEM134" s="251"/>
      <c r="MEN134" s="251"/>
      <c r="MEO134" s="251"/>
      <c r="MEP134" s="251"/>
      <c r="MEQ134" s="251"/>
      <c r="MER134" s="251"/>
      <c r="MES134" s="251"/>
      <c r="MET134" s="251"/>
      <c r="MEU134" s="251"/>
      <c r="MEV134" s="251"/>
      <c r="MEW134" s="251"/>
      <c r="MEX134" s="251"/>
      <c r="MEY134" s="251"/>
      <c r="MEZ134" s="251"/>
      <c r="MFA134" s="251"/>
      <c r="MFB134" s="251"/>
      <c r="MFC134" s="251"/>
      <c r="MFD134" s="251"/>
      <c r="MFE134" s="251"/>
      <c r="MFF134" s="251"/>
      <c r="MFG134" s="251"/>
      <c r="MFH134" s="251"/>
      <c r="MFI134" s="251"/>
      <c r="MFJ134" s="251"/>
      <c r="MFK134" s="251"/>
      <c r="MFL134" s="251"/>
      <c r="MFM134" s="251"/>
      <c r="MFN134" s="251"/>
      <c r="MFO134" s="251"/>
      <c r="MFP134" s="251"/>
      <c r="MFQ134" s="251"/>
      <c r="MFR134" s="251"/>
      <c r="MFS134" s="251"/>
      <c r="MFT134" s="251"/>
      <c r="MFU134" s="251"/>
      <c r="MFV134" s="251"/>
      <c r="MFW134" s="251"/>
      <c r="MFX134" s="251"/>
      <c r="MFY134" s="251"/>
      <c r="MFZ134" s="251"/>
      <c r="MGA134" s="251"/>
      <c r="MGB134" s="251"/>
      <c r="MGC134" s="251"/>
      <c r="MGD134" s="251"/>
      <c r="MGE134" s="251"/>
      <c r="MGF134" s="251"/>
      <c r="MGG134" s="251"/>
      <c r="MGH134" s="251"/>
      <c r="MGI134" s="251"/>
      <c r="MGJ134" s="251"/>
      <c r="MGK134" s="251"/>
      <c r="MGL134" s="251"/>
      <c r="MGM134" s="251"/>
      <c r="MGN134" s="251"/>
      <c r="MGO134" s="251"/>
      <c r="MGP134" s="251"/>
      <c r="MGQ134" s="251"/>
      <c r="MGR134" s="251"/>
      <c r="MGS134" s="251"/>
      <c r="MGT134" s="251"/>
      <c r="MGU134" s="251"/>
      <c r="MGV134" s="251"/>
      <c r="MGW134" s="251"/>
      <c r="MGX134" s="251"/>
      <c r="MGY134" s="251"/>
      <c r="MGZ134" s="251"/>
      <c r="MHA134" s="251"/>
      <c r="MHB134" s="251"/>
      <c r="MHC134" s="251"/>
      <c r="MHD134" s="251"/>
      <c r="MHE134" s="251"/>
      <c r="MHF134" s="251"/>
      <c r="MHG134" s="251"/>
      <c r="MHH134" s="251"/>
      <c r="MHI134" s="251"/>
      <c r="MHJ134" s="251"/>
      <c r="MHK134" s="251"/>
      <c r="MHL134" s="251"/>
      <c r="MHM134" s="251"/>
      <c r="MHN134" s="251"/>
      <c r="MHO134" s="251"/>
      <c r="MHP134" s="251"/>
      <c r="MHQ134" s="251"/>
      <c r="MHR134" s="251"/>
      <c r="MHS134" s="251"/>
      <c r="MHT134" s="251"/>
      <c r="MHU134" s="251"/>
      <c r="MHV134" s="251"/>
      <c r="MHW134" s="251"/>
      <c r="MHX134" s="251"/>
      <c r="MHY134" s="251"/>
      <c r="MHZ134" s="251"/>
      <c r="MIA134" s="251"/>
      <c r="MIB134" s="251"/>
      <c r="MIC134" s="251"/>
      <c r="MID134" s="251"/>
      <c r="MIE134" s="251"/>
      <c r="MIF134" s="251"/>
      <c r="MIG134" s="251"/>
      <c r="MIH134" s="251"/>
      <c r="MII134" s="251"/>
      <c r="MIJ134" s="251"/>
      <c r="MIK134" s="251"/>
      <c r="MIL134" s="251"/>
      <c r="MIM134" s="251"/>
      <c r="MIN134" s="251"/>
      <c r="MIO134" s="251"/>
      <c r="MIP134" s="251"/>
      <c r="MIQ134" s="251"/>
      <c r="MIR134" s="251"/>
      <c r="MIS134" s="251"/>
      <c r="MIT134" s="251"/>
      <c r="MIU134" s="251"/>
      <c r="MIV134" s="251"/>
      <c r="MIW134" s="251"/>
      <c r="MIX134" s="251"/>
      <c r="MIY134" s="251"/>
      <c r="MIZ134" s="251"/>
      <c r="MJA134" s="251"/>
      <c r="MJB134" s="251"/>
      <c r="MJC134" s="251"/>
      <c r="MJD134" s="251"/>
      <c r="MJE134" s="251"/>
      <c r="MJF134" s="251"/>
      <c r="MJG134" s="251"/>
      <c r="MJH134" s="251"/>
      <c r="MJI134" s="251"/>
      <c r="MJJ134" s="251"/>
      <c r="MJK134" s="251"/>
      <c r="MJL134" s="251"/>
      <c r="MJM134" s="251"/>
      <c r="MJN134" s="251"/>
      <c r="MJO134" s="251"/>
      <c r="MJP134" s="251"/>
      <c r="MJQ134" s="251"/>
      <c r="MJR134" s="251"/>
      <c r="MJS134" s="251"/>
      <c r="MJT134" s="251"/>
      <c r="MJU134" s="251"/>
      <c r="MJV134" s="251"/>
      <c r="MJW134" s="251"/>
      <c r="MJX134" s="251"/>
      <c r="MJY134" s="251"/>
      <c r="MJZ134" s="251"/>
      <c r="MKA134" s="251"/>
      <c r="MKB134" s="251"/>
      <c r="MKC134" s="251"/>
      <c r="MKD134" s="251"/>
      <c r="MKE134" s="251"/>
      <c r="MKF134" s="251"/>
      <c r="MKG134" s="251"/>
      <c r="MKH134" s="251"/>
      <c r="MKI134" s="251"/>
      <c r="MKJ134" s="251"/>
      <c r="MKK134" s="251"/>
      <c r="MKL134" s="251"/>
      <c r="MKM134" s="251"/>
      <c r="MKN134" s="251"/>
      <c r="MKO134" s="251"/>
      <c r="MKP134" s="251"/>
      <c r="MKQ134" s="251"/>
      <c r="MKR134" s="251"/>
      <c r="MKS134" s="251"/>
      <c r="MKT134" s="251"/>
      <c r="MKU134" s="251"/>
      <c r="MKV134" s="251"/>
      <c r="MKW134" s="251"/>
      <c r="MKX134" s="251"/>
      <c r="MKY134" s="251"/>
      <c r="MKZ134" s="251"/>
      <c r="MLA134" s="251"/>
      <c r="MLB134" s="251"/>
      <c r="MLC134" s="251"/>
      <c r="MLD134" s="251"/>
      <c r="MLE134" s="251"/>
      <c r="MLF134" s="251"/>
      <c r="MLG134" s="251"/>
      <c r="MLH134" s="251"/>
      <c r="MLI134" s="251"/>
      <c r="MLJ134" s="251"/>
      <c r="MLK134" s="251"/>
      <c r="MLL134" s="251"/>
      <c r="MLM134" s="251"/>
      <c r="MLN134" s="251"/>
      <c r="MLO134" s="251"/>
      <c r="MLP134" s="251"/>
      <c r="MLQ134" s="251"/>
      <c r="MLR134" s="251"/>
      <c r="MLS134" s="251"/>
      <c r="MLT134" s="251"/>
      <c r="MLU134" s="251"/>
      <c r="MLV134" s="251"/>
      <c r="MLW134" s="251"/>
      <c r="MLX134" s="251"/>
      <c r="MLY134" s="251"/>
      <c r="MLZ134" s="251"/>
      <c r="MMA134" s="251"/>
      <c r="MMB134" s="251"/>
      <c r="MMC134" s="251"/>
      <c r="MMD134" s="251"/>
      <c r="MME134" s="251"/>
      <c r="MMF134" s="251"/>
      <c r="MMG134" s="251"/>
      <c r="MMH134" s="251"/>
      <c r="MMI134" s="251"/>
      <c r="MMJ134" s="251"/>
      <c r="MMK134" s="251"/>
      <c r="MML134" s="251"/>
      <c r="MMM134" s="251"/>
      <c r="MMN134" s="251"/>
      <c r="MMO134" s="251"/>
      <c r="MMP134" s="251"/>
      <c r="MMQ134" s="251"/>
      <c r="MMR134" s="251"/>
      <c r="MMS134" s="251"/>
      <c r="MMT134" s="251"/>
      <c r="MMU134" s="251"/>
      <c r="MMV134" s="251"/>
      <c r="MMW134" s="251"/>
      <c r="MMX134" s="251"/>
      <c r="MMY134" s="251"/>
      <c r="MMZ134" s="251"/>
      <c r="MNA134" s="251"/>
      <c r="MNB134" s="251"/>
      <c r="MNC134" s="251"/>
      <c r="MND134" s="251"/>
      <c r="MNE134" s="251"/>
      <c r="MNF134" s="251"/>
      <c r="MNG134" s="251"/>
      <c r="MNH134" s="251"/>
      <c r="MNI134" s="251"/>
      <c r="MNJ134" s="251"/>
      <c r="MNK134" s="251"/>
      <c r="MNL134" s="251"/>
      <c r="MNM134" s="251"/>
      <c r="MNN134" s="251"/>
      <c r="MNO134" s="251"/>
      <c r="MNP134" s="251"/>
      <c r="MNQ134" s="251"/>
      <c r="MNR134" s="251"/>
      <c r="MNS134" s="251"/>
      <c r="MNT134" s="251"/>
      <c r="MNU134" s="251"/>
      <c r="MNV134" s="251"/>
      <c r="MNW134" s="251"/>
      <c r="MNX134" s="251"/>
      <c r="MNY134" s="251"/>
      <c r="MNZ134" s="251"/>
      <c r="MOA134" s="251"/>
      <c r="MOB134" s="251"/>
      <c r="MOC134" s="251"/>
      <c r="MOD134" s="251"/>
      <c r="MOE134" s="251"/>
      <c r="MOF134" s="251"/>
      <c r="MOG134" s="251"/>
      <c r="MOH134" s="251"/>
      <c r="MOI134" s="251"/>
      <c r="MOJ134" s="251"/>
      <c r="MOK134" s="251"/>
      <c r="MOL134" s="251"/>
      <c r="MOM134" s="251"/>
      <c r="MON134" s="251"/>
      <c r="MOO134" s="251"/>
      <c r="MOP134" s="251"/>
      <c r="MOQ134" s="251"/>
      <c r="MOR134" s="251"/>
      <c r="MOS134" s="251"/>
      <c r="MOT134" s="251"/>
      <c r="MOU134" s="251"/>
      <c r="MOV134" s="251"/>
      <c r="MOW134" s="251"/>
      <c r="MOX134" s="251"/>
      <c r="MOY134" s="251"/>
      <c r="MOZ134" s="251"/>
      <c r="MPA134" s="251"/>
      <c r="MPB134" s="251"/>
      <c r="MPC134" s="251"/>
      <c r="MPD134" s="251"/>
      <c r="MPE134" s="251"/>
      <c r="MPF134" s="251"/>
      <c r="MPG134" s="251"/>
      <c r="MPH134" s="251"/>
      <c r="MPI134" s="251"/>
      <c r="MPJ134" s="251"/>
      <c r="MPK134" s="251"/>
      <c r="MPL134" s="251"/>
      <c r="MPM134" s="251"/>
      <c r="MPN134" s="251"/>
      <c r="MPO134" s="251"/>
      <c r="MPP134" s="251"/>
      <c r="MPQ134" s="251"/>
      <c r="MPR134" s="251"/>
      <c r="MPS134" s="251"/>
      <c r="MPT134" s="251"/>
      <c r="MPU134" s="251"/>
      <c r="MPV134" s="251"/>
      <c r="MPW134" s="251"/>
      <c r="MPX134" s="251"/>
      <c r="MPY134" s="251"/>
      <c r="MPZ134" s="251"/>
      <c r="MQA134" s="251"/>
      <c r="MQB134" s="251"/>
      <c r="MQC134" s="251"/>
      <c r="MQD134" s="251"/>
      <c r="MQE134" s="251"/>
      <c r="MQF134" s="251"/>
      <c r="MQG134" s="251"/>
      <c r="MQH134" s="251"/>
      <c r="MQI134" s="251"/>
      <c r="MQJ134" s="251"/>
      <c r="MQK134" s="251"/>
      <c r="MQL134" s="251"/>
      <c r="MQM134" s="251"/>
      <c r="MQN134" s="251"/>
      <c r="MQO134" s="251"/>
      <c r="MQP134" s="251"/>
      <c r="MQQ134" s="251"/>
      <c r="MQR134" s="251"/>
      <c r="MQS134" s="251"/>
      <c r="MQT134" s="251"/>
      <c r="MQU134" s="251"/>
      <c r="MQV134" s="251"/>
      <c r="MQW134" s="251"/>
      <c r="MQX134" s="251"/>
      <c r="MQY134" s="251"/>
      <c r="MQZ134" s="251"/>
      <c r="MRA134" s="251"/>
      <c r="MRB134" s="251"/>
      <c r="MRC134" s="251"/>
      <c r="MRD134" s="251"/>
      <c r="MRE134" s="251"/>
      <c r="MRF134" s="251"/>
      <c r="MRG134" s="251"/>
      <c r="MRH134" s="251"/>
      <c r="MRI134" s="251"/>
      <c r="MRJ134" s="251"/>
      <c r="MRK134" s="251"/>
      <c r="MRL134" s="251"/>
      <c r="MRM134" s="251"/>
      <c r="MRN134" s="251"/>
      <c r="MRO134" s="251"/>
      <c r="MRP134" s="251"/>
      <c r="MRQ134" s="251"/>
      <c r="MRR134" s="251"/>
      <c r="MRS134" s="251"/>
      <c r="MRT134" s="251"/>
      <c r="MRU134" s="251"/>
      <c r="MRV134" s="251"/>
      <c r="MRW134" s="251"/>
      <c r="MRX134" s="251"/>
      <c r="MRY134" s="251"/>
      <c r="MRZ134" s="251"/>
      <c r="MSA134" s="251"/>
      <c r="MSB134" s="251"/>
      <c r="MSC134" s="251"/>
      <c r="MSD134" s="251"/>
      <c r="MSE134" s="251"/>
      <c r="MSF134" s="251"/>
      <c r="MSG134" s="251"/>
      <c r="MSH134" s="251"/>
      <c r="MSI134" s="251"/>
      <c r="MSJ134" s="251"/>
      <c r="MSK134" s="251"/>
      <c r="MSL134" s="251"/>
      <c r="MSM134" s="251"/>
      <c r="MSN134" s="251"/>
      <c r="MSO134" s="251"/>
      <c r="MSP134" s="251"/>
      <c r="MSQ134" s="251"/>
      <c r="MSR134" s="251"/>
      <c r="MSS134" s="251"/>
      <c r="MST134" s="251"/>
      <c r="MSU134" s="251"/>
      <c r="MSV134" s="251"/>
      <c r="MSW134" s="251"/>
      <c r="MSX134" s="251"/>
      <c r="MSY134" s="251"/>
      <c r="MSZ134" s="251"/>
      <c r="MTA134" s="251"/>
      <c r="MTB134" s="251"/>
      <c r="MTC134" s="251"/>
      <c r="MTD134" s="251"/>
      <c r="MTE134" s="251"/>
      <c r="MTF134" s="251"/>
      <c r="MTG134" s="251"/>
      <c r="MTH134" s="251"/>
      <c r="MTI134" s="251"/>
      <c r="MTJ134" s="251"/>
      <c r="MTK134" s="251"/>
      <c r="MTL134" s="251"/>
      <c r="MTM134" s="251"/>
      <c r="MTN134" s="251"/>
      <c r="MTO134" s="251"/>
      <c r="MTP134" s="251"/>
      <c r="MTQ134" s="251"/>
      <c r="MTR134" s="251"/>
      <c r="MTS134" s="251"/>
      <c r="MTT134" s="251"/>
      <c r="MTU134" s="251"/>
      <c r="MTV134" s="251"/>
      <c r="MTW134" s="251"/>
      <c r="MTX134" s="251"/>
      <c r="MTY134" s="251"/>
      <c r="MTZ134" s="251"/>
      <c r="MUA134" s="251"/>
      <c r="MUB134" s="251"/>
      <c r="MUC134" s="251"/>
      <c r="MUD134" s="251"/>
      <c r="MUE134" s="251"/>
      <c r="MUF134" s="251"/>
      <c r="MUG134" s="251"/>
      <c r="MUH134" s="251"/>
      <c r="MUI134" s="251"/>
      <c r="MUJ134" s="251"/>
      <c r="MUK134" s="251"/>
      <c r="MUL134" s="251"/>
      <c r="MUM134" s="251"/>
      <c r="MUN134" s="251"/>
      <c r="MUO134" s="251"/>
      <c r="MUP134" s="251"/>
      <c r="MUQ134" s="251"/>
      <c r="MUR134" s="251"/>
      <c r="MUS134" s="251"/>
      <c r="MUT134" s="251"/>
      <c r="MUU134" s="251"/>
      <c r="MUV134" s="251"/>
      <c r="MUW134" s="251"/>
      <c r="MUX134" s="251"/>
      <c r="MUY134" s="251"/>
      <c r="MUZ134" s="251"/>
      <c r="MVA134" s="251"/>
      <c r="MVB134" s="251"/>
      <c r="MVC134" s="251"/>
      <c r="MVD134" s="251"/>
      <c r="MVE134" s="251"/>
      <c r="MVF134" s="251"/>
      <c r="MVG134" s="251"/>
      <c r="MVH134" s="251"/>
      <c r="MVI134" s="251"/>
      <c r="MVJ134" s="251"/>
      <c r="MVK134" s="251"/>
      <c r="MVL134" s="251"/>
      <c r="MVM134" s="251"/>
      <c r="MVN134" s="251"/>
      <c r="MVO134" s="251"/>
      <c r="MVP134" s="251"/>
      <c r="MVQ134" s="251"/>
      <c r="MVR134" s="251"/>
      <c r="MVS134" s="251"/>
      <c r="MVT134" s="251"/>
      <c r="MVU134" s="251"/>
      <c r="MVV134" s="251"/>
      <c r="MVW134" s="251"/>
      <c r="MVX134" s="251"/>
      <c r="MVY134" s="251"/>
      <c r="MVZ134" s="251"/>
      <c r="MWA134" s="251"/>
      <c r="MWB134" s="251"/>
      <c r="MWC134" s="251"/>
      <c r="MWD134" s="251"/>
      <c r="MWE134" s="251"/>
      <c r="MWF134" s="251"/>
      <c r="MWG134" s="251"/>
      <c r="MWH134" s="251"/>
      <c r="MWI134" s="251"/>
      <c r="MWJ134" s="251"/>
      <c r="MWK134" s="251"/>
      <c r="MWL134" s="251"/>
      <c r="MWM134" s="251"/>
      <c r="MWN134" s="251"/>
      <c r="MWO134" s="251"/>
      <c r="MWP134" s="251"/>
      <c r="MWQ134" s="251"/>
      <c r="MWR134" s="251"/>
      <c r="MWS134" s="251"/>
      <c r="MWT134" s="251"/>
      <c r="MWU134" s="251"/>
      <c r="MWV134" s="251"/>
      <c r="MWW134" s="251"/>
      <c r="MWX134" s="251"/>
      <c r="MWY134" s="251"/>
      <c r="MWZ134" s="251"/>
      <c r="MXA134" s="251"/>
      <c r="MXB134" s="251"/>
      <c r="MXC134" s="251"/>
      <c r="MXD134" s="251"/>
      <c r="MXE134" s="251"/>
      <c r="MXF134" s="251"/>
      <c r="MXG134" s="251"/>
      <c r="MXH134" s="251"/>
      <c r="MXI134" s="251"/>
      <c r="MXJ134" s="251"/>
      <c r="MXK134" s="251"/>
      <c r="MXL134" s="251"/>
      <c r="MXM134" s="251"/>
      <c r="MXN134" s="251"/>
      <c r="MXO134" s="251"/>
      <c r="MXP134" s="251"/>
      <c r="MXQ134" s="251"/>
      <c r="MXR134" s="251"/>
      <c r="MXS134" s="251"/>
      <c r="MXT134" s="251"/>
      <c r="MXU134" s="251"/>
      <c r="MXV134" s="251"/>
      <c r="MXW134" s="251"/>
      <c r="MXX134" s="251"/>
      <c r="MXY134" s="251"/>
      <c r="MXZ134" s="251"/>
      <c r="MYA134" s="251"/>
      <c r="MYB134" s="251"/>
      <c r="MYC134" s="251"/>
      <c r="MYD134" s="251"/>
      <c r="MYE134" s="251"/>
      <c r="MYF134" s="251"/>
      <c r="MYG134" s="251"/>
      <c r="MYH134" s="251"/>
      <c r="MYI134" s="251"/>
      <c r="MYJ134" s="251"/>
      <c r="MYK134" s="251"/>
      <c r="MYL134" s="251"/>
      <c r="MYM134" s="251"/>
      <c r="MYN134" s="251"/>
      <c r="MYO134" s="251"/>
      <c r="MYP134" s="251"/>
      <c r="MYQ134" s="251"/>
      <c r="MYR134" s="251"/>
      <c r="MYS134" s="251"/>
      <c r="MYT134" s="251"/>
      <c r="MYU134" s="251"/>
      <c r="MYV134" s="251"/>
      <c r="MYW134" s="251"/>
      <c r="MYX134" s="251"/>
      <c r="MYY134" s="251"/>
      <c r="MYZ134" s="251"/>
      <c r="MZA134" s="251"/>
      <c r="MZB134" s="251"/>
      <c r="MZC134" s="251"/>
      <c r="MZD134" s="251"/>
      <c r="MZE134" s="251"/>
      <c r="MZF134" s="251"/>
      <c r="MZG134" s="251"/>
      <c r="MZH134" s="251"/>
      <c r="MZI134" s="251"/>
      <c r="MZJ134" s="251"/>
      <c r="MZK134" s="251"/>
      <c r="MZL134" s="251"/>
      <c r="MZM134" s="251"/>
      <c r="MZN134" s="251"/>
      <c r="MZO134" s="251"/>
      <c r="MZP134" s="251"/>
      <c r="MZQ134" s="251"/>
      <c r="MZR134" s="251"/>
      <c r="MZS134" s="251"/>
      <c r="MZT134" s="251"/>
      <c r="MZU134" s="251"/>
      <c r="MZV134" s="251"/>
      <c r="MZW134" s="251"/>
      <c r="MZX134" s="251"/>
      <c r="MZY134" s="251"/>
      <c r="MZZ134" s="251"/>
      <c r="NAA134" s="251"/>
      <c r="NAB134" s="251"/>
      <c r="NAC134" s="251"/>
      <c r="NAD134" s="251"/>
      <c r="NAE134" s="251"/>
      <c r="NAF134" s="251"/>
      <c r="NAG134" s="251"/>
      <c r="NAH134" s="251"/>
      <c r="NAI134" s="251"/>
      <c r="NAJ134" s="251"/>
      <c r="NAK134" s="251"/>
      <c r="NAL134" s="251"/>
      <c r="NAM134" s="251"/>
      <c r="NAN134" s="251"/>
      <c r="NAO134" s="251"/>
      <c r="NAP134" s="251"/>
      <c r="NAQ134" s="251"/>
      <c r="NAR134" s="251"/>
      <c r="NAS134" s="251"/>
      <c r="NAT134" s="251"/>
      <c r="NAU134" s="251"/>
      <c r="NAV134" s="251"/>
      <c r="NAW134" s="251"/>
      <c r="NAX134" s="251"/>
      <c r="NAY134" s="251"/>
      <c r="NAZ134" s="251"/>
      <c r="NBA134" s="251"/>
      <c r="NBB134" s="251"/>
      <c r="NBC134" s="251"/>
      <c r="NBD134" s="251"/>
      <c r="NBE134" s="251"/>
      <c r="NBF134" s="251"/>
      <c r="NBG134" s="251"/>
      <c r="NBH134" s="251"/>
      <c r="NBI134" s="251"/>
      <c r="NBJ134" s="251"/>
      <c r="NBK134" s="251"/>
      <c r="NBL134" s="251"/>
      <c r="NBM134" s="251"/>
      <c r="NBN134" s="251"/>
      <c r="NBO134" s="251"/>
      <c r="NBP134" s="251"/>
      <c r="NBQ134" s="251"/>
      <c r="NBR134" s="251"/>
      <c r="NBS134" s="251"/>
      <c r="NBT134" s="251"/>
      <c r="NBU134" s="251"/>
      <c r="NBV134" s="251"/>
      <c r="NBW134" s="251"/>
      <c r="NBX134" s="251"/>
      <c r="NBY134" s="251"/>
      <c r="NBZ134" s="251"/>
      <c r="NCA134" s="251"/>
      <c r="NCB134" s="251"/>
      <c r="NCC134" s="251"/>
      <c r="NCD134" s="251"/>
      <c r="NCE134" s="251"/>
      <c r="NCF134" s="251"/>
      <c r="NCG134" s="251"/>
      <c r="NCH134" s="251"/>
      <c r="NCI134" s="251"/>
      <c r="NCJ134" s="251"/>
      <c r="NCK134" s="251"/>
      <c r="NCL134" s="251"/>
      <c r="NCM134" s="251"/>
      <c r="NCN134" s="251"/>
      <c r="NCO134" s="251"/>
      <c r="NCP134" s="251"/>
      <c r="NCQ134" s="251"/>
      <c r="NCR134" s="251"/>
      <c r="NCS134" s="251"/>
      <c r="NCT134" s="251"/>
      <c r="NCU134" s="251"/>
      <c r="NCV134" s="251"/>
      <c r="NCW134" s="251"/>
      <c r="NCX134" s="251"/>
      <c r="NCY134" s="251"/>
      <c r="NCZ134" s="251"/>
      <c r="NDA134" s="251"/>
      <c r="NDB134" s="251"/>
      <c r="NDC134" s="251"/>
      <c r="NDD134" s="251"/>
      <c r="NDE134" s="251"/>
      <c r="NDF134" s="251"/>
      <c r="NDG134" s="251"/>
      <c r="NDH134" s="251"/>
      <c r="NDI134" s="251"/>
      <c r="NDJ134" s="251"/>
      <c r="NDK134" s="251"/>
      <c r="NDL134" s="251"/>
      <c r="NDM134" s="251"/>
      <c r="NDN134" s="251"/>
      <c r="NDO134" s="251"/>
      <c r="NDP134" s="251"/>
      <c r="NDQ134" s="251"/>
      <c r="NDR134" s="251"/>
      <c r="NDS134" s="251"/>
      <c r="NDT134" s="251"/>
      <c r="NDU134" s="251"/>
      <c r="NDV134" s="251"/>
      <c r="NDW134" s="251"/>
      <c r="NDX134" s="251"/>
      <c r="NDY134" s="251"/>
      <c r="NDZ134" s="251"/>
      <c r="NEA134" s="251"/>
      <c r="NEB134" s="251"/>
      <c r="NEC134" s="251"/>
      <c r="NED134" s="251"/>
      <c r="NEE134" s="251"/>
      <c r="NEF134" s="251"/>
      <c r="NEG134" s="251"/>
      <c r="NEH134" s="251"/>
      <c r="NEI134" s="251"/>
      <c r="NEJ134" s="251"/>
      <c r="NEK134" s="251"/>
      <c r="NEL134" s="251"/>
      <c r="NEM134" s="251"/>
      <c r="NEN134" s="251"/>
      <c r="NEO134" s="251"/>
      <c r="NEP134" s="251"/>
      <c r="NEQ134" s="251"/>
      <c r="NER134" s="251"/>
      <c r="NES134" s="251"/>
      <c r="NET134" s="251"/>
      <c r="NEU134" s="251"/>
      <c r="NEV134" s="251"/>
      <c r="NEW134" s="251"/>
      <c r="NEX134" s="251"/>
      <c r="NEY134" s="251"/>
      <c r="NEZ134" s="251"/>
      <c r="NFA134" s="251"/>
      <c r="NFB134" s="251"/>
      <c r="NFC134" s="251"/>
      <c r="NFD134" s="251"/>
      <c r="NFE134" s="251"/>
      <c r="NFF134" s="251"/>
      <c r="NFG134" s="251"/>
      <c r="NFH134" s="251"/>
      <c r="NFI134" s="251"/>
      <c r="NFJ134" s="251"/>
      <c r="NFK134" s="251"/>
      <c r="NFL134" s="251"/>
      <c r="NFM134" s="251"/>
      <c r="NFN134" s="251"/>
      <c r="NFO134" s="251"/>
      <c r="NFP134" s="251"/>
      <c r="NFQ134" s="251"/>
      <c r="NFR134" s="251"/>
      <c r="NFS134" s="251"/>
      <c r="NFT134" s="251"/>
      <c r="NFU134" s="251"/>
      <c r="NFV134" s="251"/>
      <c r="NFW134" s="251"/>
      <c r="NFX134" s="251"/>
      <c r="NFY134" s="251"/>
      <c r="NFZ134" s="251"/>
      <c r="NGA134" s="251"/>
      <c r="NGB134" s="251"/>
      <c r="NGC134" s="251"/>
      <c r="NGD134" s="251"/>
      <c r="NGE134" s="251"/>
      <c r="NGF134" s="251"/>
      <c r="NGG134" s="251"/>
      <c r="NGH134" s="251"/>
      <c r="NGI134" s="251"/>
      <c r="NGJ134" s="251"/>
      <c r="NGK134" s="251"/>
      <c r="NGL134" s="251"/>
      <c r="NGM134" s="251"/>
      <c r="NGN134" s="251"/>
      <c r="NGO134" s="251"/>
      <c r="NGP134" s="251"/>
      <c r="NGQ134" s="251"/>
      <c r="NGR134" s="251"/>
      <c r="NGS134" s="251"/>
      <c r="NGT134" s="251"/>
      <c r="NGU134" s="251"/>
      <c r="NGV134" s="251"/>
      <c r="NGW134" s="251"/>
      <c r="NGX134" s="251"/>
      <c r="NGY134" s="251"/>
      <c r="NGZ134" s="251"/>
      <c r="NHA134" s="251"/>
      <c r="NHB134" s="251"/>
      <c r="NHC134" s="251"/>
      <c r="NHD134" s="251"/>
      <c r="NHE134" s="251"/>
      <c r="NHF134" s="251"/>
      <c r="NHG134" s="251"/>
      <c r="NHH134" s="251"/>
      <c r="NHI134" s="251"/>
      <c r="NHJ134" s="251"/>
      <c r="NHK134" s="251"/>
      <c r="NHL134" s="251"/>
      <c r="NHM134" s="251"/>
      <c r="NHN134" s="251"/>
      <c r="NHO134" s="251"/>
      <c r="NHP134" s="251"/>
      <c r="NHQ134" s="251"/>
      <c r="NHR134" s="251"/>
      <c r="NHS134" s="251"/>
      <c r="NHT134" s="251"/>
      <c r="NHU134" s="251"/>
      <c r="NHV134" s="251"/>
      <c r="NHW134" s="251"/>
      <c r="NHX134" s="251"/>
      <c r="NHY134" s="251"/>
      <c r="NHZ134" s="251"/>
      <c r="NIA134" s="251"/>
      <c r="NIB134" s="251"/>
      <c r="NIC134" s="251"/>
      <c r="NID134" s="251"/>
      <c r="NIE134" s="251"/>
      <c r="NIF134" s="251"/>
      <c r="NIG134" s="251"/>
      <c r="NIH134" s="251"/>
      <c r="NII134" s="251"/>
      <c r="NIJ134" s="251"/>
      <c r="NIK134" s="251"/>
      <c r="NIL134" s="251"/>
      <c r="NIM134" s="251"/>
      <c r="NIN134" s="251"/>
      <c r="NIO134" s="251"/>
      <c r="NIP134" s="251"/>
      <c r="NIQ134" s="251"/>
      <c r="NIR134" s="251"/>
      <c r="NIS134" s="251"/>
      <c r="NIT134" s="251"/>
      <c r="NIU134" s="251"/>
      <c r="NIV134" s="251"/>
      <c r="NIW134" s="251"/>
      <c r="NIX134" s="251"/>
      <c r="NIY134" s="251"/>
      <c r="NIZ134" s="251"/>
      <c r="NJA134" s="251"/>
      <c r="NJB134" s="251"/>
      <c r="NJC134" s="251"/>
      <c r="NJD134" s="251"/>
      <c r="NJE134" s="251"/>
      <c r="NJF134" s="251"/>
      <c r="NJG134" s="251"/>
      <c r="NJH134" s="251"/>
      <c r="NJI134" s="251"/>
      <c r="NJJ134" s="251"/>
      <c r="NJK134" s="251"/>
      <c r="NJL134" s="251"/>
      <c r="NJM134" s="251"/>
      <c r="NJN134" s="251"/>
      <c r="NJO134" s="251"/>
      <c r="NJP134" s="251"/>
      <c r="NJQ134" s="251"/>
      <c r="NJR134" s="251"/>
      <c r="NJS134" s="251"/>
      <c r="NJT134" s="251"/>
      <c r="NJU134" s="251"/>
      <c r="NJV134" s="251"/>
      <c r="NJW134" s="251"/>
      <c r="NJX134" s="251"/>
      <c r="NJY134" s="251"/>
      <c r="NJZ134" s="251"/>
      <c r="NKA134" s="251"/>
      <c r="NKB134" s="251"/>
      <c r="NKC134" s="251"/>
      <c r="NKD134" s="251"/>
      <c r="NKE134" s="251"/>
      <c r="NKF134" s="251"/>
      <c r="NKG134" s="251"/>
      <c r="NKH134" s="251"/>
      <c r="NKI134" s="251"/>
      <c r="NKJ134" s="251"/>
      <c r="NKK134" s="251"/>
      <c r="NKL134" s="251"/>
      <c r="NKM134" s="251"/>
      <c r="NKN134" s="251"/>
      <c r="NKO134" s="251"/>
      <c r="NKP134" s="251"/>
      <c r="NKQ134" s="251"/>
      <c r="NKR134" s="251"/>
      <c r="NKS134" s="251"/>
      <c r="NKT134" s="251"/>
      <c r="NKU134" s="251"/>
      <c r="NKV134" s="251"/>
      <c r="NKW134" s="251"/>
      <c r="NKX134" s="251"/>
      <c r="NKY134" s="251"/>
      <c r="NKZ134" s="251"/>
      <c r="NLA134" s="251"/>
      <c r="NLB134" s="251"/>
      <c r="NLC134" s="251"/>
      <c r="NLD134" s="251"/>
      <c r="NLE134" s="251"/>
      <c r="NLF134" s="251"/>
      <c r="NLG134" s="251"/>
      <c r="NLH134" s="251"/>
      <c r="NLI134" s="251"/>
      <c r="NLJ134" s="251"/>
      <c r="NLK134" s="251"/>
      <c r="NLL134" s="251"/>
      <c r="NLM134" s="251"/>
      <c r="NLN134" s="251"/>
      <c r="NLO134" s="251"/>
      <c r="NLP134" s="251"/>
      <c r="NLQ134" s="251"/>
      <c r="NLR134" s="251"/>
      <c r="NLS134" s="251"/>
      <c r="NLT134" s="251"/>
      <c r="NLU134" s="251"/>
      <c r="NLV134" s="251"/>
      <c r="NLW134" s="251"/>
      <c r="NLX134" s="251"/>
      <c r="NLY134" s="251"/>
      <c r="NLZ134" s="251"/>
      <c r="NMA134" s="251"/>
      <c r="NMB134" s="251"/>
      <c r="NMC134" s="251"/>
      <c r="NMD134" s="251"/>
      <c r="NME134" s="251"/>
      <c r="NMF134" s="251"/>
      <c r="NMG134" s="251"/>
      <c r="NMH134" s="251"/>
      <c r="NMI134" s="251"/>
      <c r="NMJ134" s="251"/>
      <c r="NMK134" s="251"/>
      <c r="NML134" s="251"/>
      <c r="NMM134" s="251"/>
      <c r="NMN134" s="251"/>
      <c r="NMO134" s="251"/>
      <c r="NMP134" s="251"/>
      <c r="NMQ134" s="251"/>
      <c r="NMR134" s="251"/>
      <c r="NMS134" s="251"/>
      <c r="NMT134" s="251"/>
      <c r="NMU134" s="251"/>
      <c r="NMV134" s="251"/>
      <c r="NMW134" s="251"/>
      <c r="NMX134" s="251"/>
      <c r="NMY134" s="251"/>
      <c r="NMZ134" s="251"/>
      <c r="NNA134" s="251"/>
      <c r="NNB134" s="251"/>
      <c r="NNC134" s="251"/>
      <c r="NND134" s="251"/>
      <c r="NNE134" s="251"/>
      <c r="NNF134" s="251"/>
      <c r="NNG134" s="251"/>
      <c r="NNH134" s="251"/>
      <c r="NNI134" s="251"/>
      <c r="NNJ134" s="251"/>
      <c r="NNK134" s="251"/>
      <c r="NNL134" s="251"/>
      <c r="NNM134" s="251"/>
      <c r="NNN134" s="251"/>
      <c r="NNO134" s="251"/>
      <c r="NNP134" s="251"/>
      <c r="NNQ134" s="251"/>
      <c r="NNR134" s="251"/>
      <c r="NNS134" s="251"/>
      <c r="NNT134" s="251"/>
      <c r="NNU134" s="251"/>
      <c r="NNV134" s="251"/>
      <c r="NNW134" s="251"/>
      <c r="NNX134" s="251"/>
      <c r="NNY134" s="251"/>
      <c r="NNZ134" s="251"/>
      <c r="NOA134" s="251"/>
      <c r="NOB134" s="251"/>
      <c r="NOC134" s="251"/>
      <c r="NOD134" s="251"/>
      <c r="NOE134" s="251"/>
      <c r="NOF134" s="251"/>
      <c r="NOG134" s="251"/>
      <c r="NOH134" s="251"/>
      <c r="NOI134" s="251"/>
      <c r="NOJ134" s="251"/>
      <c r="NOK134" s="251"/>
      <c r="NOL134" s="251"/>
      <c r="NOM134" s="251"/>
      <c r="NON134" s="251"/>
      <c r="NOO134" s="251"/>
      <c r="NOP134" s="251"/>
      <c r="NOQ134" s="251"/>
      <c r="NOR134" s="251"/>
      <c r="NOS134" s="251"/>
      <c r="NOT134" s="251"/>
      <c r="NOU134" s="251"/>
      <c r="NOV134" s="251"/>
      <c r="NOW134" s="251"/>
      <c r="NOX134" s="251"/>
      <c r="NOY134" s="251"/>
      <c r="NOZ134" s="251"/>
      <c r="NPA134" s="251"/>
      <c r="NPB134" s="251"/>
      <c r="NPC134" s="251"/>
      <c r="NPD134" s="251"/>
      <c r="NPE134" s="251"/>
      <c r="NPF134" s="251"/>
      <c r="NPG134" s="251"/>
      <c r="NPH134" s="251"/>
      <c r="NPI134" s="251"/>
      <c r="NPJ134" s="251"/>
      <c r="NPK134" s="251"/>
      <c r="NPL134" s="251"/>
      <c r="NPM134" s="251"/>
      <c r="NPN134" s="251"/>
      <c r="NPO134" s="251"/>
      <c r="NPP134" s="251"/>
      <c r="NPQ134" s="251"/>
      <c r="NPR134" s="251"/>
      <c r="NPS134" s="251"/>
      <c r="NPT134" s="251"/>
      <c r="NPU134" s="251"/>
      <c r="NPV134" s="251"/>
      <c r="NPW134" s="251"/>
      <c r="NPX134" s="251"/>
      <c r="NPY134" s="251"/>
      <c r="NPZ134" s="251"/>
      <c r="NQA134" s="251"/>
      <c r="NQB134" s="251"/>
      <c r="NQC134" s="251"/>
      <c r="NQD134" s="251"/>
      <c r="NQE134" s="251"/>
      <c r="NQF134" s="251"/>
      <c r="NQG134" s="251"/>
      <c r="NQH134" s="251"/>
      <c r="NQI134" s="251"/>
      <c r="NQJ134" s="251"/>
      <c r="NQK134" s="251"/>
      <c r="NQL134" s="251"/>
      <c r="NQM134" s="251"/>
      <c r="NQN134" s="251"/>
      <c r="NQO134" s="251"/>
      <c r="NQP134" s="251"/>
      <c r="NQQ134" s="251"/>
      <c r="NQR134" s="251"/>
      <c r="NQS134" s="251"/>
      <c r="NQT134" s="251"/>
      <c r="NQU134" s="251"/>
      <c r="NQV134" s="251"/>
      <c r="NQW134" s="251"/>
      <c r="NQX134" s="251"/>
      <c r="NQY134" s="251"/>
      <c r="NQZ134" s="251"/>
      <c r="NRA134" s="251"/>
      <c r="NRB134" s="251"/>
      <c r="NRC134" s="251"/>
      <c r="NRD134" s="251"/>
      <c r="NRE134" s="251"/>
      <c r="NRF134" s="251"/>
      <c r="NRG134" s="251"/>
      <c r="NRH134" s="251"/>
      <c r="NRI134" s="251"/>
      <c r="NRJ134" s="251"/>
      <c r="NRK134" s="251"/>
      <c r="NRL134" s="251"/>
      <c r="NRM134" s="251"/>
      <c r="NRN134" s="251"/>
      <c r="NRO134" s="251"/>
      <c r="NRP134" s="251"/>
      <c r="NRQ134" s="251"/>
      <c r="NRR134" s="251"/>
      <c r="NRS134" s="251"/>
      <c r="NRT134" s="251"/>
      <c r="NRU134" s="251"/>
      <c r="NRV134" s="251"/>
      <c r="NRW134" s="251"/>
      <c r="NRX134" s="251"/>
      <c r="NRY134" s="251"/>
      <c r="NRZ134" s="251"/>
      <c r="NSA134" s="251"/>
      <c r="NSB134" s="251"/>
      <c r="NSC134" s="251"/>
      <c r="NSD134" s="251"/>
      <c r="NSE134" s="251"/>
      <c r="NSF134" s="251"/>
      <c r="NSG134" s="251"/>
      <c r="NSH134" s="251"/>
      <c r="NSI134" s="251"/>
      <c r="NSJ134" s="251"/>
      <c r="NSK134" s="251"/>
      <c r="NSL134" s="251"/>
      <c r="NSM134" s="251"/>
      <c r="NSN134" s="251"/>
      <c r="NSO134" s="251"/>
      <c r="NSP134" s="251"/>
      <c r="NSQ134" s="251"/>
      <c r="NSR134" s="251"/>
      <c r="NSS134" s="251"/>
      <c r="NST134" s="251"/>
      <c r="NSU134" s="251"/>
      <c r="NSV134" s="251"/>
      <c r="NSW134" s="251"/>
      <c r="NSX134" s="251"/>
      <c r="NSY134" s="251"/>
      <c r="NSZ134" s="251"/>
      <c r="NTA134" s="251"/>
      <c r="NTB134" s="251"/>
      <c r="NTC134" s="251"/>
      <c r="NTD134" s="251"/>
      <c r="NTE134" s="251"/>
      <c r="NTF134" s="251"/>
      <c r="NTG134" s="251"/>
      <c r="NTH134" s="251"/>
      <c r="NTI134" s="251"/>
      <c r="NTJ134" s="251"/>
      <c r="NTK134" s="251"/>
      <c r="NTL134" s="251"/>
      <c r="NTM134" s="251"/>
      <c r="NTN134" s="251"/>
      <c r="NTO134" s="251"/>
      <c r="NTP134" s="251"/>
      <c r="NTQ134" s="251"/>
      <c r="NTR134" s="251"/>
      <c r="NTS134" s="251"/>
      <c r="NTT134" s="251"/>
      <c r="NTU134" s="251"/>
      <c r="NTV134" s="251"/>
      <c r="NTW134" s="251"/>
      <c r="NTX134" s="251"/>
      <c r="NTY134" s="251"/>
      <c r="NTZ134" s="251"/>
      <c r="NUA134" s="251"/>
      <c r="NUB134" s="251"/>
      <c r="NUC134" s="251"/>
      <c r="NUD134" s="251"/>
      <c r="NUE134" s="251"/>
      <c r="NUF134" s="251"/>
      <c r="NUG134" s="251"/>
      <c r="NUH134" s="251"/>
      <c r="NUI134" s="251"/>
      <c r="NUJ134" s="251"/>
      <c r="NUK134" s="251"/>
      <c r="NUL134" s="251"/>
      <c r="NUM134" s="251"/>
      <c r="NUN134" s="251"/>
      <c r="NUO134" s="251"/>
      <c r="NUP134" s="251"/>
      <c r="NUQ134" s="251"/>
      <c r="NUR134" s="251"/>
      <c r="NUS134" s="251"/>
      <c r="NUT134" s="251"/>
      <c r="NUU134" s="251"/>
      <c r="NUV134" s="251"/>
      <c r="NUW134" s="251"/>
      <c r="NUX134" s="251"/>
      <c r="NUY134" s="251"/>
      <c r="NUZ134" s="251"/>
      <c r="NVA134" s="251"/>
      <c r="NVB134" s="251"/>
      <c r="NVC134" s="251"/>
      <c r="NVD134" s="251"/>
      <c r="NVE134" s="251"/>
      <c r="NVF134" s="251"/>
      <c r="NVG134" s="251"/>
      <c r="NVH134" s="251"/>
      <c r="NVI134" s="251"/>
      <c r="NVJ134" s="251"/>
      <c r="NVK134" s="251"/>
      <c r="NVL134" s="251"/>
      <c r="NVM134" s="251"/>
      <c r="NVN134" s="251"/>
      <c r="NVO134" s="251"/>
      <c r="NVP134" s="251"/>
      <c r="NVQ134" s="251"/>
      <c r="NVR134" s="251"/>
      <c r="NVS134" s="251"/>
      <c r="NVT134" s="251"/>
      <c r="NVU134" s="251"/>
      <c r="NVV134" s="251"/>
      <c r="NVW134" s="251"/>
      <c r="NVX134" s="251"/>
      <c r="NVY134" s="251"/>
      <c r="NVZ134" s="251"/>
      <c r="NWA134" s="251"/>
      <c r="NWB134" s="251"/>
      <c r="NWC134" s="251"/>
      <c r="NWD134" s="251"/>
      <c r="NWE134" s="251"/>
      <c r="NWF134" s="251"/>
      <c r="NWG134" s="251"/>
      <c r="NWH134" s="251"/>
      <c r="NWI134" s="251"/>
      <c r="NWJ134" s="251"/>
      <c r="NWK134" s="251"/>
      <c r="NWL134" s="251"/>
      <c r="NWM134" s="251"/>
      <c r="NWN134" s="251"/>
      <c r="NWO134" s="251"/>
      <c r="NWP134" s="251"/>
      <c r="NWQ134" s="251"/>
      <c r="NWR134" s="251"/>
      <c r="NWS134" s="251"/>
      <c r="NWT134" s="251"/>
      <c r="NWU134" s="251"/>
      <c r="NWV134" s="251"/>
      <c r="NWW134" s="251"/>
      <c r="NWX134" s="251"/>
      <c r="NWY134" s="251"/>
      <c r="NWZ134" s="251"/>
      <c r="NXA134" s="251"/>
      <c r="NXB134" s="251"/>
      <c r="NXC134" s="251"/>
      <c r="NXD134" s="251"/>
      <c r="NXE134" s="251"/>
      <c r="NXF134" s="251"/>
      <c r="NXG134" s="251"/>
      <c r="NXH134" s="251"/>
      <c r="NXI134" s="251"/>
      <c r="NXJ134" s="251"/>
      <c r="NXK134" s="251"/>
      <c r="NXL134" s="251"/>
      <c r="NXM134" s="251"/>
      <c r="NXN134" s="251"/>
      <c r="NXO134" s="251"/>
      <c r="NXP134" s="251"/>
      <c r="NXQ134" s="251"/>
      <c r="NXR134" s="251"/>
      <c r="NXS134" s="251"/>
      <c r="NXT134" s="251"/>
      <c r="NXU134" s="251"/>
      <c r="NXV134" s="251"/>
      <c r="NXW134" s="251"/>
      <c r="NXX134" s="251"/>
      <c r="NXY134" s="251"/>
      <c r="NXZ134" s="251"/>
      <c r="NYA134" s="251"/>
      <c r="NYB134" s="251"/>
      <c r="NYC134" s="251"/>
      <c r="NYD134" s="251"/>
      <c r="NYE134" s="251"/>
      <c r="NYF134" s="251"/>
      <c r="NYG134" s="251"/>
      <c r="NYH134" s="251"/>
      <c r="NYI134" s="251"/>
      <c r="NYJ134" s="251"/>
      <c r="NYK134" s="251"/>
      <c r="NYL134" s="251"/>
      <c r="NYM134" s="251"/>
      <c r="NYN134" s="251"/>
      <c r="NYO134" s="251"/>
      <c r="NYP134" s="251"/>
      <c r="NYQ134" s="251"/>
      <c r="NYR134" s="251"/>
      <c r="NYS134" s="251"/>
      <c r="NYT134" s="251"/>
      <c r="NYU134" s="251"/>
      <c r="NYV134" s="251"/>
      <c r="NYW134" s="251"/>
      <c r="NYX134" s="251"/>
      <c r="NYY134" s="251"/>
      <c r="NYZ134" s="251"/>
      <c r="NZA134" s="251"/>
      <c r="NZB134" s="251"/>
      <c r="NZC134" s="251"/>
      <c r="NZD134" s="251"/>
      <c r="NZE134" s="251"/>
      <c r="NZF134" s="251"/>
      <c r="NZG134" s="251"/>
      <c r="NZH134" s="251"/>
      <c r="NZI134" s="251"/>
      <c r="NZJ134" s="251"/>
      <c r="NZK134" s="251"/>
      <c r="NZL134" s="251"/>
      <c r="NZM134" s="251"/>
      <c r="NZN134" s="251"/>
      <c r="NZO134" s="251"/>
      <c r="NZP134" s="251"/>
      <c r="NZQ134" s="251"/>
      <c r="NZR134" s="251"/>
      <c r="NZS134" s="251"/>
      <c r="NZT134" s="251"/>
      <c r="NZU134" s="251"/>
      <c r="NZV134" s="251"/>
      <c r="NZW134" s="251"/>
      <c r="NZX134" s="251"/>
      <c r="NZY134" s="251"/>
      <c r="NZZ134" s="251"/>
      <c r="OAA134" s="251"/>
      <c r="OAB134" s="251"/>
      <c r="OAC134" s="251"/>
      <c r="OAD134" s="251"/>
      <c r="OAE134" s="251"/>
      <c r="OAF134" s="251"/>
      <c r="OAG134" s="251"/>
      <c r="OAH134" s="251"/>
      <c r="OAI134" s="251"/>
      <c r="OAJ134" s="251"/>
      <c r="OAK134" s="251"/>
      <c r="OAL134" s="251"/>
      <c r="OAM134" s="251"/>
      <c r="OAN134" s="251"/>
      <c r="OAO134" s="251"/>
      <c r="OAP134" s="251"/>
      <c r="OAQ134" s="251"/>
      <c r="OAR134" s="251"/>
      <c r="OAS134" s="251"/>
      <c r="OAT134" s="251"/>
      <c r="OAU134" s="251"/>
      <c r="OAV134" s="251"/>
      <c r="OAW134" s="251"/>
      <c r="OAX134" s="251"/>
      <c r="OAY134" s="251"/>
      <c r="OAZ134" s="251"/>
      <c r="OBA134" s="251"/>
      <c r="OBB134" s="251"/>
      <c r="OBC134" s="251"/>
      <c r="OBD134" s="251"/>
      <c r="OBE134" s="251"/>
      <c r="OBF134" s="251"/>
      <c r="OBG134" s="251"/>
      <c r="OBH134" s="251"/>
      <c r="OBI134" s="251"/>
      <c r="OBJ134" s="251"/>
      <c r="OBK134" s="251"/>
      <c r="OBL134" s="251"/>
      <c r="OBM134" s="251"/>
      <c r="OBN134" s="251"/>
      <c r="OBO134" s="251"/>
      <c r="OBP134" s="251"/>
      <c r="OBQ134" s="251"/>
      <c r="OBR134" s="251"/>
      <c r="OBS134" s="251"/>
      <c r="OBT134" s="251"/>
      <c r="OBU134" s="251"/>
      <c r="OBV134" s="251"/>
      <c r="OBW134" s="251"/>
      <c r="OBX134" s="251"/>
      <c r="OBY134" s="251"/>
      <c r="OBZ134" s="251"/>
      <c r="OCA134" s="251"/>
      <c r="OCB134" s="251"/>
      <c r="OCC134" s="251"/>
      <c r="OCD134" s="251"/>
      <c r="OCE134" s="251"/>
      <c r="OCF134" s="251"/>
      <c r="OCG134" s="251"/>
      <c r="OCH134" s="251"/>
      <c r="OCI134" s="251"/>
      <c r="OCJ134" s="251"/>
      <c r="OCK134" s="251"/>
      <c r="OCL134" s="251"/>
      <c r="OCM134" s="251"/>
      <c r="OCN134" s="251"/>
      <c r="OCO134" s="251"/>
      <c r="OCP134" s="251"/>
      <c r="OCQ134" s="251"/>
      <c r="OCR134" s="251"/>
      <c r="OCS134" s="251"/>
      <c r="OCT134" s="251"/>
      <c r="OCU134" s="251"/>
      <c r="OCV134" s="251"/>
      <c r="OCW134" s="251"/>
      <c r="OCX134" s="251"/>
      <c r="OCY134" s="251"/>
      <c r="OCZ134" s="251"/>
      <c r="ODA134" s="251"/>
      <c r="ODB134" s="251"/>
      <c r="ODC134" s="251"/>
      <c r="ODD134" s="251"/>
      <c r="ODE134" s="251"/>
      <c r="ODF134" s="251"/>
      <c r="ODG134" s="251"/>
      <c r="ODH134" s="251"/>
      <c r="ODI134" s="251"/>
      <c r="ODJ134" s="251"/>
      <c r="ODK134" s="251"/>
      <c r="ODL134" s="251"/>
      <c r="ODM134" s="251"/>
      <c r="ODN134" s="251"/>
      <c r="ODO134" s="251"/>
      <c r="ODP134" s="251"/>
      <c r="ODQ134" s="251"/>
      <c r="ODR134" s="251"/>
      <c r="ODS134" s="251"/>
      <c r="ODT134" s="251"/>
      <c r="ODU134" s="251"/>
      <c r="ODV134" s="251"/>
      <c r="ODW134" s="251"/>
      <c r="ODX134" s="251"/>
      <c r="ODY134" s="251"/>
      <c r="ODZ134" s="251"/>
      <c r="OEA134" s="251"/>
      <c r="OEB134" s="251"/>
      <c r="OEC134" s="251"/>
      <c r="OED134" s="251"/>
      <c r="OEE134" s="251"/>
      <c r="OEF134" s="251"/>
      <c r="OEG134" s="251"/>
      <c r="OEH134" s="251"/>
      <c r="OEI134" s="251"/>
      <c r="OEJ134" s="251"/>
      <c r="OEK134" s="251"/>
      <c r="OEL134" s="251"/>
      <c r="OEM134" s="251"/>
      <c r="OEN134" s="251"/>
      <c r="OEO134" s="251"/>
      <c r="OEP134" s="251"/>
      <c r="OEQ134" s="251"/>
      <c r="OER134" s="251"/>
      <c r="OES134" s="251"/>
      <c r="OET134" s="251"/>
      <c r="OEU134" s="251"/>
      <c r="OEV134" s="251"/>
      <c r="OEW134" s="251"/>
      <c r="OEX134" s="251"/>
      <c r="OEY134" s="251"/>
      <c r="OEZ134" s="251"/>
      <c r="OFA134" s="251"/>
      <c r="OFB134" s="251"/>
      <c r="OFC134" s="251"/>
      <c r="OFD134" s="251"/>
      <c r="OFE134" s="251"/>
      <c r="OFF134" s="251"/>
      <c r="OFG134" s="251"/>
      <c r="OFH134" s="251"/>
      <c r="OFI134" s="251"/>
      <c r="OFJ134" s="251"/>
      <c r="OFK134" s="251"/>
      <c r="OFL134" s="251"/>
      <c r="OFM134" s="251"/>
      <c r="OFN134" s="251"/>
      <c r="OFO134" s="251"/>
      <c r="OFP134" s="251"/>
      <c r="OFQ134" s="251"/>
      <c r="OFR134" s="251"/>
      <c r="OFS134" s="251"/>
      <c r="OFT134" s="251"/>
      <c r="OFU134" s="251"/>
      <c r="OFV134" s="251"/>
      <c r="OFW134" s="251"/>
      <c r="OFX134" s="251"/>
      <c r="OFY134" s="251"/>
      <c r="OFZ134" s="251"/>
      <c r="OGA134" s="251"/>
      <c r="OGB134" s="251"/>
      <c r="OGC134" s="251"/>
      <c r="OGD134" s="251"/>
      <c r="OGE134" s="251"/>
      <c r="OGF134" s="251"/>
      <c r="OGG134" s="251"/>
      <c r="OGH134" s="251"/>
      <c r="OGI134" s="251"/>
      <c r="OGJ134" s="251"/>
      <c r="OGK134" s="251"/>
      <c r="OGL134" s="251"/>
      <c r="OGM134" s="251"/>
      <c r="OGN134" s="251"/>
      <c r="OGO134" s="251"/>
      <c r="OGP134" s="251"/>
      <c r="OGQ134" s="251"/>
      <c r="OGR134" s="251"/>
      <c r="OGS134" s="251"/>
      <c r="OGT134" s="251"/>
      <c r="OGU134" s="251"/>
      <c r="OGV134" s="251"/>
      <c r="OGW134" s="251"/>
      <c r="OGX134" s="251"/>
      <c r="OGY134" s="251"/>
      <c r="OGZ134" s="251"/>
      <c r="OHA134" s="251"/>
      <c r="OHB134" s="251"/>
      <c r="OHC134" s="251"/>
      <c r="OHD134" s="251"/>
      <c r="OHE134" s="251"/>
      <c r="OHF134" s="251"/>
      <c r="OHG134" s="251"/>
      <c r="OHH134" s="251"/>
      <c r="OHI134" s="251"/>
      <c r="OHJ134" s="251"/>
      <c r="OHK134" s="251"/>
      <c r="OHL134" s="251"/>
      <c r="OHM134" s="251"/>
      <c r="OHN134" s="251"/>
      <c r="OHO134" s="251"/>
      <c r="OHP134" s="251"/>
      <c r="OHQ134" s="251"/>
      <c r="OHR134" s="251"/>
      <c r="OHS134" s="251"/>
      <c r="OHT134" s="251"/>
      <c r="OHU134" s="251"/>
      <c r="OHV134" s="251"/>
      <c r="OHW134" s="251"/>
      <c r="OHX134" s="251"/>
      <c r="OHY134" s="251"/>
      <c r="OHZ134" s="251"/>
      <c r="OIA134" s="251"/>
      <c r="OIB134" s="251"/>
      <c r="OIC134" s="251"/>
      <c r="OID134" s="251"/>
      <c r="OIE134" s="251"/>
      <c r="OIF134" s="251"/>
      <c r="OIG134" s="251"/>
      <c r="OIH134" s="251"/>
      <c r="OII134" s="251"/>
      <c r="OIJ134" s="251"/>
      <c r="OIK134" s="251"/>
      <c r="OIL134" s="251"/>
      <c r="OIM134" s="251"/>
      <c r="OIN134" s="251"/>
      <c r="OIO134" s="251"/>
      <c r="OIP134" s="251"/>
      <c r="OIQ134" s="251"/>
      <c r="OIR134" s="251"/>
      <c r="OIS134" s="251"/>
      <c r="OIT134" s="251"/>
      <c r="OIU134" s="251"/>
      <c r="OIV134" s="251"/>
      <c r="OIW134" s="251"/>
      <c r="OIX134" s="251"/>
      <c r="OIY134" s="251"/>
      <c r="OIZ134" s="251"/>
      <c r="OJA134" s="251"/>
      <c r="OJB134" s="251"/>
      <c r="OJC134" s="251"/>
      <c r="OJD134" s="251"/>
      <c r="OJE134" s="251"/>
      <c r="OJF134" s="251"/>
      <c r="OJG134" s="251"/>
      <c r="OJH134" s="251"/>
      <c r="OJI134" s="251"/>
      <c r="OJJ134" s="251"/>
      <c r="OJK134" s="251"/>
      <c r="OJL134" s="251"/>
      <c r="OJM134" s="251"/>
      <c r="OJN134" s="251"/>
      <c r="OJO134" s="251"/>
      <c r="OJP134" s="251"/>
      <c r="OJQ134" s="251"/>
      <c r="OJR134" s="251"/>
      <c r="OJS134" s="251"/>
      <c r="OJT134" s="251"/>
      <c r="OJU134" s="251"/>
      <c r="OJV134" s="251"/>
      <c r="OJW134" s="251"/>
      <c r="OJX134" s="251"/>
      <c r="OJY134" s="251"/>
      <c r="OJZ134" s="251"/>
      <c r="OKA134" s="251"/>
      <c r="OKB134" s="251"/>
      <c r="OKC134" s="251"/>
      <c r="OKD134" s="251"/>
      <c r="OKE134" s="251"/>
      <c r="OKF134" s="251"/>
      <c r="OKG134" s="251"/>
      <c r="OKH134" s="251"/>
      <c r="OKI134" s="251"/>
      <c r="OKJ134" s="251"/>
      <c r="OKK134" s="251"/>
      <c r="OKL134" s="251"/>
      <c r="OKM134" s="251"/>
      <c r="OKN134" s="251"/>
      <c r="OKO134" s="251"/>
      <c r="OKP134" s="251"/>
      <c r="OKQ134" s="251"/>
      <c r="OKR134" s="251"/>
      <c r="OKS134" s="251"/>
      <c r="OKT134" s="251"/>
      <c r="OKU134" s="251"/>
      <c r="OKV134" s="251"/>
      <c r="OKW134" s="251"/>
      <c r="OKX134" s="251"/>
      <c r="OKY134" s="251"/>
      <c r="OKZ134" s="251"/>
      <c r="OLA134" s="251"/>
      <c r="OLB134" s="251"/>
      <c r="OLC134" s="251"/>
      <c r="OLD134" s="251"/>
      <c r="OLE134" s="251"/>
      <c r="OLF134" s="251"/>
      <c r="OLG134" s="251"/>
      <c r="OLH134" s="251"/>
      <c r="OLI134" s="251"/>
      <c r="OLJ134" s="251"/>
      <c r="OLK134" s="251"/>
      <c r="OLL134" s="251"/>
      <c r="OLM134" s="251"/>
      <c r="OLN134" s="251"/>
      <c r="OLO134" s="251"/>
      <c r="OLP134" s="251"/>
      <c r="OLQ134" s="251"/>
      <c r="OLR134" s="251"/>
      <c r="OLS134" s="251"/>
      <c r="OLT134" s="251"/>
      <c r="OLU134" s="251"/>
      <c r="OLV134" s="251"/>
      <c r="OLW134" s="251"/>
      <c r="OLX134" s="251"/>
      <c r="OLY134" s="251"/>
      <c r="OLZ134" s="251"/>
      <c r="OMA134" s="251"/>
      <c r="OMB134" s="251"/>
      <c r="OMC134" s="251"/>
      <c r="OMD134" s="251"/>
      <c r="OME134" s="251"/>
      <c r="OMF134" s="251"/>
      <c r="OMG134" s="251"/>
      <c r="OMH134" s="251"/>
      <c r="OMI134" s="251"/>
      <c r="OMJ134" s="251"/>
      <c r="OMK134" s="251"/>
      <c r="OML134" s="251"/>
      <c r="OMM134" s="251"/>
      <c r="OMN134" s="251"/>
      <c r="OMO134" s="251"/>
      <c r="OMP134" s="251"/>
      <c r="OMQ134" s="251"/>
      <c r="OMR134" s="251"/>
      <c r="OMS134" s="251"/>
      <c r="OMT134" s="251"/>
      <c r="OMU134" s="251"/>
      <c r="OMV134" s="251"/>
      <c r="OMW134" s="251"/>
      <c r="OMX134" s="251"/>
      <c r="OMY134" s="251"/>
      <c r="OMZ134" s="251"/>
      <c r="ONA134" s="251"/>
      <c r="ONB134" s="251"/>
      <c r="ONC134" s="251"/>
      <c r="OND134" s="251"/>
      <c r="ONE134" s="251"/>
      <c r="ONF134" s="251"/>
      <c r="ONG134" s="251"/>
      <c r="ONH134" s="251"/>
      <c r="ONI134" s="251"/>
      <c r="ONJ134" s="251"/>
      <c r="ONK134" s="251"/>
      <c r="ONL134" s="251"/>
      <c r="ONM134" s="251"/>
      <c r="ONN134" s="251"/>
      <c r="ONO134" s="251"/>
      <c r="ONP134" s="251"/>
      <c r="ONQ134" s="251"/>
      <c r="ONR134" s="251"/>
      <c r="ONS134" s="251"/>
      <c r="ONT134" s="251"/>
      <c r="ONU134" s="251"/>
      <c r="ONV134" s="251"/>
      <c r="ONW134" s="251"/>
      <c r="ONX134" s="251"/>
      <c r="ONY134" s="251"/>
      <c r="ONZ134" s="251"/>
      <c r="OOA134" s="251"/>
      <c r="OOB134" s="251"/>
      <c r="OOC134" s="251"/>
      <c r="OOD134" s="251"/>
      <c r="OOE134" s="251"/>
      <c r="OOF134" s="251"/>
      <c r="OOG134" s="251"/>
      <c r="OOH134" s="251"/>
      <c r="OOI134" s="251"/>
      <c r="OOJ134" s="251"/>
      <c r="OOK134" s="251"/>
      <c r="OOL134" s="251"/>
      <c r="OOM134" s="251"/>
      <c r="OON134" s="251"/>
      <c r="OOO134" s="251"/>
      <c r="OOP134" s="251"/>
      <c r="OOQ134" s="251"/>
      <c r="OOR134" s="251"/>
      <c r="OOS134" s="251"/>
      <c r="OOT134" s="251"/>
      <c r="OOU134" s="251"/>
      <c r="OOV134" s="251"/>
      <c r="OOW134" s="251"/>
      <c r="OOX134" s="251"/>
      <c r="OOY134" s="251"/>
      <c r="OOZ134" s="251"/>
      <c r="OPA134" s="251"/>
      <c r="OPB134" s="251"/>
      <c r="OPC134" s="251"/>
      <c r="OPD134" s="251"/>
      <c r="OPE134" s="251"/>
      <c r="OPF134" s="251"/>
      <c r="OPG134" s="251"/>
      <c r="OPH134" s="251"/>
      <c r="OPI134" s="251"/>
      <c r="OPJ134" s="251"/>
      <c r="OPK134" s="251"/>
      <c r="OPL134" s="251"/>
      <c r="OPM134" s="251"/>
      <c r="OPN134" s="251"/>
      <c r="OPO134" s="251"/>
      <c r="OPP134" s="251"/>
      <c r="OPQ134" s="251"/>
      <c r="OPR134" s="251"/>
      <c r="OPS134" s="251"/>
      <c r="OPT134" s="251"/>
      <c r="OPU134" s="251"/>
      <c r="OPV134" s="251"/>
      <c r="OPW134" s="251"/>
      <c r="OPX134" s="251"/>
      <c r="OPY134" s="251"/>
      <c r="OPZ134" s="251"/>
      <c r="OQA134" s="251"/>
      <c r="OQB134" s="251"/>
      <c r="OQC134" s="251"/>
      <c r="OQD134" s="251"/>
      <c r="OQE134" s="251"/>
      <c r="OQF134" s="251"/>
      <c r="OQG134" s="251"/>
      <c r="OQH134" s="251"/>
      <c r="OQI134" s="251"/>
      <c r="OQJ134" s="251"/>
      <c r="OQK134" s="251"/>
      <c r="OQL134" s="251"/>
      <c r="OQM134" s="251"/>
      <c r="OQN134" s="251"/>
      <c r="OQO134" s="251"/>
      <c r="OQP134" s="251"/>
      <c r="OQQ134" s="251"/>
      <c r="OQR134" s="251"/>
      <c r="OQS134" s="251"/>
      <c r="OQT134" s="251"/>
      <c r="OQU134" s="251"/>
      <c r="OQV134" s="251"/>
      <c r="OQW134" s="251"/>
      <c r="OQX134" s="251"/>
      <c r="OQY134" s="251"/>
      <c r="OQZ134" s="251"/>
      <c r="ORA134" s="251"/>
      <c r="ORB134" s="251"/>
      <c r="ORC134" s="251"/>
      <c r="ORD134" s="251"/>
      <c r="ORE134" s="251"/>
      <c r="ORF134" s="251"/>
      <c r="ORG134" s="251"/>
      <c r="ORH134" s="251"/>
      <c r="ORI134" s="251"/>
      <c r="ORJ134" s="251"/>
      <c r="ORK134" s="251"/>
      <c r="ORL134" s="251"/>
      <c r="ORM134" s="251"/>
      <c r="ORN134" s="251"/>
      <c r="ORO134" s="251"/>
      <c r="ORP134" s="251"/>
      <c r="ORQ134" s="251"/>
      <c r="ORR134" s="251"/>
      <c r="ORS134" s="251"/>
      <c r="ORT134" s="251"/>
      <c r="ORU134" s="251"/>
      <c r="ORV134" s="251"/>
      <c r="ORW134" s="251"/>
      <c r="ORX134" s="251"/>
      <c r="ORY134" s="251"/>
      <c r="ORZ134" s="251"/>
      <c r="OSA134" s="251"/>
      <c r="OSB134" s="251"/>
      <c r="OSC134" s="251"/>
      <c r="OSD134" s="251"/>
      <c r="OSE134" s="251"/>
      <c r="OSF134" s="251"/>
      <c r="OSG134" s="251"/>
      <c r="OSH134" s="251"/>
      <c r="OSI134" s="251"/>
      <c r="OSJ134" s="251"/>
      <c r="OSK134" s="251"/>
      <c r="OSL134" s="251"/>
      <c r="OSM134" s="251"/>
      <c r="OSN134" s="251"/>
      <c r="OSO134" s="251"/>
      <c r="OSP134" s="251"/>
      <c r="OSQ134" s="251"/>
      <c r="OSR134" s="251"/>
      <c r="OSS134" s="251"/>
      <c r="OST134" s="251"/>
      <c r="OSU134" s="251"/>
      <c r="OSV134" s="251"/>
      <c r="OSW134" s="251"/>
      <c r="OSX134" s="251"/>
      <c r="OSY134" s="251"/>
      <c r="OSZ134" s="251"/>
      <c r="OTA134" s="251"/>
      <c r="OTB134" s="251"/>
      <c r="OTC134" s="251"/>
      <c r="OTD134" s="251"/>
      <c r="OTE134" s="251"/>
      <c r="OTF134" s="251"/>
      <c r="OTG134" s="251"/>
      <c r="OTH134" s="251"/>
      <c r="OTI134" s="251"/>
      <c r="OTJ134" s="251"/>
      <c r="OTK134" s="251"/>
      <c r="OTL134" s="251"/>
      <c r="OTM134" s="251"/>
      <c r="OTN134" s="251"/>
      <c r="OTO134" s="251"/>
      <c r="OTP134" s="251"/>
      <c r="OTQ134" s="251"/>
      <c r="OTR134" s="251"/>
      <c r="OTS134" s="251"/>
      <c r="OTT134" s="251"/>
      <c r="OTU134" s="251"/>
      <c r="OTV134" s="251"/>
      <c r="OTW134" s="251"/>
      <c r="OTX134" s="251"/>
      <c r="OTY134" s="251"/>
      <c r="OTZ134" s="251"/>
      <c r="OUA134" s="251"/>
      <c r="OUB134" s="251"/>
      <c r="OUC134" s="251"/>
      <c r="OUD134" s="251"/>
      <c r="OUE134" s="251"/>
      <c r="OUF134" s="251"/>
      <c r="OUG134" s="251"/>
      <c r="OUH134" s="251"/>
      <c r="OUI134" s="251"/>
      <c r="OUJ134" s="251"/>
      <c r="OUK134" s="251"/>
      <c r="OUL134" s="251"/>
      <c r="OUM134" s="251"/>
      <c r="OUN134" s="251"/>
      <c r="OUO134" s="251"/>
      <c r="OUP134" s="251"/>
      <c r="OUQ134" s="251"/>
      <c r="OUR134" s="251"/>
      <c r="OUS134" s="251"/>
      <c r="OUT134" s="251"/>
      <c r="OUU134" s="251"/>
      <c r="OUV134" s="251"/>
      <c r="OUW134" s="251"/>
      <c r="OUX134" s="251"/>
      <c r="OUY134" s="251"/>
      <c r="OUZ134" s="251"/>
      <c r="OVA134" s="251"/>
      <c r="OVB134" s="251"/>
      <c r="OVC134" s="251"/>
      <c r="OVD134" s="251"/>
      <c r="OVE134" s="251"/>
      <c r="OVF134" s="251"/>
      <c r="OVG134" s="251"/>
      <c r="OVH134" s="251"/>
      <c r="OVI134" s="251"/>
      <c r="OVJ134" s="251"/>
      <c r="OVK134" s="251"/>
      <c r="OVL134" s="251"/>
      <c r="OVM134" s="251"/>
      <c r="OVN134" s="251"/>
      <c r="OVO134" s="251"/>
      <c r="OVP134" s="251"/>
      <c r="OVQ134" s="251"/>
      <c r="OVR134" s="251"/>
      <c r="OVS134" s="251"/>
      <c r="OVT134" s="251"/>
      <c r="OVU134" s="251"/>
      <c r="OVV134" s="251"/>
      <c r="OVW134" s="251"/>
      <c r="OVX134" s="251"/>
      <c r="OVY134" s="251"/>
      <c r="OVZ134" s="251"/>
      <c r="OWA134" s="251"/>
      <c r="OWB134" s="251"/>
      <c r="OWC134" s="251"/>
      <c r="OWD134" s="251"/>
      <c r="OWE134" s="251"/>
      <c r="OWF134" s="251"/>
      <c r="OWG134" s="251"/>
      <c r="OWH134" s="251"/>
      <c r="OWI134" s="251"/>
      <c r="OWJ134" s="251"/>
      <c r="OWK134" s="251"/>
      <c r="OWL134" s="251"/>
      <c r="OWM134" s="251"/>
      <c r="OWN134" s="251"/>
      <c r="OWO134" s="251"/>
      <c r="OWP134" s="251"/>
      <c r="OWQ134" s="251"/>
      <c r="OWR134" s="251"/>
      <c r="OWS134" s="251"/>
      <c r="OWT134" s="251"/>
      <c r="OWU134" s="251"/>
      <c r="OWV134" s="251"/>
      <c r="OWW134" s="251"/>
      <c r="OWX134" s="251"/>
      <c r="OWY134" s="251"/>
      <c r="OWZ134" s="251"/>
      <c r="OXA134" s="251"/>
      <c r="OXB134" s="251"/>
      <c r="OXC134" s="251"/>
      <c r="OXD134" s="251"/>
      <c r="OXE134" s="251"/>
      <c r="OXF134" s="251"/>
      <c r="OXG134" s="251"/>
      <c r="OXH134" s="251"/>
      <c r="OXI134" s="251"/>
      <c r="OXJ134" s="251"/>
      <c r="OXK134" s="251"/>
      <c r="OXL134" s="251"/>
      <c r="OXM134" s="251"/>
      <c r="OXN134" s="251"/>
      <c r="OXO134" s="251"/>
      <c r="OXP134" s="251"/>
      <c r="OXQ134" s="251"/>
      <c r="OXR134" s="251"/>
      <c r="OXS134" s="251"/>
      <c r="OXT134" s="251"/>
      <c r="OXU134" s="251"/>
      <c r="OXV134" s="251"/>
      <c r="OXW134" s="251"/>
      <c r="OXX134" s="251"/>
      <c r="OXY134" s="251"/>
      <c r="OXZ134" s="251"/>
      <c r="OYA134" s="251"/>
      <c r="OYB134" s="251"/>
      <c r="OYC134" s="251"/>
      <c r="OYD134" s="251"/>
      <c r="OYE134" s="251"/>
      <c r="OYF134" s="251"/>
      <c r="OYG134" s="251"/>
      <c r="OYH134" s="251"/>
      <c r="OYI134" s="251"/>
      <c r="OYJ134" s="251"/>
      <c r="OYK134" s="251"/>
      <c r="OYL134" s="251"/>
      <c r="OYM134" s="251"/>
      <c r="OYN134" s="251"/>
      <c r="OYO134" s="251"/>
      <c r="OYP134" s="251"/>
      <c r="OYQ134" s="251"/>
      <c r="OYR134" s="251"/>
      <c r="OYS134" s="251"/>
      <c r="OYT134" s="251"/>
      <c r="OYU134" s="251"/>
      <c r="OYV134" s="251"/>
      <c r="OYW134" s="251"/>
      <c r="OYX134" s="251"/>
      <c r="OYY134" s="251"/>
      <c r="OYZ134" s="251"/>
      <c r="OZA134" s="251"/>
      <c r="OZB134" s="251"/>
      <c r="OZC134" s="251"/>
      <c r="OZD134" s="251"/>
      <c r="OZE134" s="251"/>
      <c r="OZF134" s="251"/>
      <c r="OZG134" s="251"/>
      <c r="OZH134" s="251"/>
      <c r="OZI134" s="251"/>
      <c r="OZJ134" s="251"/>
      <c r="OZK134" s="251"/>
      <c r="OZL134" s="251"/>
      <c r="OZM134" s="251"/>
      <c r="OZN134" s="251"/>
      <c r="OZO134" s="251"/>
      <c r="OZP134" s="251"/>
      <c r="OZQ134" s="251"/>
      <c r="OZR134" s="251"/>
      <c r="OZS134" s="251"/>
      <c r="OZT134" s="251"/>
      <c r="OZU134" s="251"/>
      <c r="OZV134" s="251"/>
      <c r="OZW134" s="251"/>
      <c r="OZX134" s="251"/>
      <c r="OZY134" s="251"/>
      <c r="OZZ134" s="251"/>
      <c r="PAA134" s="251"/>
      <c r="PAB134" s="251"/>
      <c r="PAC134" s="251"/>
      <c r="PAD134" s="251"/>
      <c r="PAE134" s="251"/>
      <c r="PAF134" s="251"/>
      <c r="PAG134" s="251"/>
      <c r="PAH134" s="251"/>
      <c r="PAI134" s="251"/>
      <c r="PAJ134" s="251"/>
      <c r="PAK134" s="251"/>
      <c r="PAL134" s="251"/>
      <c r="PAM134" s="251"/>
      <c r="PAN134" s="251"/>
      <c r="PAO134" s="251"/>
      <c r="PAP134" s="251"/>
      <c r="PAQ134" s="251"/>
      <c r="PAR134" s="251"/>
      <c r="PAS134" s="251"/>
      <c r="PAT134" s="251"/>
      <c r="PAU134" s="251"/>
      <c r="PAV134" s="251"/>
      <c r="PAW134" s="251"/>
      <c r="PAX134" s="251"/>
      <c r="PAY134" s="251"/>
      <c r="PAZ134" s="251"/>
      <c r="PBA134" s="251"/>
      <c r="PBB134" s="251"/>
      <c r="PBC134" s="251"/>
      <c r="PBD134" s="251"/>
      <c r="PBE134" s="251"/>
      <c r="PBF134" s="251"/>
      <c r="PBG134" s="251"/>
      <c r="PBH134" s="251"/>
      <c r="PBI134" s="251"/>
      <c r="PBJ134" s="251"/>
      <c r="PBK134" s="251"/>
      <c r="PBL134" s="251"/>
      <c r="PBM134" s="251"/>
      <c r="PBN134" s="251"/>
      <c r="PBO134" s="251"/>
      <c r="PBP134" s="251"/>
      <c r="PBQ134" s="251"/>
      <c r="PBR134" s="251"/>
      <c r="PBS134" s="251"/>
      <c r="PBT134" s="251"/>
      <c r="PBU134" s="251"/>
      <c r="PBV134" s="251"/>
      <c r="PBW134" s="251"/>
      <c r="PBX134" s="251"/>
      <c r="PBY134" s="251"/>
      <c r="PBZ134" s="251"/>
      <c r="PCA134" s="251"/>
      <c r="PCB134" s="251"/>
      <c r="PCC134" s="251"/>
      <c r="PCD134" s="251"/>
      <c r="PCE134" s="251"/>
      <c r="PCF134" s="251"/>
      <c r="PCG134" s="251"/>
      <c r="PCH134" s="251"/>
      <c r="PCI134" s="251"/>
      <c r="PCJ134" s="251"/>
      <c r="PCK134" s="251"/>
      <c r="PCL134" s="251"/>
      <c r="PCM134" s="251"/>
      <c r="PCN134" s="251"/>
      <c r="PCO134" s="251"/>
      <c r="PCP134" s="251"/>
      <c r="PCQ134" s="251"/>
      <c r="PCR134" s="251"/>
      <c r="PCS134" s="251"/>
      <c r="PCT134" s="251"/>
      <c r="PCU134" s="251"/>
      <c r="PCV134" s="251"/>
      <c r="PCW134" s="251"/>
      <c r="PCX134" s="251"/>
      <c r="PCY134" s="251"/>
      <c r="PCZ134" s="251"/>
      <c r="PDA134" s="251"/>
      <c r="PDB134" s="251"/>
      <c r="PDC134" s="251"/>
      <c r="PDD134" s="251"/>
      <c r="PDE134" s="251"/>
      <c r="PDF134" s="251"/>
      <c r="PDG134" s="251"/>
      <c r="PDH134" s="251"/>
      <c r="PDI134" s="251"/>
      <c r="PDJ134" s="251"/>
      <c r="PDK134" s="251"/>
      <c r="PDL134" s="251"/>
      <c r="PDM134" s="251"/>
      <c r="PDN134" s="251"/>
      <c r="PDO134" s="251"/>
      <c r="PDP134" s="251"/>
      <c r="PDQ134" s="251"/>
      <c r="PDR134" s="251"/>
      <c r="PDS134" s="251"/>
      <c r="PDT134" s="251"/>
      <c r="PDU134" s="251"/>
      <c r="PDV134" s="251"/>
      <c r="PDW134" s="251"/>
      <c r="PDX134" s="251"/>
      <c r="PDY134" s="251"/>
      <c r="PDZ134" s="251"/>
      <c r="PEA134" s="251"/>
      <c r="PEB134" s="251"/>
      <c r="PEC134" s="251"/>
      <c r="PED134" s="251"/>
      <c r="PEE134" s="251"/>
      <c r="PEF134" s="251"/>
      <c r="PEG134" s="251"/>
      <c r="PEH134" s="251"/>
      <c r="PEI134" s="251"/>
      <c r="PEJ134" s="251"/>
      <c r="PEK134" s="251"/>
      <c r="PEL134" s="251"/>
      <c r="PEM134" s="251"/>
      <c r="PEN134" s="251"/>
      <c r="PEO134" s="251"/>
      <c r="PEP134" s="251"/>
      <c r="PEQ134" s="251"/>
      <c r="PER134" s="251"/>
      <c r="PES134" s="251"/>
      <c r="PET134" s="251"/>
      <c r="PEU134" s="251"/>
      <c r="PEV134" s="251"/>
      <c r="PEW134" s="251"/>
      <c r="PEX134" s="251"/>
      <c r="PEY134" s="251"/>
      <c r="PEZ134" s="251"/>
      <c r="PFA134" s="251"/>
      <c r="PFB134" s="251"/>
      <c r="PFC134" s="251"/>
      <c r="PFD134" s="251"/>
      <c r="PFE134" s="251"/>
      <c r="PFF134" s="251"/>
      <c r="PFG134" s="251"/>
      <c r="PFH134" s="251"/>
      <c r="PFI134" s="251"/>
      <c r="PFJ134" s="251"/>
      <c r="PFK134" s="251"/>
      <c r="PFL134" s="251"/>
      <c r="PFM134" s="251"/>
      <c r="PFN134" s="251"/>
      <c r="PFO134" s="251"/>
      <c r="PFP134" s="251"/>
      <c r="PFQ134" s="251"/>
      <c r="PFR134" s="251"/>
      <c r="PFS134" s="251"/>
      <c r="PFT134" s="251"/>
      <c r="PFU134" s="251"/>
      <c r="PFV134" s="251"/>
      <c r="PFW134" s="251"/>
      <c r="PFX134" s="251"/>
      <c r="PFY134" s="251"/>
      <c r="PFZ134" s="251"/>
      <c r="PGA134" s="251"/>
      <c r="PGB134" s="251"/>
      <c r="PGC134" s="251"/>
      <c r="PGD134" s="251"/>
      <c r="PGE134" s="251"/>
      <c r="PGF134" s="251"/>
      <c r="PGG134" s="251"/>
      <c r="PGH134" s="251"/>
      <c r="PGI134" s="251"/>
      <c r="PGJ134" s="251"/>
      <c r="PGK134" s="251"/>
      <c r="PGL134" s="251"/>
      <c r="PGM134" s="251"/>
      <c r="PGN134" s="251"/>
      <c r="PGO134" s="251"/>
      <c r="PGP134" s="251"/>
      <c r="PGQ134" s="251"/>
      <c r="PGR134" s="251"/>
      <c r="PGS134" s="251"/>
      <c r="PGT134" s="251"/>
      <c r="PGU134" s="251"/>
      <c r="PGV134" s="251"/>
      <c r="PGW134" s="251"/>
      <c r="PGX134" s="251"/>
      <c r="PGY134" s="251"/>
      <c r="PGZ134" s="251"/>
      <c r="PHA134" s="251"/>
      <c r="PHB134" s="251"/>
      <c r="PHC134" s="251"/>
      <c r="PHD134" s="251"/>
      <c r="PHE134" s="251"/>
      <c r="PHF134" s="251"/>
      <c r="PHG134" s="251"/>
      <c r="PHH134" s="251"/>
      <c r="PHI134" s="251"/>
      <c r="PHJ134" s="251"/>
      <c r="PHK134" s="251"/>
      <c r="PHL134" s="251"/>
      <c r="PHM134" s="251"/>
      <c r="PHN134" s="251"/>
      <c r="PHO134" s="251"/>
      <c r="PHP134" s="251"/>
      <c r="PHQ134" s="251"/>
      <c r="PHR134" s="251"/>
      <c r="PHS134" s="251"/>
      <c r="PHT134" s="251"/>
      <c r="PHU134" s="251"/>
      <c r="PHV134" s="251"/>
      <c r="PHW134" s="251"/>
      <c r="PHX134" s="251"/>
      <c r="PHY134" s="251"/>
      <c r="PHZ134" s="251"/>
      <c r="PIA134" s="251"/>
      <c r="PIB134" s="251"/>
      <c r="PIC134" s="251"/>
      <c r="PID134" s="251"/>
      <c r="PIE134" s="251"/>
      <c r="PIF134" s="251"/>
      <c r="PIG134" s="251"/>
      <c r="PIH134" s="251"/>
      <c r="PII134" s="251"/>
      <c r="PIJ134" s="251"/>
      <c r="PIK134" s="251"/>
      <c r="PIL134" s="251"/>
      <c r="PIM134" s="251"/>
      <c r="PIN134" s="251"/>
      <c r="PIO134" s="251"/>
      <c r="PIP134" s="251"/>
      <c r="PIQ134" s="251"/>
      <c r="PIR134" s="251"/>
      <c r="PIS134" s="251"/>
      <c r="PIT134" s="251"/>
      <c r="PIU134" s="251"/>
      <c r="PIV134" s="251"/>
      <c r="PIW134" s="251"/>
      <c r="PIX134" s="251"/>
      <c r="PIY134" s="251"/>
      <c r="PIZ134" s="251"/>
      <c r="PJA134" s="251"/>
      <c r="PJB134" s="251"/>
      <c r="PJC134" s="251"/>
      <c r="PJD134" s="251"/>
      <c r="PJE134" s="251"/>
      <c r="PJF134" s="251"/>
      <c r="PJG134" s="251"/>
      <c r="PJH134" s="251"/>
      <c r="PJI134" s="251"/>
      <c r="PJJ134" s="251"/>
      <c r="PJK134" s="251"/>
      <c r="PJL134" s="251"/>
      <c r="PJM134" s="251"/>
      <c r="PJN134" s="251"/>
      <c r="PJO134" s="251"/>
      <c r="PJP134" s="251"/>
      <c r="PJQ134" s="251"/>
      <c r="PJR134" s="251"/>
      <c r="PJS134" s="251"/>
      <c r="PJT134" s="251"/>
      <c r="PJU134" s="251"/>
      <c r="PJV134" s="251"/>
      <c r="PJW134" s="251"/>
      <c r="PJX134" s="251"/>
      <c r="PJY134" s="251"/>
      <c r="PJZ134" s="251"/>
      <c r="PKA134" s="251"/>
      <c r="PKB134" s="251"/>
      <c r="PKC134" s="251"/>
      <c r="PKD134" s="251"/>
      <c r="PKE134" s="251"/>
      <c r="PKF134" s="251"/>
      <c r="PKG134" s="251"/>
      <c r="PKH134" s="251"/>
      <c r="PKI134" s="251"/>
      <c r="PKJ134" s="251"/>
      <c r="PKK134" s="251"/>
      <c r="PKL134" s="251"/>
      <c r="PKM134" s="251"/>
      <c r="PKN134" s="251"/>
      <c r="PKO134" s="251"/>
      <c r="PKP134" s="251"/>
      <c r="PKQ134" s="251"/>
      <c r="PKR134" s="251"/>
      <c r="PKS134" s="251"/>
      <c r="PKT134" s="251"/>
      <c r="PKU134" s="251"/>
      <c r="PKV134" s="251"/>
      <c r="PKW134" s="251"/>
      <c r="PKX134" s="251"/>
      <c r="PKY134" s="251"/>
      <c r="PKZ134" s="251"/>
      <c r="PLA134" s="251"/>
      <c r="PLB134" s="251"/>
      <c r="PLC134" s="251"/>
      <c r="PLD134" s="251"/>
      <c r="PLE134" s="251"/>
      <c r="PLF134" s="251"/>
      <c r="PLG134" s="251"/>
      <c r="PLH134" s="251"/>
      <c r="PLI134" s="251"/>
      <c r="PLJ134" s="251"/>
      <c r="PLK134" s="251"/>
      <c r="PLL134" s="251"/>
      <c r="PLM134" s="251"/>
      <c r="PLN134" s="251"/>
      <c r="PLO134" s="251"/>
      <c r="PLP134" s="251"/>
      <c r="PLQ134" s="251"/>
      <c r="PLR134" s="251"/>
      <c r="PLS134" s="251"/>
      <c r="PLT134" s="251"/>
      <c r="PLU134" s="251"/>
      <c r="PLV134" s="251"/>
      <c r="PLW134" s="251"/>
      <c r="PLX134" s="251"/>
      <c r="PLY134" s="251"/>
      <c r="PLZ134" s="251"/>
      <c r="PMA134" s="251"/>
      <c r="PMB134" s="251"/>
      <c r="PMC134" s="251"/>
      <c r="PMD134" s="251"/>
      <c r="PME134" s="251"/>
      <c r="PMF134" s="251"/>
      <c r="PMG134" s="251"/>
      <c r="PMH134" s="251"/>
      <c r="PMI134" s="251"/>
      <c r="PMJ134" s="251"/>
      <c r="PMK134" s="251"/>
      <c r="PML134" s="251"/>
      <c r="PMM134" s="251"/>
      <c r="PMN134" s="251"/>
      <c r="PMO134" s="251"/>
      <c r="PMP134" s="251"/>
      <c r="PMQ134" s="251"/>
      <c r="PMR134" s="251"/>
      <c r="PMS134" s="251"/>
      <c r="PMT134" s="251"/>
      <c r="PMU134" s="251"/>
      <c r="PMV134" s="251"/>
      <c r="PMW134" s="251"/>
      <c r="PMX134" s="251"/>
      <c r="PMY134" s="251"/>
      <c r="PMZ134" s="251"/>
      <c r="PNA134" s="251"/>
      <c r="PNB134" s="251"/>
      <c r="PNC134" s="251"/>
      <c r="PND134" s="251"/>
      <c r="PNE134" s="251"/>
      <c r="PNF134" s="251"/>
      <c r="PNG134" s="251"/>
      <c r="PNH134" s="251"/>
      <c r="PNI134" s="251"/>
      <c r="PNJ134" s="251"/>
      <c r="PNK134" s="251"/>
      <c r="PNL134" s="251"/>
      <c r="PNM134" s="251"/>
      <c r="PNN134" s="251"/>
      <c r="PNO134" s="251"/>
      <c r="PNP134" s="251"/>
      <c r="PNQ134" s="251"/>
      <c r="PNR134" s="251"/>
      <c r="PNS134" s="251"/>
      <c r="PNT134" s="251"/>
      <c r="PNU134" s="251"/>
      <c r="PNV134" s="251"/>
      <c r="PNW134" s="251"/>
      <c r="PNX134" s="251"/>
      <c r="PNY134" s="251"/>
      <c r="PNZ134" s="251"/>
      <c r="POA134" s="251"/>
      <c r="POB134" s="251"/>
      <c r="POC134" s="251"/>
      <c r="POD134" s="251"/>
      <c r="POE134" s="251"/>
      <c r="POF134" s="251"/>
      <c r="POG134" s="251"/>
      <c r="POH134" s="251"/>
      <c r="POI134" s="251"/>
      <c r="POJ134" s="251"/>
      <c r="POK134" s="251"/>
      <c r="POL134" s="251"/>
      <c r="POM134" s="251"/>
      <c r="PON134" s="251"/>
      <c r="POO134" s="251"/>
      <c r="POP134" s="251"/>
      <c r="POQ134" s="251"/>
      <c r="POR134" s="251"/>
      <c r="POS134" s="251"/>
      <c r="POT134" s="251"/>
      <c r="POU134" s="251"/>
      <c r="POV134" s="251"/>
      <c r="POW134" s="251"/>
      <c r="POX134" s="251"/>
      <c r="POY134" s="251"/>
      <c r="POZ134" s="251"/>
      <c r="PPA134" s="251"/>
      <c r="PPB134" s="251"/>
      <c r="PPC134" s="251"/>
      <c r="PPD134" s="251"/>
      <c r="PPE134" s="251"/>
      <c r="PPF134" s="251"/>
      <c r="PPG134" s="251"/>
      <c r="PPH134" s="251"/>
      <c r="PPI134" s="251"/>
      <c r="PPJ134" s="251"/>
      <c r="PPK134" s="251"/>
      <c r="PPL134" s="251"/>
      <c r="PPM134" s="251"/>
      <c r="PPN134" s="251"/>
      <c r="PPO134" s="251"/>
      <c r="PPP134" s="251"/>
      <c r="PPQ134" s="251"/>
      <c r="PPR134" s="251"/>
      <c r="PPS134" s="251"/>
      <c r="PPT134" s="251"/>
      <c r="PPU134" s="251"/>
      <c r="PPV134" s="251"/>
      <c r="PPW134" s="251"/>
      <c r="PPX134" s="251"/>
      <c r="PPY134" s="251"/>
      <c r="PPZ134" s="251"/>
      <c r="PQA134" s="251"/>
      <c r="PQB134" s="251"/>
      <c r="PQC134" s="251"/>
      <c r="PQD134" s="251"/>
      <c r="PQE134" s="251"/>
      <c r="PQF134" s="251"/>
      <c r="PQG134" s="251"/>
      <c r="PQH134" s="251"/>
      <c r="PQI134" s="251"/>
      <c r="PQJ134" s="251"/>
      <c r="PQK134" s="251"/>
      <c r="PQL134" s="251"/>
      <c r="PQM134" s="251"/>
      <c r="PQN134" s="251"/>
      <c r="PQO134" s="251"/>
      <c r="PQP134" s="251"/>
      <c r="PQQ134" s="251"/>
      <c r="PQR134" s="251"/>
      <c r="PQS134" s="251"/>
      <c r="PQT134" s="251"/>
      <c r="PQU134" s="251"/>
      <c r="PQV134" s="251"/>
      <c r="PQW134" s="251"/>
      <c r="PQX134" s="251"/>
      <c r="PQY134" s="251"/>
      <c r="PQZ134" s="251"/>
      <c r="PRA134" s="251"/>
      <c r="PRB134" s="251"/>
      <c r="PRC134" s="251"/>
      <c r="PRD134" s="251"/>
      <c r="PRE134" s="251"/>
      <c r="PRF134" s="251"/>
      <c r="PRG134" s="251"/>
      <c r="PRH134" s="251"/>
      <c r="PRI134" s="251"/>
      <c r="PRJ134" s="251"/>
      <c r="PRK134" s="251"/>
      <c r="PRL134" s="251"/>
      <c r="PRM134" s="251"/>
      <c r="PRN134" s="251"/>
      <c r="PRO134" s="251"/>
      <c r="PRP134" s="251"/>
      <c r="PRQ134" s="251"/>
      <c r="PRR134" s="251"/>
      <c r="PRS134" s="251"/>
      <c r="PRT134" s="251"/>
      <c r="PRU134" s="251"/>
      <c r="PRV134" s="251"/>
      <c r="PRW134" s="251"/>
      <c r="PRX134" s="251"/>
      <c r="PRY134" s="251"/>
      <c r="PRZ134" s="251"/>
      <c r="PSA134" s="251"/>
      <c r="PSB134" s="251"/>
      <c r="PSC134" s="251"/>
      <c r="PSD134" s="251"/>
      <c r="PSE134" s="251"/>
      <c r="PSF134" s="251"/>
      <c r="PSG134" s="251"/>
      <c r="PSH134" s="251"/>
      <c r="PSI134" s="251"/>
      <c r="PSJ134" s="251"/>
      <c r="PSK134" s="251"/>
      <c r="PSL134" s="251"/>
      <c r="PSM134" s="251"/>
      <c r="PSN134" s="251"/>
      <c r="PSO134" s="251"/>
      <c r="PSP134" s="251"/>
      <c r="PSQ134" s="251"/>
      <c r="PSR134" s="251"/>
      <c r="PSS134" s="251"/>
      <c r="PST134" s="251"/>
      <c r="PSU134" s="251"/>
      <c r="PSV134" s="251"/>
      <c r="PSW134" s="251"/>
      <c r="PSX134" s="251"/>
      <c r="PSY134" s="251"/>
      <c r="PSZ134" s="251"/>
      <c r="PTA134" s="251"/>
      <c r="PTB134" s="251"/>
      <c r="PTC134" s="251"/>
      <c r="PTD134" s="251"/>
      <c r="PTE134" s="251"/>
      <c r="PTF134" s="251"/>
      <c r="PTG134" s="251"/>
      <c r="PTH134" s="251"/>
      <c r="PTI134" s="251"/>
      <c r="PTJ134" s="251"/>
      <c r="PTK134" s="251"/>
      <c r="PTL134" s="251"/>
      <c r="PTM134" s="251"/>
      <c r="PTN134" s="251"/>
      <c r="PTO134" s="251"/>
      <c r="PTP134" s="251"/>
      <c r="PTQ134" s="251"/>
      <c r="PTR134" s="251"/>
      <c r="PTS134" s="251"/>
      <c r="PTT134" s="251"/>
      <c r="PTU134" s="251"/>
      <c r="PTV134" s="251"/>
      <c r="PTW134" s="251"/>
      <c r="PTX134" s="251"/>
      <c r="PTY134" s="251"/>
      <c r="PTZ134" s="251"/>
      <c r="PUA134" s="251"/>
      <c r="PUB134" s="251"/>
      <c r="PUC134" s="251"/>
      <c r="PUD134" s="251"/>
      <c r="PUE134" s="251"/>
      <c r="PUF134" s="251"/>
      <c r="PUG134" s="251"/>
      <c r="PUH134" s="251"/>
      <c r="PUI134" s="251"/>
      <c r="PUJ134" s="251"/>
      <c r="PUK134" s="251"/>
      <c r="PUL134" s="251"/>
      <c r="PUM134" s="251"/>
      <c r="PUN134" s="251"/>
      <c r="PUO134" s="251"/>
      <c r="PUP134" s="251"/>
      <c r="PUQ134" s="251"/>
      <c r="PUR134" s="251"/>
      <c r="PUS134" s="251"/>
      <c r="PUT134" s="251"/>
      <c r="PUU134" s="251"/>
      <c r="PUV134" s="251"/>
      <c r="PUW134" s="251"/>
      <c r="PUX134" s="251"/>
      <c r="PUY134" s="251"/>
      <c r="PUZ134" s="251"/>
      <c r="PVA134" s="251"/>
      <c r="PVB134" s="251"/>
      <c r="PVC134" s="251"/>
      <c r="PVD134" s="251"/>
      <c r="PVE134" s="251"/>
      <c r="PVF134" s="251"/>
      <c r="PVG134" s="251"/>
      <c r="PVH134" s="251"/>
      <c r="PVI134" s="251"/>
      <c r="PVJ134" s="251"/>
      <c r="PVK134" s="251"/>
      <c r="PVL134" s="251"/>
      <c r="PVM134" s="251"/>
      <c r="PVN134" s="251"/>
      <c r="PVO134" s="251"/>
      <c r="PVP134" s="251"/>
      <c r="PVQ134" s="251"/>
      <c r="PVR134" s="251"/>
      <c r="PVS134" s="251"/>
      <c r="PVT134" s="251"/>
      <c r="PVU134" s="251"/>
      <c r="PVV134" s="251"/>
      <c r="PVW134" s="251"/>
      <c r="PVX134" s="251"/>
      <c r="PVY134" s="251"/>
      <c r="PVZ134" s="251"/>
      <c r="PWA134" s="251"/>
      <c r="PWB134" s="251"/>
      <c r="PWC134" s="251"/>
      <c r="PWD134" s="251"/>
      <c r="PWE134" s="251"/>
      <c r="PWF134" s="251"/>
      <c r="PWG134" s="251"/>
      <c r="PWH134" s="251"/>
      <c r="PWI134" s="251"/>
      <c r="PWJ134" s="251"/>
      <c r="PWK134" s="251"/>
      <c r="PWL134" s="251"/>
      <c r="PWM134" s="251"/>
      <c r="PWN134" s="251"/>
      <c r="PWO134" s="251"/>
      <c r="PWP134" s="251"/>
      <c r="PWQ134" s="251"/>
      <c r="PWR134" s="251"/>
      <c r="PWS134" s="251"/>
      <c r="PWT134" s="251"/>
      <c r="PWU134" s="251"/>
      <c r="PWV134" s="251"/>
      <c r="PWW134" s="251"/>
      <c r="PWX134" s="251"/>
      <c r="PWY134" s="251"/>
      <c r="PWZ134" s="251"/>
      <c r="PXA134" s="251"/>
      <c r="PXB134" s="251"/>
      <c r="PXC134" s="251"/>
      <c r="PXD134" s="251"/>
      <c r="PXE134" s="251"/>
      <c r="PXF134" s="251"/>
      <c r="PXG134" s="251"/>
      <c r="PXH134" s="251"/>
      <c r="PXI134" s="251"/>
      <c r="PXJ134" s="251"/>
      <c r="PXK134" s="251"/>
      <c r="PXL134" s="251"/>
      <c r="PXM134" s="251"/>
      <c r="PXN134" s="251"/>
      <c r="PXO134" s="251"/>
      <c r="PXP134" s="251"/>
      <c r="PXQ134" s="251"/>
      <c r="PXR134" s="251"/>
      <c r="PXS134" s="251"/>
      <c r="PXT134" s="251"/>
      <c r="PXU134" s="251"/>
      <c r="PXV134" s="251"/>
      <c r="PXW134" s="251"/>
      <c r="PXX134" s="251"/>
      <c r="PXY134" s="251"/>
      <c r="PXZ134" s="251"/>
      <c r="PYA134" s="251"/>
      <c r="PYB134" s="251"/>
      <c r="PYC134" s="251"/>
      <c r="PYD134" s="251"/>
      <c r="PYE134" s="251"/>
      <c r="PYF134" s="251"/>
      <c r="PYG134" s="251"/>
      <c r="PYH134" s="251"/>
      <c r="PYI134" s="251"/>
      <c r="PYJ134" s="251"/>
      <c r="PYK134" s="251"/>
      <c r="PYL134" s="251"/>
      <c r="PYM134" s="251"/>
      <c r="PYN134" s="251"/>
      <c r="PYO134" s="251"/>
      <c r="PYP134" s="251"/>
      <c r="PYQ134" s="251"/>
      <c r="PYR134" s="251"/>
      <c r="PYS134" s="251"/>
      <c r="PYT134" s="251"/>
      <c r="PYU134" s="251"/>
      <c r="PYV134" s="251"/>
      <c r="PYW134" s="251"/>
      <c r="PYX134" s="251"/>
      <c r="PYY134" s="251"/>
      <c r="PYZ134" s="251"/>
      <c r="PZA134" s="251"/>
      <c r="PZB134" s="251"/>
      <c r="PZC134" s="251"/>
      <c r="PZD134" s="251"/>
      <c r="PZE134" s="251"/>
      <c r="PZF134" s="251"/>
      <c r="PZG134" s="251"/>
      <c r="PZH134" s="251"/>
      <c r="PZI134" s="251"/>
      <c r="PZJ134" s="251"/>
      <c r="PZK134" s="251"/>
      <c r="PZL134" s="251"/>
      <c r="PZM134" s="251"/>
      <c r="PZN134" s="251"/>
      <c r="PZO134" s="251"/>
      <c r="PZP134" s="251"/>
      <c r="PZQ134" s="251"/>
      <c r="PZR134" s="251"/>
      <c r="PZS134" s="251"/>
      <c r="PZT134" s="251"/>
      <c r="PZU134" s="251"/>
      <c r="PZV134" s="251"/>
      <c r="PZW134" s="251"/>
      <c r="PZX134" s="251"/>
      <c r="PZY134" s="251"/>
      <c r="PZZ134" s="251"/>
      <c r="QAA134" s="251"/>
      <c r="QAB134" s="251"/>
      <c r="QAC134" s="251"/>
      <c r="QAD134" s="251"/>
      <c r="QAE134" s="251"/>
      <c r="QAF134" s="251"/>
      <c r="QAG134" s="251"/>
      <c r="QAH134" s="251"/>
      <c r="QAI134" s="251"/>
      <c r="QAJ134" s="251"/>
      <c r="QAK134" s="251"/>
      <c r="QAL134" s="251"/>
      <c r="QAM134" s="251"/>
      <c r="QAN134" s="251"/>
      <c r="QAO134" s="251"/>
      <c r="QAP134" s="251"/>
      <c r="QAQ134" s="251"/>
      <c r="QAR134" s="251"/>
      <c r="QAS134" s="251"/>
      <c r="QAT134" s="251"/>
      <c r="QAU134" s="251"/>
      <c r="QAV134" s="251"/>
      <c r="QAW134" s="251"/>
      <c r="QAX134" s="251"/>
      <c r="QAY134" s="251"/>
      <c r="QAZ134" s="251"/>
      <c r="QBA134" s="251"/>
      <c r="QBB134" s="251"/>
      <c r="QBC134" s="251"/>
      <c r="QBD134" s="251"/>
      <c r="QBE134" s="251"/>
      <c r="QBF134" s="251"/>
      <c r="QBG134" s="251"/>
      <c r="QBH134" s="251"/>
      <c r="QBI134" s="251"/>
      <c r="QBJ134" s="251"/>
      <c r="QBK134" s="251"/>
      <c r="QBL134" s="251"/>
      <c r="QBM134" s="251"/>
      <c r="QBN134" s="251"/>
      <c r="QBO134" s="251"/>
      <c r="QBP134" s="251"/>
      <c r="QBQ134" s="251"/>
      <c r="QBR134" s="251"/>
      <c r="QBS134" s="251"/>
      <c r="QBT134" s="251"/>
      <c r="QBU134" s="251"/>
      <c r="QBV134" s="251"/>
      <c r="QBW134" s="251"/>
      <c r="QBX134" s="251"/>
      <c r="QBY134" s="251"/>
      <c r="QBZ134" s="251"/>
      <c r="QCA134" s="251"/>
      <c r="QCB134" s="251"/>
      <c r="QCC134" s="251"/>
      <c r="QCD134" s="251"/>
      <c r="QCE134" s="251"/>
      <c r="QCF134" s="251"/>
      <c r="QCG134" s="251"/>
      <c r="QCH134" s="251"/>
      <c r="QCI134" s="251"/>
      <c r="QCJ134" s="251"/>
      <c r="QCK134" s="251"/>
      <c r="QCL134" s="251"/>
      <c r="QCM134" s="251"/>
      <c r="QCN134" s="251"/>
      <c r="QCO134" s="251"/>
      <c r="QCP134" s="251"/>
      <c r="QCQ134" s="251"/>
      <c r="QCR134" s="251"/>
      <c r="QCS134" s="251"/>
      <c r="QCT134" s="251"/>
      <c r="QCU134" s="251"/>
      <c r="QCV134" s="251"/>
      <c r="QCW134" s="251"/>
      <c r="QCX134" s="251"/>
      <c r="QCY134" s="251"/>
      <c r="QCZ134" s="251"/>
      <c r="QDA134" s="251"/>
      <c r="QDB134" s="251"/>
      <c r="QDC134" s="251"/>
      <c r="QDD134" s="251"/>
      <c r="QDE134" s="251"/>
      <c r="QDF134" s="251"/>
      <c r="QDG134" s="251"/>
      <c r="QDH134" s="251"/>
      <c r="QDI134" s="251"/>
      <c r="QDJ134" s="251"/>
      <c r="QDK134" s="251"/>
      <c r="QDL134" s="251"/>
      <c r="QDM134" s="251"/>
      <c r="QDN134" s="251"/>
      <c r="QDO134" s="251"/>
      <c r="QDP134" s="251"/>
      <c r="QDQ134" s="251"/>
      <c r="QDR134" s="251"/>
      <c r="QDS134" s="251"/>
      <c r="QDT134" s="251"/>
      <c r="QDU134" s="251"/>
      <c r="QDV134" s="251"/>
      <c r="QDW134" s="251"/>
      <c r="QDX134" s="251"/>
      <c r="QDY134" s="251"/>
      <c r="QDZ134" s="251"/>
      <c r="QEA134" s="251"/>
      <c r="QEB134" s="251"/>
      <c r="QEC134" s="251"/>
      <c r="QED134" s="251"/>
      <c r="QEE134" s="251"/>
      <c r="QEF134" s="251"/>
      <c r="QEG134" s="251"/>
      <c r="QEH134" s="251"/>
      <c r="QEI134" s="251"/>
      <c r="QEJ134" s="251"/>
      <c r="QEK134" s="251"/>
      <c r="QEL134" s="251"/>
      <c r="QEM134" s="251"/>
      <c r="QEN134" s="251"/>
      <c r="QEO134" s="251"/>
      <c r="QEP134" s="251"/>
      <c r="QEQ134" s="251"/>
      <c r="QER134" s="251"/>
      <c r="QES134" s="251"/>
      <c r="QET134" s="251"/>
      <c r="QEU134" s="251"/>
      <c r="QEV134" s="251"/>
      <c r="QEW134" s="251"/>
      <c r="QEX134" s="251"/>
      <c r="QEY134" s="251"/>
      <c r="QEZ134" s="251"/>
      <c r="QFA134" s="251"/>
      <c r="QFB134" s="251"/>
      <c r="QFC134" s="251"/>
      <c r="QFD134" s="251"/>
      <c r="QFE134" s="251"/>
      <c r="QFF134" s="251"/>
      <c r="QFG134" s="251"/>
      <c r="QFH134" s="251"/>
      <c r="QFI134" s="251"/>
      <c r="QFJ134" s="251"/>
      <c r="QFK134" s="251"/>
      <c r="QFL134" s="251"/>
      <c r="QFM134" s="251"/>
      <c r="QFN134" s="251"/>
      <c r="QFO134" s="251"/>
      <c r="QFP134" s="251"/>
      <c r="QFQ134" s="251"/>
      <c r="QFR134" s="251"/>
      <c r="QFS134" s="251"/>
      <c r="QFT134" s="251"/>
      <c r="QFU134" s="251"/>
      <c r="QFV134" s="251"/>
      <c r="QFW134" s="251"/>
      <c r="QFX134" s="251"/>
      <c r="QFY134" s="251"/>
      <c r="QFZ134" s="251"/>
      <c r="QGA134" s="251"/>
      <c r="QGB134" s="251"/>
      <c r="QGC134" s="251"/>
      <c r="QGD134" s="251"/>
      <c r="QGE134" s="251"/>
      <c r="QGF134" s="251"/>
      <c r="QGG134" s="251"/>
      <c r="QGH134" s="251"/>
      <c r="QGI134" s="251"/>
      <c r="QGJ134" s="251"/>
      <c r="QGK134" s="251"/>
      <c r="QGL134" s="251"/>
      <c r="QGM134" s="251"/>
      <c r="QGN134" s="251"/>
      <c r="QGO134" s="251"/>
      <c r="QGP134" s="251"/>
      <c r="QGQ134" s="251"/>
      <c r="QGR134" s="251"/>
      <c r="QGS134" s="251"/>
      <c r="QGT134" s="251"/>
      <c r="QGU134" s="251"/>
      <c r="QGV134" s="251"/>
      <c r="QGW134" s="251"/>
      <c r="QGX134" s="251"/>
      <c r="QGY134" s="251"/>
      <c r="QGZ134" s="251"/>
      <c r="QHA134" s="251"/>
      <c r="QHB134" s="251"/>
      <c r="QHC134" s="251"/>
      <c r="QHD134" s="251"/>
      <c r="QHE134" s="251"/>
      <c r="QHF134" s="251"/>
      <c r="QHG134" s="251"/>
      <c r="QHH134" s="251"/>
      <c r="QHI134" s="251"/>
      <c r="QHJ134" s="251"/>
      <c r="QHK134" s="251"/>
      <c r="QHL134" s="251"/>
      <c r="QHM134" s="251"/>
      <c r="QHN134" s="251"/>
      <c r="QHO134" s="251"/>
      <c r="QHP134" s="251"/>
      <c r="QHQ134" s="251"/>
      <c r="QHR134" s="251"/>
      <c r="QHS134" s="251"/>
      <c r="QHT134" s="251"/>
      <c r="QHU134" s="251"/>
      <c r="QHV134" s="251"/>
      <c r="QHW134" s="251"/>
      <c r="QHX134" s="251"/>
      <c r="QHY134" s="251"/>
      <c r="QHZ134" s="251"/>
      <c r="QIA134" s="251"/>
      <c r="QIB134" s="251"/>
      <c r="QIC134" s="251"/>
      <c r="QID134" s="251"/>
      <c r="QIE134" s="251"/>
      <c r="QIF134" s="251"/>
      <c r="QIG134" s="251"/>
      <c r="QIH134" s="251"/>
      <c r="QII134" s="251"/>
      <c r="QIJ134" s="251"/>
      <c r="QIK134" s="251"/>
      <c r="QIL134" s="251"/>
      <c r="QIM134" s="251"/>
      <c r="QIN134" s="251"/>
      <c r="QIO134" s="251"/>
      <c r="QIP134" s="251"/>
      <c r="QIQ134" s="251"/>
      <c r="QIR134" s="251"/>
      <c r="QIS134" s="251"/>
      <c r="QIT134" s="251"/>
      <c r="QIU134" s="251"/>
      <c r="QIV134" s="251"/>
      <c r="QIW134" s="251"/>
      <c r="QIX134" s="251"/>
      <c r="QIY134" s="251"/>
      <c r="QIZ134" s="251"/>
      <c r="QJA134" s="251"/>
      <c r="QJB134" s="251"/>
      <c r="QJC134" s="251"/>
      <c r="QJD134" s="251"/>
      <c r="QJE134" s="251"/>
      <c r="QJF134" s="251"/>
      <c r="QJG134" s="251"/>
      <c r="QJH134" s="251"/>
      <c r="QJI134" s="251"/>
      <c r="QJJ134" s="251"/>
      <c r="QJK134" s="251"/>
      <c r="QJL134" s="251"/>
      <c r="QJM134" s="251"/>
      <c r="QJN134" s="251"/>
      <c r="QJO134" s="251"/>
      <c r="QJP134" s="251"/>
      <c r="QJQ134" s="251"/>
      <c r="QJR134" s="251"/>
      <c r="QJS134" s="251"/>
      <c r="QJT134" s="251"/>
      <c r="QJU134" s="251"/>
      <c r="QJV134" s="251"/>
      <c r="QJW134" s="251"/>
      <c r="QJX134" s="251"/>
      <c r="QJY134" s="251"/>
      <c r="QJZ134" s="251"/>
      <c r="QKA134" s="251"/>
      <c r="QKB134" s="251"/>
      <c r="QKC134" s="251"/>
      <c r="QKD134" s="251"/>
      <c r="QKE134" s="251"/>
      <c r="QKF134" s="251"/>
      <c r="QKG134" s="251"/>
      <c r="QKH134" s="251"/>
      <c r="QKI134" s="251"/>
      <c r="QKJ134" s="251"/>
      <c r="QKK134" s="251"/>
      <c r="QKL134" s="251"/>
      <c r="QKM134" s="251"/>
      <c r="QKN134" s="251"/>
      <c r="QKO134" s="251"/>
      <c r="QKP134" s="251"/>
      <c r="QKQ134" s="251"/>
      <c r="QKR134" s="251"/>
      <c r="QKS134" s="251"/>
      <c r="QKT134" s="251"/>
      <c r="QKU134" s="251"/>
      <c r="QKV134" s="251"/>
      <c r="QKW134" s="251"/>
      <c r="QKX134" s="251"/>
      <c r="QKY134" s="251"/>
      <c r="QKZ134" s="251"/>
      <c r="QLA134" s="251"/>
      <c r="QLB134" s="251"/>
      <c r="QLC134" s="251"/>
      <c r="QLD134" s="251"/>
      <c r="QLE134" s="251"/>
      <c r="QLF134" s="251"/>
      <c r="QLG134" s="251"/>
      <c r="QLH134" s="251"/>
      <c r="QLI134" s="251"/>
      <c r="QLJ134" s="251"/>
      <c r="QLK134" s="251"/>
      <c r="QLL134" s="251"/>
      <c r="QLM134" s="251"/>
      <c r="QLN134" s="251"/>
      <c r="QLO134" s="251"/>
      <c r="QLP134" s="251"/>
      <c r="QLQ134" s="251"/>
      <c r="QLR134" s="251"/>
      <c r="QLS134" s="251"/>
      <c r="QLT134" s="251"/>
      <c r="QLU134" s="251"/>
      <c r="QLV134" s="251"/>
      <c r="QLW134" s="251"/>
      <c r="QLX134" s="251"/>
      <c r="QLY134" s="251"/>
      <c r="QLZ134" s="251"/>
      <c r="QMA134" s="251"/>
      <c r="QMB134" s="251"/>
      <c r="QMC134" s="251"/>
      <c r="QMD134" s="251"/>
      <c r="QME134" s="251"/>
      <c r="QMF134" s="251"/>
      <c r="QMG134" s="251"/>
      <c r="QMH134" s="251"/>
      <c r="QMI134" s="251"/>
      <c r="QMJ134" s="251"/>
      <c r="QMK134" s="251"/>
      <c r="QML134" s="251"/>
      <c r="QMM134" s="251"/>
      <c r="QMN134" s="251"/>
      <c r="QMO134" s="251"/>
      <c r="QMP134" s="251"/>
      <c r="QMQ134" s="251"/>
      <c r="QMR134" s="251"/>
      <c r="QMS134" s="251"/>
      <c r="QMT134" s="251"/>
      <c r="QMU134" s="251"/>
      <c r="QMV134" s="251"/>
      <c r="QMW134" s="251"/>
      <c r="QMX134" s="251"/>
      <c r="QMY134" s="251"/>
      <c r="QMZ134" s="251"/>
      <c r="QNA134" s="251"/>
      <c r="QNB134" s="251"/>
      <c r="QNC134" s="251"/>
      <c r="QND134" s="251"/>
      <c r="QNE134" s="251"/>
      <c r="QNF134" s="251"/>
      <c r="QNG134" s="251"/>
      <c r="QNH134" s="251"/>
      <c r="QNI134" s="251"/>
      <c r="QNJ134" s="251"/>
      <c r="QNK134" s="251"/>
      <c r="QNL134" s="251"/>
      <c r="QNM134" s="251"/>
      <c r="QNN134" s="251"/>
      <c r="QNO134" s="251"/>
      <c r="QNP134" s="251"/>
      <c r="QNQ134" s="251"/>
      <c r="QNR134" s="251"/>
      <c r="QNS134" s="251"/>
      <c r="QNT134" s="251"/>
      <c r="QNU134" s="251"/>
      <c r="QNV134" s="251"/>
      <c r="QNW134" s="251"/>
      <c r="QNX134" s="251"/>
      <c r="QNY134" s="251"/>
      <c r="QNZ134" s="251"/>
      <c r="QOA134" s="251"/>
      <c r="QOB134" s="251"/>
      <c r="QOC134" s="251"/>
      <c r="QOD134" s="251"/>
      <c r="QOE134" s="251"/>
      <c r="QOF134" s="251"/>
      <c r="QOG134" s="251"/>
      <c r="QOH134" s="251"/>
      <c r="QOI134" s="251"/>
      <c r="QOJ134" s="251"/>
      <c r="QOK134" s="251"/>
      <c r="QOL134" s="251"/>
      <c r="QOM134" s="251"/>
      <c r="QON134" s="251"/>
      <c r="QOO134" s="251"/>
      <c r="QOP134" s="251"/>
      <c r="QOQ134" s="251"/>
      <c r="QOR134" s="251"/>
      <c r="QOS134" s="251"/>
      <c r="QOT134" s="251"/>
      <c r="QOU134" s="251"/>
      <c r="QOV134" s="251"/>
      <c r="QOW134" s="251"/>
      <c r="QOX134" s="251"/>
      <c r="QOY134" s="251"/>
      <c r="QOZ134" s="251"/>
      <c r="QPA134" s="251"/>
      <c r="QPB134" s="251"/>
      <c r="QPC134" s="251"/>
      <c r="QPD134" s="251"/>
      <c r="QPE134" s="251"/>
      <c r="QPF134" s="251"/>
      <c r="QPG134" s="251"/>
      <c r="QPH134" s="251"/>
      <c r="QPI134" s="251"/>
      <c r="QPJ134" s="251"/>
      <c r="QPK134" s="251"/>
      <c r="QPL134" s="251"/>
      <c r="QPM134" s="251"/>
      <c r="QPN134" s="251"/>
      <c r="QPO134" s="251"/>
      <c r="QPP134" s="251"/>
      <c r="QPQ134" s="251"/>
      <c r="QPR134" s="251"/>
      <c r="QPS134" s="251"/>
      <c r="QPT134" s="251"/>
      <c r="QPU134" s="251"/>
      <c r="QPV134" s="251"/>
      <c r="QPW134" s="251"/>
      <c r="QPX134" s="251"/>
      <c r="QPY134" s="251"/>
      <c r="QPZ134" s="251"/>
      <c r="QQA134" s="251"/>
      <c r="QQB134" s="251"/>
      <c r="QQC134" s="251"/>
      <c r="QQD134" s="251"/>
      <c r="QQE134" s="251"/>
      <c r="QQF134" s="251"/>
      <c r="QQG134" s="251"/>
      <c r="QQH134" s="251"/>
      <c r="QQI134" s="251"/>
      <c r="QQJ134" s="251"/>
      <c r="QQK134" s="251"/>
      <c r="QQL134" s="251"/>
      <c r="QQM134" s="251"/>
      <c r="QQN134" s="251"/>
      <c r="QQO134" s="251"/>
      <c r="QQP134" s="251"/>
      <c r="QQQ134" s="251"/>
      <c r="QQR134" s="251"/>
      <c r="QQS134" s="251"/>
      <c r="QQT134" s="251"/>
      <c r="QQU134" s="251"/>
      <c r="QQV134" s="251"/>
      <c r="QQW134" s="251"/>
      <c r="QQX134" s="251"/>
      <c r="QQY134" s="251"/>
      <c r="QQZ134" s="251"/>
      <c r="QRA134" s="251"/>
      <c r="QRB134" s="251"/>
      <c r="QRC134" s="251"/>
      <c r="QRD134" s="251"/>
      <c r="QRE134" s="251"/>
      <c r="QRF134" s="251"/>
      <c r="QRG134" s="251"/>
      <c r="QRH134" s="251"/>
      <c r="QRI134" s="251"/>
      <c r="QRJ134" s="251"/>
      <c r="QRK134" s="251"/>
      <c r="QRL134" s="251"/>
      <c r="QRM134" s="251"/>
      <c r="QRN134" s="251"/>
      <c r="QRO134" s="251"/>
      <c r="QRP134" s="251"/>
      <c r="QRQ134" s="251"/>
      <c r="QRR134" s="251"/>
      <c r="QRS134" s="251"/>
      <c r="QRT134" s="251"/>
      <c r="QRU134" s="251"/>
      <c r="QRV134" s="251"/>
      <c r="QRW134" s="251"/>
      <c r="QRX134" s="251"/>
      <c r="QRY134" s="251"/>
      <c r="QRZ134" s="251"/>
      <c r="QSA134" s="251"/>
      <c r="QSB134" s="251"/>
      <c r="QSC134" s="251"/>
      <c r="QSD134" s="251"/>
      <c r="QSE134" s="251"/>
      <c r="QSF134" s="251"/>
      <c r="QSG134" s="251"/>
      <c r="QSH134" s="251"/>
      <c r="QSI134" s="251"/>
      <c r="QSJ134" s="251"/>
      <c r="QSK134" s="251"/>
      <c r="QSL134" s="251"/>
      <c r="QSM134" s="251"/>
      <c r="QSN134" s="251"/>
      <c r="QSO134" s="251"/>
      <c r="QSP134" s="251"/>
      <c r="QSQ134" s="251"/>
      <c r="QSR134" s="251"/>
      <c r="QSS134" s="251"/>
      <c r="QST134" s="251"/>
      <c r="QSU134" s="251"/>
      <c r="QSV134" s="251"/>
      <c r="QSW134" s="251"/>
      <c r="QSX134" s="251"/>
      <c r="QSY134" s="251"/>
      <c r="QSZ134" s="251"/>
      <c r="QTA134" s="251"/>
      <c r="QTB134" s="251"/>
      <c r="QTC134" s="251"/>
      <c r="QTD134" s="251"/>
      <c r="QTE134" s="251"/>
      <c r="QTF134" s="251"/>
      <c r="QTG134" s="251"/>
      <c r="QTH134" s="251"/>
      <c r="QTI134" s="251"/>
      <c r="QTJ134" s="251"/>
      <c r="QTK134" s="251"/>
      <c r="QTL134" s="251"/>
      <c r="QTM134" s="251"/>
      <c r="QTN134" s="251"/>
      <c r="QTO134" s="251"/>
      <c r="QTP134" s="251"/>
      <c r="QTQ134" s="251"/>
      <c r="QTR134" s="251"/>
      <c r="QTS134" s="251"/>
      <c r="QTT134" s="251"/>
      <c r="QTU134" s="251"/>
      <c r="QTV134" s="251"/>
      <c r="QTW134" s="251"/>
      <c r="QTX134" s="251"/>
      <c r="QTY134" s="251"/>
      <c r="QTZ134" s="251"/>
      <c r="QUA134" s="251"/>
      <c r="QUB134" s="251"/>
      <c r="QUC134" s="251"/>
      <c r="QUD134" s="251"/>
      <c r="QUE134" s="251"/>
      <c r="QUF134" s="251"/>
      <c r="QUG134" s="251"/>
      <c r="QUH134" s="251"/>
      <c r="QUI134" s="251"/>
      <c r="QUJ134" s="251"/>
      <c r="QUK134" s="251"/>
      <c r="QUL134" s="251"/>
      <c r="QUM134" s="251"/>
      <c r="QUN134" s="251"/>
      <c r="QUO134" s="251"/>
      <c r="QUP134" s="251"/>
      <c r="QUQ134" s="251"/>
      <c r="QUR134" s="251"/>
      <c r="QUS134" s="251"/>
      <c r="QUT134" s="251"/>
      <c r="QUU134" s="251"/>
      <c r="QUV134" s="251"/>
      <c r="QUW134" s="251"/>
      <c r="QUX134" s="251"/>
      <c r="QUY134" s="251"/>
      <c r="QUZ134" s="251"/>
      <c r="QVA134" s="251"/>
      <c r="QVB134" s="251"/>
      <c r="QVC134" s="251"/>
      <c r="QVD134" s="251"/>
      <c r="QVE134" s="251"/>
      <c r="QVF134" s="251"/>
      <c r="QVG134" s="251"/>
      <c r="QVH134" s="251"/>
      <c r="QVI134" s="251"/>
      <c r="QVJ134" s="251"/>
      <c r="QVK134" s="251"/>
      <c r="QVL134" s="251"/>
      <c r="QVM134" s="251"/>
      <c r="QVN134" s="251"/>
      <c r="QVO134" s="251"/>
      <c r="QVP134" s="251"/>
      <c r="QVQ134" s="251"/>
      <c r="QVR134" s="251"/>
      <c r="QVS134" s="251"/>
      <c r="QVT134" s="251"/>
      <c r="QVU134" s="251"/>
      <c r="QVV134" s="251"/>
      <c r="QVW134" s="251"/>
      <c r="QVX134" s="251"/>
      <c r="QVY134" s="251"/>
      <c r="QVZ134" s="251"/>
      <c r="QWA134" s="251"/>
      <c r="QWB134" s="251"/>
      <c r="QWC134" s="251"/>
      <c r="QWD134" s="251"/>
      <c r="QWE134" s="251"/>
      <c r="QWF134" s="251"/>
      <c r="QWG134" s="251"/>
      <c r="QWH134" s="251"/>
      <c r="QWI134" s="251"/>
      <c r="QWJ134" s="251"/>
      <c r="QWK134" s="251"/>
      <c r="QWL134" s="251"/>
      <c r="QWM134" s="251"/>
      <c r="QWN134" s="251"/>
      <c r="QWO134" s="251"/>
      <c r="QWP134" s="251"/>
      <c r="QWQ134" s="251"/>
      <c r="QWR134" s="251"/>
      <c r="QWS134" s="251"/>
      <c r="QWT134" s="251"/>
      <c r="QWU134" s="251"/>
      <c r="QWV134" s="251"/>
      <c r="QWW134" s="251"/>
      <c r="QWX134" s="251"/>
      <c r="QWY134" s="251"/>
      <c r="QWZ134" s="251"/>
      <c r="QXA134" s="251"/>
      <c r="QXB134" s="251"/>
      <c r="QXC134" s="251"/>
      <c r="QXD134" s="251"/>
      <c r="QXE134" s="251"/>
      <c r="QXF134" s="251"/>
      <c r="QXG134" s="251"/>
      <c r="QXH134" s="251"/>
      <c r="QXI134" s="251"/>
      <c r="QXJ134" s="251"/>
      <c r="QXK134" s="251"/>
      <c r="QXL134" s="251"/>
      <c r="QXM134" s="251"/>
      <c r="QXN134" s="251"/>
      <c r="QXO134" s="251"/>
      <c r="QXP134" s="251"/>
      <c r="QXQ134" s="251"/>
      <c r="QXR134" s="251"/>
      <c r="QXS134" s="251"/>
      <c r="QXT134" s="251"/>
      <c r="QXU134" s="251"/>
      <c r="QXV134" s="251"/>
      <c r="QXW134" s="251"/>
      <c r="QXX134" s="251"/>
      <c r="QXY134" s="251"/>
      <c r="QXZ134" s="251"/>
      <c r="QYA134" s="251"/>
      <c r="QYB134" s="251"/>
      <c r="QYC134" s="251"/>
      <c r="QYD134" s="251"/>
      <c r="QYE134" s="251"/>
      <c r="QYF134" s="251"/>
      <c r="QYG134" s="251"/>
      <c r="QYH134" s="251"/>
      <c r="QYI134" s="251"/>
      <c r="QYJ134" s="251"/>
      <c r="QYK134" s="251"/>
      <c r="QYL134" s="251"/>
      <c r="QYM134" s="251"/>
      <c r="QYN134" s="251"/>
      <c r="QYO134" s="251"/>
      <c r="QYP134" s="251"/>
      <c r="QYQ134" s="251"/>
      <c r="QYR134" s="251"/>
      <c r="QYS134" s="251"/>
      <c r="QYT134" s="251"/>
      <c r="QYU134" s="251"/>
      <c r="QYV134" s="251"/>
      <c r="QYW134" s="251"/>
      <c r="QYX134" s="251"/>
      <c r="QYY134" s="251"/>
      <c r="QYZ134" s="251"/>
      <c r="QZA134" s="251"/>
      <c r="QZB134" s="251"/>
      <c r="QZC134" s="251"/>
      <c r="QZD134" s="251"/>
      <c r="QZE134" s="251"/>
      <c r="QZF134" s="251"/>
      <c r="QZG134" s="251"/>
      <c r="QZH134" s="251"/>
      <c r="QZI134" s="251"/>
      <c r="QZJ134" s="251"/>
      <c r="QZK134" s="251"/>
      <c r="QZL134" s="251"/>
      <c r="QZM134" s="251"/>
      <c r="QZN134" s="251"/>
      <c r="QZO134" s="251"/>
      <c r="QZP134" s="251"/>
      <c r="QZQ134" s="251"/>
      <c r="QZR134" s="251"/>
      <c r="QZS134" s="251"/>
      <c r="QZT134" s="251"/>
      <c r="QZU134" s="251"/>
      <c r="QZV134" s="251"/>
      <c r="QZW134" s="251"/>
      <c r="QZX134" s="251"/>
      <c r="QZY134" s="251"/>
      <c r="QZZ134" s="251"/>
      <c r="RAA134" s="251"/>
      <c r="RAB134" s="251"/>
      <c r="RAC134" s="251"/>
      <c r="RAD134" s="251"/>
      <c r="RAE134" s="251"/>
      <c r="RAF134" s="251"/>
      <c r="RAG134" s="251"/>
      <c r="RAH134" s="251"/>
      <c r="RAI134" s="251"/>
      <c r="RAJ134" s="251"/>
      <c r="RAK134" s="251"/>
      <c r="RAL134" s="251"/>
      <c r="RAM134" s="251"/>
      <c r="RAN134" s="251"/>
      <c r="RAO134" s="251"/>
      <c r="RAP134" s="251"/>
      <c r="RAQ134" s="251"/>
      <c r="RAR134" s="251"/>
      <c r="RAS134" s="251"/>
      <c r="RAT134" s="251"/>
      <c r="RAU134" s="251"/>
      <c r="RAV134" s="251"/>
      <c r="RAW134" s="251"/>
      <c r="RAX134" s="251"/>
      <c r="RAY134" s="251"/>
      <c r="RAZ134" s="251"/>
      <c r="RBA134" s="251"/>
      <c r="RBB134" s="251"/>
      <c r="RBC134" s="251"/>
      <c r="RBD134" s="251"/>
      <c r="RBE134" s="251"/>
      <c r="RBF134" s="251"/>
      <c r="RBG134" s="251"/>
      <c r="RBH134" s="251"/>
      <c r="RBI134" s="251"/>
      <c r="RBJ134" s="251"/>
      <c r="RBK134" s="251"/>
      <c r="RBL134" s="251"/>
      <c r="RBM134" s="251"/>
      <c r="RBN134" s="251"/>
      <c r="RBO134" s="251"/>
      <c r="RBP134" s="251"/>
      <c r="RBQ134" s="251"/>
      <c r="RBR134" s="251"/>
      <c r="RBS134" s="251"/>
      <c r="RBT134" s="251"/>
      <c r="RBU134" s="251"/>
      <c r="RBV134" s="251"/>
      <c r="RBW134" s="251"/>
      <c r="RBX134" s="251"/>
      <c r="RBY134" s="251"/>
      <c r="RBZ134" s="251"/>
      <c r="RCA134" s="251"/>
      <c r="RCB134" s="251"/>
      <c r="RCC134" s="251"/>
      <c r="RCD134" s="251"/>
      <c r="RCE134" s="251"/>
      <c r="RCF134" s="251"/>
      <c r="RCG134" s="251"/>
      <c r="RCH134" s="251"/>
      <c r="RCI134" s="251"/>
      <c r="RCJ134" s="251"/>
      <c r="RCK134" s="251"/>
      <c r="RCL134" s="251"/>
      <c r="RCM134" s="251"/>
      <c r="RCN134" s="251"/>
      <c r="RCO134" s="251"/>
      <c r="RCP134" s="251"/>
      <c r="RCQ134" s="251"/>
      <c r="RCR134" s="251"/>
      <c r="RCS134" s="251"/>
      <c r="RCT134" s="251"/>
      <c r="RCU134" s="251"/>
      <c r="RCV134" s="251"/>
      <c r="RCW134" s="251"/>
      <c r="RCX134" s="251"/>
      <c r="RCY134" s="251"/>
      <c r="RCZ134" s="251"/>
      <c r="RDA134" s="251"/>
      <c r="RDB134" s="251"/>
      <c r="RDC134" s="251"/>
      <c r="RDD134" s="251"/>
      <c r="RDE134" s="251"/>
      <c r="RDF134" s="251"/>
      <c r="RDG134" s="251"/>
      <c r="RDH134" s="251"/>
      <c r="RDI134" s="251"/>
      <c r="RDJ134" s="251"/>
      <c r="RDK134" s="251"/>
      <c r="RDL134" s="251"/>
      <c r="RDM134" s="251"/>
      <c r="RDN134" s="251"/>
      <c r="RDO134" s="251"/>
      <c r="RDP134" s="251"/>
      <c r="RDQ134" s="251"/>
      <c r="RDR134" s="251"/>
      <c r="RDS134" s="251"/>
      <c r="RDT134" s="251"/>
      <c r="RDU134" s="251"/>
      <c r="RDV134" s="251"/>
      <c r="RDW134" s="251"/>
      <c r="RDX134" s="251"/>
      <c r="RDY134" s="251"/>
      <c r="RDZ134" s="251"/>
      <c r="REA134" s="251"/>
      <c r="REB134" s="251"/>
      <c r="REC134" s="251"/>
      <c r="RED134" s="251"/>
      <c r="REE134" s="251"/>
      <c r="REF134" s="251"/>
      <c r="REG134" s="251"/>
      <c r="REH134" s="251"/>
      <c r="REI134" s="251"/>
      <c r="REJ134" s="251"/>
      <c r="REK134" s="251"/>
      <c r="REL134" s="251"/>
      <c r="REM134" s="251"/>
      <c r="REN134" s="251"/>
      <c r="REO134" s="251"/>
      <c r="REP134" s="251"/>
      <c r="REQ134" s="251"/>
      <c r="RER134" s="251"/>
      <c r="RES134" s="251"/>
      <c r="RET134" s="251"/>
      <c r="REU134" s="251"/>
      <c r="REV134" s="251"/>
      <c r="REW134" s="251"/>
      <c r="REX134" s="251"/>
      <c r="REY134" s="251"/>
      <c r="REZ134" s="251"/>
      <c r="RFA134" s="251"/>
      <c r="RFB134" s="251"/>
      <c r="RFC134" s="251"/>
      <c r="RFD134" s="251"/>
      <c r="RFE134" s="251"/>
      <c r="RFF134" s="251"/>
      <c r="RFG134" s="251"/>
      <c r="RFH134" s="251"/>
      <c r="RFI134" s="251"/>
      <c r="RFJ134" s="251"/>
      <c r="RFK134" s="251"/>
      <c r="RFL134" s="251"/>
      <c r="RFM134" s="251"/>
      <c r="RFN134" s="251"/>
      <c r="RFO134" s="251"/>
      <c r="RFP134" s="251"/>
      <c r="RFQ134" s="251"/>
      <c r="RFR134" s="251"/>
      <c r="RFS134" s="251"/>
      <c r="RFT134" s="251"/>
      <c r="RFU134" s="251"/>
      <c r="RFV134" s="251"/>
      <c r="RFW134" s="251"/>
      <c r="RFX134" s="251"/>
      <c r="RFY134" s="251"/>
      <c r="RFZ134" s="251"/>
      <c r="RGA134" s="251"/>
      <c r="RGB134" s="251"/>
      <c r="RGC134" s="251"/>
      <c r="RGD134" s="251"/>
      <c r="RGE134" s="251"/>
      <c r="RGF134" s="251"/>
      <c r="RGG134" s="251"/>
      <c r="RGH134" s="251"/>
      <c r="RGI134" s="251"/>
      <c r="RGJ134" s="251"/>
      <c r="RGK134" s="251"/>
      <c r="RGL134" s="251"/>
      <c r="RGM134" s="251"/>
      <c r="RGN134" s="251"/>
      <c r="RGO134" s="251"/>
      <c r="RGP134" s="251"/>
      <c r="RGQ134" s="251"/>
      <c r="RGR134" s="251"/>
      <c r="RGS134" s="251"/>
      <c r="RGT134" s="251"/>
      <c r="RGU134" s="251"/>
      <c r="RGV134" s="251"/>
      <c r="RGW134" s="251"/>
      <c r="RGX134" s="251"/>
      <c r="RGY134" s="251"/>
      <c r="RGZ134" s="251"/>
      <c r="RHA134" s="251"/>
      <c r="RHB134" s="251"/>
      <c r="RHC134" s="251"/>
      <c r="RHD134" s="251"/>
      <c r="RHE134" s="251"/>
      <c r="RHF134" s="251"/>
      <c r="RHG134" s="251"/>
      <c r="RHH134" s="251"/>
      <c r="RHI134" s="251"/>
      <c r="RHJ134" s="251"/>
      <c r="RHK134" s="251"/>
      <c r="RHL134" s="251"/>
      <c r="RHM134" s="251"/>
      <c r="RHN134" s="251"/>
      <c r="RHO134" s="251"/>
      <c r="RHP134" s="251"/>
      <c r="RHQ134" s="251"/>
      <c r="RHR134" s="251"/>
      <c r="RHS134" s="251"/>
      <c r="RHT134" s="251"/>
      <c r="RHU134" s="251"/>
      <c r="RHV134" s="251"/>
      <c r="RHW134" s="251"/>
      <c r="RHX134" s="251"/>
      <c r="RHY134" s="251"/>
      <c r="RHZ134" s="251"/>
      <c r="RIA134" s="251"/>
      <c r="RIB134" s="251"/>
      <c r="RIC134" s="251"/>
      <c r="RID134" s="251"/>
      <c r="RIE134" s="251"/>
      <c r="RIF134" s="251"/>
      <c r="RIG134" s="251"/>
      <c r="RIH134" s="251"/>
      <c r="RII134" s="251"/>
      <c r="RIJ134" s="251"/>
      <c r="RIK134" s="251"/>
      <c r="RIL134" s="251"/>
      <c r="RIM134" s="251"/>
      <c r="RIN134" s="251"/>
      <c r="RIO134" s="251"/>
      <c r="RIP134" s="251"/>
      <c r="RIQ134" s="251"/>
      <c r="RIR134" s="251"/>
      <c r="RIS134" s="251"/>
      <c r="RIT134" s="251"/>
      <c r="RIU134" s="251"/>
      <c r="RIV134" s="251"/>
      <c r="RIW134" s="251"/>
      <c r="RIX134" s="251"/>
      <c r="RIY134" s="251"/>
      <c r="RIZ134" s="251"/>
      <c r="RJA134" s="251"/>
      <c r="RJB134" s="251"/>
      <c r="RJC134" s="251"/>
      <c r="RJD134" s="251"/>
      <c r="RJE134" s="251"/>
      <c r="RJF134" s="251"/>
      <c r="RJG134" s="251"/>
      <c r="RJH134" s="251"/>
      <c r="RJI134" s="251"/>
      <c r="RJJ134" s="251"/>
      <c r="RJK134" s="251"/>
      <c r="RJL134" s="251"/>
      <c r="RJM134" s="251"/>
      <c r="RJN134" s="251"/>
      <c r="RJO134" s="251"/>
      <c r="RJP134" s="251"/>
      <c r="RJQ134" s="251"/>
      <c r="RJR134" s="251"/>
      <c r="RJS134" s="251"/>
      <c r="RJT134" s="251"/>
      <c r="RJU134" s="251"/>
      <c r="RJV134" s="251"/>
      <c r="RJW134" s="251"/>
      <c r="RJX134" s="251"/>
      <c r="RJY134" s="251"/>
      <c r="RJZ134" s="251"/>
      <c r="RKA134" s="251"/>
      <c r="RKB134" s="251"/>
      <c r="RKC134" s="251"/>
      <c r="RKD134" s="251"/>
      <c r="RKE134" s="251"/>
      <c r="RKF134" s="251"/>
      <c r="RKG134" s="251"/>
      <c r="RKH134" s="251"/>
      <c r="RKI134" s="251"/>
      <c r="RKJ134" s="251"/>
      <c r="RKK134" s="251"/>
      <c r="RKL134" s="251"/>
      <c r="RKM134" s="251"/>
      <c r="RKN134" s="251"/>
      <c r="RKO134" s="251"/>
      <c r="RKP134" s="251"/>
      <c r="RKQ134" s="251"/>
      <c r="RKR134" s="251"/>
      <c r="RKS134" s="251"/>
      <c r="RKT134" s="251"/>
      <c r="RKU134" s="251"/>
      <c r="RKV134" s="251"/>
      <c r="RKW134" s="251"/>
      <c r="RKX134" s="251"/>
      <c r="RKY134" s="251"/>
      <c r="RKZ134" s="251"/>
      <c r="RLA134" s="251"/>
      <c r="RLB134" s="251"/>
      <c r="RLC134" s="251"/>
      <c r="RLD134" s="251"/>
      <c r="RLE134" s="251"/>
      <c r="RLF134" s="251"/>
      <c r="RLG134" s="251"/>
      <c r="RLH134" s="251"/>
      <c r="RLI134" s="251"/>
      <c r="RLJ134" s="251"/>
      <c r="RLK134" s="251"/>
      <c r="RLL134" s="251"/>
      <c r="RLM134" s="251"/>
      <c r="RLN134" s="251"/>
      <c r="RLO134" s="251"/>
      <c r="RLP134" s="251"/>
      <c r="RLQ134" s="251"/>
      <c r="RLR134" s="251"/>
      <c r="RLS134" s="251"/>
      <c r="RLT134" s="251"/>
      <c r="RLU134" s="251"/>
      <c r="RLV134" s="251"/>
      <c r="RLW134" s="251"/>
      <c r="RLX134" s="251"/>
      <c r="RLY134" s="251"/>
      <c r="RLZ134" s="251"/>
      <c r="RMA134" s="251"/>
      <c r="RMB134" s="251"/>
      <c r="RMC134" s="251"/>
      <c r="RMD134" s="251"/>
      <c r="RME134" s="251"/>
      <c r="RMF134" s="251"/>
      <c r="RMG134" s="251"/>
      <c r="RMH134" s="251"/>
      <c r="RMI134" s="251"/>
      <c r="RMJ134" s="251"/>
      <c r="RMK134" s="251"/>
      <c r="RML134" s="251"/>
      <c r="RMM134" s="251"/>
      <c r="RMN134" s="251"/>
      <c r="RMO134" s="251"/>
      <c r="RMP134" s="251"/>
      <c r="RMQ134" s="251"/>
      <c r="RMR134" s="251"/>
      <c r="RMS134" s="251"/>
      <c r="RMT134" s="251"/>
      <c r="RMU134" s="251"/>
      <c r="RMV134" s="251"/>
      <c r="RMW134" s="251"/>
      <c r="RMX134" s="251"/>
      <c r="RMY134" s="251"/>
      <c r="RMZ134" s="251"/>
      <c r="RNA134" s="251"/>
      <c r="RNB134" s="251"/>
      <c r="RNC134" s="251"/>
      <c r="RND134" s="251"/>
      <c r="RNE134" s="251"/>
      <c r="RNF134" s="251"/>
      <c r="RNG134" s="251"/>
      <c r="RNH134" s="251"/>
      <c r="RNI134" s="251"/>
      <c r="RNJ134" s="251"/>
      <c r="RNK134" s="251"/>
      <c r="RNL134" s="251"/>
      <c r="RNM134" s="251"/>
      <c r="RNN134" s="251"/>
      <c r="RNO134" s="251"/>
      <c r="RNP134" s="251"/>
      <c r="RNQ134" s="251"/>
      <c r="RNR134" s="251"/>
      <c r="RNS134" s="251"/>
      <c r="RNT134" s="251"/>
      <c r="RNU134" s="251"/>
      <c r="RNV134" s="251"/>
      <c r="RNW134" s="251"/>
      <c r="RNX134" s="251"/>
      <c r="RNY134" s="251"/>
      <c r="RNZ134" s="251"/>
      <c r="ROA134" s="251"/>
      <c r="ROB134" s="251"/>
      <c r="ROC134" s="251"/>
      <c r="ROD134" s="251"/>
      <c r="ROE134" s="251"/>
      <c r="ROF134" s="251"/>
      <c r="ROG134" s="251"/>
      <c r="ROH134" s="251"/>
      <c r="ROI134" s="251"/>
      <c r="ROJ134" s="251"/>
      <c r="ROK134" s="251"/>
      <c r="ROL134" s="251"/>
      <c r="ROM134" s="251"/>
      <c r="RON134" s="251"/>
      <c r="ROO134" s="251"/>
      <c r="ROP134" s="251"/>
      <c r="ROQ134" s="251"/>
      <c r="ROR134" s="251"/>
      <c r="ROS134" s="251"/>
      <c r="ROT134" s="251"/>
      <c r="ROU134" s="251"/>
      <c r="ROV134" s="251"/>
      <c r="ROW134" s="251"/>
      <c r="ROX134" s="251"/>
      <c r="ROY134" s="251"/>
      <c r="ROZ134" s="251"/>
      <c r="RPA134" s="251"/>
      <c r="RPB134" s="251"/>
      <c r="RPC134" s="251"/>
      <c r="RPD134" s="251"/>
      <c r="RPE134" s="251"/>
      <c r="RPF134" s="251"/>
      <c r="RPG134" s="251"/>
      <c r="RPH134" s="251"/>
      <c r="RPI134" s="251"/>
      <c r="RPJ134" s="251"/>
      <c r="RPK134" s="251"/>
      <c r="RPL134" s="251"/>
      <c r="RPM134" s="251"/>
      <c r="RPN134" s="251"/>
      <c r="RPO134" s="251"/>
      <c r="RPP134" s="251"/>
      <c r="RPQ134" s="251"/>
      <c r="RPR134" s="251"/>
      <c r="RPS134" s="251"/>
      <c r="RPT134" s="251"/>
      <c r="RPU134" s="251"/>
      <c r="RPV134" s="251"/>
      <c r="RPW134" s="251"/>
      <c r="RPX134" s="251"/>
      <c r="RPY134" s="251"/>
      <c r="RPZ134" s="251"/>
      <c r="RQA134" s="251"/>
      <c r="RQB134" s="251"/>
      <c r="RQC134" s="251"/>
      <c r="RQD134" s="251"/>
      <c r="RQE134" s="251"/>
      <c r="RQF134" s="251"/>
      <c r="RQG134" s="251"/>
      <c r="RQH134" s="251"/>
      <c r="RQI134" s="251"/>
      <c r="RQJ134" s="251"/>
      <c r="RQK134" s="251"/>
      <c r="RQL134" s="251"/>
      <c r="RQM134" s="251"/>
      <c r="RQN134" s="251"/>
      <c r="RQO134" s="251"/>
      <c r="RQP134" s="251"/>
      <c r="RQQ134" s="251"/>
      <c r="RQR134" s="251"/>
      <c r="RQS134" s="251"/>
      <c r="RQT134" s="251"/>
      <c r="RQU134" s="251"/>
      <c r="RQV134" s="251"/>
      <c r="RQW134" s="251"/>
      <c r="RQX134" s="251"/>
      <c r="RQY134" s="251"/>
      <c r="RQZ134" s="251"/>
      <c r="RRA134" s="251"/>
      <c r="RRB134" s="251"/>
      <c r="RRC134" s="251"/>
      <c r="RRD134" s="251"/>
      <c r="RRE134" s="251"/>
      <c r="RRF134" s="251"/>
      <c r="RRG134" s="251"/>
      <c r="RRH134" s="251"/>
      <c r="RRI134" s="251"/>
      <c r="RRJ134" s="251"/>
      <c r="RRK134" s="251"/>
      <c r="RRL134" s="251"/>
      <c r="RRM134" s="251"/>
      <c r="RRN134" s="251"/>
      <c r="RRO134" s="251"/>
      <c r="RRP134" s="251"/>
      <c r="RRQ134" s="251"/>
      <c r="RRR134" s="251"/>
      <c r="RRS134" s="251"/>
      <c r="RRT134" s="251"/>
      <c r="RRU134" s="251"/>
      <c r="RRV134" s="251"/>
      <c r="RRW134" s="251"/>
      <c r="RRX134" s="251"/>
      <c r="RRY134" s="251"/>
      <c r="RRZ134" s="251"/>
      <c r="RSA134" s="251"/>
      <c r="RSB134" s="251"/>
      <c r="RSC134" s="251"/>
      <c r="RSD134" s="251"/>
      <c r="RSE134" s="251"/>
      <c r="RSF134" s="251"/>
      <c r="RSG134" s="251"/>
      <c r="RSH134" s="251"/>
      <c r="RSI134" s="251"/>
      <c r="RSJ134" s="251"/>
      <c r="RSK134" s="251"/>
      <c r="RSL134" s="251"/>
      <c r="RSM134" s="251"/>
      <c r="RSN134" s="251"/>
      <c r="RSO134" s="251"/>
      <c r="RSP134" s="251"/>
      <c r="RSQ134" s="251"/>
      <c r="RSR134" s="251"/>
      <c r="RSS134" s="251"/>
      <c r="RST134" s="251"/>
      <c r="RSU134" s="251"/>
      <c r="RSV134" s="251"/>
      <c r="RSW134" s="251"/>
      <c r="RSX134" s="251"/>
      <c r="RSY134" s="251"/>
      <c r="RSZ134" s="251"/>
      <c r="RTA134" s="251"/>
      <c r="RTB134" s="251"/>
      <c r="RTC134" s="251"/>
      <c r="RTD134" s="251"/>
      <c r="RTE134" s="251"/>
      <c r="RTF134" s="251"/>
      <c r="RTG134" s="251"/>
      <c r="RTH134" s="251"/>
      <c r="RTI134" s="251"/>
      <c r="RTJ134" s="251"/>
      <c r="RTK134" s="251"/>
      <c r="RTL134" s="251"/>
      <c r="RTM134" s="251"/>
      <c r="RTN134" s="251"/>
      <c r="RTO134" s="251"/>
      <c r="RTP134" s="251"/>
      <c r="RTQ134" s="251"/>
      <c r="RTR134" s="251"/>
      <c r="RTS134" s="251"/>
      <c r="RTT134" s="251"/>
      <c r="RTU134" s="251"/>
      <c r="RTV134" s="251"/>
      <c r="RTW134" s="251"/>
      <c r="RTX134" s="251"/>
      <c r="RTY134" s="251"/>
      <c r="RTZ134" s="251"/>
      <c r="RUA134" s="251"/>
      <c r="RUB134" s="251"/>
      <c r="RUC134" s="251"/>
      <c r="RUD134" s="251"/>
      <c r="RUE134" s="251"/>
      <c r="RUF134" s="251"/>
      <c r="RUG134" s="251"/>
      <c r="RUH134" s="251"/>
      <c r="RUI134" s="251"/>
      <c r="RUJ134" s="251"/>
      <c r="RUK134" s="251"/>
      <c r="RUL134" s="251"/>
      <c r="RUM134" s="251"/>
      <c r="RUN134" s="251"/>
      <c r="RUO134" s="251"/>
      <c r="RUP134" s="251"/>
      <c r="RUQ134" s="251"/>
      <c r="RUR134" s="251"/>
      <c r="RUS134" s="251"/>
      <c r="RUT134" s="251"/>
      <c r="RUU134" s="251"/>
      <c r="RUV134" s="251"/>
      <c r="RUW134" s="251"/>
      <c r="RUX134" s="251"/>
      <c r="RUY134" s="251"/>
      <c r="RUZ134" s="251"/>
      <c r="RVA134" s="251"/>
      <c r="RVB134" s="251"/>
      <c r="RVC134" s="251"/>
      <c r="RVD134" s="251"/>
      <c r="RVE134" s="251"/>
      <c r="RVF134" s="251"/>
      <c r="RVG134" s="251"/>
      <c r="RVH134" s="251"/>
      <c r="RVI134" s="251"/>
      <c r="RVJ134" s="251"/>
      <c r="RVK134" s="251"/>
      <c r="RVL134" s="251"/>
      <c r="RVM134" s="251"/>
      <c r="RVN134" s="251"/>
      <c r="RVO134" s="251"/>
      <c r="RVP134" s="251"/>
      <c r="RVQ134" s="251"/>
      <c r="RVR134" s="251"/>
      <c r="RVS134" s="251"/>
      <c r="RVT134" s="251"/>
      <c r="RVU134" s="251"/>
      <c r="RVV134" s="251"/>
      <c r="RVW134" s="251"/>
      <c r="RVX134" s="251"/>
      <c r="RVY134" s="251"/>
      <c r="RVZ134" s="251"/>
      <c r="RWA134" s="251"/>
      <c r="RWB134" s="251"/>
      <c r="RWC134" s="251"/>
      <c r="RWD134" s="251"/>
      <c r="RWE134" s="251"/>
      <c r="RWF134" s="251"/>
      <c r="RWG134" s="251"/>
      <c r="RWH134" s="251"/>
      <c r="RWI134" s="251"/>
      <c r="RWJ134" s="251"/>
      <c r="RWK134" s="251"/>
      <c r="RWL134" s="251"/>
      <c r="RWM134" s="251"/>
      <c r="RWN134" s="251"/>
      <c r="RWO134" s="251"/>
      <c r="RWP134" s="251"/>
      <c r="RWQ134" s="251"/>
      <c r="RWR134" s="251"/>
      <c r="RWS134" s="251"/>
      <c r="RWT134" s="251"/>
      <c r="RWU134" s="251"/>
      <c r="RWV134" s="251"/>
      <c r="RWW134" s="251"/>
      <c r="RWX134" s="251"/>
      <c r="RWY134" s="251"/>
      <c r="RWZ134" s="251"/>
      <c r="RXA134" s="251"/>
      <c r="RXB134" s="251"/>
      <c r="RXC134" s="251"/>
      <c r="RXD134" s="251"/>
      <c r="RXE134" s="251"/>
      <c r="RXF134" s="251"/>
      <c r="RXG134" s="251"/>
      <c r="RXH134" s="251"/>
      <c r="RXI134" s="251"/>
      <c r="RXJ134" s="251"/>
      <c r="RXK134" s="251"/>
      <c r="RXL134" s="251"/>
      <c r="RXM134" s="251"/>
      <c r="RXN134" s="251"/>
      <c r="RXO134" s="251"/>
      <c r="RXP134" s="251"/>
      <c r="RXQ134" s="251"/>
      <c r="RXR134" s="251"/>
      <c r="RXS134" s="251"/>
      <c r="RXT134" s="251"/>
      <c r="RXU134" s="251"/>
      <c r="RXV134" s="251"/>
      <c r="RXW134" s="251"/>
      <c r="RXX134" s="251"/>
      <c r="RXY134" s="251"/>
      <c r="RXZ134" s="251"/>
      <c r="RYA134" s="251"/>
      <c r="RYB134" s="251"/>
      <c r="RYC134" s="251"/>
      <c r="RYD134" s="251"/>
      <c r="RYE134" s="251"/>
      <c r="RYF134" s="251"/>
      <c r="RYG134" s="251"/>
      <c r="RYH134" s="251"/>
      <c r="RYI134" s="251"/>
      <c r="RYJ134" s="251"/>
      <c r="RYK134" s="251"/>
      <c r="RYL134" s="251"/>
      <c r="RYM134" s="251"/>
      <c r="RYN134" s="251"/>
      <c r="RYO134" s="251"/>
      <c r="RYP134" s="251"/>
      <c r="RYQ134" s="251"/>
      <c r="RYR134" s="251"/>
      <c r="RYS134" s="251"/>
      <c r="RYT134" s="251"/>
      <c r="RYU134" s="251"/>
      <c r="RYV134" s="251"/>
      <c r="RYW134" s="251"/>
      <c r="RYX134" s="251"/>
      <c r="RYY134" s="251"/>
      <c r="RYZ134" s="251"/>
      <c r="RZA134" s="251"/>
      <c r="RZB134" s="251"/>
      <c r="RZC134" s="251"/>
      <c r="RZD134" s="251"/>
      <c r="RZE134" s="251"/>
      <c r="RZF134" s="251"/>
      <c r="RZG134" s="251"/>
      <c r="RZH134" s="251"/>
      <c r="RZI134" s="251"/>
      <c r="RZJ134" s="251"/>
      <c r="RZK134" s="251"/>
      <c r="RZL134" s="251"/>
      <c r="RZM134" s="251"/>
      <c r="RZN134" s="251"/>
      <c r="RZO134" s="251"/>
      <c r="RZP134" s="251"/>
      <c r="RZQ134" s="251"/>
      <c r="RZR134" s="251"/>
      <c r="RZS134" s="251"/>
      <c r="RZT134" s="251"/>
      <c r="RZU134" s="251"/>
      <c r="RZV134" s="251"/>
      <c r="RZW134" s="251"/>
      <c r="RZX134" s="251"/>
      <c r="RZY134" s="251"/>
      <c r="RZZ134" s="251"/>
      <c r="SAA134" s="251"/>
      <c r="SAB134" s="251"/>
      <c r="SAC134" s="251"/>
      <c r="SAD134" s="251"/>
      <c r="SAE134" s="251"/>
      <c r="SAF134" s="251"/>
      <c r="SAG134" s="251"/>
      <c r="SAH134" s="251"/>
      <c r="SAI134" s="251"/>
      <c r="SAJ134" s="251"/>
      <c r="SAK134" s="251"/>
      <c r="SAL134" s="251"/>
      <c r="SAM134" s="251"/>
      <c r="SAN134" s="251"/>
      <c r="SAO134" s="251"/>
      <c r="SAP134" s="251"/>
      <c r="SAQ134" s="251"/>
      <c r="SAR134" s="251"/>
      <c r="SAS134" s="251"/>
      <c r="SAT134" s="251"/>
      <c r="SAU134" s="251"/>
      <c r="SAV134" s="251"/>
      <c r="SAW134" s="251"/>
      <c r="SAX134" s="251"/>
      <c r="SAY134" s="251"/>
      <c r="SAZ134" s="251"/>
      <c r="SBA134" s="251"/>
      <c r="SBB134" s="251"/>
      <c r="SBC134" s="251"/>
      <c r="SBD134" s="251"/>
      <c r="SBE134" s="251"/>
      <c r="SBF134" s="251"/>
      <c r="SBG134" s="251"/>
      <c r="SBH134" s="251"/>
      <c r="SBI134" s="251"/>
      <c r="SBJ134" s="251"/>
      <c r="SBK134" s="251"/>
      <c r="SBL134" s="251"/>
      <c r="SBM134" s="251"/>
      <c r="SBN134" s="251"/>
      <c r="SBO134" s="251"/>
      <c r="SBP134" s="251"/>
      <c r="SBQ134" s="251"/>
      <c r="SBR134" s="251"/>
      <c r="SBS134" s="251"/>
      <c r="SBT134" s="251"/>
      <c r="SBU134" s="251"/>
      <c r="SBV134" s="251"/>
      <c r="SBW134" s="251"/>
      <c r="SBX134" s="251"/>
      <c r="SBY134" s="251"/>
      <c r="SBZ134" s="251"/>
      <c r="SCA134" s="251"/>
      <c r="SCB134" s="251"/>
      <c r="SCC134" s="251"/>
      <c r="SCD134" s="251"/>
      <c r="SCE134" s="251"/>
      <c r="SCF134" s="251"/>
      <c r="SCG134" s="251"/>
      <c r="SCH134" s="251"/>
      <c r="SCI134" s="251"/>
      <c r="SCJ134" s="251"/>
      <c r="SCK134" s="251"/>
      <c r="SCL134" s="251"/>
      <c r="SCM134" s="251"/>
      <c r="SCN134" s="251"/>
      <c r="SCO134" s="251"/>
      <c r="SCP134" s="251"/>
      <c r="SCQ134" s="251"/>
      <c r="SCR134" s="251"/>
      <c r="SCS134" s="251"/>
      <c r="SCT134" s="251"/>
      <c r="SCU134" s="251"/>
      <c r="SCV134" s="251"/>
      <c r="SCW134" s="251"/>
      <c r="SCX134" s="251"/>
      <c r="SCY134" s="251"/>
      <c r="SCZ134" s="251"/>
      <c r="SDA134" s="251"/>
      <c r="SDB134" s="251"/>
      <c r="SDC134" s="251"/>
      <c r="SDD134" s="251"/>
      <c r="SDE134" s="251"/>
      <c r="SDF134" s="251"/>
      <c r="SDG134" s="251"/>
      <c r="SDH134" s="251"/>
      <c r="SDI134" s="251"/>
      <c r="SDJ134" s="251"/>
      <c r="SDK134" s="251"/>
      <c r="SDL134" s="251"/>
      <c r="SDM134" s="251"/>
      <c r="SDN134" s="251"/>
      <c r="SDO134" s="251"/>
      <c r="SDP134" s="251"/>
      <c r="SDQ134" s="251"/>
      <c r="SDR134" s="251"/>
      <c r="SDS134" s="251"/>
      <c r="SDT134" s="251"/>
      <c r="SDU134" s="251"/>
      <c r="SDV134" s="251"/>
      <c r="SDW134" s="251"/>
      <c r="SDX134" s="251"/>
      <c r="SDY134" s="251"/>
      <c r="SDZ134" s="251"/>
      <c r="SEA134" s="251"/>
      <c r="SEB134" s="251"/>
      <c r="SEC134" s="251"/>
      <c r="SED134" s="251"/>
      <c r="SEE134" s="251"/>
      <c r="SEF134" s="251"/>
      <c r="SEG134" s="251"/>
      <c r="SEH134" s="251"/>
      <c r="SEI134" s="251"/>
      <c r="SEJ134" s="251"/>
      <c r="SEK134" s="251"/>
      <c r="SEL134" s="251"/>
      <c r="SEM134" s="251"/>
      <c r="SEN134" s="251"/>
      <c r="SEO134" s="251"/>
      <c r="SEP134" s="251"/>
      <c r="SEQ134" s="251"/>
      <c r="SER134" s="251"/>
      <c r="SES134" s="251"/>
      <c r="SET134" s="251"/>
      <c r="SEU134" s="251"/>
      <c r="SEV134" s="251"/>
      <c r="SEW134" s="251"/>
      <c r="SEX134" s="251"/>
      <c r="SEY134" s="251"/>
      <c r="SEZ134" s="251"/>
      <c r="SFA134" s="251"/>
      <c r="SFB134" s="251"/>
      <c r="SFC134" s="251"/>
      <c r="SFD134" s="251"/>
      <c r="SFE134" s="251"/>
      <c r="SFF134" s="251"/>
      <c r="SFG134" s="251"/>
      <c r="SFH134" s="251"/>
      <c r="SFI134" s="251"/>
      <c r="SFJ134" s="251"/>
      <c r="SFK134" s="251"/>
      <c r="SFL134" s="251"/>
      <c r="SFM134" s="251"/>
      <c r="SFN134" s="251"/>
      <c r="SFO134" s="251"/>
      <c r="SFP134" s="251"/>
      <c r="SFQ134" s="251"/>
      <c r="SFR134" s="251"/>
      <c r="SFS134" s="251"/>
      <c r="SFT134" s="251"/>
      <c r="SFU134" s="251"/>
      <c r="SFV134" s="251"/>
      <c r="SFW134" s="251"/>
      <c r="SFX134" s="251"/>
      <c r="SFY134" s="251"/>
      <c r="SFZ134" s="251"/>
      <c r="SGA134" s="251"/>
      <c r="SGB134" s="251"/>
      <c r="SGC134" s="251"/>
      <c r="SGD134" s="251"/>
      <c r="SGE134" s="251"/>
      <c r="SGF134" s="251"/>
      <c r="SGG134" s="251"/>
      <c r="SGH134" s="251"/>
      <c r="SGI134" s="251"/>
      <c r="SGJ134" s="251"/>
      <c r="SGK134" s="251"/>
      <c r="SGL134" s="251"/>
      <c r="SGM134" s="251"/>
      <c r="SGN134" s="251"/>
      <c r="SGO134" s="251"/>
      <c r="SGP134" s="251"/>
      <c r="SGQ134" s="251"/>
      <c r="SGR134" s="251"/>
      <c r="SGS134" s="251"/>
      <c r="SGT134" s="251"/>
      <c r="SGU134" s="251"/>
      <c r="SGV134" s="251"/>
      <c r="SGW134" s="251"/>
      <c r="SGX134" s="251"/>
      <c r="SGY134" s="251"/>
      <c r="SGZ134" s="251"/>
      <c r="SHA134" s="251"/>
      <c r="SHB134" s="251"/>
      <c r="SHC134" s="251"/>
      <c r="SHD134" s="251"/>
      <c r="SHE134" s="251"/>
      <c r="SHF134" s="251"/>
      <c r="SHG134" s="251"/>
      <c r="SHH134" s="251"/>
      <c r="SHI134" s="251"/>
      <c r="SHJ134" s="251"/>
      <c r="SHK134" s="251"/>
      <c r="SHL134" s="251"/>
      <c r="SHM134" s="251"/>
      <c r="SHN134" s="251"/>
      <c r="SHO134" s="251"/>
      <c r="SHP134" s="251"/>
      <c r="SHQ134" s="251"/>
      <c r="SHR134" s="251"/>
      <c r="SHS134" s="251"/>
      <c r="SHT134" s="251"/>
      <c r="SHU134" s="251"/>
      <c r="SHV134" s="251"/>
      <c r="SHW134" s="251"/>
      <c r="SHX134" s="251"/>
      <c r="SHY134" s="251"/>
      <c r="SHZ134" s="251"/>
      <c r="SIA134" s="251"/>
      <c r="SIB134" s="251"/>
      <c r="SIC134" s="251"/>
      <c r="SID134" s="251"/>
      <c r="SIE134" s="251"/>
      <c r="SIF134" s="251"/>
      <c r="SIG134" s="251"/>
      <c r="SIH134" s="251"/>
      <c r="SII134" s="251"/>
      <c r="SIJ134" s="251"/>
      <c r="SIK134" s="251"/>
      <c r="SIL134" s="251"/>
      <c r="SIM134" s="251"/>
      <c r="SIN134" s="251"/>
      <c r="SIO134" s="251"/>
      <c r="SIP134" s="251"/>
      <c r="SIQ134" s="251"/>
      <c r="SIR134" s="251"/>
      <c r="SIS134" s="251"/>
      <c r="SIT134" s="251"/>
      <c r="SIU134" s="251"/>
      <c r="SIV134" s="251"/>
      <c r="SIW134" s="251"/>
      <c r="SIX134" s="251"/>
      <c r="SIY134" s="251"/>
      <c r="SIZ134" s="251"/>
      <c r="SJA134" s="251"/>
      <c r="SJB134" s="251"/>
      <c r="SJC134" s="251"/>
      <c r="SJD134" s="251"/>
      <c r="SJE134" s="251"/>
      <c r="SJF134" s="251"/>
      <c r="SJG134" s="251"/>
      <c r="SJH134" s="251"/>
      <c r="SJI134" s="251"/>
      <c r="SJJ134" s="251"/>
      <c r="SJK134" s="251"/>
      <c r="SJL134" s="251"/>
      <c r="SJM134" s="251"/>
      <c r="SJN134" s="251"/>
      <c r="SJO134" s="251"/>
      <c r="SJP134" s="251"/>
      <c r="SJQ134" s="251"/>
      <c r="SJR134" s="251"/>
      <c r="SJS134" s="251"/>
      <c r="SJT134" s="251"/>
      <c r="SJU134" s="251"/>
      <c r="SJV134" s="251"/>
      <c r="SJW134" s="251"/>
      <c r="SJX134" s="251"/>
      <c r="SJY134" s="251"/>
      <c r="SJZ134" s="251"/>
      <c r="SKA134" s="251"/>
      <c r="SKB134" s="251"/>
      <c r="SKC134" s="251"/>
      <c r="SKD134" s="251"/>
      <c r="SKE134" s="251"/>
      <c r="SKF134" s="251"/>
      <c r="SKG134" s="251"/>
      <c r="SKH134" s="251"/>
      <c r="SKI134" s="251"/>
      <c r="SKJ134" s="251"/>
      <c r="SKK134" s="251"/>
      <c r="SKL134" s="251"/>
      <c r="SKM134" s="251"/>
      <c r="SKN134" s="251"/>
      <c r="SKO134" s="251"/>
      <c r="SKP134" s="251"/>
      <c r="SKQ134" s="251"/>
      <c r="SKR134" s="251"/>
      <c r="SKS134" s="251"/>
      <c r="SKT134" s="251"/>
      <c r="SKU134" s="251"/>
      <c r="SKV134" s="251"/>
      <c r="SKW134" s="251"/>
      <c r="SKX134" s="251"/>
      <c r="SKY134" s="251"/>
      <c r="SKZ134" s="251"/>
      <c r="SLA134" s="251"/>
      <c r="SLB134" s="251"/>
      <c r="SLC134" s="251"/>
      <c r="SLD134" s="251"/>
      <c r="SLE134" s="251"/>
      <c r="SLF134" s="251"/>
      <c r="SLG134" s="251"/>
      <c r="SLH134" s="251"/>
      <c r="SLI134" s="251"/>
      <c r="SLJ134" s="251"/>
      <c r="SLK134" s="251"/>
      <c r="SLL134" s="251"/>
      <c r="SLM134" s="251"/>
      <c r="SLN134" s="251"/>
      <c r="SLO134" s="251"/>
      <c r="SLP134" s="251"/>
      <c r="SLQ134" s="251"/>
      <c r="SLR134" s="251"/>
      <c r="SLS134" s="251"/>
      <c r="SLT134" s="251"/>
      <c r="SLU134" s="251"/>
      <c r="SLV134" s="251"/>
      <c r="SLW134" s="251"/>
      <c r="SLX134" s="251"/>
      <c r="SLY134" s="251"/>
      <c r="SLZ134" s="251"/>
      <c r="SMA134" s="251"/>
      <c r="SMB134" s="251"/>
      <c r="SMC134" s="251"/>
      <c r="SMD134" s="251"/>
      <c r="SME134" s="251"/>
      <c r="SMF134" s="251"/>
      <c r="SMG134" s="251"/>
      <c r="SMH134" s="251"/>
      <c r="SMI134" s="251"/>
      <c r="SMJ134" s="251"/>
      <c r="SMK134" s="251"/>
      <c r="SML134" s="251"/>
      <c r="SMM134" s="251"/>
      <c r="SMN134" s="251"/>
      <c r="SMO134" s="251"/>
      <c r="SMP134" s="251"/>
      <c r="SMQ134" s="251"/>
      <c r="SMR134" s="251"/>
      <c r="SMS134" s="251"/>
      <c r="SMT134" s="251"/>
      <c r="SMU134" s="251"/>
      <c r="SMV134" s="251"/>
      <c r="SMW134" s="251"/>
      <c r="SMX134" s="251"/>
      <c r="SMY134" s="251"/>
      <c r="SMZ134" s="251"/>
      <c r="SNA134" s="251"/>
      <c r="SNB134" s="251"/>
      <c r="SNC134" s="251"/>
      <c r="SND134" s="251"/>
      <c r="SNE134" s="251"/>
      <c r="SNF134" s="251"/>
      <c r="SNG134" s="251"/>
      <c r="SNH134" s="251"/>
      <c r="SNI134" s="251"/>
      <c r="SNJ134" s="251"/>
      <c r="SNK134" s="251"/>
      <c r="SNL134" s="251"/>
      <c r="SNM134" s="251"/>
      <c r="SNN134" s="251"/>
      <c r="SNO134" s="251"/>
      <c r="SNP134" s="251"/>
      <c r="SNQ134" s="251"/>
      <c r="SNR134" s="251"/>
      <c r="SNS134" s="251"/>
      <c r="SNT134" s="251"/>
      <c r="SNU134" s="251"/>
      <c r="SNV134" s="251"/>
      <c r="SNW134" s="251"/>
      <c r="SNX134" s="251"/>
      <c r="SNY134" s="251"/>
      <c r="SNZ134" s="251"/>
      <c r="SOA134" s="251"/>
      <c r="SOB134" s="251"/>
      <c r="SOC134" s="251"/>
      <c r="SOD134" s="251"/>
      <c r="SOE134" s="251"/>
      <c r="SOF134" s="251"/>
      <c r="SOG134" s="251"/>
      <c r="SOH134" s="251"/>
      <c r="SOI134" s="251"/>
      <c r="SOJ134" s="251"/>
      <c r="SOK134" s="251"/>
      <c r="SOL134" s="251"/>
      <c r="SOM134" s="251"/>
      <c r="SON134" s="251"/>
      <c r="SOO134" s="251"/>
      <c r="SOP134" s="251"/>
      <c r="SOQ134" s="251"/>
      <c r="SOR134" s="251"/>
      <c r="SOS134" s="251"/>
      <c r="SOT134" s="251"/>
      <c r="SOU134" s="251"/>
      <c r="SOV134" s="251"/>
      <c r="SOW134" s="251"/>
      <c r="SOX134" s="251"/>
      <c r="SOY134" s="251"/>
      <c r="SOZ134" s="251"/>
      <c r="SPA134" s="251"/>
      <c r="SPB134" s="251"/>
      <c r="SPC134" s="251"/>
      <c r="SPD134" s="251"/>
      <c r="SPE134" s="251"/>
      <c r="SPF134" s="251"/>
      <c r="SPG134" s="251"/>
      <c r="SPH134" s="251"/>
      <c r="SPI134" s="251"/>
      <c r="SPJ134" s="251"/>
      <c r="SPK134" s="251"/>
      <c r="SPL134" s="251"/>
      <c r="SPM134" s="251"/>
      <c r="SPN134" s="251"/>
      <c r="SPO134" s="251"/>
      <c r="SPP134" s="251"/>
      <c r="SPQ134" s="251"/>
      <c r="SPR134" s="251"/>
      <c r="SPS134" s="251"/>
      <c r="SPT134" s="251"/>
      <c r="SPU134" s="251"/>
      <c r="SPV134" s="251"/>
      <c r="SPW134" s="251"/>
      <c r="SPX134" s="251"/>
      <c r="SPY134" s="251"/>
      <c r="SPZ134" s="251"/>
      <c r="SQA134" s="251"/>
      <c r="SQB134" s="251"/>
      <c r="SQC134" s="251"/>
      <c r="SQD134" s="251"/>
      <c r="SQE134" s="251"/>
      <c r="SQF134" s="251"/>
      <c r="SQG134" s="251"/>
      <c r="SQH134" s="251"/>
      <c r="SQI134" s="251"/>
      <c r="SQJ134" s="251"/>
      <c r="SQK134" s="251"/>
      <c r="SQL134" s="251"/>
      <c r="SQM134" s="251"/>
      <c r="SQN134" s="251"/>
      <c r="SQO134" s="251"/>
      <c r="SQP134" s="251"/>
      <c r="SQQ134" s="251"/>
      <c r="SQR134" s="251"/>
      <c r="SQS134" s="251"/>
      <c r="SQT134" s="251"/>
      <c r="SQU134" s="251"/>
      <c r="SQV134" s="251"/>
      <c r="SQW134" s="251"/>
      <c r="SQX134" s="251"/>
      <c r="SQY134" s="251"/>
      <c r="SQZ134" s="251"/>
      <c r="SRA134" s="251"/>
      <c r="SRB134" s="251"/>
      <c r="SRC134" s="251"/>
      <c r="SRD134" s="251"/>
      <c r="SRE134" s="251"/>
      <c r="SRF134" s="251"/>
      <c r="SRG134" s="251"/>
      <c r="SRH134" s="251"/>
      <c r="SRI134" s="251"/>
      <c r="SRJ134" s="251"/>
      <c r="SRK134" s="251"/>
      <c r="SRL134" s="251"/>
      <c r="SRM134" s="251"/>
      <c r="SRN134" s="251"/>
      <c r="SRO134" s="251"/>
      <c r="SRP134" s="251"/>
      <c r="SRQ134" s="251"/>
      <c r="SRR134" s="251"/>
      <c r="SRS134" s="251"/>
      <c r="SRT134" s="251"/>
      <c r="SRU134" s="251"/>
      <c r="SRV134" s="251"/>
      <c r="SRW134" s="251"/>
      <c r="SRX134" s="251"/>
      <c r="SRY134" s="251"/>
      <c r="SRZ134" s="251"/>
      <c r="SSA134" s="251"/>
      <c r="SSB134" s="251"/>
      <c r="SSC134" s="251"/>
      <c r="SSD134" s="251"/>
      <c r="SSE134" s="251"/>
      <c r="SSF134" s="251"/>
      <c r="SSG134" s="251"/>
      <c r="SSH134" s="251"/>
      <c r="SSI134" s="251"/>
      <c r="SSJ134" s="251"/>
      <c r="SSK134" s="251"/>
      <c r="SSL134" s="251"/>
      <c r="SSM134" s="251"/>
      <c r="SSN134" s="251"/>
      <c r="SSO134" s="251"/>
      <c r="SSP134" s="251"/>
      <c r="SSQ134" s="251"/>
      <c r="SSR134" s="251"/>
      <c r="SSS134" s="251"/>
      <c r="SST134" s="251"/>
      <c r="SSU134" s="251"/>
      <c r="SSV134" s="251"/>
      <c r="SSW134" s="251"/>
      <c r="SSX134" s="251"/>
      <c r="SSY134" s="251"/>
      <c r="SSZ134" s="251"/>
      <c r="STA134" s="251"/>
      <c r="STB134" s="251"/>
      <c r="STC134" s="251"/>
      <c r="STD134" s="251"/>
      <c r="STE134" s="251"/>
      <c r="STF134" s="251"/>
      <c r="STG134" s="251"/>
      <c r="STH134" s="251"/>
      <c r="STI134" s="251"/>
      <c r="STJ134" s="251"/>
      <c r="STK134" s="251"/>
      <c r="STL134" s="251"/>
      <c r="STM134" s="251"/>
      <c r="STN134" s="251"/>
      <c r="STO134" s="251"/>
      <c r="STP134" s="251"/>
      <c r="STQ134" s="251"/>
      <c r="STR134" s="251"/>
      <c r="STS134" s="251"/>
      <c r="STT134" s="251"/>
      <c r="STU134" s="251"/>
      <c r="STV134" s="251"/>
      <c r="STW134" s="251"/>
      <c r="STX134" s="251"/>
      <c r="STY134" s="251"/>
      <c r="STZ134" s="251"/>
      <c r="SUA134" s="251"/>
      <c r="SUB134" s="251"/>
      <c r="SUC134" s="251"/>
      <c r="SUD134" s="251"/>
      <c r="SUE134" s="251"/>
      <c r="SUF134" s="251"/>
      <c r="SUG134" s="251"/>
      <c r="SUH134" s="251"/>
      <c r="SUI134" s="251"/>
      <c r="SUJ134" s="251"/>
      <c r="SUK134" s="251"/>
      <c r="SUL134" s="251"/>
      <c r="SUM134" s="251"/>
      <c r="SUN134" s="251"/>
      <c r="SUO134" s="251"/>
      <c r="SUP134" s="251"/>
      <c r="SUQ134" s="251"/>
      <c r="SUR134" s="251"/>
      <c r="SUS134" s="251"/>
      <c r="SUT134" s="251"/>
      <c r="SUU134" s="251"/>
      <c r="SUV134" s="251"/>
      <c r="SUW134" s="251"/>
      <c r="SUX134" s="251"/>
      <c r="SUY134" s="251"/>
      <c r="SUZ134" s="251"/>
      <c r="SVA134" s="251"/>
      <c r="SVB134" s="251"/>
      <c r="SVC134" s="251"/>
      <c r="SVD134" s="251"/>
      <c r="SVE134" s="251"/>
      <c r="SVF134" s="251"/>
      <c r="SVG134" s="251"/>
      <c r="SVH134" s="251"/>
      <c r="SVI134" s="251"/>
      <c r="SVJ134" s="251"/>
      <c r="SVK134" s="251"/>
      <c r="SVL134" s="251"/>
      <c r="SVM134" s="251"/>
      <c r="SVN134" s="251"/>
      <c r="SVO134" s="251"/>
      <c r="SVP134" s="251"/>
      <c r="SVQ134" s="251"/>
      <c r="SVR134" s="251"/>
      <c r="SVS134" s="251"/>
      <c r="SVT134" s="251"/>
      <c r="SVU134" s="251"/>
      <c r="SVV134" s="251"/>
      <c r="SVW134" s="251"/>
      <c r="SVX134" s="251"/>
      <c r="SVY134" s="251"/>
      <c r="SVZ134" s="251"/>
      <c r="SWA134" s="251"/>
      <c r="SWB134" s="251"/>
      <c r="SWC134" s="251"/>
      <c r="SWD134" s="251"/>
      <c r="SWE134" s="251"/>
      <c r="SWF134" s="251"/>
      <c r="SWG134" s="251"/>
      <c r="SWH134" s="251"/>
      <c r="SWI134" s="251"/>
      <c r="SWJ134" s="251"/>
      <c r="SWK134" s="251"/>
      <c r="SWL134" s="251"/>
      <c r="SWM134" s="251"/>
      <c r="SWN134" s="251"/>
      <c r="SWO134" s="251"/>
      <c r="SWP134" s="251"/>
      <c r="SWQ134" s="251"/>
      <c r="SWR134" s="251"/>
      <c r="SWS134" s="251"/>
      <c r="SWT134" s="251"/>
      <c r="SWU134" s="251"/>
      <c r="SWV134" s="251"/>
      <c r="SWW134" s="251"/>
      <c r="SWX134" s="251"/>
      <c r="SWY134" s="251"/>
      <c r="SWZ134" s="251"/>
      <c r="SXA134" s="251"/>
      <c r="SXB134" s="251"/>
      <c r="SXC134" s="251"/>
      <c r="SXD134" s="251"/>
      <c r="SXE134" s="251"/>
      <c r="SXF134" s="251"/>
      <c r="SXG134" s="251"/>
      <c r="SXH134" s="251"/>
      <c r="SXI134" s="251"/>
      <c r="SXJ134" s="251"/>
      <c r="SXK134" s="251"/>
      <c r="SXL134" s="251"/>
      <c r="SXM134" s="251"/>
      <c r="SXN134" s="251"/>
      <c r="SXO134" s="251"/>
      <c r="SXP134" s="251"/>
      <c r="SXQ134" s="251"/>
      <c r="SXR134" s="251"/>
      <c r="SXS134" s="251"/>
      <c r="SXT134" s="251"/>
      <c r="SXU134" s="251"/>
      <c r="SXV134" s="251"/>
      <c r="SXW134" s="251"/>
      <c r="SXX134" s="251"/>
      <c r="SXY134" s="251"/>
      <c r="SXZ134" s="251"/>
      <c r="SYA134" s="251"/>
      <c r="SYB134" s="251"/>
      <c r="SYC134" s="251"/>
      <c r="SYD134" s="251"/>
      <c r="SYE134" s="251"/>
      <c r="SYF134" s="251"/>
      <c r="SYG134" s="251"/>
      <c r="SYH134" s="251"/>
      <c r="SYI134" s="251"/>
      <c r="SYJ134" s="251"/>
      <c r="SYK134" s="251"/>
      <c r="SYL134" s="251"/>
      <c r="SYM134" s="251"/>
      <c r="SYN134" s="251"/>
      <c r="SYO134" s="251"/>
      <c r="SYP134" s="251"/>
      <c r="SYQ134" s="251"/>
      <c r="SYR134" s="251"/>
      <c r="SYS134" s="251"/>
      <c r="SYT134" s="251"/>
      <c r="SYU134" s="251"/>
      <c r="SYV134" s="251"/>
      <c r="SYW134" s="251"/>
      <c r="SYX134" s="251"/>
      <c r="SYY134" s="251"/>
      <c r="SYZ134" s="251"/>
      <c r="SZA134" s="251"/>
      <c r="SZB134" s="251"/>
      <c r="SZC134" s="251"/>
      <c r="SZD134" s="251"/>
      <c r="SZE134" s="251"/>
      <c r="SZF134" s="251"/>
      <c r="SZG134" s="251"/>
      <c r="SZH134" s="251"/>
      <c r="SZI134" s="251"/>
      <c r="SZJ134" s="251"/>
      <c r="SZK134" s="251"/>
      <c r="SZL134" s="251"/>
      <c r="SZM134" s="251"/>
      <c r="SZN134" s="251"/>
      <c r="SZO134" s="251"/>
      <c r="SZP134" s="251"/>
      <c r="SZQ134" s="251"/>
      <c r="SZR134" s="251"/>
      <c r="SZS134" s="251"/>
      <c r="SZT134" s="251"/>
      <c r="SZU134" s="251"/>
      <c r="SZV134" s="251"/>
      <c r="SZW134" s="251"/>
      <c r="SZX134" s="251"/>
      <c r="SZY134" s="251"/>
      <c r="SZZ134" s="251"/>
      <c r="TAA134" s="251"/>
      <c r="TAB134" s="251"/>
      <c r="TAC134" s="251"/>
      <c r="TAD134" s="251"/>
      <c r="TAE134" s="251"/>
      <c r="TAF134" s="251"/>
      <c r="TAG134" s="251"/>
      <c r="TAH134" s="251"/>
      <c r="TAI134" s="251"/>
      <c r="TAJ134" s="251"/>
      <c r="TAK134" s="251"/>
      <c r="TAL134" s="251"/>
      <c r="TAM134" s="251"/>
      <c r="TAN134" s="251"/>
      <c r="TAO134" s="251"/>
      <c r="TAP134" s="251"/>
      <c r="TAQ134" s="251"/>
      <c r="TAR134" s="251"/>
      <c r="TAS134" s="251"/>
      <c r="TAT134" s="251"/>
      <c r="TAU134" s="251"/>
      <c r="TAV134" s="251"/>
      <c r="TAW134" s="251"/>
      <c r="TAX134" s="251"/>
      <c r="TAY134" s="251"/>
      <c r="TAZ134" s="251"/>
      <c r="TBA134" s="251"/>
      <c r="TBB134" s="251"/>
      <c r="TBC134" s="251"/>
      <c r="TBD134" s="251"/>
      <c r="TBE134" s="251"/>
      <c r="TBF134" s="251"/>
      <c r="TBG134" s="251"/>
      <c r="TBH134" s="251"/>
      <c r="TBI134" s="251"/>
      <c r="TBJ134" s="251"/>
      <c r="TBK134" s="251"/>
      <c r="TBL134" s="251"/>
      <c r="TBM134" s="251"/>
      <c r="TBN134" s="251"/>
      <c r="TBO134" s="251"/>
      <c r="TBP134" s="251"/>
      <c r="TBQ134" s="251"/>
      <c r="TBR134" s="251"/>
      <c r="TBS134" s="251"/>
      <c r="TBT134" s="251"/>
      <c r="TBU134" s="251"/>
      <c r="TBV134" s="251"/>
      <c r="TBW134" s="251"/>
      <c r="TBX134" s="251"/>
      <c r="TBY134" s="251"/>
      <c r="TBZ134" s="251"/>
      <c r="TCA134" s="251"/>
      <c r="TCB134" s="251"/>
      <c r="TCC134" s="251"/>
      <c r="TCD134" s="251"/>
      <c r="TCE134" s="251"/>
      <c r="TCF134" s="251"/>
      <c r="TCG134" s="251"/>
      <c r="TCH134" s="251"/>
      <c r="TCI134" s="251"/>
      <c r="TCJ134" s="251"/>
      <c r="TCK134" s="251"/>
      <c r="TCL134" s="251"/>
      <c r="TCM134" s="251"/>
      <c r="TCN134" s="251"/>
      <c r="TCO134" s="251"/>
      <c r="TCP134" s="251"/>
      <c r="TCQ134" s="251"/>
      <c r="TCR134" s="251"/>
      <c r="TCS134" s="251"/>
      <c r="TCT134" s="251"/>
      <c r="TCU134" s="251"/>
      <c r="TCV134" s="251"/>
      <c r="TCW134" s="251"/>
      <c r="TCX134" s="251"/>
      <c r="TCY134" s="251"/>
      <c r="TCZ134" s="251"/>
      <c r="TDA134" s="251"/>
      <c r="TDB134" s="251"/>
      <c r="TDC134" s="251"/>
      <c r="TDD134" s="251"/>
      <c r="TDE134" s="251"/>
      <c r="TDF134" s="251"/>
      <c r="TDG134" s="251"/>
      <c r="TDH134" s="251"/>
      <c r="TDI134" s="251"/>
      <c r="TDJ134" s="251"/>
      <c r="TDK134" s="251"/>
      <c r="TDL134" s="251"/>
      <c r="TDM134" s="251"/>
      <c r="TDN134" s="251"/>
      <c r="TDO134" s="251"/>
      <c r="TDP134" s="251"/>
      <c r="TDQ134" s="251"/>
      <c r="TDR134" s="251"/>
      <c r="TDS134" s="251"/>
      <c r="TDT134" s="251"/>
      <c r="TDU134" s="251"/>
      <c r="TDV134" s="251"/>
      <c r="TDW134" s="251"/>
      <c r="TDX134" s="251"/>
      <c r="TDY134" s="251"/>
      <c r="TDZ134" s="251"/>
      <c r="TEA134" s="251"/>
      <c r="TEB134" s="251"/>
      <c r="TEC134" s="251"/>
      <c r="TED134" s="251"/>
      <c r="TEE134" s="251"/>
      <c r="TEF134" s="251"/>
      <c r="TEG134" s="251"/>
      <c r="TEH134" s="251"/>
      <c r="TEI134" s="251"/>
      <c r="TEJ134" s="251"/>
      <c r="TEK134" s="251"/>
      <c r="TEL134" s="251"/>
      <c r="TEM134" s="251"/>
      <c r="TEN134" s="251"/>
      <c r="TEO134" s="251"/>
      <c r="TEP134" s="251"/>
      <c r="TEQ134" s="251"/>
      <c r="TER134" s="251"/>
      <c r="TES134" s="251"/>
      <c r="TET134" s="251"/>
      <c r="TEU134" s="251"/>
      <c r="TEV134" s="251"/>
      <c r="TEW134" s="251"/>
      <c r="TEX134" s="251"/>
      <c r="TEY134" s="251"/>
      <c r="TEZ134" s="251"/>
      <c r="TFA134" s="251"/>
      <c r="TFB134" s="251"/>
      <c r="TFC134" s="251"/>
      <c r="TFD134" s="251"/>
      <c r="TFE134" s="251"/>
      <c r="TFF134" s="251"/>
      <c r="TFG134" s="251"/>
      <c r="TFH134" s="251"/>
      <c r="TFI134" s="251"/>
      <c r="TFJ134" s="251"/>
      <c r="TFK134" s="251"/>
      <c r="TFL134" s="251"/>
      <c r="TFM134" s="251"/>
      <c r="TFN134" s="251"/>
      <c r="TFO134" s="251"/>
      <c r="TFP134" s="251"/>
      <c r="TFQ134" s="251"/>
      <c r="TFR134" s="251"/>
      <c r="TFS134" s="251"/>
      <c r="TFT134" s="251"/>
      <c r="TFU134" s="251"/>
      <c r="TFV134" s="251"/>
      <c r="TFW134" s="251"/>
      <c r="TFX134" s="251"/>
      <c r="TFY134" s="251"/>
      <c r="TFZ134" s="251"/>
      <c r="TGA134" s="251"/>
      <c r="TGB134" s="251"/>
      <c r="TGC134" s="251"/>
      <c r="TGD134" s="251"/>
      <c r="TGE134" s="251"/>
      <c r="TGF134" s="251"/>
      <c r="TGG134" s="251"/>
      <c r="TGH134" s="251"/>
      <c r="TGI134" s="251"/>
      <c r="TGJ134" s="251"/>
      <c r="TGK134" s="251"/>
      <c r="TGL134" s="251"/>
      <c r="TGM134" s="251"/>
      <c r="TGN134" s="251"/>
      <c r="TGO134" s="251"/>
      <c r="TGP134" s="251"/>
      <c r="TGQ134" s="251"/>
      <c r="TGR134" s="251"/>
      <c r="TGS134" s="251"/>
      <c r="TGT134" s="251"/>
      <c r="TGU134" s="251"/>
      <c r="TGV134" s="251"/>
      <c r="TGW134" s="251"/>
      <c r="TGX134" s="251"/>
      <c r="TGY134" s="251"/>
      <c r="TGZ134" s="251"/>
      <c r="THA134" s="251"/>
      <c r="THB134" s="251"/>
      <c r="THC134" s="251"/>
      <c r="THD134" s="251"/>
      <c r="THE134" s="251"/>
      <c r="THF134" s="251"/>
      <c r="THG134" s="251"/>
      <c r="THH134" s="251"/>
      <c r="THI134" s="251"/>
      <c r="THJ134" s="251"/>
      <c r="THK134" s="251"/>
      <c r="THL134" s="251"/>
      <c r="THM134" s="251"/>
      <c r="THN134" s="251"/>
      <c r="THO134" s="251"/>
      <c r="THP134" s="251"/>
      <c r="THQ134" s="251"/>
      <c r="THR134" s="251"/>
      <c r="THS134" s="251"/>
      <c r="THT134" s="251"/>
      <c r="THU134" s="251"/>
      <c r="THV134" s="251"/>
      <c r="THW134" s="251"/>
      <c r="THX134" s="251"/>
      <c r="THY134" s="251"/>
      <c r="THZ134" s="251"/>
      <c r="TIA134" s="251"/>
      <c r="TIB134" s="251"/>
      <c r="TIC134" s="251"/>
      <c r="TID134" s="251"/>
      <c r="TIE134" s="251"/>
      <c r="TIF134" s="251"/>
      <c r="TIG134" s="251"/>
      <c r="TIH134" s="251"/>
      <c r="TII134" s="251"/>
      <c r="TIJ134" s="251"/>
      <c r="TIK134" s="251"/>
      <c r="TIL134" s="251"/>
      <c r="TIM134" s="251"/>
      <c r="TIN134" s="251"/>
      <c r="TIO134" s="251"/>
      <c r="TIP134" s="251"/>
      <c r="TIQ134" s="251"/>
      <c r="TIR134" s="251"/>
      <c r="TIS134" s="251"/>
      <c r="TIT134" s="251"/>
      <c r="TIU134" s="251"/>
      <c r="TIV134" s="251"/>
      <c r="TIW134" s="251"/>
      <c r="TIX134" s="251"/>
      <c r="TIY134" s="251"/>
      <c r="TIZ134" s="251"/>
      <c r="TJA134" s="251"/>
      <c r="TJB134" s="251"/>
      <c r="TJC134" s="251"/>
      <c r="TJD134" s="251"/>
      <c r="TJE134" s="251"/>
      <c r="TJF134" s="251"/>
      <c r="TJG134" s="251"/>
      <c r="TJH134" s="251"/>
      <c r="TJI134" s="251"/>
      <c r="TJJ134" s="251"/>
      <c r="TJK134" s="251"/>
      <c r="TJL134" s="251"/>
      <c r="TJM134" s="251"/>
      <c r="TJN134" s="251"/>
      <c r="TJO134" s="251"/>
      <c r="TJP134" s="251"/>
      <c r="TJQ134" s="251"/>
      <c r="TJR134" s="251"/>
      <c r="TJS134" s="251"/>
      <c r="TJT134" s="251"/>
      <c r="TJU134" s="251"/>
      <c r="TJV134" s="251"/>
      <c r="TJW134" s="251"/>
      <c r="TJX134" s="251"/>
      <c r="TJY134" s="251"/>
      <c r="TJZ134" s="251"/>
      <c r="TKA134" s="251"/>
      <c r="TKB134" s="251"/>
      <c r="TKC134" s="251"/>
      <c r="TKD134" s="251"/>
      <c r="TKE134" s="251"/>
      <c r="TKF134" s="251"/>
      <c r="TKG134" s="251"/>
      <c r="TKH134" s="251"/>
      <c r="TKI134" s="251"/>
      <c r="TKJ134" s="251"/>
      <c r="TKK134" s="251"/>
      <c r="TKL134" s="251"/>
      <c r="TKM134" s="251"/>
      <c r="TKN134" s="251"/>
      <c r="TKO134" s="251"/>
      <c r="TKP134" s="251"/>
      <c r="TKQ134" s="251"/>
      <c r="TKR134" s="251"/>
      <c r="TKS134" s="251"/>
      <c r="TKT134" s="251"/>
      <c r="TKU134" s="251"/>
      <c r="TKV134" s="251"/>
      <c r="TKW134" s="251"/>
      <c r="TKX134" s="251"/>
      <c r="TKY134" s="251"/>
      <c r="TKZ134" s="251"/>
      <c r="TLA134" s="251"/>
      <c r="TLB134" s="251"/>
      <c r="TLC134" s="251"/>
      <c r="TLD134" s="251"/>
      <c r="TLE134" s="251"/>
      <c r="TLF134" s="251"/>
      <c r="TLG134" s="251"/>
      <c r="TLH134" s="251"/>
      <c r="TLI134" s="251"/>
      <c r="TLJ134" s="251"/>
      <c r="TLK134" s="251"/>
      <c r="TLL134" s="251"/>
      <c r="TLM134" s="251"/>
      <c r="TLN134" s="251"/>
      <c r="TLO134" s="251"/>
      <c r="TLP134" s="251"/>
      <c r="TLQ134" s="251"/>
      <c r="TLR134" s="251"/>
      <c r="TLS134" s="251"/>
      <c r="TLT134" s="251"/>
      <c r="TLU134" s="251"/>
      <c r="TLV134" s="251"/>
      <c r="TLW134" s="251"/>
      <c r="TLX134" s="251"/>
      <c r="TLY134" s="251"/>
      <c r="TLZ134" s="251"/>
      <c r="TMA134" s="251"/>
      <c r="TMB134" s="251"/>
      <c r="TMC134" s="251"/>
      <c r="TMD134" s="251"/>
      <c r="TME134" s="251"/>
      <c r="TMF134" s="251"/>
      <c r="TMG134" s="251"/>
      <c r="TMH134" s="251"/>
      <c r="TMI134" s="251"/>
      <c r="TMJ134" s="251"/>
      <c r="TMK134" s="251"/>
      <c r="TML134" s="251"/>
      <c r="TMM134" s="251"/>
      <c r="TMN134" s="251"/>
      <c r="TMO134" s="251"/>
      <c r="TMP134" s="251"/>
      <c r="TMQ134" s="251"/>
      <c r="TMR134" s="251"/>
      <c r="TMS134" s="251"/>
      <c r="TMT134" s="251"/>
      <c r="TMU134" s="251"/>
      <c r="TMV134" s="251"/>
      <c r="TMW134" s="251"/>
      <c r="TMX134" s="251"/>
      <c r="TMY134" s="251"/>
      <c r="TMZ134" s="251"/>
      <c r="TNA134" s="251"/>
      <c r="TNB134" s="251"/>
      <c r="TNC134" s="251"/>
      <c r="TND134" s="251"/>
      <c r="TNE134" s="251"/>
      <c r="TNF134" s="251"/>
      <c r="TNG134" s="251"/>
      <c r="TNH134" s="251"/>
      <c r="TNI134" s="251"/>
      <c r="TNJ134" s="251"/>
      <c r="TNK134" s="251"/>
      <c r="TNL134" s="251"/>
      <c r="TNM134" s="251"/>
      <c r="TNN134" s="251"/>
      <c r="TNO134" s="251"/>
      <c r="TNP134" s="251"/>
      <c r="TNQ134" s="251"/>
      <c r="TNR134" s="251"/>
      <c r="TNS134" s="251"/>
      <c r="TNT134" s="251"/>
      <c r="TNU134" s="251"/>
      <c r="TNV134" s="251"/>
      <c r="TNW134" s="251"/>
      <c r="TNX134" s="251"/>
      <c r="TNY134" s="251"/>
      <c r="TNZ134" s="251"/>
      <c r="TOA134" s="251"/>
      <c r="TOB134" s="251"/>
      <c r="TOC134" s="251"/>
      <c r="TOD134" s="251"/>
      <c r="TOE134" s="251"/>
      <c r="TOF134" s="251"/>
      <c r="TOG134" s="251"/>
      <c r="TOH134" s="251"/>
      <c r="TOI134" s="251"/>
      <c r="TOJ134" s="251"/>
      <c r="TOK134" s="251"/>
      <c r="TOL134" s="251"/>
      <c r="TOM134" s="251"/>
      <c r="TON134" s="251"/>
      <c r="TOO134" s="251"/>
      <c r="TOP134" s="251"/>
      <c r="TOQ134" s="251"/>
      <c r="TOR134" s="251"/>
      <c r="TOS134" s="251"/>
      <c r="TOT134" s="251"/>
      <c r="TOU134" s="251"/>
      <c r="TOV134" s="251"/>
      <c r="TOW134" s="251"/>
      <c r="TOX134" s="251"/>
      <c r="TOY134" s="251"/>
      <c r="TOZ134" s="251"/>
      <c r="TPA134" s="251"/>
      <c r="TPB134" s="251"/>
      <c r="TPC134" s="251"/>
      <c r="TPD134" s="251"/>
      <c r="TPE134" s="251"/>
      <c r="TPF134" s="251"/>
      <c r="TPG134" s="251"/>
      <c r="TPH134" s="251"/>
      <c r="TPI134" s="251"/>
      <c r="TPJ134" s="251"/>
      <c r="TPK134" s="251"/>
      <c r="TPL134" s="251"/>
      <c r="TPM134" s="251"/>
      <c r="TPN134" s="251"/>
      <c r="TPO134" s="251"/>
      <c r="TPP134" s="251"/>
      <c r="TPQ134" s="251"/>
      <c r="TPR134" s="251"/>
      <c r="TPS134" s="251"/>
      <c r="TPT134" s="251"/>
      <c r="TPU134" s="251"/>
      <c r="TPV134" s="251"/>
      <c r="TPW134" s="251"/>
      <c r="TPX134" s="251"/>
      <c r="TPY134" s="251"/>
      <c r="TPZ134" s="251"/>
      <c r="TQA134" s="251"/>
      <c r="TQB134" s="251"/>
      <c r="TQC134" s="251"/>
      <c r="TQD134" s="251"/>
      <c r="TQE134" s="251"/>
      <c r="TQF134" s="251"/>
      <c r="TQG134" s="251"/>
      <c r="TQH134" s="251"/>
      <c r="TQI134" s="251"/>
      <c r="TQJ134" s="251"/>
      <c r="TQK134" s="251"/>
      <c r="TQL134" s="251"/>
      <c r="TQM134" s="251"/>
      <c r="TQN134" s="251"/>
      <c r="TQO134" s="251"/>
      <c r="TQP134" s="251"/>
      <c r="TQQ134" s="251"/>
      <c r="TQR134" s="251"/>
      <c r="TQS134" s="251"/>
      <c r="TQT134" s="251"/>
      <c r="TQU134" s="251"/>
      <c r="TQV134" s="251"/>
      <c r="TQW134" s="251"/>
      <c r="TQX134" s="251"/>
      <c r="TQY134" s="251"/>
      <c r="TQZ134" s="251"/>
      <c r="TRA134" s="251"/>
      <c r="TRB134" s="251"/>
      <c r="TRC134" s="251"/>
      <c r="TRD134" s="251"/>
      <c r="TRE134" s="251"/>
      <c r="TRF134" s="251"/>
      <c r="TRG134" s="251"/>
      <c r="TRH134" s="251"/>
      <c r="TRI134" s="251"/>
      <c r="TRJ134" s="251"/>
      <c r="TRK134" s="251"/>
      <c r="TRL134" s="251"/>
      <c r="TRM134" s="251"/>
      <c r="TRN134" s="251"/>
      <c r="TRO134" s="251"/>
      <c r="TRP134" s="251"/>
      <c r="TRQ134" s="251"/>
      <c r="TRR134" s="251"/>
      <c r="TRS134" s="251"/>
      <c r="TRT134" s="251"/>
      <c r="TRU134" s="251"/>
      <c r="TRV134" s="251"/>
      <c r="TRW134" s="251"/>
      <c r="TRX134" s="251"/>
      <c r="TRY134" s="251"/>
      <c r="TRZ134" s="251"/>
      <c r="TSA134" s="251"/>
      <c r="TSB134" s="251"/>
      <c r="TSC134" s="251"/>
      <c r="TSD134" s="251"/>
      <c r="TSE134" s="251"/>
      <c r="TSF134" s="251"/>
      <c r="TSG134" s="251"/>
      <c r="TSH134" s="251"/>
      <c r="TSI134" s="251"/>
      <c r="TSJ134" s="251"/>
      <c r="TSK134" s="251"/>
      <c r="TSL134" s="251"/>
      <c r="TSM134" s="251"/>
      <c r="TSN134" s="251"/>
      <c r="TSO134" s="251"/>
      <c r="TSP134" s="251"/>
      <c r="TSQ134" s="251"/>
      <c r="TSR134" s="251"/>
      <c r="TSS134" s="251"/>
      <c r="TST134" s="251"/>
      <c r="TSU134" s="251"/>
      <c r="TSV134" s="251"/>
      <c r="TSW134" s="251"/>
      <c r="TSX134" s="251"/>
      <c r="TSY134" s="251"/>
      <c r="TSZ134" s="251"/>
      <c r="TTA134" s="251"/>
      <c r="TTB134" s="251"/>
      <c r="TTC134" s="251"/>
      <c r="TTD134" s="251"/>
      <c r="TTE134" s="251"/>
      <c r="TTF134" s="251"/>
      <c r="TTG134" s="251"/>
      <c r="TTH134" s="251"/>
      <c r="TTI134" s="251"/>
      <c r="TTJ134" s="251"/>
      <c r="TTK134" s="251"/>
      <c r="TTL134" s="251"/>
      <c r="TTM134" s="251"/>
      <c r="TTN134" s="251"/>
      <c r="TTO134" s="251"/>
      <c r="TTP134" s="251"/>
      <c r="TTQ134" s="251"/>
      <c r="TTR134" s="251"/>
      <c r="TTS134" s="251"/>
      <c r="TTT134" s="251"/>
      <c r="TTU134" s="251"/>
      <c r="TTV134" s="251"/>
      <c r="TTW134" s="251"/>
      <c r="TTX134" s="251"/>
      <c r="TTY134" s="251"/>
      <c r="TTZ134" s="251"/>
      <c r="TUA134" s="251"/>
      <c r="TUB134" s="251"/>
      <c r="TUC134" s="251"/>
      <c r="TUD134" s="251"/>
      <c r="TUE134" s="251"/>
      <c r="TUF134" s="251"/>
      <c r="TUG134" s="251"/>
      <c r="TUH134" s="251"/>
      <c r="TUI134" s="251"/>
      <c r="TUJ134" s="251"/>
      <c r="TUK134" s="251"/>
      <c r="TUL134" s="251"/>
      <c r="TUM134" s="251"/>
      <c r="TUN134" s="251"/>
      <c r="TUO134" s="251"/>
      <c r="TUP134" s="251"/>
      <c r="TUQ134" s="251"/>
      <c r="TUR134" s="251"/>
      <c r="TUS134" s="251"/>
      <c r="TUT134" s="251"/>
      <c r="TUU134" s="251"/>
      <c r="TUV134" s="251"/>
      <c r="TUW134" s="251"/>
      <c r="TUX134" s="251"/>
      <c r="TUY134" s="251"/>
      <c r="TUZ134" s="251"/>
      <c r="TVA134" s="251"/>
      <c r="TVB134" s="251"/>
      <c r="TVC134" s="251"/>
      <c r="TVD134" s="251"/>
      <c r="TVE134" s="251"/>
      <c r="TVF134" s="251"/>
      <c r="TVG134" s="251"/>
      <c r="TVH134" s="251"/>
      <c r="TVI134" s="251"/>
      <c r="TVJ134" s="251"/>
      <c r="TVK134" s="251"/>
      <c r="TVL134" s="251"/>
      <c r="TVM134" s="251"/>
      <c r="TVN134" s="251"/>
      <c r="TVO134" s="251"/>
      <c r="TVP134" s="251"/>
      <c r="TVQ134" s="251"/>
      <c r="TVR134" s="251"/>
      <c r="TVS134" s="251"/>
      <c r="TVT134" s="251"/>
      <c r="TVU134" s="251"/>
      <c r="TVV134" s="251"/>
      <c r="TVW134" s="251"/>
      <c r="TVX134" s="251"/>
      <c r="TVY134" s="251"/>
      <c r="TVZ134" s="251"/>
      <c r="TWA134" s="251"/>
      <c r="TWB134" s="251"/>
      <c r="TWC134" s="251"/>
      <c r="TWD134" s="251"/>
      <c r="TWE134" s="251"/>
      <c r="TWF134" s="251"/>
      <c r="TWG134" s="251"/>
      <c r="TWH134" s="251"/>
      <c r="TWI134" s="251"/>
      <c r="TWJ134" s="251"/>
      <c r="TWK134" s="251"/>
      <c r="TWL134" s="251"/>
      <c r="TWM134" s="251"/>
      <c r="TWN134" s="251"/>
      <c r="TWO134" s="251"/>
      <c r="TWP134" s="251"/>
      <c r="TWQ134" s="251"/>
      <c r="TWR134" s="251"/>
      <c r="TWS134" s="251"/>
      <c r="TWT134" s="251"/>
      <c r="TWU134" s="251"/>
      <c r="TWV134" s="251"/>
      <c r="TWW134" s="251"/>
      <c r="TWX134" s="251"/>
      <c r="TWY134" s="251"/>
      <c r="TWZ134" s="251"/>
      <c r="TXA134" s="251"/>
      <c r="TXB134" s="251"/>
      <c r="TXC134" s="251"/>
      <c r="TXD134" s="251"/>
      <c r="TXE134" s="251"/>
      <c r="TXF134" s="251"/>
      <c r="TXG134" s="251"/>
      <c r="TXH134" s="251"/>
      <c r="TXI134" s="251"/>
      <c r="TXJ134" s="251"/>
      <c r="TXK134" s="251"/>
      <c r="TXL134" s="251"/>
      <c r="TXM134" s="251"/>
      <c r="TXN134" s="251"/>
      <c r="TXO134" s="251"/>
      <c r="TXP134" s="251"/>
      <c r="TXQ134" s="251"/>
      <c r="TXR134" s="251"/>
      <c r="TXS134" s="251"/>
      <c r="TXT134" s="251"/>
      <c r="TXU134" s="251"/>
      <c r="TXV134" s="251"/>
      <c r="TXW134" s="251"/>
      <c r="TXX134" s="251"/>
      <c r="TXY134" s="251"/>
      <c r="TXZ134" s="251"/>
      <c r="TYA134" s="251"/>
      <c r="TYB134" s="251"/>
      <c r="TYC134" s="251"/>
      <c r="TYD134" s="251"/>
      <c r="TYE134" s="251"/>
      <c r="TYF134" s="251"/>
      <c r="TYG134" s="251"/>
      <c r="TYH134" s="251"/>
      <c r="TYI134" s="251"/>
      <c r="TYJ134" s="251"/>
      <c r="TYK134" s="251"/>
      <c r="TYL134" s="251"/>
      <c r="TYM134" s="251"/>
      <c r="TYN134" s="251"/>
      <c r="TYO134" s="251"/>
      <c r="TYP134" s="251"/>
      <c r="TYQ134" s="251"/>
      <c r="TYR134" s="251"/>
      <c r="TYS134" s="251"/>
      <c r="TYT134" s="251"/>
      <c r="TYU134" s="251"/>
      <c r="TYV134" s="251"/>
      <c r="TYW134" s="251"/>
      <c r="TYX134" s="251"/>
      <c r="TYY134" s="251"/>
      <c r="TYZ134" s="251"/>
      <c r="TZA134" s="251"/>
      <c r="TZB134" s="251"/>
      <c r="TZC134" s="251"/>
      <c r="TZD134" s="251"/>
      <c r="TZE134" s="251"/>
      <c r="TZF134" s="251"/>
      <c r="TZG134" s="251"/>
      <c r="TZH134" s="251"/>
      <c r="TZI134" s="251"/>
      <c r="TZJ134" s="251"/>
      <c r="TZK134" s="251"/>
      <c r="TZL134" s="251"/>
      <c r="TZM134" s="251"/>
      <c r="TZN134" s="251"/>
      <c r="TZO134" s="251"/>
      <c r="TZP134" s="251"/>
      <c r="TZQ134" s="251"/>
      <c r="TZR134" s="251"/>
      <c r="TZS134" s="251"/>
      <c r="TZT134" s="251"/>
      <c r="TZU134" s="251"/>
      <c r="TZV134" s="251"/>
      <c r="TZW134" s="251"/>
      <c r="TZX134" s="251"/>
      <c r="TZY134" s="251"/>
      <c r="TZZ134" s="251"/>
      <c r="UAA134" s="251"/>
      <c r="UAB134" s="251"/>
      <c r="UAC134" s="251"/>
      <c r="UAD134" s="251"/>
      <c r="UAE134" s="251"/>
      <c r="UAF134" s="251"/>
      <c r="UAG134" s="251"/>
      <c r="UAH134" s="251"/>
      <c r="UAI134" s="251"/>
      <c r="UAJ134" s="251"/>
      <c r="UAK134" s="251"/>
      <c r="UAL134" s="251"/>
      <c r="UAM134" s="251"/>
      <c r="UAN134" s="251"/>
      <c r="UAO134" s="251"/>
      <c r="UAP134" s="251"/>
      <c r="UAQ134" s="251"/>
      <c r="UAR134" s="251"/>
      <c r="UAS134" s="251"/>
      <c r="UAT134" s="251"/>
      <c r="UAU134" s="251"/>
      <c r="UAV134" s="251"/>
      <c r="UAW134" s="251"/>
      <c r="UAX134" s="251"/>
      <c r="UAY134" s="251"/>
      <c r="UAZ134" s="251"/>
      <c r="UBA134" s="251"/>
      <c r="UBB134" s="251"/>
      <c r="UBC134" s="251"/>
      <c r="UBD134" s="251"/>
      <c r="UBE134" s="251"/>
      <c r="UBF134" s="251"/>
      <c r="UBG134" s="251"/>
      <c r="UBH134" s="251"/>
      <c r="UBI134" s="251"/>
      <c r="UBJ134" s="251"/>
      <c r="UBK134" s="251"/>
      <c r="UBL134" s="251"/>
      <c r="UBM134" s="251"/>
      <c r="UBN134" s="251"/>
      <c r="UBO134" s="251"/>
      <c r="UBP134" s="251"/>
      <c r="UBQ134" s="251"/>
      <c r="UBR134" s="251"/>
      <c r="UBS134" s="251"/>
      <c r="UBT134" s="251"/>
      <c r="UBU134" s="251"/>
      <c r="UBV134" s="251"/>
      <c r="UBW134" s="251"/>
      <c r="UBX134" s="251"/>
      <c r="UBY134" s="251"/>
      <c r="UBZ134" s="251"/>
      <c r="UCA134" s="251"/>
      <c r="UCB134" s="251"/>
      <c r="UCC134" s="251"/>
      <c r="UCD134" s="251"/>
      <c r="UCE134" s="251"/>
      <c r="UCF134" s="251"/>
      <c r="UCG134" s="251"/>
      <c r="UCH134" s="251"/>
      <c r="UCI134" s="251"/>
      <c r="UCJ134" s="251"/>
      <c r="UCK134" s="251"/>
      <c r="UCL134" s="251"/>
      <c r="UCM134" s="251"/>
      <c r="UCN134" s="251"/>
      <c r="UCO134" s="251"/>
      <c r="UCP134" s="251"/>
      <c r="UCQ134" s="251"/>
      <c r="UCR134" s="251"/>
      <c r="UCS134" s="251"/>
      <c r="UCT134" s="251"/>
      <c r="UCU134" s="251"/>
      <c r="UCV134" s="251"/>
      <c r="UCW134" s="251"/>
      <c r="UCX134" s="251"/>
      <c r="UCY134" s="251"/>
      <c r="UCZ134" s="251"/>
      <c r="UDA134" s="251"/>
      <c r="UDB134" s="251"/>
      <c r="UDC134" s="251"/>
      <c r="UDD134" s="251"/>
      <c r="UDE134" s="251"/>
      <c r="UDF134" s="251"/>
      <c r="UDG134" s="251"/>
      <c r="UDH134" s="251"/>
      <c r="UDI134" s="251"/>
      <c r="UDJ134" s="251"/>
      <c r="UDK134" s="251"/>
      <c r="UDL134" s="251"/>
      <c r="UDM134" s="251"/>
      <c r="UDN134" s="251"/>
      <c r="UDO134" s="251"/>
      <c r="UDP134" s="251"/>
      <c r="UDQ134" s="251"/>
      <c r="UDR134" s="251"/>
      <c r="UDS134" s="251"/>
      <c r="UDT134" s="251"/>
      <c r="UDU134" s="251"/>
      <c r="UDV134" s="251"/>
      <c r="UDW134" s="251"/>
      <c r="UDX134" s="251"/>
      <c r="UDY134" s="251"/>
      <c r="UDZ134" s="251"/>
      <c r="UEA134" s="251"/>
      <c r="UEB134" s="251"/>
      <c r="UEC134" s="251"/>
      <c r="UED134" s="251"/>
      <c r="UEE134" s="251"/>
      <c r="UEF134" s="251"/>
      <c r="UEG134" s="251"/>
      <c r="UEH134" s="251"/>
      <c r="UEI134" s="251"/>
      <c r="UEJ134" s="251"/>
      <c r="UEK134" s="251"/>
      <c r="UEL134" s="251"/>
      <c r="UEM134" s="251"/>
      <c r="UEN134" s="251"/>
      <c r="UEO134" s="251"/>
      <c r="UEP134" s="251"/>
      <c r="UEQ134" s="251"/>
      <c r="UER134" s="251"/>
      <c r="UES134" s="251"/>
      <c r="UET134" s="251"/>
      <c r="UEU134" s="251"/>
      <c r="UEV134" s="251"/>
      <c r="UEW134" s="251"/>
      <c r="UEX134" s="251"/>
      <c r="UEY134" s="251"/>
      <c r="UEZ134" s="251"/>
      <c r="UFA134" s="251"/>
      <c r="UFB134" s="251"/>
      <c r="UFC134" s="251"/>
      <c r="UFD134" s="251"/>
      <c r="UFE134" s="251"/>
      <c r="UFF134" s="251"/>
      <c r="UFG134" s="251"/>
      <c r="UFH134" s="251"/>
      <c r="UFI134" s="251"/>
      <c r="UFJ134" s="251"/>
      <c r="UFK134" s="251"/>
      <c r="UFL134" s="251"/>
      <c r="UFM134" s="251"/>
      <c r="UFN134" s="251"/>
      <c r="UFO134" s="251"/>
      <c r="UFP134" s="251"/>
      <c r="UFQ134" s="251"/>
      <c r="UFR134" s="251"/>
      <c r="UFS134" s="251"/>
      <c r="UFT134" s="251"/>
      <c r="UFU134" s="251"/>
      <c r="UFV134" s="251"/>
      <c r="UFW134" s="251"/>
      <c r="UFX134" s="251"/>
      <c r="UFY134" s="251"/>
      <c r="UFZ134" s="251"/>
      <c r="UGA134" s="251"/>
      <c r="UGB134" s="251"/>
      <c r="UGC134" s="251"/>
      <c r="UGD134" s="251"/>
      <c r="UGE134" s="251"/>
      <c r="UGF134" s="251"/>
      <c r="UGG134" s="251"/>
      <c r="UGH134" s="251"/>
      <c r="UGI134" s="251"/>
      <c r="UGJ134" s="251"/>
      <c r="UGK134" s="251"/>
      <c r="UGL134" s="251"/>
      <c r="UGM134" s="251"/>
      <c r="UGN134" s="251"/>
      <c r="UGO134" s="251"/>
      <c r="UGP134" s="251"/>
      <c r="UGQ134" s="251"/>
      <c r="UGR134" s="251"/>
      <c r="UGS134" s="251"/>
      <c r="UGT134" s="251"/>
      <c r="UGU134" s="251"/>
      <c r="UGV134" s="251"/>
      <c r="UGW134" s="251"/>
      <c r="UGX134" s="251"/>
      <c r="UGY134" s="251"/>
      <c r="UGZ134" s="251"/>
      <c r="UHA134" s="251"/>
      <c r="UHB134" s="251"/>
      <c r="UHC134" s="251"/>
      <c r="UHD134" s="251"/>
      <c r="UHE134" s="251"/>
      <c r="UHF134" s="251"/>
      <c r="UHG134" s="251"/>
      <c r="UHH134" s="251"/>
      <c r="UHI134" s="251"/>
      <c r="UHJ134" s="251"/>
      <c r="UHK134" s="251"/>
      <c r="UHL134" s="251"/>
      <c r="UHM134" s="251"/>
      <c r="UHN134" s="251"/>
      <c r="UHO134" s="251"/>
      <c r="UHP134" s="251"/>
      <c r="UHQ134" s="251"/>
      <c r="UHR134" s="251"/>
      <c r="UHS134" s="251"/>
      <c r="UHT134" s="251"/>
      <c r="UHU134" s="251"/>
      <c r="UHV134" s="251"/>
      <c r="UHW134" s="251"/>
      <c r="UHX134" s="251"/>
      <c r="UHY134" s="251"/>
      <c r="UHZ134" s="251"/>
      <c r="UIA134" s="251"/>
      <c r="UIB134" s="251"/>
      <c r="UIC134" s="251"/>
      <c r="UID134" s="251"/>
      <c r="UIE134" s="251"/>
      <c r="UIF134" s="251"/>
      <c r="UIG134" s="251"/>
      <c r="UIH134" s="251"/>
      <c r="UII134" s="251"/>
      <c r="UIJ134" s="251"/>
      <c r="UIK134" s="251"/>
      <c r="UIL134" s="251"/>
      <c r="UIM134" s="251"/>
      <c r="UIN134" s="251"/>
      <c r="UIO134" s="251"/>
      <c r="UIP134" s="251"/>
      <c r="UIQ134" s="251"/>
      <c r="UIR134" s="251"/>
      <c r="UIS134" s="251"/>
      <c r="UIT134" s="251"/>
      <c r="UIU134" s="251"/>
      <c r="UIV134" s="251"/>
      <c r="UIW134" s="251"/>
      <c r="UIX134" s="251"/>
      <c r="UIY134" s="251"/>
      <c r="UIZ134" s="251"/>
      <c r="UJA134" s="251"/>
      <c r="UJB134" s="251"/>
      <c r="UJC134" s="251"/>
      <c r="UJD134" s="251"/>
      <c r="UJE134" s="251"/>
      <c r="UJF134" s="251"/>
      <c r="UJG134" s="251"/>
      <c r="UJH134" s="251"/>
      <c r="UJI134" s="251"/>
      <c r="UJJ134" s="251"/>
      <c r="UJK134" s="251"/>
      <c r="UJL134" s="251"/>
      <c r="UJM134" s="251"/>
      <c r="UJN134" s="251"/>
      <c r="UJO134" s="251"/>
      <c r="UJP134" s="251"/>
      <c r="UJQ134" s="251"/>
      <c r="UJR134" s="251"/>
      <c r="UJS134" s="251"/>
      <c r="UJT134" s="251"/>
      <c r="UJU134" s="251"/>
      <c r="UJV134" s="251"/>
      <c r="UJW134" s="251"/>
      <c r="UJX134" s="251"/>
      <c r="UJY134" s="251"/>
      <c r="UJZ134" s="251"/>
      <c r="UKA134" s="251"/>
      <c r="UKB134" s="251"/>
      <c r="UKC134" s="251"/>
      <c r="UKD134" s="251"/>
      <c r="UKE134" s="251"/>
      <c r="UKF134" s="251"/>
      <c r="UKG134" s="251"/>
      <c r="UKH134" s="251"/>
      <c r="UKI134" s="251"/>
      <c r="UKJ134" s="251"/>
      <c r="UKK134" s="251"/>
      <c r="UKL134" s="251"/>
      <c r="UKM134" s="251"/>
      <c r="UKN134" s="251"/>
      <c r="UKO134" s="251"/>
      <c r="UKP134" s="251"/>
      <c r="UKQ134" s="251"/>
      <c r="UKR134" s="251"/>
      <c r="UKS134" s="251"/>
      <c r="UKT134" s="251"/>
      <c r="UKU134" s="251"/>
      <c r="UKV134" s="251"/>
      <c r="UKW134" s="251"/>
      <c r="UKX134" s="251"/>
      <c r="UKY134" s="251"/>
      <c r="UKZ134" s="251"/>
      <c r="ULA134" s="251"/>
      <c r="ULB134" s="251"/>
      <c r="ULC134" s="251"/>
      <c r="ULD134" s="251"/>
      <c r="ULE134" s="251"/>
      <c r="ULF134" s="251"/>
      <c r="ULG134" s="251"/>
      <c r="ULH134" s="251"/>
      <c r="ULI134" s="251"/>
      <c r="ULJ134" s="251"/>
      <c r="ULK134" s="251"/>
      <c r="ULL134" s="251"/>
      <c r="ULM134" s="251"/>
      <c r="ULN134" s="251"/>
      <c r="ULO134" s="251"/>
      <c r="ULP134" s="251"/>
      <c r="ULQ134" s="251"/>
      <c r="ULR134" s="251"/>
      <c r="ULS134" s="251"/>
      <c r="ULT134" s="251"/>
      <c r="ULU134" s="251"/>
      <c r="ULV134" s="251"/>
      <c r="ULW134" s="251"/>
      <c r="ULX134" s="251"/>
      <c r="ULY134" s="251"/>
      <c r="ULZ134" s="251"/>
      <c r="UMA134" s="251"/>
      <c r="UMB134" s="251"/>
      <c r="UMC134" s="251"/>
      <c r="UMD134" s="251"/>
      <c r="UME134" s="251"/>
      <c r="UMF134" s="251"/>
      <c r="UMG134" s="251"/>
      <c r="UMH134" s="251"/>
      <c r="UMI134" s="251"/>
      <c r="UMJ134" s="251"/>
      <c r="UMK134" s="251"/>
      <c r="UML134" s="251"/>
      <c r="UMM134" s="251"/>
      <c r="UMN134" s="251"/>
      <c r="UMO134" s="251"/>
      <c r="UMP134" s="251"/>
      <c r="UMQ134" s="251"/>
      <c r="UMR134" s="251"/>
      <c r="UMS134" s="251"/>
      <c r="UMT134" s="251"/>
      <c r="UMU134" s="251"/>
      <c r="UMV134" s="251"/>
      <c r="UMW134" s="251"/>
      <c r="UMX134" s="251"/>
      <c r="UMY134" s="251"/>
      <c r="UMZ134" s="251"/>
      <c r="UNA134" s="251"/>
      <c r="UNB134" s="251"/>
      <c r="UNC134" s="251"/>
      <c r="UND134" s="251"/>
      <c r="UNE134" s="251"/>
      <c r="UNF134" s="251"/>
      <c r="UNG134" s="251"/>
      <c r="UNH134" s="251"/>
      <c r="UNI134" s="251"/>
      <c r="UNJ134" s="251"/>
      <c r="UNK134" s="251"/>
      <c r="UNL134" s="251"/>
      <c r="UNM134" s="251"/>
      <c r="UNN134" s="251"/>
      <c r="UNO134" s="251"/>
      <c r="UNP134" s="251"/>
      <c r="UNQ134" s="251"/>
      <c r="UNR134" s="251"/>
      <c r="UNS134" s="251"/>
      <c r="UNT134" s="251"/>
      <c r="UNU134" s="251"/>
      <c r="UNV134" s="251"/>
      <c r="UNW134" s="251"/>
      <c r="UNX134" s="251"/>
      <c r="UNY134" s="251"/>
      <c r="UNZ134" s="251"/>
      <c r="UOA134" s="251"/>
      <c r="UOB134" s="251"/>
      <c r="UOC134" s="251"/>
      <c r="UOD134" s="251"/>
      <c r="UOE134" s="251"/>
      <c r="UOF134" s="251"/>
      <c r="UOG134" s="251"/>
      <c r="UOH134" s="251"/>
      <c r="UOI134" s="251"/>
      <c r="UOJ134" s="251"/>
      <c r="UOK134" s="251"/>
      <c r="UOL134" s="251"/>
      <c r="UOM134" s="251"/>
      <c r="UON134" s="251"/>
      <c r="UOO134" s="251"/>
      <c r="UOP134" s="251"/>
      <c r="UOQ134" s="251"/>
      <c r="UOR134" s="251"/>
      <c r="UOS134" s="251"/>
      <c r="UOT134" s="251"/>
      <c r="UOU134" s="251"/>
      <c r="UOV134" s="251"/>
      <c r="UOW134" s="251"/>
      <c r="UOX134" s="251"/>
      <c r="UOY134" s="251"/>
      <c r="UOZ134" s="251"/>
      <c r="UPA134" s="251"/>
      <c r="UPB134" s="251"/>
      <c r="UPC134" s="251"/>
      <c r="UPD134" s="251"/>
      <c r="UPE134" s="251"/>
      <c r="UPF134" s="251"/>
      <c r="UPG134" s="251"/>
      <c r="UPH134" s="251"/>
      <c r="UPI134" s="251"/>
      <c r="UPJ134" s="251"/>
      <c r="UPK134" s="251"/>
      <c r="UPL134" s="251"/>
      <c r="UPM134" s="251"/>
      <c r="UPN134" s="251"/>
      <c r="UPO134" s="251"/>
      <c r="UPP134" s="251"/>
      <c r="UPQ134" s="251"/>
      <c r="UPR134" s="251"/>
      <c r="UPS134" s="251"/>
      <c r="UPT134" s="251"/>
      <c r="UPU134" s="251"/>
      <c r="UPV134" s="251"/>
      <c r="UPW134" s="251"/>
      <c r="UPX134" s="251"/>
      <c r="UPY134" s="251"/>
      <c r="UPZ134" s="251"/>
      <c r="UQA134" s="251"/>
      <c r="UQB134" s="251"/>
      <c r="UQC134" s="251"/>
      <c r="UQD134" s="251"/>
      <c r="UQE134" s="251"/>
      <c r="UQF134" s="251"/>
      <c r="UQG134" s="251"/>
      <c r="UQH134" s="251"/>
      <c r="UQI134" s="251"/>
      <c r="UQJ134" s="251"/>
      <c r="UQK134" s="251"/>
      <c r="UQL134" s="251"/>
      <c r="UQM134" s="251"/>
      <c r="UQN134" s="251"/>
      <c r="UQO134" s="251"/>
      <c r="UQP134" s="251"/>
      <c r="UQQ134" s="251"/>
      <c r="UQR134" s="251"/>
      <c r="UQS134" s="251"/>
      <c r="UQT134" s="251"/>
      <c r="UQU134" s="251"/>
      <c r="UQV134" s="251"/>
      <c r="UQW134" s="251"/>
      <c r="UQX134" s="251"/>
      <c r="UQY134" s="251"/>
      <c r="UQZ134" s="251"/>
      <c r="URA134" s="251"/>
      <c r="URB134" s="251"/>
      <c r="URC134" s="251"/>
      <c r="URD134" s="251"/>
      <c r="URE134" s="251"/>
      <c r="URF134" s="251"/>
      <c r="URG134" s="251"/>
      <c r="URH134" s="251"/>
      <c r="URI134" s="251"/>
      <c r="URJ134" s="251"/>
      <c r="URK134" s="251"/>
      <c r="URL134" s="251"/>
      <c r="URM134" s="251"/>
      <c r="URN134" s="251"/>
      <c r="URO134" s="251"/>
      <c r="URP134" s="251"/>
      <c r="URQ134" s="251"/>
      <c r="URR134" s="251"/>
      <c r="URS134" s="251"/>
      <c r="URT134" s="251"/>
      <c r="URU134" s="251"/>
      <c r="URV134" s="251"/>
      <c r="URW134" s="251"/>
      <c r="URX134" s="251"/>
      <c r="URY134" s="251"/>
      <c r="URZ134" s="251"/>
      <c r="USA134" s="251"/>
      <c r="USB134" s="251"/>
      <c r="USC134" s="251"/>
      <c r="USD134" s="251"/>
      <c r="USE134" s="251"/>
      <c r="USF134" s="251"/>
      <c r="USG134" s="251"/>
      <c r="USH134" s="251"/>
      <c r="USI134" s="251"/>
      <c r="USJ134" s="251"/>
      <c r="USK134" s="251"/>
      <c r="USL134" s="251"/>
      <c r="USM134" s="251"/>
      <c r="USN134" s="251"/>
      <c r="USO134" s="251"/>
      <c r="USP134" s="251"/>
      <c r="USQ134" s="251"/>
      <c r="USR134" s="251"/>
      <c r="USS134" s="251"/>
      <c r="UST134" s="251"/>
      <c r="USU134" s="251"/>
      <c r="USV134" s="251"/>
      <c r="USW134" s="251"/>
      <c r="USX134" s="251"/>
      <c r="USY134" s="251"/>
      <c r="USZ134" s="251"/>
      <c r="UTA134" s="251"/>
      <c r="UTB134" s="251"/>
      <c r="UTC134" s="251"/>
      <c r="UTD134" s="251"/>
      <c r="UTE134" s="251"/>
      <c r="UTF134" s="251"/>
      <c r="UTG134" s="251"/>
      <c r="UTH134" s="251"/>
      <c r="UTI134" s="251"/>
      <c r="UTJ134" s="251"/>
      <c r="UTK134" s="251"/>
      <c r="UTL134" s="251"/>
      <c r="UTM134" s="251"/>
      <c r="UTN134" s="251"/>
      <c r="UTO134" s="251"/>
      <c r="UTP134" s="251"/>
      <c r="UTQ134" s="251"/>
      <c r="UTR134" s="251"/>
      <c r="UTS134" s="251"/>
      <c r="UTT134" s="251"/>
      <c r="UTU134" s="251"/>
      <c r="UTV134" s="251"/>
      <c r="UTW134" s="251"/>
      <c r="UTX134" s="251"/>
      <c r="UTY134" s="251"/>
      <c r="UTZ134" s="251"/>
      <c r="UUA134" s="251"/>
      <c r="UUB134" s="251"/>
      <c r="UUC134" s="251"/>
      <c r="UUD134" s="251"/>
      <c r="UUE134" s="251"/>
      <c r="UUF134" s="251"/>
      <c r="UUG134" s="251"/>
      <c r="UUH134" s="251"/>
      <c r="UUI134" s="251"/>
      <c r="UUJ134" s="251"/>
      <c r="UUK134" s="251"/>
      <c r="UUL134" s="251"/>
      <c r="UUM134" s="251"/>
      <c r="UUN134" s="251"/>
      <c r="UUO134" s="251"/>
      <c r="UUP134" s="251"/>
      <c r="UUQ134" s="251"/>
      <c r="UUR134" s="251"/>
      <c r="UUS134" s="251"/>
      <c r="UUT134" s="251"/>
      <c r="UUU134" s="251"/>
      <c r="UUV134" s="251"/>
      <c r="UUW134" s="251"/>
      <c r="UUX134" s="251"/>
      <c r="UUY134" s="251"/>
      <c r="UUZ134" s="251"/>
      <c r="UVA134" s="251"/>
      <c r="UVB134" s="251"/>
      <c r="UVC134" s="251"/>
      <c r="UVD134" s="251"/>
      <c r="UVE134" s="251"/>
      <c r="UVF134" s="251"/>
      <c r="UVG134" s="251"/>
      <c r="UVH134" s="251"/>
      <c r="UVI134" s="251"/>
      <c r="UVJ134" s="251"/>
      <c r="UVK134" s="251"/>
      <c r="UVL134" s="251"/>
      <c r="UVM134" s="251"/>
      <c r="UVN134" s="251"/>
      <c r="UVO134" s="251"/>
      <c r="UVP134" s="251"/>
      <c r="UVQ134" s="251"/>
      <c r="UVR134" s="251"/>
      <c r="UVS134" s="251"/>
      <c r="UVT134" s="251"/>
      <c r="UVU134" s="251"/>
      <c r="UVV134" s="251"/>
      <c r="UVW134" s="251"/>
      <c r="UVX134" s="251"/>
      <c r="UVY134" s="251"/>
      <c r="UVZ134" s="251"/>
      <c r="UWA134" s="251"/>
      <c r="UWB134" s="251"/>
      <c r="UWC134" s="251"/>
      <c r="UWD134" s="251"/>
      <c r="UWE134" s="251"/>
      <c r="UWF134" s="251"/>
      <c r="UWG134" s="251"/>
      <c r="UWH134" s="251"/>
      <c r="UWI134" s="251"/>
      <c r="UWJ134" s="251"/>
      <c r="UWK134" s="251"/>
      <c r="UWL134" s="251"/>
      <c r="UWM134" s="251"/>
      <c r="UWN134" s="251"/>
      <c r="UWO134" s="251"/>
      <c r="UWP134" s="251"/>
      <c r="UWQ134" s="251"/>
      <c r="UWR134" s="251"/>
      <c r="UWS134" s="251"/>
      <c r="UWT134" s="251"/>
      <c r="UWU134" s="251"/>
      <c r="UWV134" s="251"/>
      <c r="UWW134" s="251"/>
      <c r="UWX134" s="251"/>
      <c r="UWY134" s="251"/>
      <c r="UWZ134" s="251"/>
      <c r="UXA134" s="251"/>
      <c r="UXB134" s="251"/>
      <c r="UXC134" s="251"/>
      <c r="UXD134" s="251"/>
      <c r="UXE134" s="251"/>
      <c r="UXF134" s="251"/>
      <c r="UXG134" s="251"/>
      <c r="UXH134" s="251"/>
      <c r="UXI134" s="251"/>
      <c r="UXJ134" s="251"/>
      <c r="UXK134" s="251"/>
      <c r="UXL134" s="251"/>
      <c r="UXM134" s="251"/>
      <c r="UXN134" s="251"/>
      <c r="UXO134" s="251"/>
      <c r="UXP134" s="251"/>
      <c r="UXQ134" s="251"/>
      <c r="UXR134" s="251"/>
      <c r="UXS134" s="251"/>
      <c r="UXT134" s="251"/>
      <c r="UXU134" s="251"/>
      <c r="UXV134" s="251"/>
      <c r="UXW134" s="251"/>
      <c r="UXX134" s="251"/>
      <c r="UXY134" s="251"/>
      <c r="UXZ134" s="251"/>
      <c r="UYA134" s="251"/>
      <c r="UYB134" s="251"/>
      <c r="UYC134" s="251"/>
      <c r="UYD134" s="251"/>
      <c r="UYE134" s="251"/>
      <c r="UYF134" s="251"/>
      <c r="UYG134" s="251"/>
      <c r="UYH134" s="251"/>
      <c r="UYI134" s="251"/>
      <c r="UYJ134" s="251"/>
      <c r="UYK134" s="251"/>
      <c r="UYL134" s="251"/>
      <c r="UYM134" s="251"/>
      <c r="UYN134" s="251"/>
      <c r="UYO134" s="251"/>
      <c r="UYP134" s="251"/>
      <c r="UYQ134" s="251"/>
      <c r="UYR134" s="251"/>
      <c r="UYS134" s="251"/>
      <c r="UYT134" s="251"/>
      <c r="UYU134" s="251"/>
      <c r="UYV134" s="251"/>
      <c r="UYW134" s="251"/>
      <c r="UYX134" s="251"/>
      <c r="UYY134" s="251"/>
      <c r="UYZ134" s="251"/>
      <c r="UZA134" s="251"/>
      <c r="UZB134" s="251"/>
      <c r="UZC134" s="251"/>
      <c r="UZD134" s="251"/>
      <c r="UZE134" s="251"/>
      <c r="UZF134" s="251"/>
      <c r="UZG134" s="251"/>
      <c r="UZH134" s="251"/>
      <c r="UZI134" s="251"/>
      <c r="UZJ134" s="251"/>
      <c r="UZK134" s="251"/>
      <c r="UZL134" s="251"/>
      <c r="UZM134" s="251"/>
      <c r="UZN134" s="251"/>
      <c r="UZO134" s="251"/>
      <c r="UZP134" s="251"/>
      <c r="UZQ134" s="251"/>
      <c r="UZR134" s="251"/>
      <c r="UZS134" s="251"/>
      <c r="UZT134" s="251"/>
      <c r="UZU134" s="251"/>
      <c r="UZV134" s="251"/>
      <c r="UZW134" s="251"/>
      <c r="UZX134" s="251"/>
      <c r="UZY134" s="251"/>
      <c r="UZZ134" s="251"/>
      <c r="VAA134" s="251"/>
      <c r="VAB134" s="251"/>
      <c r="VAC134" s="251"/>
      <c r="VAD134" s="251"/>
      <c r="VAE134" s="251"/>
      <c r="VAF134" s="251"/>
      <c r="VAG134" s="251"/>
      <c r="VAH134" s="251"/>
      <c r="VAI134" s="251"/>
      <c r="VAJ134" s="251"/>
      <c r="VAK134" s="251"/>
      <c r="VAL134" s="251"/>
      <c r="VAM134" s="251"/>
      <c r="VAN134" s="251"/>
      <c r="VAO134" s="251"/>
      <c r="VAP134" s="251"/>
      <c r="VAQ134" s="251"/>
      <c r="VAR134" s="251"/>
      <c r="VAS134" s="251"/>
      <c r="VAT134" s="251"/>
      <c r="VAU134" s="251"/>
      <c r="VAV134" s="251"/>
      <c r="VAW134" s="251"/>
      <c r="VAX134" s="251"/>
      <c r="VAY134" s="251"/>
      <c r="VAZ134" s="251"/>
      <c r="VBA134" s="251"/>
      <c r="VBB134" s="251"/>
      <c r="VBC134" s="251"/>
      <c r="VBD134" s="251"/>
      <c r="VBE134" s="251"/>
      <c r="VBF134" s="251"/>
      <c r="VBG134" s="251"/>
      <c r="VBH134" s="251"/>
      <c r="VBI134" s="251"/>
      <c r="VBJ134" s="251"/>
      <c r="VBK134" s="251"/>
      <c r="VBL134" s="251"/>
      <c r="VBM134" s="251"/>
      <c r="VBN134" s="251"/>
      <c r="VBO134" s="251"/>
      <c r="VBP134" s="251"/>
      <c r="VBQ134" s="251"/>
      <c r="VBR134" s="251"/>
      <c r="VBS134" s="251"/>
      <c r="VBT134" s="251"/>
      <c r="VBU134" s="251"/>
      <c r="VBV134" s="251"/>
      <c r="VBW134" s="251"/>
      <c r="VBX134" s="251"/>
      <c r="VBY134" s="251"/>
      <c r="VBZ134" s="251"/>
      <c r="VCA134" s="251"/>
      <c r="VCB134" s="251"/>
      <c r="VCC134" s="251"/>
      <c r="VCD134" s="251"/>
      <c r="VCE134" s="251"/>
      <c r="VCF134" s="251"/>
      <c r="VCG134" s="251"/>
      <c r="VCH134" s="251"/>
      <c r="VCI134" s="251"/>
      <c r="VCJ134" s="251"/>
      <c r="VCK134" s="251"/>
      <c r="VCL134" s="251"/>
      <c r="VCM134" s="251"/>
      <c r="VCN134" s="251"/>
      <c r="VCO134" s="251"/>
      <c r="VCP134" s="251"/>
      <c r="VCQ134" s="251"/>
      <c r="VCR134" s="251"/>
      <c r="VCS134" s="251"/>
      <c r="VCT134" s="251"/>
      <c r="VCU134" s="251"/>
      <c r="VCV134" s="251"/>
      <c r="VCW134" s="251"/>
      <c r="VCX134" s="251"/>
      <c r="VCY134" s="251"/>
      <c r="VCZ134" s="251"/>
      <c r="VDA134" s="251"/>
      <c r="VDB134" s="251"/>
      <c r="VDC134" s="251"/>
      <c r="VDD134" s="251"/>
      <c r="VDE134" s="251"/>
      <c r="VDF134" s="251"/>
      <c r="VDG134" s="251"/>
      <c r="VDH134" s="251"/>
      <c r="VDI134" s="251"/>
      <c r="VDJ134" s="251"/>
      <c r="VDK134" s="251"/>
      <c r="VDL134" s="251"/>
      <c r="VDM134" s="251"/>
      <c r="VDN134" s="251"/>
      <c r="VDO134" s="251"/>
      <c r="VDP134" s="251"/>
      <c r="VDQ134" s="251"/>
      <c r="VDR134" s="251"/>
      <c r="VDS134" s="251"/>
      <c r="VDT134" s="251"/>
      <c r="VDU134" s="251"/>
      <c r="VDV134" s="251"/>
      <c r="VDW134" s="251"/>
      <c r="VDX134" s="251"/>
      <c r="VDY134" s="251"/>
      <c r="VDZ134" s="251"/>
      <c r="VEA134" s="251"/>
      <c r="VEB134" s="251"/>
      <c r="VEC134" s="251"/>
      <c r="VED134" s="251"/>
      <c r="VEE134" s="251"/>
      <c r="VEF134" s="251"/>
      <c r="VEG134" s="251"/>
      <c r="VEH134" s="251"/>
      <c r="VEI134" s="251"/>
      <c r="VEJ134" s="251"/>
      <c r="VEK134" s="251"/>
      <c r="VEL134" s="251"/>
      <c r="VEM134" s="251"/>
      <c r="VEN134" s="251"/>
      <c r="VEO134" s="251"/>
      <c r="VEP134" s="251"/>
      <c r="VEQ134" s="251"/>
      <c r="VER134" s="251"/>
      <c r="VES134" s="251"/>
      <c r="VET134" s="251"/>
      <c r="VEU134" s="251"/>
      <c r="VEV134" s="251"/>
      <c r="VEW134" s="251"/>
      <c r="VEX134" s="251"/>
      <c r="VEY134" s="251"/>
      <c r="VEZ134" s="251"/>
      <c r="VFA134" s="251"/>
      <c r="VFB134" s="251"/>
      <c r="VFC134" s="251"/>
      <c r="VFD134" s="251"/>
      <c r="VFE134" s="251"/>
      <c r="VFF134" s="251"/>
      <c r="VFG134" s="251"/>
      <c r="VFH134" s="251"/>
      <c r="VFI134" s="251"/>
      <c r="VFJ134" s="251"/>
      <c r="VFK134" s="251"/>
      <c r="VFL134" s="251"/>
      <c r="VFM134" s="251"/>
      <c r="VFN134" s="251"/>
      <c r="VFO134" s="251"/>
      <c r="VFP134" s="251"/>
      <c r="VFQ134" s="251"/>
      <c r="VFR134" s="251"/>
      <c r="VFS134" s="251"/>
      <c r="VFT134" s="251"/>
      <c r="VFU134" s="251"/>
      <c r="VFV134" s="251"/>
      <c r="VFW134" s="251"/>
      <c r="VFX134" s="251"/>
      <c r="VFY134" s="251"/>
      <c r="VFZ134" s="251"/>
      <c r="VGA134" s="251"/>
      <c r="VGB134" s="251"/>
      <c r="VGC134" s="251"/>
      <c r="VGD134" s="251"/>
      <c r="VGE134" s="251"/>
      <c r="VGF134" s="251"/>
      <c r="VGG134" s="251"/>
      <c r="VGH134" s="251"/>
      <c r="VGI134" s="251"/>
      <c r="VGJ134" s="251"/>
      <c r="VGK134" s="251"/>
      <c r="VGL134" s="251"/>
      <c r="VGM134" s="251"/>
      <c r="VGN134" s="251"/>
      <c r="VGO134" s="251"/>
      <c r="VGP134" s="251"/>
      <c r="VGQ134" s="251"/>
      <c r="VGR134" s="251"/>
      <c r="VGS134" s="251"/>
      <c r="VGT134" s="251"/>
      <c r="VGU134" s="251"/>
      <c r="VGV134" s="251"/>
      <c r="VGW134" s="251"/>
      <c r="VGX134" s="251"/>
      <c r="VGY134" s="251"/>
      <c r="VGZ134" s="251"/>
      <c r="VHA134" s="251"/>
      <c r="VHB134" s="251"/>
      <c r="VHC134" s="251"/>
      <c r="VHD134" s="251"/>
      <c r="VHE134" s="251"/>
      <c r="VHF134" s="251"/>
      <c r="VHG134" s="251"/>
      <c r="VHH134" s="251"/>
      <c r="VHI134" s="251"/>
      <c r="VHJ134" s="251"/>
      <c r="VHK134" s="251"/>
      <c r="VHL134" s="251"/>
      <c r="VHM134" s="251"/>
      <c r="VHN134" s="251"/>
      <c r="VHO134" s="251"/>
      <c r="VHP134" s="251"/>
      <c r="VHQ134" s="251"/>
      <c r="VHR134" s="251"/>
      <c r="VHS134" s="251"/>
      <c r="VHT134" s="251"/>
      <c r="VHU134" s="251"/>
      <c r="VHV134" s="251"/>
      <c r="VHW134" s="251"/>
      <c r="VHX134" s="251"/>
      <c r="VHY134" s="251"/>
      <c r="VHZ134" s="251"/>
      <c r="VIA134" s="251"/>
      <c r="VIB134" s="251"/>
      <c r="VIC134" s="251"/>
      <c r="VID134" s="251"/>
      <c r="VIE134" s="251"/>
      <c r="VIF134" s="251"/>
      <c r="VIG134" s="251"/>
      <c r="VIH134" s="251"/>
      <c r="VII134" s="251"/>
      <c r="VIJ134" s="251"/>
      <c r="VIK134" s="251"/>
      <c r="VIL134" s="251"/>
      <c r="VIM134" s="251"/>
      <c r="VIN134" s="251"/>
      <c r="VIO134" s="251"/>
      <c r="VIP134" s="251"/>
      <c r="VIQ134" s="251"/>
      <c r="VIR134" s="251"/>
      <c r="VIS134" s="251"/>
      <c r="VIT134" s="251"/>
      <c r="VIU134" s="251"/>
      <c r="VIV134" s="251"/>
      <c r="VIW134" s="251"/>
      <c r="VIX134" s="251"/>
      <c r="VIY134" s="251"/>
      <c r="VIZ134" s="251"/>
      <c r="VJA134" s="251"/>
      <c r="VJB134" s="251"/>
      <c r="VJC134" s="251"/>
      <c r="VJD134" s="251"/>
      <c r="VJE134" s="251"/>
      <c r="VJF134" s="251"/>
      <c r="VJG134" s="251"/>
      <c r="VJH134" s="251"/>
      <c r="VJI134" s="251"/>
      <c r="VJJ134" s="251"/>
      <c r="VJK134" s="251"/>
      <c r="VJL134" s="251"/>
      <c r="VJM134" s="251"/>
      <c r="VJN134" s="251"/>
      <c r="VJO134" s="251"/>
      <c r="VJP134" s="251"/>
      <c r="VJQ134" s="251"/>
      <c r="VJR134" s="251"/>
      <c r="VJS134" s="251"/>
      <c r="VJT134" s="251"/>
      <c r="VJU134" s="251"/>
      <c r="VJV134" s="251"/>
      <c r="VJW134" s="251"/>
      <c r="VJX134" s="251"/>
      <c r="VJY134" s="251"/>
      <c r="VJZ134" s="251"/>
      <c r="VKA134" s="251"/>
      <c r="VKB134" s="251"/>
      <c r="VKC134" s="251"/>
      <c r="VKD134" s="251"/>
      <c r="VKE134" s="251"/>
      <c r="VKF134" s="251"/>
      <c r="VKG134" s="251"/>
      <c r="VKH134" s="251"/>
      <c r="VKI134" s="251"/>
      <c r="VKJ134" s="251"/>
      <c r="VKK134" s="251"/>
      <c r="VKL134" s="251"/>
      <c r="VKM134" s="251"/>
      <c r="VKN134" s="251"/>
      <c r="VKO134" s="251"/>
      <c r="VKP134" s="251"/>
      <c r="VKQ134" s="251"/>
      <c r="VKR134" s="251"/>
      <c r="VKS134" s="251"/>
      <c r="VKT134" s="251"/>
      <c r="VKU134" s="251"/>
      <c r="VKV134" s="251"/>
      <c r="VKW134" s="251"/>
      <c r="VKX134" s="251"/>
      <c r="VKY134" s="251"/>
      <c r="VKZ134" s="251"/>
      <c r="VLA134" s="251"/>
      <c r="VLB134" s="251"/>
      <c r="VLC134" s="251"/>
      <c r="VLD134" s="251"/>
      <c r="VLE134" s="251"/>
      <c r="VLF134" s="251"/>
      <c r="VLG134" s="251"/>
      <c r="VLH134" s="251"/>
      <c r="VLI134" s="251"/>
      <c r="VLJ134" s="251"/>
      <c r="VLK134" s="251"/>
      <c r="VLL134" s="251"/>
      <c r="VLM134" s="251"/>
      <c r="VLN134" s="251"/>
      <c r="VLO134" s="251"/>
      <c r="VLP134" s="251"/>
      <c r="VLQ134" s="251"/>
      <c r="VLR134" s="251"/>
      <c r="VLS134" s="251"/>
      <c r="VLT134" s="251"/>
      <c r="VLU134" s="251"/>
      <c r="VLV134" s="251"/>
      <c r="VLW134" s="251"/>
      <c r="VLX134" s="251"/>
      <c r="VLY134" s="251"/>
      <c r="VLZ134" s="251"/>
      <c r="VMA134" s="251"/>
      <c r="VMB134" s="251"/>
      <c r="VMC134" s="251"/>
      <c r="VMD134" s="251"/>
      <c r="VME134" s="251"/>
      <c r="VMF134" s="251"/>
      <c r="VMG134" s="251"/>
      <c r="VMH134" s="251"/>
      <c r="VMI134" s="251"/>
      <c r="VMJ134" s="251"/>
      <c r="VMK134" s="251"/>
      <c r="VML134" s="251"/>
      <c r="VMM134" s="251"/>
      <c r="VMN134" s="251"/>
      <c r="VMO134" s="251"/>
      <c r="VMP134" s="251"/>
      <c r="VMQ134" s="251"/>
      <c r="VMR134" s="251"/>
      <c r="VMS134" s="251"/>
      <c r="VMT134" s="251"/>
      <c r="VMU134" s="251"/>
      <c r="VMV134" s="251"/>
      <c r="VMW134" s="251"/>
      <c r="VMX134" s="251"/>
      <c r="VMY134" s="251"/>
      <c r="VMZ134" s="251"/>
      <c r="VNA134" s="251"/>
      <c r="VNB134" s="251"/>
      <c r="VNC134" s="251"/>
      <c r="VND134" s="251"/>
      <c r="VNE134" s="251"/>
      <c r="VNF134" s="251"/>
      <c r="VNG134" s="251"/>
      <c r="VNH134" s="251"/>
      <c r="VNI134" s="251"/>
      <c r="VNJ134" s="251"/>
      <c r="VNK134" s="251"/>
      <c r="VNL134" s="251"/>
      <c r="VNM134" s="251"/>
      <c r="VNN134" s="251"/>
      <c r="VNO134" s="251"/>
      <c r="VNP134" s="251"/>
      <c r="VNQ134" s="251"/>
      <c r="VNR134" s="251"/>
      <c r="VNS134" s="251"/>
      <c r="VNT134" s="251"/>
      <c r="VNU134" s="251"/>
      <c r="VNV134" s="251"/>
      <c r="VNW134" s="251"/>
      <c r="VNX134" s="251"/>
      <c r="VNY134" s="251"/>
      <c r="VNZ134" s="251"/>
      <c r="VOA134" s="251"/>
      <c r="VOB134" s="251"/>
      <c r="VOC134" s="251"/>
      <c r="VOD134" s="251"/>
      <c r="VOE134" s="251"/>
      <c r="VOF134" s="251"/>
      <c r="VOG134" s="251"/>
      <c r="VOH134" s="251"/>
      <c r="VOI134" s="251"/>
      <c r="VOJ134" s="251"/>
      <c r="VOK134" s="251"/>
      <c r="VOL134" s="251"/>
      <c r="VOM134" s="251"/>
      <c r="VON134" s="251"/>
      <c r="VOO134" s="251"/>
      <c r="VOP134" s="251"/>
      <c r="VOQ134" s="251"/>
      <c r="VOR134" s="251"/>
      <c r="VOS134" s="251"/>
      <c r="VOT134" s="251"/>
      <c r="VOU134" s="251"/>
      <c r="VOV134" s="251"/>
      <c r="VOW134" s="251"/>
      <c r="VOX134" s="251"/>
      <c r="VOY134" s="251"/>
      <c r="VOZ134" s="251"/>
      <c r="VPA134" s="251"/>
      <c r="VPB134" s="251"/>
      <c r="VPC134" s="251"/>
      <c r="VPD134" s="251"/>
      <c r="VPE134" s="251"/>
      <c r="VPF134" s="251"/>
      <c r="VPG134" s="251"/>
      <c r="VPH134" s="251"/>
      <c r="VPI134" s="251"/>
      <c r="VPJ134" s="251"/>
      <c r="VPK134" s="251"/>
      <c r="VPL134" s="251"/>
      <c r="VPM134" s="251"/>
      <c r="VPN134" s="251"/>
      <c r="VPO134" s="251"/>
      <c r="VPP134" s="251"/>
      <c r="VPQ134" s="251"/>
      <c r="VPR134" s="251"/>
      <c r="VPS134" s="251"/>
      <c r="VPT134" s="251"/>
      <c r="VPU134" s="251"/>
      <c r="VPV134" s="251"/>
      <c r="VPW134" s="251"/>
      <c r="VPX134" s="251"/>
      <c r="VPY134" s="251"/>
      <c r="VPZ134" s="251"/>
      <c r="VQA134" s="251"/>
      <c r="VQB134" s="251"/>
      <c r="VQC134" s="251"/>
      <c r="VQD134" s="251"/>
      <c r="VQE134" s="251"/>
      <c r="VQF134" s="251"/>
      <c r="VQG134" s="251"/>
      <c r="VQH134" s="251"/>
      <c r="VQI134" s="251"/>
      <c r="VQJ134" s="251"/>
      <c r="VQK134" s="251"/>
      <c r="VQL134" s="251"/>
      <c r="VQM134" s="251"/>
      <c r="VQN134" s="251"/>
      <c r="VQO134" s="251"/>
      <c r="VQP134" s="251"/>
      <c r="VQQ134" s="251"/>
      <c r="VQR134" s="251"/>
      <c r="VQS134" s="251"/>
      <c r="VQT134" s="251"/>
      <c r="VQU134" s="251"/>
      <c r="VQV134" s="251"/>
      <c r="VQW134" s="251"/>
      <c r="VQX134" s="251"/>
      <c r="VQY134" s="251"/>
      <c r="VQZ134" s="251"/>
      <c r="VRA134" s="251"/>
      <c r="VRB134" s="251"/>
      <c r="VRC134" s="251"/>
      <c r="VRD134" s="251"/>
      <c r="VRE134" s="251"/>
      <c r="VRF134" s="251"/>
      <c r="VRG134" s="251"/>
      <c r="VRH134" s="251"/>
      <c r="VRI134" s="251"/>
      <c r="VRJ134" s="251"/>
      <c r="VRK134" s="251"/>
      <c r="VRL134" s="251"/>
      <c r="VRM134" s="251"/>
      <c r="VRN134" s="251"/>
      <c r="VRO134" s="251"/>
      <c r="VRP134" s="251"/>
      <c r="VRQ134" s="251"/>
      <c r="VRR134" s="251"/>
      <c r="VRS134" s="251"/>
      <c r="VRT134" s="251"/>
      <c r="VRU134" s="251"/>
      <c r="VRV134" s="251"/>
      <c r="VRW134" s="251"/>
      <c r="VRX134" s="251"/>
      <c r="VRY134" s="251"/>
      <c r="VRZ134" s="251"/>
      <c r="VSA134" s="251"/>
      <c r="VSB134" s="251"/>
      <c r="VSC134" s="251"/>
      <c r="VSD134" s="251"/>
      <c r="VSE134" s="251"/>
      <c r="VSF134" s="251"/>
      <c r="VSG134" s="251"/>
      <c r="VSH134" s="251"/>
      <c r="VSI134" s="251"/>
      <c r="VSJ134" s="251"/>
      <c r="VSK134" s="251"/>
      <c r="VSL134" s="251"/>
      <c r="VSM134" s="251"/>
      <c r="VSN134" s="251"/>
      <c r="VSO134" s="251"/>
      <c r="VSP134" s="251"/>
      <c r="VSQ134" s="251"/>
      <c r="VSR134" s="251"/>
      <c r="VSS134" s="251"/>
      <c r="VST134" s="251"/>
      <c r="VSU134" s="251"/>
      <c r="VSV134" s="251"/>
      <c r="VSW134" s="251"/>
      <c r="VSX134" s="251"/>
      <c r="VSY134" s="251"/>
      <c r="VSZ134" s="251"/>
      <c r="VTA134" s="251"/>
      <c r="VTB134" s="251"/>
      <c r="VTC134" s="251"/>
      <c r="VTD134" s="251"/>
      <c r="VTE134" s="251"/>
      <c r="VTF134" s="251"/>
      <c r="VTG134" s="251"/>
      <c r="VTH134" s="251"/>
      <c r="VTI134" s="251"/>
      <c r="VTJ134" s="251"/>
      <c r="VTK134" s="251"/>
      <c r="VTL134" s="251"/>
      <c r="VTM134" s="251"/>
      <c r="VTN134" s="251"/>
      <c r="VTO134" s="251"/>
      <c r="VTP134" s="251"/>
      <c r="VTQ134" s="251"/>
      <c r="VTR134" s="251"/>
      <c r="VTS134" s="251"/>
      <c r="VTT134" s="251"/>
      <c r="VTU134" s="251"/>
      <c r="VTV134" s="251"/>
      <c r="VTW134" s="251"/>
      <c r="VTX134" s="251"/>
      <c r="VTY134" s="251"/>
      <c r="VTZ134" s="251"/>
      <c r="VUA134" s="251"/>
      <c r="VUB134" s="251"/>
      <c r="VUC134" s="251"/>
      <c r="VUD134" s="251"/>
      <c r="VUE134" s="251"/>
      <c r="VUF134" s="251"/>
      <c r="VUG134" s="251"/>
      <c r="VUH134" s="251"/>
      <c r="VUI134" s="251"/>
      <c r="VUJ134" s="251"/>
      <c r="VUK134" s="251"/>
      <c r="VUL134" s="251"/>
      <c r="VUM134" s="251"/>
      <c r="VUN134" s="251"/>
      <c r="VUO134" s="251"/>
      <c r="VUP134" s="251"/>
      <c r="VUQ134" s="251"/>
      <c r="VUR134" s="251"/>
      <c r="VUS134" s="251"/>
      <c r="VUT134" s="251"/>
      <c r="VUU134" s="251"/>
      <c r="VUV134" s="251"/>
      <c r="VUW134" s="251"/>
      <c r="VUX134" s="251"/>
      <c r="VUY134" s="251"/>
      <c r="VUZ134" s="251"/>
      <c r="VVA134" s="251"/>
      <c r="VVB134" s="251"/>
      <c r="VVC134" s="251"/>
      <c r="VVD134" s="251"/>
      <c r="VVE134" s="251"/>
      <c r="VVF134" s="251"/>
      <c r="VVG134" s="251"/>
      <c r="VVH134" s="251"/>
      <c r="VVI134" s="251"/>
      <c r="VVJ134" s="251"/>
      <c r="VVK134" s="251"/>
      <c r="VVL134" s="251"/>
      <c r="VVM134" s="251"/>
      <c r="VVN134" s="251"/>
      <c r="VVO134" s="251"/>
      <c r="VVP134" s="251"/>
      <c r="VVQ134" s="251"/>
      <c r="VVR134" s="251"/>
      <c r="VVS134" s="251"/>
      <c r="VVT134" s="251"/>
      <c r="VVU134" s="251"/>
      <c r="VVV134" s="251"/>
      <c r="VVW134" s="251"/>
      <c r="VVX134" s="251"/>
      <c r="VVY134" s="251"/>
      <c r="VVZ134" s="251"/>
      <c r="VWA134" s="251"/>
      <c r="VWB134" s="251"/>
      <c r="VWC134" s="251"/>
      <c r="VWD134" s="251"/>
      <c r="VWE134" s="251"/>
      <c r="VWF134" s="251"/>
      <c r="VWG134" s="251"/>
      <c r="VWH134" s="251"/>
      <c r="VWI134" s="251"/>
      <c r="VWJ134" s="251"/>
      <c r="VWK134" s="251"/>
      <c r="VWL134" s="251"/>
      <c r="VWM134" s="251"/>
      <c r="VWN134" s="251"/>
      <c r="VWO134" s="251"/>
      <c r="VWP134" s="251"/>
      <c r="VWQ134" s="251"/>
      <c r="VWR134" s="251"/>
      <c r="VWS134" s="251"/>
      <c r="VWT134" s="251"/>
      <c r="VWU134" s="251"/>
      <c r="VWV134" s="251"/>
      <c r="VWW134" s="251"/>
      <c r="VWX134" s="251"/>
      <c r="VWY134" s="251"/>
      <c r="VWZ134" s="251"/>
      <c r="VXA134" s="251"/>
      <c r="VXB134" s="251"/>
      <c r="VXC134" s="251"/>
      <c r="VXD134" s="251"/>
      <c r="VXE134" s="251"/>
      <c r="VXF134" s="251"/>
      <c r="VXG134" s="251"/>
      <c r="VXH134" s="251"/>
      <c r="VXI134" s="251"/>
      <c r="VXJ134" s="251"/>
      <c r="VXK134" s="251"/>
      <c r="VXL134" s="251"/>
      <c r="VXM134" s="251"/>
      <c r="VXN134" s="251"/>
      <c r="VXO134" s="251"/>
      <c r="VXP134" s="251"/>
      <c r="VXQ134" s="251"/>
      <c r="VXR134" s="251"/>
      <c r="VXS134" s="251"/>
      <c r="VXT134" s="251"/>
      <c r="VXU134" s="251"/>
      <c r="VXV134" s="251"/>
      <c r="VXW134" s="251"/>
      <c r="VXX134" s="251"/>
      <c r="VXY134" s="251"/>
      <c r="VXZ134" s="251"/>
      <c r="VYA134" s="251"/>
      <c r="VYB134" s="251"/>
      <c r="VYC134" s="251"/>
      <c r="VYD134" s="251"/>
      <c r="VYE134" s="251"/>
      <c r="VYF134" s="251"/>
      <c r="VYG134" s="251"/>
      <c r="VYH134" s="251"/>
      <c r="VYI134" s="251"/>
      <c r="VYJ134" s="251"/>
      <c r="VYK134" s="251"/>
      <c r="VYL134" s="251"/>
      <c r="VYM134" s="251"/>
      <c r="VYN134" s="251"/>
      <c r="VYO134" s="251"/>
      <c r="VYP134" s="251"/>
      <c r="VYQ134" s="251"/>
      <c r="VYR134" s="251"/>
      <c r="VYS134" s="251"/>
      <c r="VYT134" s="251"/>
      <c r="VYU134" s="251"/>
      <c r="VYV134" s="251"/>
      <c r="VYW134" s="251"/>
      <c r="VYX134" s="251"/>
      <c r="VYY134" s="251"/>
      <c r="VYZ134" s="251"/>
      <c r="VZA134" s="251"/>
      <c r="VZB134" s="251"/>
      <c r="VZC134" s="251"/>
      <c r="VZD134" s="251"/>
      <c r="VZE134" s="251"/>
      <c r="VZF134" s="251"/>
      <c r="VZG134" s="251"/>
      <c r="VZH134" s="251"/>
      <c r="VZI134" s="251"/>
      <c r="VZJ134" s="251"/>
      <c r="VZK134" s="251"/>
      <c r="VZL134" s="251"/>
      <c r="VZM134" s="251"/>
      <c r="VZN134" s="251"/>
      <c r="VZO134" s="251"/>
      <c r="VZP134" s="251"/>
      <c r="VZQ134" s="251"/>
      <c r="VZR134" s="251"/>
      <c r="VZS134" s="251"/>
      <c r="VZT134" s="251"/>
      <c r="VZU134" s="251"/>
      <c r="VZV134" s="251"/>
      <c r="VZW134" s="251"/>
      <c r="VZX134" s="251"/>
      <c r="VZY134" s="251"/>
      <c r="VZZ134" s="251"/>
      <c r="WAA134" s="251"/>
      <c r="WAB134" s="251"/>
      <c r="WAC134" s="251"/>
      <c r="WAD134" s="251"/>
      <c r="WAE134" s="251"/>
      <c r="WAF134" s="251"/>
      <c r="WAG134" s="251"/>
      <c r="WAH134" s="251"/>
      <c r="WAI134" s="251"/>
      <c r="WAJ134" s="251"/>
      <c r="WAK134" s="251"/>
      <c r="WAL134" s="251"/>
      <c r="WAM134" s="251"/>
      <c r="WAN134" s="251"/>
      <c r="WAO134" s="251"/>
      <c r="WAP134" s="251"/>
      <c r="WAQ134" s="251"/>
      <c r="WAR134" s="251"/>
      <c r="WAS134" s="251"/>
      <c r="WAT134" s="251"/>
      <c r="WAU134" s="251"/>
      <c r="WAV134" s="251"/>
      <c r="WAW134" s="251"/>
      <c r="WAX134" s="251"/>
      <c r="WAY134" s="251"/>
      <c r="WAZ134" s="251"/>
      <c r="WBA134" s="251"/>
      <c r="WBB134" s="251"/>
      <c r="WBC134" s="251"/>
      <c r="WBD134" s="251"/>
      <c r="WBE134" s="251"/>
      <c r="WBF134" s="251"/>
      <c r="WBG134" s="251"/>
      <c r="WBH134" s="251"/>
      <c r="WBI134" s="251"/>
      <c r="WBJ134" s="251"/>
      <c r="WBK134" s="251"/>
      <c r="WBL134" s="251"/>
      <c r="WBM134" s="251"/>
      <c r="WBN134" s="251"/>
      <c r="WBO134" s="251"/>
      <c r="WBP134" s="251"/>
      <c r="WBQ134" s="251"/>
      <c r="WBR134" s="251"/>
      <c r="WBS134" s="251"/>
      <c r="WBT134" s="251"/>
      <c r="WBU134" s="251"/>
      <c r="WBV134" s="251"/>
      <c r="WBW134" s="251"/>
      <c r="WBX134" s="251"/>
      <c r="WBY134" s="251"/>
      <c r="WBZ134" s="251"/>
      <c r="WCA134" s="251"/>
      <c r="WCB134" s="251"/>
      <c r="WCC134" s="251"/>
      <c r="WCD134" s="251"/>
      <c r="WCE134" s="251"/>
      <c r="WCF134" s="251"/>
      <c r="WCG134" s="251"/>
      <c r="WCH134" s="251"/>
      <c r="WCI134" s="251"/>
      <c r="WCJ134" s="251"/>
      <c r="WCK134" s="251"/>
      <c r="WCL134" s="251"/>
      <c r="WCM134" s="251"/>
      <c r="WCN134" s="251"/>
      <c r="WCO134" s="251"/>
      <c r="WCP134" s="251"/>
      <c r="WCQ134" s="251"/>
      <c r="WCR134" s="251"/>
      <c r="WCS134" s="251"/>
      <c r="WCT134" s="251"/>
      <c r="WCU134" s="251"/>
      <c r="WCV134" s="251"/>
      <c r="WCW134" s="251"/>
      <c r="WCX134" s="251"/>
      <c r="WCY134" s="251"/>
      <c r="WCZ134" s="251"/>
      <c r="WDA134" s="251"/>
      <c r="WDB134" s="251"/>
      <c r="WDC134" s="251"/>
      <c r="WDD134" s="251"/>
      <c r="WDE134" s="251"/>
      <c r="WDF134" s="251"/>
      <c r="WDG134" s="251"/>
      <c r="WDH134" s="251"/>
      <c r="WDI134" s="251"/>
      <c r="WDJ134" s="251"/>
      <c r="WDK134" s="251"/>
      <c r="WDL134" s="251"/>
      <c r="WDM134" s="251"/>
      <c r="WDN134" s="251"/>
      <c r="WDO134" s="251"/>
      <c r="WDP134" s="251"/>
      <c r="WDQ134" s="251"/>
      <c r="WDR134" s="251"/>
      <c r="WDS134" s="251"/>
      <c r="WDT134" s="251"/>
      <c r="WDU134" s="251"/>
      <c r="WDV134" s="251"/>
      <c r="WDW134" s="251"/>
      <c r="WDX134" s="251"/>
      <c r="WDY134" s="251"/>
      <c r="WDZ134" s="251"/>
      <c r="WEA134" s="251"/>
      <c r="WEB134" s="251"/>
      <c r="WEC134" s="251"/>
      <c r="WED134" s="251"/>
      <c r="WEE134" s="251"/>
      <c r="WEF134" s="251"/>
      <c r="WEG134" s="251"/>
      <c r="WEH134" s="251"/>
      <c r="WEI134" s="251"/>
      <c r="WEJ134" s="251"/>
      <c r="WEK134" s="251"/>
      <c r="WEL134" s="251"/>
      <c r="WEM134" s="251"/>
      <c r="WEN134" s="251"/>
      <c r="WEO134" s="251"/>
      <c r="WEP134" s="251"/>
      <c r="WEQ134" s="251"/>
      <c r="WER134" s="251"/>
      <c r="WES134" s="251"/>
      <c r="WET134" s="251"/>
      <c r="WEU134" s="251"/>
      <c r="WEV134" s="251"/>
      <c r="WEW134" s="251"/>
      <c r="WEX134" s="251"/>
      <c r="WEY134" s="251"/>
      <c r="WEZ134" s="251"/>
      <c r="WFA134" s="251"/>
      <c r="WFB134" s="251"/>
      <c r="WFC134" s="251"/>
      <c r="WFD134" s="251"/>
      <c r="WFE134" s="251"/>
      <c r="WFF134" s="251"/>
      <c r="WFG134" s="251"/>
      <c r="WFH134" s="251"/>
      <c r="WFI134" s="251"/>
      <c r="WFJ134" s="251"/>
      <c r="WFK134" s="251"/>
      <c r="WFL134" s="251"/>
      <c r="WFM134" s="251"/>
      <c r="WFN134" s="251"/>
      <c r="WFO134" s="251"/>
      <c r="WFP134" s="251"/>
      <c r="WFQ134" s="251"/>
      <c r="WFR134" s="251"/>
      <c r="WFS134" s="251"/>
      <c r="WFT134" s="251"/>
      <c r="WFU134" s="251"/>
      <c r="WFV134" s="251"/>
      <c r="WFW134" s="251"/>
      <c r="WFX134" s="251"/>
      <c r="WFY134" s="251"/>
      <c r="WFZ134" s="251"/>
      <c r="WGA134" s="251"/>
      <c r="WGB134" s="251"/>
      <c r="WGC134" s="251"/>
      <c r="WGD134" s="251"/>
      <c r="WGE134" s="251"/>
      <c r="WGF134" s="251"/>
      <c r="WGG134" s="251"/>
      <c r="WGH134" s="251"/>
      <c r="WGI134" s="251"/>
      <c r="WGJ134" s="251"/>
      <c r="WGK134" s="251"/>
      <c r="WGL134" s="251"/>
      <c r="WGM134" s="251"/>
      <c r="WGN134" s="251"/>
      <c r="WGO134" s="251"/>
      <c r="WGP134" s="251"/>
      <c r="WGQ134" s="251"/>
      <c r="WGR134" s="251"/>
      <c r="WGS134" s="251"/>
      <c r="WGT134" s="251"/>
      <c r="WGU134" s="251"/>
      <c r="WGV134" s="251"/>
      <c r="WGW134" s="251"/>
      <c r="WGX134" s="251"/>
      <c r="WGY134" s="251"/>
      <c r="WGZ134" s="251"/>
      <c r="WHA134" s="251"/>
      <c r="WHB134" s="251"/>
      <c r="WHC134" s="251"/>
      <c r="WHD134" s="251"/>
      <c r="WHE134" s="251"/>
      <c r="WHF134" s="251"/>
      <c r="WHG134" s="251"/>
      <c r="WHH134" s="251"/>
      <c r="WHI134" s="251"/>
      <c r="WHJ134" s="251"/>
      <c r="WHK134" s="251"/>
      <c r="WHL134" s="251"/>
      <c r="WHM134" s="251"/>
      <c r="WHN134" s="251"/>
      <c r="WHO134" s="251"/>
      <c r="WHP134" s="251"/>
      <c r="WHQ134" s="251"/>
      <c r="WHR134" s="251"/>
      <c r="WHS134" s="251"/>
      <c r="WHT134" s="251"/>
      <c r="WHU134" s="251"/>
      <c r="WHV134" s="251"/>
      <c r="WHW134" s="251"/>
      <c r="WHX134" s="251"/>
      <c r="WHY134" s="251"/>
      <c r="WHZ134" s="251"/>
      <c r="WIA134" s="251"/>
      <c r="WIB134" s="251"/>
      <c r="WIC134" s="251"/>
      <c r="WID134" s="251"/>
      <c r="WIE134" s="251"/>
      <c r="WIF134" s="251"/>
      <c r="WIG134" s="251"/>
      <c r="WIH134" s="251"/>
      <c r="WII134" s="251"/>
      <c r="WIJ134" s="251"/>
      <c r="WIK134" s="251"/>
      <c r="WIL134" s="251"/>
      <c r="WIM134" s="251"/>
      <c r="WIN134" s="251"/>
      <c r="WIO134" s="251"/>
      <c r="WIP134" s="251"/>
      <c r="WIQ134" s="251"/>
      <c r="WIR134" s="251"/>
      <c r="WIS134" s="251"/>
      <c r="WIT134" s="251"/>
      <c r="WIU134" s="251"/>
      <c r="WIV134" s="251"/>
      <c r="WIW134" s="251"/>
      <c r="WIX134" s="251"/>
      <c r="WIY134" s="251"/>
      <c r="WIZ134" s="251"/>
      <c r="WJA134" s="251"/>
      <c r="WJB134" s="251"/>
      <c r="WJC134" s="251"/>
      <c r="WJD134" s="251"/>
      <c r="WJE134" s="251"/>
      <c r="WJF134" s="251"/>
      <c r="WJG134" s="251"/>
      <c r="WJH134" s="251"/>
      <c r="WJI134" s="251"/>
      <c r="WJJ134" s="251"/>
      <c r="WJK134" s="251"/>
      <c r="WJL134" s="251"/>
      <c r="WJM134" s="251"/>
      <c r="WJN134" s="251"/>
      <c r="WJO134" s="251"/>
      <c r="WJP134" s="251"/>
      <c r="WJQ134" s="251"/>
      <c r="WJR134" s="251"/>
      <c r="WJS134" s="251"/>
      <c r="WJT134" s="251"/>
      <c r="WJU134" s="251"/>
      <c r="WJV134" s="251"/>
      <c r="WJW134" s="251"/>
      <c r="WJX134" s="251"/>
      <c r="WJY134" s="251"/>
      <c r="WJZ134" s="251"/>
      <c r="WKA134" s="251"/>
      <c r="WKB134" s="251"/>
      <c r="WKC134" s="251"/>
      <c r="WKD134" s="251"/>
      <c r="WKE134" s="251"/>
      <c r="WKF134" s="251"/>
      <c r="WKG134" s="251"/>
      <c r="WKH134" s="251"/>
      <c r="WKI134" s="251"/>
      <c r="WKJ134" s="251"/>
      <c r="WKK134" s="251"/>
      <c r="WKL134" s="251"/>
      <c r="WKM134" s="251"/>
      <c r="WKN134" s="251"/>
      <c r="WKO134" s="251"/>
      <c r="WKP134" s="251"/>
      <c r="WKQ134" s="251"/>
      <c r="WKR134" s="251"/>
      <c r="WKS134" s="251"/>
      <c r="WKT134" s="251"/>
      <c r="WKU134" s="251"/>
      <c r="WKV134" s="251"/>
      <c r="WKW134" s="251"/>
      <c r="WKX134" s="251"/>
      <c r="WKY134" s="251"/>
      <c r="WKZ134" s="251"/>
      <c r="WLA134" s="251"/>
      <c r="WLB134" s="251"/>
      <c r="WLC134" s="251"/>
      <c r="WLD134" s="251"/>
      <c r="WLE134" s="251"/>
      <c r="WLF134" s="251"/>
      <c r="WLG134" s="251"/>
      <c r="WLH134" s="251"/>
      <c r="WLI134" s="251"/>
      <c r="WLJ134" s="251"/>
      <c r="WLK134" s="251"/>
      <c r="WLL134" s="251"/>
      <c r="WLM134" s="251"/>
      <c r="WLN134" s="251"/>
      <c r="WLO134" s="251"/>
      <c r="WLP134" s="251"/>
      <c r="WLQ134" s="251"/>
      <c r="WLR134" s="251"/>
      <c r="WLS134" s="251"/>
      <c r="WLT134" s="251"/>
      <c r="WLU134" s="251"/>
      <c r="WLV134" s="251"/>
      <c r="WLW134" s="251"/>
      <c r="WLX134" s="251"/>
      <c r="WLY134" s="251"/>
      <c r="WLZ134" s="251"/>
      <c r="WMA134" s="251"/>
      <c r="WMB134" s="251"/>
      <c r="WMC134" s="251"/>
      <c r="WMD134" s="251"/>
      <c r="WME134" s="251"/>
      <c r="WMF134" s="251"/>
      <c r="WMG134" s="251"/>
      <c r="WMH134" s="251"/>
      <c r="WMI134" s="251"/>
      <c r="WMJ134" s="251"/>
      <c r="WMK134" s="251"/>
      <c r="WML134" s="251"/>
      <c r="WMM134" s="251"/>
      <c r="WMN134" s="251"/>
      <c r="WMO134" s="251"/>
      <c r="WMP134" s="251"/>
      <c r="WMQ134" s="251"/>
      <c r="WMR134" s="251"/>
      <c r="WMS134" s="251"/>
      <c r="WMT134" s="251"/>
      <c r="WMU134" s="251"/>
      <c r="WMV134" s="251"/>
      <c r="WMW134" s="251"/>
      <c r="WMX134" s="251"/>
      <c r="WMY134" s="251"/>
      <c r="WMZ134" s="251"/>
      <c r="WNA134" s="251"/>
      <c r="WNB134" s="251"/>
      <c r="WNC134" s="251"/>
      <c r="WND134" s="251"/>
      <c r="WNE134" s="251"/>
      <c r="WNF134" s="251"/>
      <c r="WNG134" s="251"/>
      <c r="WNH134" s="251"/>
      <c r="WNI134" s="251"/>
      <c r="WNJ134" s="251"/>
      <c r="WNK134" s="251"/>
      <c r="WNL134" s="251"/>
      <c r="WNM134" s="251"/>
      <c r="WNN134" s="251"/>
      <c r="WNO134" s="251"/>
      <c r="WNP134" s="251"/>
      <c r="WNQ134" s="251"/>
      <c r="WNR134" s="251"/>
      <c r="WNS134" s="251"/>
      <c r="WNT134" s="251"/>
      <c r="WNU134" s="251"/>
      <c r="WNV134" s="251"/>
      <c r="WNW134" s="251"/>
      <c r="WNX134" s="251"/>
      <c r="WNY134" s="251"/>
      <c r="WNZ134" s="251"/>
      <c r="WOA134" s="251"/>
      <c r="WOB134" s="251"/>
      <c r="WOC134" s="251"/>
      <c r="WOD134" s="251"/>
      <c r="WOE134" s="251"/>
      <c r="WOF134" s="251"/>
      <c r="WOG134" s="251"/>
      <c r="WOH134" s="251"/>
      <c r="WOI134" s="251"/>
      <c r="WOJ134" s="251"/>
      <c r="WOK134" s="251"/>
      <c r="WOL134" s="251"/>
      <c r="WOM134" s="251"/>
      <c r="WON134" s="251"/>
      <c r="WOO134" s="251"/>
      <c r="WOP134" s="251"/>
      <c r="WOQ134" s="251"/>
      <c r="WOR134" s="251"/>
      <c r="WOS134" s="251"/>
      <c r="WOT134" s="251"/>
      <c r="WOU134" s="251"/>
      <c r="WOV134" s="251"/>
      <c r="WOW134" s="251"/>
      <c r="WOX134" s="251"/>
      <c r="WOY134" s="251"/>
      <c r="WOZ134" s="251"/>
      <c r="WPA134" s="251"/>
      <c r="WPB134" s="251"/>
      <c r="WPC134" s="251"/>
      <c r="WPD134" s="251"/>
      <c r="WPE134" s="251"/>
      <c r="WPF134" s="251"/>
      <c r="WPG134" s="251"/>
      <c r="WPH134" s="251"/>
      <c r="WPI134" s="251"/>
      <c r="WPJ134" s="251"/>
      <c r="WPK134" s="251"/>
      <c r="WPL134" s="251"/>
      <c r="WPM134" s="251"/>
      <c r="WPN134" s="251"/>
      <c r="WPO134" s="251"/>
      <c r="WPP134" s="251"/>
      <c r="WPQ134" s="251"/>
      <c r="WPR134" s="251"/>
      <c r="WPS134" s="251"/>
      <c r="WPT134" s="251"/>
      <c r="WPU134" s="251"/>
      <c r="WPV134" s="251"/>
      <c r="WPW134" s="251"/>
      <c r="WPX134" s="251"/>
      <c r="WPY134" s="251"/>
      <c r="WPZ134" s="251"/>
      <c r="WQA134" s="251"/>
      <c r="WQB134" s="251"/>
      <c r="WQC134" s="251"/>
      <c r="WQD134" s="251"/>
      <c r="WQE134" s="251"/>
      <c r="WQF134" s="251"/>
      <c r="WQG134" s="251"/>
      <c r="WQH134" s="251"/>
      <c r="WQI134" s="251"/>
      <c r="WQJ134" s="251"/>
      <c r="WQK134" s="251"/>
      <c r="WQL134" s="251"/>
      <c r="WQM134" s="251"/>
      <c r="WQN134" s="251"/>
      <c r="WQO134" s="251"/>
      <c r="WQP134" s="251"/>
      <c r="WQQ134" s="251"/>
      <c r="WQR134" s="251"/>
      <c r="WQS134" s="251"/>
      <c r="WQT134" s="251"/>
      <c r="WQU134" s="251"/>
      <c r="WQV134" s="251"/>
      <c r="WQW134" s="251"/>
      <c r="WQX134" s="251"/>
      <c r="WQY134" s="251"/>
      <c r="WQZ134" s="251"/>
      <c r="WRA134" s="251"/>
      <c r="WRB134" s="251"/>
      <c r="WRC134" s="251"/>
      <c r="WRD134" s="251"/>
      <c r="WRE134" s="251"/>
      <c r="WRF134" s="251"/>
      <c r="WRG134" s="251"/>
      <c r="WRH134" s="251"/>
      <c r="WRI134" s="251"/>
      <c r="WRJ134" s="251"/>
      <c r="WRK134" s="251"/>
      <c r="WRL134" s="251"/>
      <c r="WRM134" s="251"/>
      <c r="WRN134" s="251"/>
      <c r="WRO134" s="251"/>
      <c r="WRP134" s="251"/>
      <c r="WRQ134" s="251"/>
      <c r="WRR134" s="251"/>
      <c r="WRS134" s="251"/>
      <c r="WRT134" s="251"/>
      <c r="WRU134" s="251"/>
      <c r="WRV134" s="251"/>
      <c r="WRW134" s="251"/>
      <c r="WRX134" s="251"/>
      <c r="WRY134" s="251"/>
      <c r="WRZ134" s="251"/>
      <c r="WSA134" s="251"/>
      <c r="WSB134" s="251"/>
      <c r="WSC134" s="251"/>
      <c r="WSD134" s="251"/>
      <c r="WSE134" s="251"/>
      <c r="WSF134" s="251"/>
      <c r="WSG134" s="251"/>
      <c r="WSH134" s="251"/>
      <c r="WSI134" s="251"/>
      <c r="WSJ134" s="251"/>
      <c r="WSK134" s="251"/>
      <c r="WSL134" s="251"/>
      <c r="WSM134" s="251"/>
      <c r="WSN134" s="251"/>
      <c r="WSO134" s="251"/>
      <c r="WSP134" s="251"/>
      <c r="WSQ134" s="251"/>
      <c r="WSR134" s="251"/>
      <c r="WSS134" s="251"/>
      <c r="WST134" s="251"/>
      <c r="WSU134" s="251"/>
      <c r="WSV134" s="251"/>
      <c r="WSW134" s="251"/>
      <c r="WSX134" s="251"/>
      <c r="WSY134" s="251"/>
      <c r="WSZ134" s="251"/>
      <c r="WTA134" s="251"/>
      <c r="WTB134" s="251"/>
      <c r="WTC134" s="251"/>
      <c r="WTD134" s="251"/>
      <c r="WTE134" s="251"/>
      <c r="WTF134" s="251"/>
      <c r="WTG134" s="251"/>
      <c r="WTH134" s="251"/>
      <c r="WTI134" s="251"/>
      <c r="WTJ134" s="251"/>
      <c r="WTK134" s="251"/>
      <c r="WTL134" s="251"/>
      <c r="WTM134" s="251"/>
      <c r="WTN134" s="251"/>
      <c r="WTO134" s="251"/>
      <c r="WTP134" s="251"/>
      <c r="WTQ134" s="251"/>
      <c r="WTR134" s="251"/>
      <c r="WTS134" s="251"/>
      <c r="WTT134" s="251"/>
      <c r="WTU134" s="251"/>
      <c r="WTV134" s="251"/>
      <c r="WTW134" s="251"/>
      <c r="WTX134" s="251"/>
      <c r="WTY134" s="251"/>
      <c r="WTZ134" s="251"/>
      <c r="WUA134" s="251"/>
      <c r="WUB134" s="251"/>
      <c r="WUC134" s="251"/>
      <c r="WUD134" s="251"/>
      <c r="WUE134" s="251"/>
      <c r="WUF134" s="251"/>
      <c r="WUG134" s="251"/>
      <c r="WUH134" s="251"/>
      <c r="WUI134" s="251"/>
      <c r="WUJ134" s="251"/>
      <c r="WUK134" s="251"/>
      <c r="WUL134" s="251"/>
      <c r="WUM134" s="251"/>
      <c r="WUN134" s="251"/>
      <c r="WUO134" s="251"/>
      <c r="WUP134" s="251"/>
      <c r="WUQ134" s="251"/>
      <c r="WUR134" s="251"/>
      <c r="WUS134" s="251"/>
      <c r="WUT134" s="251"/>
      <c r="WUU134" s="251"/>
      <c r="WUV134" s="251"/>
      <c r="WUW134" s="251"/>
      <c r="WUX134" s="251"/>
      <c r="WUY134" s="251"/>
      <c r="WUZ134" s="251"/>
      <c r="WVA134" s="251"/>
      <c r="WVB134" s="251"/>
      <c r="WVC134" s="251"/>
      <c r="WVD134" s="251"/>
      <c r="WVE134" s="251"/>
      <c r="WVF134" s="251"/>
      <c r="WVG134" s="251"/>
      <c r="WVH134" s="251"/>
      <c r="WVI134" s="251"/>
      <c r="WVJ134" s="251"/>
      <c r="WVK134" s="251"/>
      <c r="WVL134" s="251"/>
      <c r="WVM134" s="251"/>
      <c r="WVN134" s="251"/>
      <c r="WVO134" s="251"/>
      <c r="WVP134" s="251"/>
      <c r="WVQ134" s="251"/>
      <c r="WVR134" s="251"/>
      <c r="WVS134" s="251"/>
      <c r="WVT134" s="251"/>
      <c r="WVU134" s="251"/>
      <c r="WVV134" s="251"/>
      <c r="WVW134" s="251"/>
      <c r="WVX134" s="251"/>
      <c r="WVY134" s="251"/>
      <c r="WVZ134" s="251"/>
      <c r="WWA134" s="251"/>
      <c r="WWB134" s="251"/>
      <c r="WWC134" s="251"/>
      <c r="WWD134" s="251"/>
      <c r="WWE134" s="251"/>
      <c r="WWF134" s="251"/>
      <c r="WWG134" s="251"/>
      <c r="WWH134" s="251"/>
      <c r="WWI134" s="251"/>
      <c r="WWJ134" s="251"/>
      <c r="WWK134" s="251"/>
      <c r="WWL134" s="251"/>
      <c r="WWM134" s="251"/>
      <c r="WWN134" s="251"/>
      <c r="WWO134" s="251"/>
      <c r="WWP134" s="251"/>
      <c r="WWQ134" s="251"/>
      <c r="WWR134" s="251"/>
      <c r="WWS134" s="251"/>
      <c r="WWT134" s="251"/>
      <c r="WWU134" s="251"/>
      <c r="WWV134" s="251"/>
      <c r="WWW134" s="251"/>
      <c r="WWX134" s="251"/>
      <c r="WWY134" s="251"/>
      <c r="WWZ134" s="251"/>
      <c r="WXA134" s="251"/>
      <c r="WXB134" s="251"/>
      <c r="WXC134" s="251"/>
      <c r="WXD134" s="251"/>
      <c r="WXE134" s="251"/>
      <c r="WXF134" s="251"/>
      <c r="WXG134" s="251"/>
      <c r="WXH134" s="251"/>
      <c r="WXI134" s="251"/>
      <c r="WXJ134" s="251"/>
      <c r="WXK134" s="251"/>
      <c r="WXL134" s="251"/>
      <c r="WXM134" s="251"/>
      <c r="WXN134" s="251"/>
      <c r="WXO134" s="251"/>
      <c r="WXP134" s="251"/>
      <c r="WXQ134" s="251"/>
      <c r="WXR134" s="251"/>
      <c r="WXS134" s="251"/>
      <c r="WXT134" s="251"/>
      <c r="WXU134" s="251"/>
      <c r="WXV134" s="251"/>
      <c r="WXW134" s="251"/>
      <c r="WXX134" s="251"/>
      <c r="WXY134" s="251"/>
      <c r="WXZ134" s="251"/>
      <c r="WYA134" s="251"/>
      <c r="WYB134" s="251"/>
      <c r="WYC134" s="251"/>
      <c r="WYD134" s="251"/>
      <c r="WYE134" s="251"/>
      <c r="WYF134" s="251"/>
      <c r="WYG134" s="251"/>
      <c r="WYH134" s="251"/>
      <c r="WYI134" s="251"/>
      <c r="WYJ134" s="251"/>
      <c r="WYK134" s="251"/>
      <c r="WYL134" s="251"/>
      <c r="WYM134" s="251"/>
      <c r="WYN134" s="251"/>
      <c r="WYO134" s="251"/>
      <c r="WYP134" s="251"/>
      <c r="WYQ134" s="251"/>
      <c r="WYR134" s="251"/>
      <c r="WYS134" s="251"/>
      <c r="WYT134" s="251"/>
      <c r="WYU134" s="251"/>
      <c r="WYV134" s="251"/>
      <c r="WYW134" s="251"/>
      <c r="WYX134" s="251"/>
      <c r="WYY134" s="251"/>
      <c r="WYZ134" s="251"/>
      <c r="WZA134" s="251"/>
      <c r="WZB134" s="251"/>
      <c r="WZC134" s="251"/>
      <c r="WZD134" s="251"/>
      <c r="WZE134" s="251"/>
      <c r="WZF134" s="251"/>
      <c r="WZG134" s="251"/>
      <c r="WZH134" s="251"/>
      <c r="WZI134" s="251"/>
      <c r="WZJ134" s="251"/>
      <c r="WZK134" s="251"/>
      <c r="WZL134" s="251"/>
      <c r="WZM134" s="251"/>
      <c r="WZN134" s="251"/>
      <c r="WZO134" s="251"/>
      <c r="WZP134" s="251"/>
      <c r="WZQ134" s="251"/>
      <c r="WZR134" s="251"/>
      <c r="WZS134" s="251"/>
      <c r="WZT134" s="251"/>
      <c r="WZU134" s="251"/>
      <c r="WZV134" s="251"/>
      <c r="WZW134" s="251"/>
      <c r="WZX134" s="251"/>
      <c r="WZY134" s="251"/>
      <c r="WZZ134" s="251"/>
      <c r="XAA134" s="251"/>
      <c r="XAB134" s="251"/>
      <c r="XAC134" s="251"/>
      <c r="XAD134" s="251"/>
      <c r="XAE134" s="251"/>
      <c r="XAF134" s="251"/>
      <c r="XAG134" s="251"/>
      <c r="XAH134" s="251"/>
      <c r="XAI134" s="251"/>
      <c r="XAJ134" s="251"/>
      <c r="XAK134" s="251"/>
      <c r="XAL134" s="251"/>
      <c r="XAM134" s="251"/>
      <c r="XAN134" s="251"/>
      <c r="XAO134" s="251"/>
      <c r="XAP134" s="251"/>
      <c r="XAQ134" s="251"/>
      <c r="XAR134" s="251"/>
      <c r="XAS134" s="251"/>
      <c r="XAT134" s="251"/>
      <c r="XAU134" s="251"/>
      <c r="XAV134" s="251"/>
      <c r="XAW134" s="251"/>
      <c r="XAX134" s="251"/>
      <c r="XAY134" s="251"/>
      <c r="XAZ134" s="251"/>
      <c r="XBA134" s="251"/>
      <c r="XBB134" s="251"/>
      <c r="XBC134" s="251"/>
      <c r="XBD134" s="251"/>
      <c r="XBE134" s="251"/>
      <c r="XBF134" s="251"/>
      <c r="XBG134" s="251"/>
      <c r="XBH134" s="251"/>
      <c r="XBI134" s="251"/>
      <c r="XBJ134" s="251"/>
      <c r="XBK134" s="251"/>
      <c r="XBL134" s="251"/>
      <c r="XBM134" s="251"/>
      <c r="XBN134" s="251"/>
      <c r="XBO134" s="251"/>
      <c r="XBP134" s="251"/>
      <c r="XBQ134" s="251"/>
      <c r="XBR134" s="251"/>
      <c r="XBS134" s="251"/>
      <c r="XBT134" s="251"/>
      <c r="XBU134" s="251"/>
      <c r="XBV134" s="251"/>
      <c r="XBW134" s="251"/>
      <c r="XBX134" s="251"/>
      <c r="XBY134" s="251"/>
      <c r="XBZ134" s="251"/>
      <c r="XCA134" s="251"/>
      <c r="XCB134" s="251"/>
      <c r="XCC134" s="251"/>
      <c r="XCD134" s="251"/>
      <c r="XCE134" s="251"/>
      <c r="XCF134" s="251"/>
      <c r="XCG134" s="251"/>
      <c r="XCH134" s="251"/>
      <c r="XCI134" s="251"/>
      <c r="XCJ134" s="251"/>
      <c r="XCK134" s="251"/>
      <c r="XCL134" s="251"/>
      <c r="XCM134" s="251"/>
      <c r="XCN134" s="251"/>
      <c r="XCO134" s="251"/>
      <c r="XCP134" s="251"/>
      <c r="XCQ134" s="251"/>
      <c r="XCR134" s="251"/>
      <c r="XCS134" s="251"/>
      <c r="XCT134" s="251"/>
      <c r="XCU134" s="251"/>
      <c r="XCV134" s="251"/>
      <c r="XCW134" s="251"/>
      <c r="XCX134" s="251"/>
      <c r="XCY134" s="251"/>
      <c r="XCZ134" s="251"/>
      <c r="XDA134" s="251"/>
      <c r="XDB134" s="251"/>
      <c r="XDC134" s="251"/>
      <c r="XDD134" s="251"/>
      <c r="XDE134" s="251"/>
      <c r="XDF134" s="251"/>
      <c r="XDG134" s="251"/>
      <c r="XDH134" s="251"/>
      <c r="XDI134" s="251"/>
    </row>
    <row r="135" spans="1:16337" s="92" customFormat="1" ht="12.75" customHeight="1" x14ac:dyDescent="0.2">
      <c r="A135" s="246"/>
      <c r="B135" s="252">
        <f>1-ddrb_wr_per</f>
        <v>0.5</v>
      </c>
      <c r="C135" s="95"/>
      <c r="D135" s="95"/>
      <c r="E135" s="252">
        <f>'66AK2H14'!D26/100</f>
        <v>1</v>
      </c>
      <c r="F135" s="252">
        <f>ddr3b_writes/100</f>
        <v>0.5</v>
      </c>
      <c r="G135" s="252">
        <f>univ_sw/100</f>
        <v>1</v>
      </c>
      <c r="H135" s="95"/>
      <c r="I135" s="95"/>
      <c r="J135" s="95"/>
    </row>
    <row r="136" spans="1:16337" s="92" customFormat="1" ht="12.75" customHeight="1" x14ac:dyDescent="0.2">
      <c r="A136" s="18"/>
      <c r="B136" s="142" t="s">
        <v>252</v>
      </c>
      <c r="C136" s="142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18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spans="1:16337" s="92" customFormat="1" ht="12.75" customHeight="1" x14ac:dyDescent="0.2">
      <c r="A137" s="18"/>
      <c r="B137" s="253" t="s">
        <v>176</v>
      </c>
      <c r="C137" s="253"/>
      <c r="D137" s="254"/>
      <c r="E137" s="140" t="s">
        <v>15</v>
      </c>
      <c r="F137" s="140" t="s">
        <v>16</v>
      </c>
      <c r="G137" s="140" t="s">
        <v>17</v>
      </c>
      <c r="H137" s="140" t="s">
        <v>18</v>
      </c>
      <c r="I137" s="255" t="s">
        <v>15</v>
      </c>
      <c r="J137" s="256"/>
      <c r="K137" s="386" t="s">
        <v>16</v>
      </c>
      <c r="L137" s="387"/>
      <c r="M137" s="386" t="s">
        <v>17</v>
      </c>
      <c r="N137" s="387"/>
      <c r="O137" s="386" t="s">
        <v>18</v>
      </c>
      <c r="P137" s="387"/>
      <c r="T137" s="18"/>
      <c r="U137" s="18"/>
      <c r="V137" s="18"/>
      <c r="W137" s="18"/>
      <c r="X137" s="18"/>
      <c r="Y137" s="19"/>
      <c r="Z137" s="12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</row>
    <row r="138" spans="1:16337" s="92" customFormat="1" ht="12.75" customHeight="1" x14ac:dyDescent="0.2">
      <c r="A138" s="18"/>
      <c r="B138" s="111"/>
      <c r="C138" s="111">
        <f>IF(ddr3a_en="Enabled",1,0)</f>
        <v>1</v>
      </c>
      <c r="D138" s="111"/>
      <c r="E138" s="111"/>
      <c r="F138" s="111"/>
      <c r="G138" s="111"/>
      <c r="I138" s="137" t="s">
        <v>230</v>
      </c>
      <c r="J138" s="137" t="s">
        <v>231</v>
      </c>
      <c r="K138" s="137" t="s">
        <v>230</v>
      </c>
      <c r="L138" s="137" t="s">
        <v>231</v>
      </c>
      <c r="M138" s="137" t="s">
        <v>230</v>
      </c>
      <c r="N138" s="137" t="s">
        <v>231</v>
      </c>
      <c r="O138" s="137" t="s">
        <v>230</v>
      </c>
      <c r="P138" s="137" t="s">
        <v>231</v>
      </c>
      <c r="R138" s="300"/>
      <c r="S138" s="300"/>
      <c r="T138" s="301" t="s">
        <v>15</v>
      </c>
      <c r="U138" s="296" t="s">
        <v>16</v>
      </c>
      <c r="V138" s="296" t="s">
        <v>17</v>
      </c>
      <c r="W138" s="296" t="s">
        <v>18</v>
      </c>
      <c r="X138" s="296" t="s">
        <v>174</v>
      </c>
      <c r="Y138" s="296" t="s">
        <v>292</v>
      </c>
      <c r="Z138" s="296" t="s">
        <v>293</v>
      </c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</row>
    <row r="139" spans="1:16337" s="92" customFormat="1" ht="12.75" customHeight="1" x14ac:dyDescent="0.2">
      <c r="A139" s="18"/>
      <c r="B139" s="257" t="s">
        <v>416</v>
      </c>
      <c r="C139" s="111"/>
      <c r="D139" s="111"/>
      <c r="E139" s="111">
        <f>57.3597603284073*$C138</f>
        <v>57.359760328407297</v>
      </c>
      <c r="F139" s="111"/>
      <c r="G139" s="111">
        <f>165.334451664455</f>
        <v>165.334451664455</v>
      </c>
      <c r="I139" s="137"/>
      <c r="J139" s="137"/>
      <c r="K139" s="137"/>
      <c r="L139" s="137"/>
      <c r="M139" s="137"/>
      <c r="N139" s="137"/>
      <c r="O139" s="137">
        <v>0</v>
      </c>
      <c r="P139" s="137">
        <v>0</v>
      </c>
      <c r="R139" s="299" t="s">
        <v>424</v>
      </c>
      <c r="S139" s="300"/>
      <c r="T139" s="297">
        <f>ddr3a_cvdd_idle/mW_mA_sel_cvdd</f>
        <v>67.482070974596823</v>
      </c>
      <c r="U139" s="297">
        <v>0</v>
      </c>
      <c r="V139" s="297">
        <f>ddr3a_dvdd15_idle/mW_mA_sel_dvdd15</f>
        <v>110.22296777630334</v>
      </c>
      <c r="W139" s="297">
        <v>0</v>
      </c>
      <c r="X139" s="297">
        <v>0</v>
      </c>
      <c r="Y139" s="298">
        <v>0</v>
      </c>
      <c r="Z139" s="295">
        <v>0</v>
      </c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</row>
    <row r="140" spans="1:16337" s="92" customFormat="1" ht="12.75" customHeight="1" x14ac:dyDescent="0.2">
      <c r="A140" s="18"/>
      <c r="B140" s="111" t="s">
        <v>48</v>
      </c>
      <c r="C140" s="111"/>
      <c r="D140" s="222" t="s">
        <v>415</v>
      </c>
      <c r="E140" s="111">
        <v>270</v>
      </c>
      <c r="F140" s="111">
        <v>0</v>
      </c>
      <c r="G140" s="111">
        <v>545</v>
      </c>
      <c r="I140" s="125"/>
      <c r="J140" s="125"/>
      <c r="K140" s="125"/>
      <c r="L140" s="125"/>
      <c r="M140" s="125"/>
      <c r="N140" s="125"/>
      <c r="O140" s="125"/>
      <c r="P140" s="125"/>
      <c r="T140" s="18"/>
      <c r="U140" s="18"/>
      <c r="V140" s="18"/>
      <c r="W140" s="18"/>
      <c r="X140" s="18"/>
      <c r="Y140" s="19"/>
      <c r="Z140" s="12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</row>
    <row r="141" spans="1:16337" s="92" customFormat="1" ht="12.75" customHeight="1" x14ac:dyDescent="0.2">
      <c r="A141" s="38" t="s">
        <v>46</v>
      </c>
      <c r="B141" s="111" t="s">
        <v>48</v>
      </c>
      <c r="C141" s="111"/>
      <c r="D141" s="111" t="s">
        <v>50</v>
      </c>
      <c r="E141" s="111">
        <f xml:space="preserve"> I141*cpuF + J141-ddr_cvdd_read_base</f>
        <v>152.65950316886665</v>
      </c>
      <c r="F141" s="111">
        <f xml:space="preserve"> K141*cpuF + L141-ddr_cvdd1_read_base</f>
        <v>0</v>
      </c>
      <c r="G141" s="111">
        <f xml:space="preserve"> M141*cpuF + N141-ddr_dvdd15_read_base</f>
        <v>279.66774643741519</v>
      </c>
      <c r="I141" s="258">
        <v>9.1894888523684132E-2</v>
      </c>
      <c r="J141" s="258">
        <v>312.38563694044569</v>
      </c>
      <c r="K141" s="125">
        <v>0</v>
      </c>
      <c r="L141" s="125">
        <v>0</v>
      </c>
      <c r="M141" s="258">
        <v>3.7766206420610043E-2</v>
      </c>
      <c r="N141" s="258">
        <v>779.34829873268313</v>
      </c>
      <c r="T141" s="18"/>
      <c r="U141" s="18"/>
      <c r="V141" s="18"/>
      <c r="W141" s="18"/>
      <c r="X141" s="18"/>
      <c r="Y141" s="19"/>
      <c r="Z141" s="12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</row>
    <row r="142" spans="1:16337" s="92" customFormat="1" ht="12.75" customHeight="1" x14ac:dyDescent="0.2">
      <c r="A142" s="18">
        <v>16</v>
      </c>
      <c r="B142" s="111" t="s">
        <v>48</v>
      </c>
      <c r="C142" s="111"/>
      <c r="D142" s="111" t="s">
        <v>51</v>
      </c>
      <c r="E142" s="111">
        <f xml:space="preserve"> I142*ddra_clock+ J142-ddr_cvdd_read_base</f>
        <v>132.5738134597907</v>
      </c>
      <c r="F142" s="111">
        <f xml:space="preserve"> K142*ddra_clock + L142-ddr_cvdd1_read_base</f>
        <v>0</v>
      </c>
      <c r="G142" s="111">
        <f xml:space="preserve"> M142*ddra_clock + N142-ddr_dvdd15_read_base</f>
        <v>293.91447691911583</v>
      </c>
      <c r="I142" s="258">
        <v>0.52217728628247917</v>
      </c>
      <c r="J142" s="258">
        <v>-15.168015566192651</v>
      </c>
      <c r="K142" s="125">
        <v>0</v>
      </c>
      <c r="L142" s="125">
        <v>0</v>
      </c>
      <c r="M142" s="258">
        <v>0.1116858694918942</v>
      </c>
      <c r="N142" s="258">
        <v>749.56578132560048</v>
      </c>
      <c r="T142" s="18"/>
      <c r="U142" s="18"/>
      <c r="V142" s="18"/>
      <c r="W142" s="18"/>
      <c r="X142" s="18"/>
      <c r="Y142" s="19"/>
      <c r="Z142" s="12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</row>
    <row r="143" spans="1:16337" s="92" customFormat="1" ht="12.75" customHeight="1" x14ac:dyDescent="0.2">
      <c r="A143" s="18">
        <v>32</v>
      </c>
      <c r="B143" s="111" t="s">
        <v>48</v>
      </c>
      <c r="C143" s="111"/>
      <c r="D143" s="111" t="s">
        <v>52</v>
      </c>
      <c r="E143" s="222">
        <f>I143*$Q$143 + J143-ddr_cvdd_read_base</f>
        <v>-147.37432759356659</v>
      </c>
      <c r="F143" s="111">
        <f>K143*ddrA_bits + L143 -ddr_cvdd1_read_base</f>
        <v>0</v>
      </c>
      <c r="G143" s="111">
        <f xml:space="preserve"> M143*$R$143+N143-ddr_dvdd15_read_base</f>
        <v>-340.4659762627881</v>
      </c>
      <c r="I143" s="258">
        <v>5.8692715720503594</v>
      </c>
      <c r="J143" s="258">
        <v>28.717327253627673</v>
      </c>
      <c r="K143" s="125">
        <v>0</v>
      </c>
      <c r="L143" s="125">
        <v>0</v>
      </c>
      <c r="M143" s="258">
        <v>12.751016214655714</v>
      </c>
      <c r="N143" s="258">
        <v>0.51776430272047946</v>
      </c>
      <c r="Q143" s="92">
        <f>VLOOKUP($S143,$T$143:$V$147,2)</f>
        <v>16</v>
      </c>
      <c r="R143" s="92">
        <f>VLOOKUP($S143,$T$143:$V$147,3)</f>
        <v>16</v>
      </c>
      <c r="S143" s="92">
        <f>ddrA_bits</f>
        <v>16</v>
      </c>
      <c r="T143" s="18">
        <v>16</v>
      </c>
      <c r="U143" s="18">
        <v>16</v>
      </c>
      <c r="V143" s="18">
        <v>16</v>
      </c>
      <c r="W143" s="18"/>
      <c r="X143" s="18"/>
      <c r="Y143" s="19"/>
      <c r="Z143" s="12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</row>
    <row r="144" spans="1:16337" s="92" customFormat="1" ht="12.75" customHeight="1" x14ac:dyDescent="0.2">
      <c r="A144" s="18">
        <v>36</v>
      </c>
      <c r="B144" s="111" t="s">
        <v>53</v>
      </c>
      <c r="C144" s="111"/>
      <c r="D144" s="111"/>
      <c r="E144" s="111">
        <f>SUM(E141:E143)</f>
        <v>137.85898903509076</v>
      </c>
      <c r="F144" s="111">
        <f>SUM(F141:F143)</f>
        <v>0</v>
      </c>
      <c r="G144" s="111">
        <f>SUM(G141:G143)</f>
        <v>233.11624709374291</v>
      </c>
      <c r="I144" s="125"/>
      <c r="J144" s="125"/>
      <c r="K144" s="125"/>
      <c r="L144" s="125"/>
      <c r="M144" s="125"/>
      <c r="N144" s="125"/>
      <c r="T144" s="18">
        <v>32</v>
      </c>
      <c r="U144" s="18">
        <v>32</v>
      </c>
      <c r="V144" s="18">
        <v>32</v>
      </c>
      <c r="W144" s="18"/>
      <c r="X144" s="18"/>
      <c r="Y144" s="19"/>
      <c r="Z144" s="12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</row>
    <row r="145" spans="1:53" s="92" customFormat="1" ht="12.75" customHeight="1" x14ac:dyDescent="0.2">
      <c r="A145" s="18">
        <v>64</v>
      </c>
      <c r="B145" s="111"/>
      <c r="C145" s="111"/>
      <c r="D145" s="111"/>
      <c r="E145" s="111"/>
      <c r="F145" s="111"/>
      <c r="G145" s="111"/>
      <c r="I145" s="137" t="s">
        <v>230</v>
      </c>
      <c r="J145" s="137" t="s">
        <v>231</v>
      </c>
      <c r="K145" s="137" t="s">
        <v>230</v>
      </c>
      <c r="L145" s="137" t="s">
        <v>231</v>
      </c>
      <c r="M145" s="137" t="s">
        <v>230</v>
      </c>
      <c r="N145" s="137" t="s">
        <v>231</v>
      </c>
      <c r="T145" s="18">
        <v>36</v>
      </c>
      <c r="U145" s="18">
        <v>32</v>
      </c>
      <c r="V145" s="18">
        <v>40</v>
      </c>
      <c r="W145" s="18"/>
      <c r="X145" s="18"/>
      <c r="Y145" s="19"/>
      <c r="Z145" s="12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</row>
    <row r="146" spans="1:53" s="92" customFormat="1" ht="12.75" customHeight="1" x14ac:dyDescent="0.2">
      <c r="A146" s="18">
        <v>72</v>
      </c>
      <c r="B146" s="111" t="s">
        <v>54</v>
      </c>
      <c r="C146" s="111"/>
      <c r="D146" s="222" t="s">
        <v>415</v>
      </c>
      <c r="E146" s="223">
        <v>315</v>
      </c>
      <c r="F146" s="111">
        <v>0</v>
      </c>
      <c r="G146" s="223">
        <v>580</v>
      </c>
      <c r="I146" s="125"/>
      <c r="J146" s="125"/>
      <c r="K146" s="125"/>
      <c r="L146" s="125"/>
      <c r="M146" s="125"/>
      <c r="N146" s="125"/>
      <c r="T146" s="18">
        <v>64</v>
      </c>
      <c r="U146" s="18">
        <v>64</v>
      </c>
      <c r="V146" s="18">
        <v>64</v>
      </c>
      <c r="W146" s="18"/>
      <c r="X146" s="18"/>
      <c r="Y146" s="19"/>
      <c r="Z146" s="12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</row>
    <row r="147" spans="1:53" s="92" customFormat="1" ht="12.75" customHeight="1" x14ac:dyDescent="0.2">
      <c r="A147" s="18"/>
      <c r="B147" s="111" t="s">
        <v>54</v>
      </c>
      <c r="C147" s="111"/>
      <c r="D147" s="111" t="s">
        <v>50</v>
      </c>
      <c r="E147" s="111">
        <f xml:space="preserve"> I147*cpuF + J147-ddr_cvdd_write_base</f>
        <v>164.64685658121198</v>
      </c>
      <c r="F147" s="111">
        <f xml:space="preserve"> K147*cpuF + L147-ddr_cvdd1_write_base</f>
        <v>0</v>
      </c>
      <c r="G147" s="111">
        <f xml:space="preserve"> M147*cpuF + N147-ddr_dvdd15_write_base</f>
        <v>299.49382661447498</v>
      </c>
      <c r="I147" s="258">
        <v>4.02622673129963E-2</v>
      </c>
      <c r="J147" s="258">
        <v>431.33213580561642</v>
      </c>
      <c r="K147" s="125">
        <v>0</v>
      </c>
      <c r="L147" s="125">
        <v>0</v>
      </c>
      <c r="M147" s="258">
        <v>3.4917365358009531E-2</v>
      </c>
      <c r="N147" s="258">
        <v>837.59298818486354</v>
      </c>
      <c r="T147" s="18">
        <v>72</v>
      </c>
      <c r="U147" s="18">
        <v>64</v>
      </c>
      <c r="V147" s="18">
        <v>72</v>
      </c>
      <c r="W147" s="18"/>
      <c r="X147" s="18"/>
      <c r="Y147" s="19"/>
      <c r="Z147" s="12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</row>
    <row r="148" spans="1:53" s="92" customFormat="1" ht="12.75" customHeight="1" x14ac:dyDescent="0.2">
      <c r="A148" s="18"/>
      <c r="B148" s="111" t="s">
        <v>54</v>
      </c>
      <c r="C148" s="111"/>
      <c r="D148" s="111" t="s">
        <v>51</v>
      </c>
      <c r="E148" s="111">
        <f xml:space="preserve"> I148*ddra_clock + J148-ddr_cvdd_write_base</f>
        <v>160.05425956931481</v>
      </c>
      <c r="F148" s="111">
        <f xml:space="preserve"> K148*ddrF_a+ L148-ddr_cvdd1_write_base</f>
        <v>0</v>
      </c>
      <c r="G148" s="111">
        <f xml:space="preserve"> M148*ddrF_a + N148-ddr_dvdd15_write_base</f>
        <v>296.46406376962352</v>
      </c>
      <c r="I148" s="258">
        <v>0.54966227239397036</v>
      </c>
      <c r="J148" s="258">
        <v>35.324441654138525</v>
      </c>
      <c r="K148" s="125">
        <v>0</v>
      </c>
      <c r="L148" s="125">
        <v>0</v>
      </c>
      <c r="M148" s="258">
        <v>0.41714497260818334</v>
      </c>
      <c r="N148" s="258">
        <v>542.74808568307685</v>
      </c>
      <c r="T148" s="18"/>
      <c r="U148" s="18"/>
      <c r="V148" s="18"/>
      <c r="W148" s="18"/>
      <c r="X148" s="18"/>
      <c r="Y148" s="19"/>
      <c r="Z148" s="12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</row>
    <row r="149" spans="1:53" s="92" customFormat="1" ht="12.75" customHeight="1" x14ac:dyDescent="0.2">
      <c r="A149" s="18"/>
      <c r="B149" s="111" t="s">
        <v>54</v>
      </c>
      <c r="C149" s="111"/>
      <c r="D149" s="111" t="s">
        <v>52</v>
      </c>
      <c r="E149" s="111">
        <f xml:space="preserve"> I149*$Q$143 + J149-ddr_cvdd_write_base</f>
        <v>-166.91582769548467</v>
      </c>
      <c r="F149" s="111">
        <f xml:space="preserve"> K149*ddrA_bits + L149-ddr_cvdd1_write_base</f>
        <v>0</v>
      </c>
      <c r="G149" s="111">
        <f xml:space="preserve"> M149*$R$143 + N149 -ddr_dvdd15_write_base</f>
        <v>-168.47919398261831</v>
      </c>
      <c r="I149" s="258">
        <v>6.7525091329718876</v>
      </c>
      <c r="J149" s="258">
        <v>40.044026176965133</v>
      </c>
      <c r="K149" s="125">
        <v>0</v>
      </c>
      <c r="L149" s="125">
        <v>0</v>
      </c>
      <c r="M149" s="258">
        <v>9.3963085999049998</v>
      </c>
      <c r="N149" s="258">
        <v>261.17986841890172</v>
      </c>
      <c r="T149" s="18"/>
      <c r="U149" s="18"/>
      <c r="V149" s="18"/>
      <c r="W149" s="18"/>
      <c r="X149" s="18"/>
      <c r="Y149" s="19"/>
      <c r="Z149" s="12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</row>
    <row r="150" spans="1:53" s="92" customFormat="1" ht="12.75" customHeight="1" x14ac:dyDescent="0.2">
      <c r="A150" s="18"/>
      <c r="B150" s="111" t="s">
        <v>55</v>
      </c>
      <c r="C150" s="111"/>
      <c r="D150" s="111"/>
      <c r="E150" s="111">
        <f>SUM(E147:E149)</f>
        <v>157.78528845504212</v>
      </c>
      <c r="F150" s="111">
        <f>SUM(F147:F149)</f>
        <v>0</v>
      </c>
      <c r="G150" s="111">
        <f>SUM(G147:G149)</f>
        <v>427.47869640148019</v>
      </c>
      <c r="I150" s="125"/>
      <c r="J150" s="125"/>
      <c r="K150" s="125"/>
      <c r="L150" s="125"/>
      <c r="M150" s="125"/>
      <c r="N150" s="125"/>
      <c r="T150" s="18"/>
      <c r="U150" s="18"/>
      <c r="V150" s="18"/>
      <c r="W150" s="18"/>
      <c r="X150" s="18"/>
      <c r="Y150" s="19"/>
      <c r="Z150" s="12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</row>
    <row r="151" spans="1:53" s="92" customFormat="1" ht="12.75" customHeight="1" x14ac:dyDescent="0.2">
      <c r="A151" s="18"/>
      <c r="B151" s="111"/>
      <c r="C151" s="111"/>
      <c r="D151" s="111"/>
      <c r="E151" s="111"/>
      <c r="F151" s="111"/>
      <c r="G151" s="111"/>
      <c r="O151" s="29"/>
      <c r="P151" s="29"/>
      <c r="Q151" s="29"/>
      <c r="R151" s="29"/>
      <c r="S151" s="29"/>
      <c r="T151" s="18"/>
      <c r="U151" s="18"/>
      <c r="V151" s="18"/>
      <c r="W151" s="18"/>
      <c r="X151" s="18"/>
      <c r="Y151" s="19"/>
      <c r="Z151" s="12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</row>
    <row r="152" spans="1:53" s="92" customFormat="1" ht="12.75" customHeight="1" x14ac:dyDescent="0.2">
      <c r="A152" s="18"/>
      <c r="B152" s="111" t="s">
        <v>56</v>
      </c>
      <c r="C152" s="111"/>
      <c r="D152" s="111"/>
      <c r="E152" s="111">
        <f>(((ddr_read_total_cvdd*ddra_reads_per)+(ddr_write_total_cvdd*ddra_writes_per))*ddra_util_per*ddra_switch_per)*$C$138</f>
        <v>147.82213874506644</v>
      </c>
      <c r="F152" s="111">
        <f>(((ddr_read_total_cvdd1*ddra_reads_per)+(ddr_write_total_cvdd1*ddra_writes_per))*ddra_util_per*ddra_switch_per)</f>
        <v>0</v>
      </c>
      <c r="G152" s="111">
        <f>(((ddr_read_total_dvdd15*ddra_reads_per)+(ddr_write_total_dvdd15*ddra_writes_per))*ddra_util_per*ddra_switch_per)*$C$138</f>
        <v>330.29747174761155</v>
      </c>
      <c r="O152" s="29"/>
      <c r="P152" s="29"/>
      <c r="Q152" s="29"/>
      <c r="R152" s="29"/>
      <c r="S152" s="29"/>
      <c r="T152" s="18"/>
      <c r="U152" s="18"/>
      <c r="V152" s="18"/>
      <c r="W152" s="18"/>
      <c r="X152" s="18"/>
      <c r="Y152" s="19"/>
      <c r="Z152" s="12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</row>
    <row r="153" spans="1:53" s="92" customFormat="1" ht="12.75" customHeight="1" x14ac:dyDescent="0.2">
      <c r="A153" s="18"/>
      <c r="B153" s="111" t="s">
        <v>57</v>
      </c>
      <c r="C153" s="111"/>
      <c r="D153" s="111"/>
      <c r="E153" s="111">
        <f>IF(ddr_total_cvdd&gt;0,ddr_total_cvdd,0)</f>
        <v>147.82213874506644</v>
      </c>
      <c r="F153" s="111">
        <f>IF(ddr_total_cvdd1&gt;0,ddr_total_cvdd1,0)</f>
        <v>0</v>
      </c>
      <c r="G153" s="111">
        <f>IF(ddr_total_dvdd15&gt;0,ddr_total_dvdd15,0)</f>
        <v>330.29747174761155</v>
      </c>
      <c r="O153" s="29"/>
      <c r="P153" s="29"/>
      <c r="Q153" s="29"/>
      <c r="R153" s="29"/>
      <c r="S153" s="29"/>
      <c r="T153" s="18"/>
      <c r="U153" s="18"/>
      <c r="V153" s="18"/>
      <c r="W153" s="18"/>
      <c r="X153" s="18"/>
      <c r="Y153" s="19"/>
      <c r="Z153" s="12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</row>
    <row r="154" spans="1:53" s="92" customFormat="1" ht="12.75" customHeight="1" x14ac:dyDescent="0.2">
      <c r="A154" s="18"/>
      <c r="B154" s="101"/>
      <c r="C154" s="101"/>
      <c r="D154" s="101"/>
      <c r="E154" s="101"/>
      <c r="F154" s="101"/>
      <c r="G154" s="101"/>
      <c r="O154" s="29"/>
      <c r="P154" s="29"/>
      <c r="Q154" s="29"/>
      <c r="R154" s="29"/>
      <c r="S154" s="29"/>
      <c r="T154" s="18"/>
      <c r="U154" s="18"/>
      <c r="V154" s="18"/>
      <c r="W154" s="18"/>
      <c r="X154" s="18"/>
      <c r="Y154" s="19"/>
      <c r="Z154" s="12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</row>
    <row r="155" spans="1:53" s="92" customFormat="1" ht="12.75" customHeight="1" x14ac:dyDescent="0.2">
      <c r="A155" s="18"/>
      <c r="B155" s="142" t="s">
        <v>252</v>
      </c>
      <c r="C155" s="142"/>
      <c r="D155" s="18"/>
      <c r="E155" s="18"/>
      <c r="F155" s="18"/>
      <c r="G155" s="18"/>
      <c r="O155" s="29"/>
      <c r="P155" s="29"/>
      <c r="Q155" s="29"/>
      <c r="R155" s="29"/>
      <c r="S155" s="29"/>
      <c r="T155" s="18"/>
      <c r="U155" s="18"/>
      <c r="V155" s="18"/>
      <c r="W155" s="18"/>
      <c r="X155" s="18"/>
      <c r="Y155" s="19"/>
      <c r="Z155" s="12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</row>
    <row r="156" spans="1:53" s="92" customFormat="1" ht="12.75" customHeight="1" x14ac:dyDescent="0.2">
      <c r="A156" s="51"/>
      <c r="B156" s="259" t="s">
        <v>177</v>
      </c>
      <c r="C156" s="259"/>
      <c r="D156" s="224"/>
      <c r="E156" s="151" t="s">
        <v>15</v>
      </c>
      <c r="F156" s="151" t="s">
        <v>16</v>
      </c>
      <c r="G156" s="151" t="s">
        <v>17</v>
      </c>
      <c r="H156" s="151" t="s">
        <v>18</v>
      </c>
      <c r="I156" s="255" t="s">
        <v>15</v>
      </c>
      <c r="J156" s="256"/>
      <c r="K156" s="386" t="s">
        <v>16</v>
      </c>
      <c r="L156" s="387"/>
      <c r="M156" s="386" t="s">
        <v>17</v>
      </c>
      <c r="N156" s="387"/>
      <c r="O156" s="386" t="s">
        <v>18</v>
      </c>
      <c r="P156" s="387"/>
      <c r="T156" s="101"/>
      <c r="U156" s="101"/>
      <c r="V156" s="101"/>
      <c r="W156" s="101"/>
      <c r="X156" s="101"/>
      <c r="Y156" s="101"/>
      <c r="Z156" s="51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spans="1:53" s="92" customFormat="1" ht="12.75" customHeight="1" x14ac:dyDescent="0.2">
      <c r="A157" s="18"/>
      <c r="B157" s="224"/>
      <c r="C157" s="224">
        <f>IF(ddr3b_en="Enabled",1,0)</f>
        <v>1</v>
      </c>
      <c r="D157" s="224"/>
      <c r="E157" s="224"/>
      <c r="F157" s="224"/>
      <c r="G157" s="224"/>
      <c r="I157" s="137" t="s">
        <v>230</v>
      </c>
      <c r="J157" s="137" t="s">
        <v>231</v>
      </c>
      <c r="K157" s="137" t="s">
        <v>230</v>
      </c>
      <c r="L157" s="137" t="s">
        <v>231</v>
      </c>
      <c r="M157" s="137" t="s">
        <v>230</v>
      </c>
      <c r="N157" s="137" t="s">
        <v>231</v>
      </c>
      <c r="O157" s="137" t="s">
        <v>230</v>
      </c>
      <c r="P157" s="137" t="s">
        <v>231</v>
      </c>
      <c r="R157" s="307"/>
      <c r="S157" s="307"/>
      <c r="T157" s="308" t="s">
        <v>15</v>
      </c>
      <c r="U157" s="303" t="s">
        <v>16</v>
      </c>
      <c r="V157" s="303" t="s">
        <v>17</v>
      </c>
      <c r="W157" s="303" t="s">
        <v>18</v>
      </c>
      <c r="X157" s="303" t="s">
        <v>174</v>
      </c>
      <c r="Y157" s="303" t="s">
        <v>292</v>
      </c>
      <c r="Z157" s="303" t="s">
        <v>293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spans="1:53" s="92" customFormat="1" ht="12.75" customHeight="1" x14ac:dyDescent="0.2">
      <c r="A158" s="18"/>
      <c r="B158" s="260" t="s">
        <v>417</v>
      </c>
      <c r="C158" s="224"/>
      <c r="D158" s="224"/>
      <c r="E158" s="224">
        <f>57.3597603284073*$C$157</f>
        <v>57.359760328407297</v>
      </c>
      <c r="F158" s="224"/>
      <c r="G158" s="224">
        <f>165.334451664455</f>
        <v>165.334451664455</v>
      </c>
      <c r="H158" s="92">
        <f>O158*ddrb_clock+P158</f>
        <v>0</v>
      </c>
      <c r="I158" s="137"/>
      <c r="J158" s="137"/>
      <c r="K158" s="137"/>
      <c r="L158" s="137"/>
      <c r="M158" s="137"/>
      <c r="N158" s="137"/>
      <c r="O158" s="137">
        <v>0</v>
      </c>
      <c r="P158" s="137">
        <v>0</v>
      </c>
      <c r="R158" s="306" t="s">
        <v>425</v>
      </c>
      <c r="S158" s="307"/>
      <c r="T158" s="305">
        <f>ddr3b_cvdd_idle/mW_mA_sel_cvdd</f>
        <v>67.482070974596823</v>
      </c>
      <c r="U158" s="305">
        <v>0</v>
      </c>
      <c r="V158" s="305">
        <f>ddr3b_dvdd15_idle/mW_mA_sel_dvdd15</f>
        <v>110.22296777630334</v>
      </c>
      <c r="W158" s="305">
        <v>0</v>
      </c>
      <c r="X158" s="305">
        <v>0</v>
      </c>
      <c r="Y158" s="305">
        <v>0</v>
      </c>
      <c r="Z158" s="304">
        <v>0</v>
      </c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spans="1:53" s="92" customFormat="1" ht="12.75" customHeight="1" x14ac:dyDescent="0.2">
      <c r="A159" s="18"/>
      <c r="B159" s="224" t="s">
        <v>48</v>
      </c>
      <c r="C159" s="224"/>
      <c r="D159" s="261" t="s">
        <v>415</v>
      </c>
      <c r="E159" s="224">
        <v>290</v>
      </c>
      <c r="F159" s="224">
        <v>0</v>
      </c>
      <c r="G159" s="224">
        <v>550</v>
      </c>
      <c r="I159" s="125"/>
      <c r="J159" s="125"/>
      <c r="K159" s="125"/>
      <c r="L159" s="125"/>
      <c r="M159" s="125"/>
      <c r="N159" s="125"/>
      <c r="O159" s="125"/>
      <c r="P159" s="125"/>
      <c r="T159" s="18"/>
      <c r="U159" s="18"/>
      <c r="V159" s="18"/>
      <c r="W159" s="18"/>
      <c r="X159" s="18"/>
      <c r="Y159" s="19"/>
      <c r="Z159" s="12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</row>
    <row r="160" spans="1:53" s="92" customFormat="1" ht="12.75" customHeight="1" x14ac:dyDescent="0.2">
      <c r="A160" s="18"/>
      <c r="B160" s="224" t="s">
        <v>48</v>
      </c>
      <c r="C160" s="224"/>
      <c r="D160" s="224" t="s">
        <v>50</v>
      </c>
      <c r="E160" s="224">
        <f>I160*cpuF+J160</f>
        <v>326.27162482121548</v>
      </c>
      <c r="F160" s="224">
        <f xml:space="preserve"> K160*cpuF + L160-ddrb_cvdd1_read_base</f>
        <v>0</v>
      </c>
      <c r="G160" s="224">
        <f xml:space="preserve"> M160*cpuF + N160-ddrb_dvdd15_read_base</f>
        <v>364.19209598612315</v>
      </c>
      <c r="I160" s="258">
        <v>0.20423315294736655</v>
      </c>
      <c r="J160" s="258">
        <v>81.191841284375585</v>
      </c>
      <c r="K160" s="125">
        <v>0</v>
      </c>
      <c r="L160" s="125">
        <v>0</v>
      </c>
      <c r="M160" s="258">
        <v>8.2128182437424466E-2</v>
      </c>
      <c r="N160" s="258">
        <v>815.63827706121378</v>
      </c>
      <c r="T160" s="18"/>
      <c r="U160" s="18"/>
      <c r="V160" s="18"/>
      <c r="W160" s="18"/>
      <c r="X160" s="18"/>
      <c r="Y160" s="19"/>
      <c r="Z160" s="12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</row>
    <row r="161" spans="1:47" s="92" customFormat="1" ht="12.75" customHeight="1" x14ac:dyDescent="0.2">
      <c r="A161" s="18"/>
      <c r="B161" s="224" t="s">
        <v>48</v>
      </c>
      <c r="C161" s="224"/>
      <c r="D161" s="224" t="s">
        <v>51</v>
      </c>
      <c r="E161" s="224">
        <f xml:space="preserve"> I161*ddrb_clock + J161-ddrb_cvdd_read_base</f>
        <v>4.6132133279783716</v>
      </c>
      <c r="F161" s="224">
        <f xml:space="preserve"> K161*ddrb_clock + L161-ddrb_cvdd1_read_base</f>
        <v>0</v>
      </c>
      <c r="G161" s="224">
        <f xml:space="preserve"> M161*ddrb_clock + N161-ddrb_dvdd15_read_base</f>
        <v>272.89972767489019</v>
      </c>
      <c r="I161" s="258">
        <v>0.13882065045868755</v>
      </c>
      <c r="J161" s="258">
        <v>183.55669296102832</v>
      </c>
      <c r="K161" s="125">
        <v>0</v>
      </c>
      <c r="L161" s="125">
        <v>0</v>
      </c>
      <c r="M161" s="258">
        <v>3.276715951303754E-2</v>
      </c>
      <c r="N161" s="258">
        <v>796.68600006446013</v>
      </c>
      <c r="T161" s="18"/>
      <c r="U161" s="18"/>
      <c r="V161" s="18"/>
      <c r="W161" s="18"/>
      <c r="X161" s="18"/>
      <c r="Y161" s="19"/>
      <c r="Z161" s="12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</row>
    <row r="162" spans="1:47" s="92" customFormat="1" ht="12.75" customHeight="1" x14ac:dyDescent="0.2">
      <c r="A162" s="18"/>
      <c r="B162" s="224" t="s">
        <v>48</v>
      </c>
      <c r="C162" s="224"/>
      <c r="D162" s="224" t="s">
        <v>52</v>
      </c>
      <c r="E162" s="224">
        <f xml:space="preserve"> I162*$Q$162 + J162-ddrb_cvdd_read_base</f>
        <v>-157.81709351206382</v>
      </c>
      <c r="F162" s="224">
        <f xml:space="preserve"> K162*ddrb_bits + L162-ddrb_cvdd1_read_base</f>
        <v>0</v>
      </c>
      <c r="G162" s="224">
        <f>M162*$R$162+N162-ddrb_dvdd15_read_base</f>
        <v>-344.59779513760986</v>
      </c>
      <c r="I162" s="258">
        <v>6.1939831732706239</v>
      </c>
      <c r="J162" s="258">
        <v>33.079175715606198</v>
      </c>
      <c r="K162" s="125">
        <v>0</v>
      </c>
      <c r="L162" s="125">
        <v>0</v>
      </c>
      <c r="M162" s="258">
        <v>12.753392495866059</v>
      </c>
      <c r="N162" s="258">
        <v>1.3479249285331889</v>
      </c>
      <c r="Q162" s="92">
        <f>VLOOKUP($S162,$T$143:$V$147,2)</f>
        <v>16</v>
      </c>
      <c r="R162" s="92">
        <f>VLOOKUP($S162,$T$143:$V$147,3)</f>
        <v>16</v>
      </c>
      <c r="S162" s="92">
        <f>ddrb_bits</f>
        <v>16</v>
      </c>
      <c r="T162" s="18"/>
      <c r="U162" s="18"/>
      <c r="V162" s="18"/>
      <c r="W162" s="18"/>
      <c r="X162" s="18"/>
      <c r="Y162" s="19"/>
      <c r="Z162" s="12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</row>
    <row r="163" spans="1:47" s="92" customFormat="1" ht="12.75" customHeight="1" x14ac:dyDescent="0.2">
      <c r="A163" s="18"/>
      <c r="B163" s="224" t="s">
        <v>53</v>
      </c>
      <c r="C163" s="224"/>
      <c r="D163" s="224"/>
      <c r="E163" s="224">
        <f>SUM(E160:E162)</f>
        <v>173.06774463713003</v>
      </c>
      <c r="F163" s="224">
        <f>SUM(F160:F162)</f>
        <v>0</v>
      </c>
      <c r="G163" s="224">
        <f>SUM(G160:G162)</f>
        <v>292.49402852340347</v>
      </c>
      <c r="I163" s="125"/>
      <c r="J163" s="125"/>
      <c r="K163" s="125"/>
      <c r="L163" s="125"/>
      <c r="M163" s="125"/>
      <c r="N163" s="125"/>
      <c r="T163" s="18"/>
      <c r="U163" s="18"/>
      <c r="V163" s="18"/>
      <c r="W163" s="18"/>
      <c r="X163" s="18"/>
      <c r="Y163" s="19"/>
      <c r="Z163" s="12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</row>
    <row r="164" spans="1:47" s="92" customFormat="1" ht="12.75" customHeight="1" x14ac:dyDescent="0.2">
      <c r="A164" s="18"/>
      <c r="B164" s="224"/>
      <c r="C164" s="224"/>
      <c r="D164" s="224"/>
      <c r="E164" s="224"/>
      <c r="F164" s="224"/>
      <c r="G164" s="224"/>
      <c r="I164" s="137" t="s">
        <v>230</v>
      </c>
      <c r="J164" s="137" t="s">
        <v>231</v>
      </c>
      <c r="K164" s="137" t="s">
        <v>230</v>
      </c>
      <c r="L164" s="137" t="s">
        <v>231</v>
      </c>
      <c r="M164" s="137" t="s">
        <v>230</v>
      </c>
      <c r="N164" s="137" t="s">
        <v>231</v>
      </c>
      <c r="T164" s="18"/>
      <c r="U164" s="18"/>
      <c r="V164" s="18"/>
      <c r="W164" s="18"/>
      <c r="X164" s="18"/>
      <c r="Y164" s="19"/>
      <c r="Z164" s="12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</row>
    <row r="165" spans="1:47" s="92" customFormat="1" ht="12.75" customHeight="1" x14ac:dyDescent="0.2">
      <c r="A165" s="18"/>
      <c r="B165" s="224" t="s">
        <v>54</v>
      </c>
      <c r="C165" s="224"/>
      <c r="D165" s="261" t="s">
        <v>415</v>
      </c>
      <c r="E165" s="225">
        <v>235</v>
      </c>
      <c r="F165" s="224">
        <v>0</v>
      </c>
      <c r="G165" s="225">
        <v>550</v>
      </c>
      <c r="I165" s="125"/>
      <c r="J165" s="125"/>
      <c r="K165" s="125"/>
      <c r="L165" s="125"/>
      <c r="M165" s="125"/>
      <c r="N165" s="125"/>
      <c r="T165" s="18"/>
      <c r="U165" s="18"/>
      <c r="V165" s="18"/>
      <c r="W165" s="18"/>
      <c r="X165" s="18"/>
      <c r="Y165" s="19"/>
      <c r="Z165" s="12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</row>
    <row r="166" spans="1:47" s="92" customFormat="1" ht="12.75" customHeight="1" x14ac:dyDescent="0.2">
      <c r="A166" s="18"/>
      <c r="B166" s="224" t="s">
        <v>54</v>
      </c>
      <c r="C166" s="224"/>
      <c r="D166" s="224" t="s">
        <v>50</v>
      </c>
      <c r="E166" s="224">
        <f xml:space="preserve"> I166*cpuF + J166-ddrb_cvdd_write_base</f>
        <v>149.88332304059969</v>
      </c>
      <c r="F166" s="224">
        <f xml:space="preserve"> K166*cpuF + L166-ddrb_cvdd1_write_base</f>
        <v>0</v>
      </c>
      <c r="G166" s="224">
        <f xml:space="preserve"> M166*cpuF + N166-ddrb_dvdd15_write_base</f>
        <v>417.24766076247454</v>
      </c>
      <c r="I166" s="258">
        <v>0.19722618371355338</v>
      </c>
      <c r="J166" s="258">
        <v>148.21190258433563</v>
      </c>
      <c r="K166" s="125">
        <v>0</v>
      </c>
      <c r="L166" s="125">
        <v>0</v>
      </c>
      <c r="M166" s="258">
        <v>0.4889649657466742</v>
      </c>
      <c r="N166" s="258">
        <v>380.48970186646545</v>
      </c>
      <c r="T166" s="18"/>
      <c r="U166" s="18"/>
      <c r="V166" s="18"/>
      <c r="W166" s="18"/>
      <c r="X166" s="18"/>
      <c r="Y166" s="19"/>
      <c r="Z166" s="12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</row>
    <row r="167" spans="1:47" s="92" customFormat="1" ht="12.75" customHeight="1" x14ac:dyDescent="0.2">
      <c r="A167" s="18"/>
      <c r="B167" s="224" t="s">
        <v>54</v>
      </c>
      <c r="C167" s="224"/>
      <c r="D167" s="224" t="s">
        <v>51</v>
      </c>
      <c r="E167" s="224">
        <f xml:space="preserve"> I167*ddrb_clock + J167-ddrb_cvdd_write_base</f>
        <v>123.48461698209553</v>
      </c>
      <c r="F167" s="224">
        <f xml:space="preserve"> K167*ddrb_clock + L167-ddrb_cvdd1_write_base</f>
        <v>0</v>
      </c>
      <c r="G167" s="224">
        <f>M167*ddrb_clock + N167-ddrb_dvdd15_write_base</f>
        <v>272.18281600835519</v>
      </c>
      <c r="I167" s="258">
        <v>0.30773778874684499</v>
      </c>
      <c r="J167" s="258">
        <v>112.29438598461954</v>
      </c>
      <c r="K167" s="125">
        <v>0</v>
      </c>
      <c r="L167" s="125">
        <v>0</v>
      </c>
      <c r="M167" s="258">
        <v>8.6365450884011388E-2</v>
      </c>
      <c r="N167" s="258">
        <v>753.09045530114611</v>
      </c>
      <c r="T167" s="18"/>
      <c r="U167" s="18"/>
      <c r="V167" s="18"/>
      <c r="W167" s="18"/>
      <c r="X167" s="18"/>
      <c r="Y167" s="19"/>
      <c r="Z167" s="12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</row>
    <row r="168" spans="1:47" s="92" customFormat="1" ht="12.75" customHeight="1" x14ac:dyDescent="0.2">
      <c r="A168" s="18"/>
      <c r="B168" s="224" t="s">
        <v>54</v>
      </c>
      <c r="C168" s="224"/>
      <c r="D168" s="224" t="s">
        <v>52</v>
      </c>
      <c r="E168" s="224">
        <f xml:space="preserve"> I168*$Q$162 + J168-ddrb_cvdd_write_base</f>
        <v>-112.9356318441442</v>
      </c>
      <c r="F168" s="224">
        <f xml:space="preserve"> K168*ddrb_bits + L168-ddrb_cvdd1_write_base</f>
        <v>0</v>
      </c>
      <c r="G168" s="224">
        <f>M168*$R$162+N168-ddrb_dvdd15_write_base</f>
        <v>-96.583171991260826</v>
      </c>
      <c r="I168" s="258">
        <v>4.8447676699136233</v>
      </c>
      <c r="J168" s="258">
        <v>44.54808543723783</v>
      </c>
      <c r="K168" s="125">
        <v>0</v>
      </c>
      <c r="L168" s="125">
        <v>0</v>
      </c>
      <c r="M168" s="258">
        <v>7.7431348053743951</v>
      </c>
      <c r="N168" s="258">
        <v>329.52667112274884</v>
      </c>
      <c r="T168" s="18"/>
      <c r="U168" s="18"/>
      <c r="V168" s="18"/>
      <c r="W168" s="18"/>
      <c r="X168" s="18"/>
      <c r="Y168" s="19"/>
      <c r="Z168" s="12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</row>
    <row r="169" spans="1:47" s="92" customFormat="1" ht="12.75" customHeight="1" x14ac:dyDescent="0.2">
      <c r="A169" s="18"/>
      <c r="B169" s="224" t="s">
        <v>55</v>
      </c>
      <c r="C169" s="224"/>
      <c r="D169" s="224"/>
      <c r="E169" s="224">
        <f>SUM(E166:E168)</f>
        <v>160.43230817855101</v>
      </c>
      <c r="F169" s="224">
        <f>SUM(F166:F168)</f>
        <v>0</v>
      </c>
      <c r="G169" s="224">
        <f>SUM(G166:G168)</f>
        <v>592.84730477956896</v>
      </c>
      <c r="I169" s="125"/>
      <c r="J169" s="125"/>
      <c r="K169" s="125"/>
      <c r="L169" s="125"/>
      <c r="M169" s="125"/>
      <c r="N169" s="125"/>
      <c r="T169" s="18"/>
      <c r="U169" s="18"/>
      <c r="V169" s="18"/>
      <c r="W169" s="18"/>
      <c r="X169" s="18"/>
      <c r="Y169" s="19"/>
      <c r="Z169" s="12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</row>
    <row r="170" spans="1:47" s="92" customFormat="1" ht="12.75" customHeight="1" x14ac:dyDescent="0.2">
      <c r="A170" s="18"/>
      <c r="B170" s="224"/>
      <c r="C170" s="224"/>
      <c r="D170" s="224"/>
      <c r="E170" s="224"/>
      <c r="F170" s="224"/>
      <c r="G170" s="224"/>
      <c r="I170" s="29"/>
      <c r="J170" s="29"/>
      <c r="K170" s="29"/>
      <c r="L170" s="29"/>
      <c r="M170" s="29"/>
      <c r="N170" s="29"/>
      <c r="O170" s="29"/>
      <c r="P170" s="95"/>
      <c r="Q170" s="95"/>
      <c r="R170" s="29"/>
      <c r="S170" s="29"/>
      <c r="T170" s="18"/>
      <c r="U170" s="18"/>
      <c r="V170" s="18"/>
      <c r="W170" s="18"/>
      <c r="X170" s="18"/>
      <c r="Y170" s="19"/>
      <c r="Z170" s="12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</row>
    <row r="171" spans="1:47" s="92" customFormat="1" ht="12.75" customHeight="1" x14ac:dyDescent="0.2">
      <c r="A171" s="18"/>
      <c r="B171" s="224" t="s">
        <v>56</v>
      </c>
      <c r="C171" s="224"/>
      <c r="D171" s="224"/>
      <c r="E171" s="224">
        <f>(((ddrb_read_total_cvdd*ddrb_reads_per)+(ddrb_write_total_cvdd*ddrb_wr_per))*ddrb_util_per*ddrb_switch_per)*$C$157</f>
        <v>166.75002640784052</v>
      </c>
      <c r="F171" s="224">
        <f>(((ddrb_read_total_cvdd1*ddrb_reads_per)+(ddrb_write_total_cvdd1*ddrb_wr_per))*ddrb_util_per*ddrb_switch_per)</f>
        <v>0</v>
      </c>
      <c r="G171" s="224">
        <f>(((ddrb_dvdd15_read_total*ddrb_reads_per)+(ddrb_dvdd15_write_total*ddrb_wr_per))*ddrb_util_per*ddrb_switch_per)*$C$157</f>
        <v>442.67066665148621</v>
      </c>
      <c r="I171" s="29"/>
      <c r="J171" s="29"/>
      <c r="K171" s="29"/>
      <c r="L171" s="29"/>
      <c r="M171" s="29"/>
      <c r="N171" s="29"/>
      <c r="O171" s="29"/>
      <c r="P171" s="95"/>
      <c r="Q171" s="95"/>
      <c r="R171" s="29"/>
      <c r="S171" s="29"/>
      <c r="T171" s="18"/>
      <c r="U171" s="18"/>
      <c r="V171" s="18"/>
      <c r="W171" s="18"/>
      <c r="X171" s="18"/>
      <c r="Y171" s="19"/>
      <c r="Z171" s="12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</row>
    <row r="172" spans="1:47" s="92" customFormat="1" ht="12.75" customHeight="1" x14ac:dyDescent="0.2">
      <c r="A172" s="18"/>
      <c r="B172" s="224" t="s">
        <v>57</v>
      </c>
      <c r="C172" s="224"/>
      <c r="D172" s="224"/>
      <c r="E172" s="224">
        <f>IF(E171&gt;0,E171,0)</f>
        <v>166.75002640784052</v>
      </c>
      <c r="F172" s="224">
        <f>IF(F171&gt;0,F171,0)</f>
        <v>0</v>
      </c>
      <c r="G172" s="224">
        <f>IF(G171&gt;0,G171,0)</f>
        <v>442.67066665148621</v>
      </c>
      <c r="I172" s="29"/>
      <c r="J172" s="29"/>
      <c r="K172" s="29"/>
      <c r="L172" s="29"/>
      <c r="M172" s="29"/>
      <c r="N172" s="29"/>
      <c r="O172" s="29"/>
      <c r="P172" s="95"/>
      <c r="Q172" s="95"/>
      <c r="R172" s="29"/>
      <c r="S172" s="29"/>
      <c r="T172" s="18"/>
      <c r="U172" s="18"/>
      <c r="V172" s="18"/>
      <c r="W172" s="18"/>
      <c r="X172" s="18"/>
      <c r="Y172" s="19"/>
      <c r="Z172" s="12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</row>
    <row r="173" spans="1:47" s="92" customFormat="1" ht="12.75" customHeight="1" x14ac:dyDescent="0.2">
      <c r="A173" s="18"/>
      <c r="B173" s="90"/>
      <c r="C173" s="90"/>
      <c r="D173" s="90"/>
      <c r="E173" s="90"/>
      <c r="F173" s="90"/>
      <c r="G173" s="90"/>
      <c r="I173" s="29"/>
      <c r="J173" s="29"/>
      <c r="K173" s="29"/>
      <c r="L173" s="29"/>
      <c r="M173" s="29"/>
      <c r="N173" s="29"/>
      <c r="O173" s="29"/>
      <c r="P173" s="95"/>
      <c r="Q173" s="95"/>
      <c r="R173" s="29"/>
      <c r="S173" s="29"/>
      <c r="T173" s="18"/>
      <c r="U173" s="18"/>
      <c r="V173" s="18"/>
      <c r="W173" s="18"/>
      <c r="X173" s="18"/>
      <c r="Y173" s="19"/>
      <c r="Z173" s="12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</row>
    <row r="174" spans="1:47" s="92" customFormat="1" ht="12.75" customHeight="1" x14ac:dyDescent="0.2">
      <c r="A174" s="18"/>
      <c r="B174" s="90"/>
      <c r="C174" s="90"/>
      <c r="D174" s="90"/>
      <c r="E174" s="90"/>
      <c r="F174" s="90"/>
      <c r="G174" s="90"/>
      <c r="I174" s="29"/>
      <c r="J174" s="29"/>
      <c r="K174" s="29"/>
      <c r="L174" s="29"/>
      <c r="M174" s="29"/>
      <c r="N174" s="29"/>
      <c r="O174" s="29"/>
      <c r="P174" s="95"/>
      <c r="Q174" s="95"/>
      <c r="R174" s="29"/>
      <c r="S174" s="29"/>
      <c r="T174" s="18"/>
      <c r="U174" s="18"/>
      <c r="V174" s="18"/>
      <c r="W174" s="18"/>
      <c r="X174" s="18"/>
      <c r="Y174" s="19"/>
      <c r="Z174" s="12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</row>
    <row r="175" spans="1:47" s="92" customFormat="1" ht="12.75" customHeight="1" x14ac:dyDescent="0.2">
      <c r="A175" s="18"/>
      <c r="B175" s="90"/>
      <c r="C175" s="90"/>
      <c r="D175" s="90"/>
      <c r="E175" s="90"/>
      <c r="F175" s="90"/>
      <c r="G175" s="90"/>
      <c r="I175" s="29"/>
      <c r="J175" s="29"/>
      <c r="K175" s="29"/>
      <c r="L175" s="29"/>
      <c r="M175" s="29"/>
      <c r="N175" s="29"/>
      <c r="O175" s="29"/>
      <c r="P175" s="95"/>
      <c r="Q175" s="95"/>
      <c r="R175" s="29"/>
      <c r="S175" s="29"/>
      <c r="T175" s="18"/>
      <c r="U175" s="18"/>
      <c r="V175" s="18"/>
      <c r="W175" s="18"/>
      <c r="X175" s="18"/>
      <c r="Y175" s="19"/>
      <c r="Z175" s="12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</row>
    <row r="176" spans="1:47" s="92" customFormat="1" ht="12.75" customHeight="1" x14ac:dyDescent="0.2">
      <c r="A176" s="18"/>
      <c r="B176" s="90"/>
      <c r="C176" s="90"/>
      <c r="D176" s="90"/>
      <c r="E176" s="90"/>
      <c r="F176" s="90"/>
      <c r="G176" s="90"/>
      <c r="I176" s="29"/>
      <c r="J176" s="29"/>
      <c r="K176" s="29"/>
      <c r="L176" s="29"/>
      <c r="M176" s="29"/>
      <c r="N176" s="29"/>
      <c r="O176" s="29"/>
      <c r="P176" s="95"/>
      <c r="Q176" s="95"/>
      <c r="R176" s="29"/>
      <c r="S176" s="29"/>
      <c r="T176" s="18"/>
      <c r="U176" s="18"/>
      <c r="V176" s="18"/>
      <c r="W176" s="18"/>
      <c r="X176" s="18"/>
      <c r="Y176" s="19"/>
      <c r="Z176" s="12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</row>
    <row r="177" spans="1:53" x14ac:dyDescent="0.2">
      <c r="O177" s="90" t="s">
        <v>418</v>
      </c>
      <c r="P177" s="90" t="s">
        <v>419</v>
      </c>
    </row>
    <row r="178" spans="1:53" ht="15" x14ac:dyDescent="0.25">
      <c r="A178" s="234" t="s">
        <v>58</v>
      </c>
    </row>
    <row r="179" spans="1:53" s="92" customFormat="1" ht="12.75" customHeight="1" x14ac:dyDescent="0.2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spans="1:53" s="92" customFormat="1" ht="12.75" customHeight="1" x14ac:dyDescent="0.2">
      <c r="A180" s="18" t="s">
        <v>67</v>
      </c>
      <c r="B180" s="142" t="s">
        <v>251</v>
      </c>
      <c r="C180" s="25"/>
      <c r="D180" s="25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spans="1:53" s="92" customFormat="1" ht="12.75" customHeight="1" x14ac:dyDescent="0.2">
      <c r="A181" s="18" t="s">
        <v>68</v>
      </c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spans="1:53" s="92" customFormat="1" ht="12.75" customHeight="1" x14ac:dyDescent="0.2">
      <c r="A182" s="18"/>
      <c r="B182" s="39" t="s">
        <v>58</v>
      </c>
      <c r="C182" s="39"/>
      <c r="D182" s="39"/>
      <c r="E182" s="84" t="s">
        <v>15</v>
      </c>
      <c r="F182" s="39" t="s">
        <v>16</v>
      </c>
      <c r="G182" s="136" t="s">
        <v>292</v>
      </c>
      <c r="H182" s="136" t="s">
        <v>293</v>
      </c>
      <c r="I182" s="255" t="s">
        <v>15</v>
      </c>
      <c r="J182" s="256"/>
      <c r="K182" s="255" t="s">
        <v>16</v>
      </c>
      <c r="L182" s="256"/>
      <c r="M182" s="386" t="s">
        <v>17</v>
      </c>
      <c r="N182" s="387"/>
      <c r="O182" s="386" t="s">
        <v>292</v>
      </c>
      <c r="P182" s="387"/>
      <c r="Q182" s="386" t="s">
        <v>293</v>
      </c>
      <c r="R182" s="387"/>
      <c r="S182" s="38" t="s">
        <v>61</v>
      </c>
      <c r="T182" s="38" t="s">
        <v>62</v>
      </c>
      <c r="U182" s="18" t="s">
        <v>63</v>
      </c>
      <c r="V182" s="38" t="s">
        <v>64</v>
      </c>
      <c r="W182" s="18"/>
      <c r="X182" s="18" t="s">
        <v>65</v>
      </c>
      <c r="Y182" s="12"/>
      <c r="Z182" s="12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</row>
    <row r="183" spans="1:53" s="92" customFormat="1" ht="12.75" customHeight="1" x14ac:dyDescent="0.2">
      <c r="A183" s="18"/>
      <c r="B183" s="39"/>
      <c r="C183" s="39"/>
      <c r="D183" s="39"/>
      <c r="E183" s="39"/>
      <c r="F183" s="39"/>
      <c r="G183" s="125"/>
      <c r="H183" s="125"/>
      <c r="I183" s="137" t="s">
        <v>230</v>
      </c>
      <c r="J183" s="137" t="s">
        <v>231</v>
      </c>
      <c r="K183" s="137" t="s">
        <v>230</v>
      </c>
      <c r="L183" s="137" t="s">
        <v>231</v>
      </c>
      <c r="M183" s="137" t="s">
        <v>230</v>
      </c>
      <c r="N183" s="137" t="s">
        <v>231</v>
      </c>
      <c r="O183" s="137" t="s">
        <v>230</v>
      </c>
      <c r="P183" s="137" t="s">
        <v>231</v>
      </c>
      <c r="Q183" s="137" t="s">
        <v>230</v>
      </c>
      <c r="R183" s="137" t="s">
        <v>231</v>
      </c>
      <c r="S183" s="29">
        <v>3.125</v>
      </c>
      <c r="T183" s="18">
        <v>1</v>
      </c>
      <c r="U183" s="18" t="s">
        <v>59</v>
      </c>
      <c r="V183" s="65">
        <f>srio_util/100</f>
        <v>1</v>
      </c>
      <c r="W183" s="18"/>
      <c r="X183" s="65">
        <f>1</f>
        <v>1</v>
      </c>
      <c r="Y183" s="12"/>
      <c r="Z183" s="12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</row>
    <row r="184" spans="1:53" s="92" customFormat="1" ht="12.75" customHeight="1" x14ac:dyDescent="0.2">
      <c r="A184" s="18"/>
      <c r="B184" s="39" t="s">
        <v>69</v>
      </c>
      <c r="C184" s="39"/>
      <c r="D184" s="39"/>
      <c r="E184" s="27"/>
      <c r="F184" s="27"/>
      <c r="G184" s="125"/>
      <c r="H184" s="125"/>
      <c r="I184" s="262"/>
      <c r="J184" s="262"/>
      <c r="K184" s="262"/>
      <c r="L184" s="262"/>
      <c r="M184" s="262"/>
      <c r="N184" s="262"/>
      <c r="S184" s="29">
        <v>5</v>
      </c>
      <c r="T184" s="18">
        <v>2</v>
      </c>
      <c r="U184" s="18"/>
      <c r="V184" s="18"/>
      <c r="W184" s="18"/>
      <c r="X184" s="18"/>
      <c r="Y184" s="12"/>
      <c r="Z184" s="12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</row>
    <row r="185" spans="1:53" s="92" customFormat="1" ht="12.75" customHeight="1" x14ac:dyDescent="0.25">
      <c r="A185" s="18"/>
      <c r="B185" s="39" t="s">
        <v>70</v>
      </c>
      <c r="C185" s="39"/>
      <c r="D185" s="39"/>
      <c r="E185" s="84">
        <f>I185*cpuF+J185</f>
        <v>97.2</v>
      </c>
      <c r="F185" s="39">
        <v>0</v>
      </c>
      <c r="G185" s="125">
        <f>O185</f>
        <v>236.01519999999999</v>
      </c>
      <c r="H185" s="125">
        <f>Q185</f>
        <v>167.35570000000001</v>
      </c>
      <c r="I185" s="262">
        <v>8.1000000000000003E-2</v>
      </c>
      <c r="J185" s="262">
        <v>0</v>
      </c>
      <c r="K185" s="262">
        <v>0</v>
      </c>
      <c r="L185" s="262">
        <v>0</v>
      </c>
      <c r="M185" s="262">
        <v>0</v>
      </c>
      <c r="N185" s="262">
        <v>0</v>
      </c>
      <c r="O185" s="263">
        <f>IF(srio_en="Enabled",236.0152,IF(sb="reset",147.5,3.9))</f>
        <v>236.01519999999999</v>
      </c>
      <c r="P185" s="92">
        <v>0</v>
      </c>
      <c r="Q185" s="263">
        <f>IF(srio_en="Enabled",167.3557,IF(sb="reset",43.5,6.7))</f>
        <v>167.35570000000001</v>
      </c>
      <c r="S185" s="29"/>
      <c r="T185" s="18">
        <v>3</v>
      </c>
      <c r="U185" s="18"/>
      <c r="V185" s="18"/>
      <c r="W185" s="18"/>
      <c r="X185" s="18"/>
      <c r="Y185" s="12"/>
      <c r="Z185" s="12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</row>
    <row r="186" spans="1:53" s="92" customFormat="1" x14ac:dyDescent="0.2">
      <c r="A186" s="18"/>
      <c r="B186" s="31"/>
      <c r="C186" s="31"/>
      <c r="D186" s="31"/>
      <c r="E186" s="31">
        <f>IF(srio_en="Enabled",IF(srio_idle_cvdd-E184&gt;0,srio_idle_cvdd-E184,0),0)</f>
        <v>97.2</v>
      </c>
      <c r="F186" s="31">
        <f>IF(srio_en="Enabled", srio_idle_cvdd1-F184, 0)</f>
        <v>0</v>
      </c>
      <c r="G186" s="31">
        <f>G185</f>
        <v>236.01519999999999</v>
      </c>
      <c r="H186" s="31">
        <f>H185</f>
        <v>167.35570000000001</v>
      </c>
      <c r="J186" s="262"/>
      <c r="K186" s="262"/>
      <c r="L186" s="262"/>
      <c r="M186" s="262"/>
      <c r="N186" s="262"/>
      <c r="S186" s="29"/>
      <c r="T186" s="18">
        <v>4</v>
      </c>
      <c r="U186" s="18"/>
      <c r="V186" s="18"/>
      <c r="W186" s="18"/>
      <c r="X186" s="18"/>
      <c r="Y186" s="12"/>
      <c r="Z186" s="12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</row>
    <row r="187" spans="1:53" s="92" customFormat="1" ht="12.75" customHeight="1" x14ac:dyDescent="0.2">
      <c r="A187" s="18"/>
      <c r="B187" s="39"/>
      <c r="C187" s="264"/>
      <c r="D187" s="264"/>
      <c r="E187" s="39"/>
      <c r="F187" s="39"/>
      <c r="G187" s="125"/>
      <c r="H187" s="125"/>
      <c r="I187" s="262"/>
      <c r="J187" s="262"/>
      <c r="K187" s="262"/>
      <c r="L187" s="262"/>
      <c r="M187" s="262"/>
      <c r="N187" s="262"/>
      <c r="Q187" s="312"/>
      <c r="R187" s="311"/>
      <c r="S187" s="311"/>
      <c r="T187" s="314" t="s">
        <v>15</v>
      </c>
      <c r="U187" s="310" t="s">
        <v>16</v>
      </c>
      <c r="V187" s="310" t="s">
        <v>17</v>
      </c>
      <c r="W187" s="310" t="s">
        <v>18</v>
      </c>
      <c r="X187" s="310" t="s">
        <v>174</v>
      </c>
      <c r="Y187" s="310" t="s">
        <v>292</v>
      </c>
      <c r="Z187" s="310" t="s">
        <v>293</v>
      </c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</row>
    <row r="188" spans="1:53" s="92" customFormat="1" ht="12.75" customHeight="1" x14ac:dyDescent="0.2">
      <c r="A188" s="18"/>
      <c r="B188" s="39" t="s">
        <v>71</v>
      </c>
      <c r="C188" s="39"/>
      <c r="D188" s="39" t="s">
        <v>49</v>
      </c>
      <c r="E188" s="39">
        <v>0</v>
      </c>
      <c r="F188" s="39">
        <v>0</v>
      </c>
      <c r="G188" s="125">
        <f>O188*cpuF+P188</f>
        <v>0</v>
      </c>
      <c r="H188" s="125" t="e">
        <f>Q188*cpuF+R188</f>
        <v>#VALUE!</v>
      </c>
      <c r="I188" s="262"/>
      <c r="J188" s="262"/>
      <c r="K188" s="262"/>
      <c r="L188" s="262"/>
      <c r="M188" s="262"/>
      <c r="N188" s="262"/>
      <c r="Q188" s="312"/>
      <c r="R188" s="310" t="s">
        <v>426</v>
      </c>
      <c r="S188" s="311"/>
      <c r="T188" s="311">
        <f>'Calculation sheet'!E186/mW_mA_sel_cvdd</f>
        <v>114.35294117647059</v>
      </c>
      <c r="U188" s="311">
        <f>'Calculation sheet'!F186/mW_mA_sel_cvdd1</f>
        <v>0</v>
      </c>
      <c r="V188" s="311">
        <v>0</v>
      </c>
      <c r="W188" s="313">
        <f>Y188</f>
        <v>131.11955555555554</v>
      </c>
      <c r="X188" s="309">
        <v>0</v>
      </c>
      <c r="Y188" s="309">
        <f>srio_idle_vddahv/mW_mA_sel_vddahv</f>
        <v>131.11955555555554</v>
      </c>
      <c r="Z188" s="309">
        <f>srio_idle_vddalh/mW_mA_sel_vddalh</f>
        <v>196.88905882352944</v>
      </c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</row>
    <row r="189" spans="1:53" s="92" customFormat="1" ht="12.75" customHeight="1" x14ac:dyDescent="0.2">
      <c r="A189" s="18"/>
      <c r="B189" s="39" t="s">
        <v>71</v>
      </c>
      <c r="C189" s="39"/>
      <c r="D189" s="39" t="s">
        <v>50</v>
      </c>
      <c r="E189" s="39">
        <f xml:space="preserve"> I189*cpuF + J189-srio_mp_base_cvdd11</f>
        <v>198</v>
      </c>
      <c r="F189" s="39">
        <f xml:space="preserve"> K189*cpuF + L189-srio_mp_base_cvdd1</f>
        <v>37.200000000000003</v>
      </c>
      <c r="G189" s="125">
        <f>O189*cpuF+P189</f>
        <v>0</v>
      </c>
      <c r="H189" s="125">
        <f>Q189*cpuF+R189</f>
        <v>0</v>
      </c>
      <c r="I189" s="262">
        <v>0.16500000000000001</v>
      </c>
      <c r="J189" s="262">
        <v>0</v>
      </c>
      <c r="K189" s="262">
        <v>3.1E-2</v>
      </c>
      <c r="L189" s="262">
        <v>0</v>
      </c>
      <c r="M189" s="262">
        <v>0</v>
      </c>
      <c r="N189" s="262">
        <v>0</v>
      </c>
      <c r="R189" s="18"/>
      <c r="S189" s="18"/>
      <c r="T189" s="18"/>
      <c r="U189" s="18"/>
      <c r="V189" s="18"/>
      <c r="W189" s="19"/>
      <c r="X189" s="12"/>
      <c r="Y189" s="12"/>
      <c r="Z189" s="12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</row>
    <row r="190" spans="1:53" s="92" customFormat="1" ht="12.75" customHeight="1" x14ac:dyDescent="0.2">
      <c r="A190" s="18"/>
      <c r="B190" s="39" t="s">
        <v>71</v>
      </c>
      <c r="C190" s="39"/>
      <c r="D190" s="39" t="s">
        <v>72</v>
      </c>
      <c r="E190" s="39">
        <f xml:space="preserve"> I190*srio_rate+J190-srio_mp_base_cvdd11</f>
        <v>0</v>
      </c>
      <c r="F190" s="39">
        <f xml:space="preserve"> ( K190*srio_rate+L190)-srio_mp_base_cvdd1</f>
        <v>0</v>
      </c>
      <c r="G190" s="125">
        <f>O190*cpuF+P190</f>
        <v>0</v>
      </c>
      <c r="H190" s="125">
        <f>Q190*cpuF+R190</f>
        <v>0</v>
      </c>
      <c r="I190" s="262">
        <v>0</v>
      </c>
      <c r="J190" s="262">
        <v>0</v>
      </c>
      <c r="K190" s="262">
        <v>0</v>
      </c>
      <c r="L190" s="262">
        <v>0</v>
      </c>
      <c r="M190" s="262">
        <v>0</v>
      </c>
      <c r="N190" s="262">
        <v>0</v>
      </c>
      <c r="R190" s="18"/>
      <c r="S190" s="18"/>
      <c r="T190" s="18"/>
      <c r="U190" s="18"/>
      <c r="V190" s="18"/>
      <c r="W190" s="19"/>
      <c r="X190" s="12"/>
      <c r="Y190" s="12"/>
      <c r="Z190" s="12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</row>
    <row r="191" spans="1:53" s="92" customFormat="1" ht="12.75" customHeight="1" x14ac:dyDescent="0.2">
      <c r="A191" s="18"/>
      <c r="B191" s="39" t="s">
        <v>71</v>
      </c>
      <c r="C191" s="39"/>
      <c r="D191" s="39" t="s">
        <v>73</v>
      </c>
      <c r="E191" s="39">
        <f xml:space="preserve"> I191*srio_lanes + J191-srio_mp_base_cvdd11</f>
        <v>0</v>
      </c>
      <c r="F191" s="39">
        <f xml:space="preserve"> K191*srio_lanes + L191-srio_mp_base_cvdd1</f>
        <v>0</v>
      </c>
      <c r="G191" s="125">
        <f>O191*cpuF+P191</f>
        <v>0</v>
      </c>
      <c r="H191" s="125">
        <f>Q191*cpuF+R191</f>
        <v>0</v>
      </c>
      <c r="I191" s="262">
        <v>0</v>
      </c>
      <c r="J191" s="262">
        <v>0</v>
      </c>
      <c r="K191" s="262">
        <v>0</v>
      </c>
      <c r="L191" s="262">
        <v>0</v>
      </c>
      <c r="M191" s="262">
        <v>0</v>
      </c>
      <c r="N191" s="262">
        <v>0</v>
      </c>
      <c r="R191" s="18"/>
      <c r="S191" s="18"/>
      <c r="T191" s="18"/>
      <c r="U191" s="18"/>
      <c r="V191" s="18"/>
      <c r="W191" s="19"/>
      <c r="X191" s="12"/>
      <c r="Y191" s="12"/>
      <c r="Z191" s="12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</row>
    <row r="192" spans="1:53" s="92" customFormat="1" ht="12.75" customHeight="1" x14ac:dyDescent="0.2">
      <c r="A192" s="18"/>
      <c r="B192" s="39"/>
      <c r="C192" s="39"/>
      <c r="D192" s="39" t="s">
        <v>74</v>
      </c>
      <c r="E192" s="39">
        <f>SUM(E188:E191)</f>
        <v>198</v>
      </c>
      <c r="F192" s="39">
        <f>SUM(F188:F191)</f>
        <v>37.200000000000003</v>
      </c>
      <c r="G192" s="125"/>
      <c r="H192" s="125"/>
      <c r="L192" s="233"/>
      <c r="M192" s="233"/>
      <c r="N192" s="233"/>
      <c r="O192" s="233"/>
      <c r="P192" s="233"/>
      <c r="Q192" s="233"/>
      <c r="R192" s="18"/>
      <c r="S192" s="18"/>
      <c r="T192" s="18"/>
      <c r="U192" s="18"/>
      <c r="V192" s="18"/>
      <c r="W192" s="19"/>
      <c r="X192" s="12"/>
      <c r="Y192" s="12"/>
      <c r="Z192" s="12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</row>
    <row r="193" spans="1:48" s="92" customFormat="1" ht="12.75" customHeight="1" x14ac:dyDescent="0.2">
      <c r="A193" s="18"/>
      <c r="B193" s="39"/>
      <c r="C193" s="39"/>
      <c r="D193" s="39"/>
      <c r="E193" s="39"/>
      <c r="F193" s="39"/>
      <c r="G193" s="125"/>
      <c r="H193" s="125"/>
      <c r="I193" s="255" t="s">
        <v>15</v>
      </c>
      <c r="J193" s="256"/>
      <c r="K193" s="255" t="s">
        <v>16</v>
      </c>
      <c r="L193" s="256"/>
      <c r="M193" s="255" t="s">
        <v>17</v>
      </c>
      <c r="N193" s="256"/>
      <c r="R193" s="18"/>
      <c r="S193" s="18"/>
      <c r="T193" s="18"/>
      <c r="U193" s="18"/>
      <c r="V193" s="18"/>
      <c r="W193" s="19"/>
      <c r="X193" s="12"/>
      <c r="Y193" s="12"/>
      <c r="Z193" s="12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</row>
    <row r="194" spans="1:48" s="92" customFormat="1" ht="12.75" customHeight="1" x14ac:dyDescent="0.2">
      <c r="A194" s="18"/>
      <c r="B194" s="39" t="s">
        <v>69</v>
      </c>
      <c r="C194" s="39"/>
      <c r="D194" s="39"/>
      <c r="E194" s="27"/>
      <c r="F194" s="27"/>
      <c r="G194" s="125"/>
      <c r="H194" s="125"/>
      <c r="I194" s="137" t="s">
        <v>230</v>
      </c>
      <c r="J194" s="137" t="s">
        <v>231</v>
      </c>
      <c r="K194" s="137" t="s">
        <v>230</v>
      </c>
      <c r="L194" s="137" t="s">
        <v>231</v>
      </c>
      <c r="M194" s="137" t="s">
        <v>230</v>
      </c>
      <c r="N194" s="137" t="s">
        <v>231</v>
      </c>
      <c r="R194" s="18"/>
      <c r="S194" s="18"/>
      <c r="T194" s="18"/>
      <c r="U194" s="18"/>
      <c r="V194" s="18"/>
      <c r="W194" s="19"/>
      <c r="X194" s="12"/>
      <c r="Y194" s="12"/>
      <c r="Z194" s="12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</row>
    <row r="195" spans="1:48" s="92" customFormat="1" ht="12.75" customHeight="1" x14ac:dyDescent="0.2">
      <c r="A195" s="18"/>
      <c r="B195" s="39" t="s">
        <v>75</v>
      </c>
      <c r="C195" s="39"/>
      <c r="D195" s="39"/>
      <c r="E195" s="39">
        <f xml:space="preserve"> I195*cpuF + J195</f>
        <v>97.2</v>
      </c>
      <c r="F195" s="39">
        <f xml:space="preserve"> K195*cpuF + L195</f>
        <v>0</v>
      </c>
      <c r="G195" s="125"/>
      <c r="H195" s="125"/>
      <c r="I195" s="262">
        <v>8.1000000000000003E-2</v>
      </c>
      <c r="J195" s="262">
        <v>0</v>
      </c>
      <c r="K195" s="262">
        <v>0</v>
      </c>
      <c r="L195" s="262">
        <v>0</v>
      </c>
      <c r="M195" s="262">
        <v>0</v>
      </c>
      <c r="N195" s="262">
        <v>0</v>
      </c>
      <c r="R195" s="18"/>
      <c r="S195" s="18"/>
      <c r="T195" s="18"/>
      <c r="U195" s="18"/>
      <c r="V195" s="18"/>
      <c r="W195" s="19"/>
      <c r="X195" s="12"/>
      <c r="Y195" s="12"/>
      <c r="Z195" s="12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</row>
    <row r="196" spans="1:48" s="92" customFormat="1" ht="12.75" customHeight="1" x14ac:dyDescent="0.2">
      <c r="A196" s="18"/>
      <c r="B196" s="31"/>
      <c r="C196" s="31"/>
      <c r="D196" s="31" t="s">
        <v>25</v>
      </c>
      <c r="E196" s="31">
        <f>IF(srio_en="Enabled", IF(srio_DIO_idle_cvdd-E194&gt;0,srio_DIO_idle_cvdd-E194, 0),0)</f>
        <v>97.2</v>
      </c>
      <c r="F196" s="31">
        <f>IF(srio_en="Enabled", F195-F194, 0)</f>
        <v>0</v>
      </c>
      <c r="G196" s="125"/>
      <c r="H196" s="125"/>
      <c r="I196" s="262"/>
      <c r="J196" s="262"/>
      <c r="K196" s="262"/>
      <c r="L196" s="262"/>
      <c r="M196" s="262"/>
      <c r="N196" s="262"/>
      <c r="R196" s="18"/>
      <c r="S196" s="18"/>
      <c r="T196" s="18"/>
      <c r="U196" s="18"/>
      <c r="V196" s="18"/>
      <c r="W196" s="19"/>
      <c r="X196" s="12"/>
      <c r="Y196" s="12"/>
      <c r="Z196" s="12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</row>
    <row r="197" spans="1:48" s="92" customFormat="1" ht="12.75" customHeight="1" x14ac:dyDescent="0.2">
      <c r="A197" s="18"/>
      <c r="B197" s="31" t="s">
        <v>76</v>
      </c>
      <c r="C197" s="31"/>
      <c r="D197" s="31" t="s">
        <v>25</v>
      </c>
      <c r="E197" s="31">
        <f>IF(srio_mode="MP", E186, IF(srio_mode="DIO", E196,0))</f>
        <v>97.2</v>
      </c>
      <c r="F197" s="31">
        <f>IF(srio_mode="MP", F186, IF(srio_mode="DIO", F196,0))</f>
        <v>0</v>
      </c>
      <c r="G197" s="125"/>
      <c r="H197" s="125"/>
      <c r="I197" s="262"/>
      <c r="J197" s="262"/>
      <c r="K197" s="262"/>
      <c r="L197" s="262"/>
      <c r="M197" s="262"/>
      <c r="N197" s="262"/>
      <c r="R197" s="18"/>
      <c r="S197" s="18"/>
      <c r="T197" s="18"/>
      <c r="U197" s="18"/>
      <c r="V197" s="18"/>
      <c r="W197" s="19"/>
      <c r="X197" s="12"/>
      <c r="Y197" s="12"/>
      <c r="Z197" s="12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</row>
    <row r="198" spans="1:48" s="92" customFormat="1" ht="12.75" customHeight="1" x14ac:dyDescent="0.2">
      <c r="A198" s="18"/>
      <c r="B198" s="39" t="s">
        <v>77</v>
      </c>
      <c r="C198" s="39"/>
      <c r="D198" s="39" t="s">
        <v>49</v>
      </c>
      <c r="E198" s="39">
        <v>0</v>
      </c>
      <c r="F198" s="39">
        <v>0</v>
      </c>
      <c r="G198" s="125"/>
      <c r="H198" s="125"/>
      <c r="I198" s="262"/>
      <c r="J198" s="262"/>
      <c r="K198" s="262"/>
      <c r="L198" s="262"/>
      <c r="M198" s="262"/>
      <c r="N198" s="262"/>
      <c r="R198" s="18"/>
      <c r="S198" s="18"/>
      <c r="T198" s="18"/>
      <c r="U198" s="18"/>
      <c r="V198" s="18"/>
      <c r="W198" s="19"/>
      <c r="X198" s="12"/>
      <c r="Y198" s="12"/>
      <c r="Z198" s="12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</row>
    <row r="199" spans="1:48" s="92" customFormat="1" ht="12.75" customHeight="1" x14ac:dyDescent="0.2">
      <c r="A199" s="18"/>
      <c r="B199" s="39" t="s">
        <v>77</v>
      </c>
      <c r="C199" s="39"/>
      <c r="D199" s="39" t="s">
        <v>50</v>
      </c>
      <c r="E199" s="39">
        <f xml:space="preserve"> I199*cpuF + J199-srio_dio_base_cvdd</f>
        <v>198</v>
      </c>
      <c r="F199" s="39">
        <f>K199*cpuF + L199-srio_dio_base_cvdd1</f>
        <v>37.200000000000003</v>
      </c>
      <c r="G199" s="125"/>
      <c r="H199" s="125"/>
      <c r="I199" s="262">
        <v>0.16500000000000001</v>
      </c>
      <c r="J199" s="262">
        <v>0</v>
      </c>
      <c r="K199" s="262">
        <v>3.1E-2</v>
      </c>
      <c r="L199" s="262">
        <v>0</v>
      </c>
      <c r="M199" s="262">
        <v>0</v>
      </c>
      <c r="N199" s="262">
        <v>0</v>
      </c>
      <c r="R199" s="18"/>
      <c r="S199" s="18"/>
      <c r="T199" s="18"/>
      <c r="U199" s="18"/>
      <c r="V199" s="18"/>
      <c r="W199" s="19"/>
      <c r="X199" s="12"/>
      <c r="Y199" s="12"/>
      <c r="Z199" s="12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</row>
    <row r="200" spans="1:48" s="92" customFormat="1" ht="12.75" customHeight="1" x14ac:dyDescent="0.2">
      <c r="A200" s="18"/>
      <c r="B200" s="39" t="s">
        <v>77</v>
      </c>
      <c r="C200" s="39"/>
      <c r="D200" s="39" t="s">
        <v>72</v>
      </c>
      <c r="E200" s="39">
        <f xml:space="preserve"> ( I200*srio_rate+J200)-srio_dio_base_cvdd</f>
        <v>0</v>
      </c>
      <c r="F200" s="39">
        <f xml:space="preserve"> (K200*srio_rate+L200)-srio_dio_base_cvdd1</f>
        <v>0</v>
      </c>
      <c r="G200" s="125"/>
      <c r="H200" s="125"/>
      <c r="I200" s="262">
        <v>0</v>
      </c>
      <c r="J200" s="262">
        <v>0</v>
      </c>
      <c r="K200" s="262">
        <v>0</v>
      </c>
      <c r="L200" s="262">
        <v>0</v>
      </c>
      <c r="M200" s="262">
        <v>0</v>
      </c>
      <c r="N200" s="262">
        <v>0</v>
      </c>
      <c r="R200" s="18"/>
      <c r="S200" s="18"/>
      <c r="T200" s="18"/>
      <c r="U200" s="18"/>
      <c r="V200" s="18"/>
      <c r="W200" s="19"/>
      <c r="X200" s="12"/>
      <c r="Y200" s="12"/>
      <c r="Z200" s="12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</row>
    <row r="201" spans="1:48" s="92" customFormat="1" ht="12.75" customHeight="1" x14ac:dyDescent="0.2">
      <c r="A201" s="18"/>
      <c r="B201" s="39" t="s">
        <v>77</v>
      </c>
      <c r="C201" s="39"/>
      <c r="D201" s="39" t="s">
        <v>73</v>
      </c>
      <c r="E201" s="39">
        <f xml:space="preserve"> I201*srio_lanes + J201-srio_dio_base_cvdd</f>
        <v>0</v>
      </c>
      <c r="F201" s="39">
        <f xml:space="preserve"> K201*srio_lanes +L201-srio_dio_base_cvdd1</f>
        <v>0</v>
      </c>
      <c r="G201" s="125"/>
      <c r="H201" s="125"/>
      <c r="I201" s="262">
        <v>0</v>
      </c>
      <c r="J201" s="262">
        <v>0</v>
      </c>
      <c r="K201" s="262">
        <v>0</v>
      </c>
      <c r="L201" s="262">
        <v>0</v>
      </c>
      <c r="M201" s="262">
        <v>0</v>
      </c>
      <c r="N201" s="262">
        <v>0</v>
      </c>
      <c r="R201" s="18"/>
      <c r="S201" s="18"/>
      <c r="T201" s="18"/>
      <c r="U201" s="18"/>
      <c r="V201" s="18"/>
      <c r="W201" s="19"/>
      <c r="X201" s="12"/>
      <c r="Y201" s="12"/>
      <c r="Z201" s="12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</row>
    <row r="202" spans="1:48" s="92" customFormat="1" ht="12.75" customHeight="1" x14ac:dyDescent="0.2">
      <c r="A202" s="18"/>
      <c r="B202" s="39"/>
      <c r="C202" s="39"/>
      <c r="D202" s="39" t="s">
        <v>78</v>
      </c>
      <c r="E202" s="39">
        <f>SUM(E198:E201)</f>
        <v>198</v>
      </c>
      <c r="F202" s="39">
        <f>SUM(F198:F201)</f>
        <v>37.200000000000003</v>
      </c>
      <c r="G202" s="125"/>
      <c r="H202" s="262"/>
      <c r="I202" s="233"/>
      <c r="J202" s="233"/>
      <c r="K202" s="233"/>
      <c r="L202" s="233"/>
      <c r="M202" s="233"/>
      <c r="N202" s="233"/>
      <c r="O202" s="233"/>
      <c r="R202" s="29"/>
      <c r="S202" s="18"/>
      <c r="T202" s="18"/>
      <c r="U202" s="18"/>
      <c r="V202" s="18"/>
      <c r="W202" s="18"/>
      <c r="X202" s="18"/>
      <c r="Y202" s="18"/>
      <c r="Z202" s="19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</row>
    <row r="203" spans="1:48" s="92" customFormat="1" ht="12.75" customHeight="1" x14ac:dyDescent="0.2">
      <c r="A203" s="18"/>
      <c r="B203" s="39"/>
      <c r="C203" s="39"/>
      <c r="D203" s="39"/>
      <c r="E203" s="39"/>
      <c r="F203" s="39"/>
      <c r="G203" s="125"/>
      <c r="H203" s="262"/>
      <c r="I203" s="233"/>
      <c r="J203" s="233"/>
      <c r="K203" s="233"/>
      <c r="L203" s="233"/>
      <c r="M203" s="233"/>
      <c r="N203" s="233"/>
      <c r="O203" s="233"/>
      <c r="R203" s="29"/>
      <c r="S203" s="18"/>
      <c r="T203" s="18"/>
      <c r="U203" s="18"/>
      <c r="V203" s="18"/>
      <c r="W203" s="18"/>
      <c r="X203" s="18"/>
      <c r="Y203" s="18"/>
      <c r="Z203" s="19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</row>
    <row r="204" spans="1:48" s="92" customFormat="1" ht="12.75" customHeight="1" x14ac:dyDescent="0.2">
      <c r="A204" s="18"/>
      <c r="B204" s="39"/>
      <c r="C204" s="264"/>
      <c r="D204" s="264" t="s">
        <v>79</v>
      </c>
      <c r="E204" s="39">
        <f>IF(srio_mode="MP", srio_mp_total_cvdd, IF(srio_mode="DIO", srio_dio_total_cvdd,0))</f>
        <v>198</v>
      </c>
      <c r="F204" s="39">
        <f>IF(srio_mode="MP", srio_mp_total_cvdd1, IF(srio_mode="DIO", srio_dio_total_cvdd1,0))</f>
        <v>37.200000000000003</v>
      </c>
      <c r="G204" s="125"/>
      <c r="H204" s="262"/>
      <c r="I204" s="233"/>
      <c r="J204" s="233"/>
      <c r="K204" s="233"/>
      <c r="L204" s="233"/>
      <c r="M204" s="233"/>
      <c r="N204" s="233"/>
      <c r="O204" s="233"/>
      <c r="R204" s="29"/>
      <c r="S204" s="18"/>
      <c r="T204" s="18"/>
      <c r="U204" s="18"/>
      <c r="V204" s="18"/>
      <c r="W204" s="18"/>
      <c r="X204" s="18"/>
      <c r="Y204" s="18"/>
      <c r="Z204" s="19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</row>
    <row r="205" spans="1:48" s="92" customFormat="1" ht="12.75" customHeight="1" x14ac:dyDescent="0.2">
      <c r="A205" s="18"/>
      <c r="B205" s="39"/>
      <c r="C205" s="264"/>
      <c r="D205" s="264"/>
      <c r="E205" s="39"/>
      <c r="F205" s="39"/>
      <c r="G205" s="125"/>
      <c r="H205" s="262"/>
      <c r="I205" s="233"/>
      <c r="J205" s="90"/>
      <c r="K205" s="90"/>
      <c r="L205" s="90"/>
      <c r="M205" s="90"/>
      <c r="N205" s="90"/>
      <c r="O205" s="90"/>
      <c r="P205" s="90"/>
      <c r="Q205" s="90"/>
      <c r="R205" s="29"/>
      <c r="S205" s="18"/>
      <c r="T205" s="18"/>
      <c r="U205" s="18"/>
      <c r="V205" s="18"/>
      <c r="W205" s="18"/>
      <c r="X205" s="18"/>
      <c r="Y205" s="18"/>
      <c r="Z205" s="19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</row>
    <row r="206" spans="1:48" s="92" customFormat="1" ht="12" customHeight="1" x14ac:dyDescent="0.2">
      <c r="A206" s="18"/>
      <c r="B206" s="39" t="s">
        <v>80</v>
      </c>
      <c r="C206" s="264"/>
      <c r="D206" s="264"/>
      <c r="E206" s="39">
        <f>IF(srio_en="Enabled", (srio_total_cvdd*srio_util_per*srio_switch_per), 0)</f>
        <v>198</v>
      </c>
      <c r="F206" s="39">
        <f>IF(srio_en="Enabled", (srio_total_cvdd1*srio_util_per*srio_switch_per), 0)</f>
        <v>37.200000000000003</v>
      </c>
      <c r="G206" s="125"/>
      <c r="H206" s="262"/>
      <c r="I206" s="233"/>
      <c r="J206" s="233"/>
      <c r="K206" s="233"/>
      <c r="L206" s="233"/>
      <c r="M206" s="233"/>
      <c r="N206" s="233"/>
      <c r="O206" s="233"/>
      <c r="R206" s="29"/>
      <c r="S206" s="18"/>
      <c r="T206" s="18"/>
      <c r="U206" s="18"/>
      <c r="V206" s="18"/>
      <c r="W206" s="18"/>
      <c r="X206" s="18"/>
      <c r="Y206" s="18"/>
      <c r="Z206" s="19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</row>
    <row r="207" spans="1:48" s="92" customFormat="1" ht="12" customHeight="1" x14ac:dyDescent="0.2">
      <c r="A207" s="18"/>
      <c r="B207" s="39" t="s">
        <v>57</v>
      </c>
      <c r="C207" s="264"/>
      <c r="D207" s="264"/>
      <c r="E207" s="39">
        <f>IF(srio_final_cvdd&gt;0, srio_final_cvdd, 0)</f>
        <v>198</v>
      </c>
      <c r="F207" s="39">
        <f>IF(srio_final_cvdd1&gt;0, srio_final_cvdd1, 0)</f>
        <v>37.200000000000003</v>
      </c>
      <c r="G207" s="125"/>
      <c r="H207" s="262"/>
      <c r="I207" s="233"/>
      <c r="J207" s="233"/>
      <c r="K207" s="233"/>
      <c r="L207" s="233"/>
      <c r="M207" s="233"/>
      <c r="N207" s="233"/>
      <c r="O207" s="233"/>
      <c r="R207" s="29"/>
      <c r="S207" s="18"/>
      <c r="T207" s="18"/>
      <c r="U207" s="18"/>
      <c r="V207" s="18"/>
      <c r="W207" s="18"/>
      <c r="X207" s="18"/>
      <c r="Y207" s="18"/>
      <c r="Z207" s="19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</row>
    <row r="210" spans="1:53" x14ac:dyDescent="0.2">
      <c r="B210" s="38" t="s">
        <v>88</v>
      </c>
      <c r="C210" s="38"/>
      <c r="D210" s="18" t="s">
        <v>89</v>
      </c>
      <c r="E210" s="90" t="s">
        <v>316</v>
      </c>
      <c r="F210" s="90" t="s">
        <v>317</v>
      </c>
      <c r="R210" s="319"/>
      <c r="S210" s="319"/>
      <c r="T210" s="322" t="s">
        <v>15</v>
      </c>
      <c r="U210" s="320" t="s">
        <v>16</v>
      </c>
      <c r="V210" s="320" t="s">
        <v>17</v>
      </c>
      <c r="W210" s="320" t="s">
        <v>18</v>
      </c>
      <c r="X210" s="320" t="s">
        <v>174</v>
      </c>
      <c r="Y210" s="320" t="s">
        <v>292</v>
      </c>
      <c r="Z210" s="320" t="s">
        <v>293</v>
      </c>
    </row>
    <row r="211" spans="1:53" ht="15" x14ac:dyDescent="0.25">
      <c r="A211" s="234" t="s">
        <v>90</v>
      </c>
      <c r="B211" s="65">
        <f>mcm_util/100</f>
        <v>1</v>
      </c>
      <c r="C211" s="18"/>
      <c r="D211" s="65">
        <f>1</f>
        <v>1</v>
      </c>
      <c r="E211" s="17">
        <v>10</v>
      </c>
      <c r="F211" s="17">
        <v>2</v>
      </c>
      <c r="R211" s="321" t="s">
        <v>427</v>
      </c>
      <c r="S211" s="319"/>
      <c r="T211" s="321">
        <f>mcm_idle_tot_cvdd/mW_mA_sel_cvdd</f>
        <v>146.8235294117647</v>
      </c>
      <c r="U211" s="321">
        <v>0</v>
      </c>
      <c r="V211" s="321">
        <v>0</v>
      </c>
      <c r="W211" s="321">
        <f>Y211</f>
        <v>361.11111111111109</v>
      </c>
      <c r="X211" s="321">
        <v>0</v>
      </c>
      <c r="Y211" s="321">
        <f>mcm_idle_tot_vddahv/mW_mA_sel_vddahv</f>
        <v>361.11111111111109</v>
      </c>
      <c r="Z211" s="321">
        <f>mcm_idle_tot_vddalh/mW_mA_sel_vddalh</f>
        <v>662.5308235294118</v>
      </c>
    </row>
    <row r="212" spans="1:53" s="92" customFormat="1" ht="12" customHeight="1" x14ac:dyDescent="0.2">
      <c r="A212" s="18"/>
      <c r="B212" s="142" t="s">
        <v>251</v>
      </c>
      <c r="C212" s="25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29"/>
      <c r="P212" s="29"/>
      <c r="Q212" s="29"/>
      <c r="R212" s="29"/>
      <c r="S212" s="29"/>
      <c r="T212" s="29"/>
      <c r="U212" s="29"/>
      <c r="V212" s="29"/>
      <c r="W212" s="18"/>
      <c r="X212" s="16"/>
      <c r="Y212" s="18"/>
      <c r="Z212" s="18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s="92" customFormat="1" ht="12" customHeight="1" x14ac:dyDescent="0.2">
      <c r="A213" s="18"/>
      <c r="B213" s="39" t="s">
        <v>90</v>
      </c>
      <c r="C213" s="39"/>
      <c r="D213" s="39"/>
      <c r="E213" s="84" t="s">
        <v>15</v>
      </c>
      <c r="F213" s="39" t="s">
        <v>16</v>
      </c>
      <c r="G213" s="39" t="s">
        <v>17</v>
      </c>
      <c r="H213" s="137" t="s">
        <v>292</v>
      </c>
      <c r="I213" s="137" t="s">
        <v>293</v>
      </c>
      <c r="J213" s="386" t="s">
        <v>15</v>
      </c>
      <c r="K213" s="387"/>
      <c r="L213" s="386" t="s">
        <v>16</v>
      </c>
      <c r="M213" s="387"/>
      <c r="N213" s="386" t="s">
        <v>17</v>
      </c>
      <c r="O213" s="387"/>
      <c r="P213" s="386" t="s">
        <v>292</v>
      </c>
      <c r="Q213" s="387"/>
      <c r="R213" s="386" t="s">
        <v>293</v>
      </c>
      <c r="S213" s="387"/>
      <c r="T213" s="29"/>
      <c r="U213" s="18"/>
      <c r="V213" s="18"/>
      <c r="W213" s="18"/>
      <c r="X213" s="18"/>
      <c r="Y213" s="18"/>
      <c r="Z213" s="18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1:53" s="92" customFormat="1" ht="12" customHeight="1" x14ac:dyDescent="0.2">
      <c r="A214" s="18"/>
      <c r="B214" s="125"/>
      <c r="C214" s="125"/>
      <c r="D214" s="125"/>
      <c r="E214" s="125"/>
      <c r="F214" s="125"/>
      <c r="G214" s="125"/>
      <c r="H214" s="125"/>
      <c r="I214" s="125"/>
      <c r="J214" s="137" t="s">
        <v>230</v>
      </c>
      <c r="K214" s="137" t="s">
        <v>231</v>
      </c>
      <c r="L214" s="137" t="s">
        <v>230</v>
      </c>
      <c r="M214" s="137" t="s">
        <v>231</v>
      </c>
      <c r="N214" s="137" t="s">
        <v>230</v>
      </c>
      <c r="O214" s="137" t="s">
        <v>231</v>
      </c>
      <c r="P214" s="137" t="s">
        <v>230</v>
      </c>
      <c r="Q214" s="137" t="s">
        <v>231</v>
      </c>
      <c r="R214" s="137" t="s">
        <v>230</v>
      </c>
      <c r="S214" s="137" t="s">
        <v>231</v>
      </c>
      <c r="T214" s="29"/>
      <c r="U214" s="18"/>
      <c r="V214" s="18"/>
      <c r="W214" s="18"/>
      <c r="X214" s="18"/>
      <c r="Y214" s="18"/>
      <c r="Z214" s="18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1:53" s="92" customFormat="1" ht="12.75" customHeight="1" x14ac:dyDescent="0.2">
      <c r="A215" s="18"/>
      <c r="B215" s="39" t="s">
        <v>82</v>
      </c>
      <c r="C215" s="39"/>
      <c r="D215" s="39"/>
      <c r="E215" s="144"/>
      <c r="F215" s="144"/>
      <c r="G215" s="144"/>
      <c r="H215" s="144"/>
      <c r="I215" s="144"/>
      <c r="J215" s="125"/>
      <c r="K215" s="39"/>
      <c r="L215" s="39"/>
      <c r="M215" s="39"/>
      <c r="N215" s="39"/>
      <c r="O215" s="39"/>
      <c r="P215" s="39"/>
      <c r="Q215" s="39"/>
      <c r="R215" s="39"/>
      <c r="S215" s="39"/>
      <c r="T215" s="29"/>
      <c r="U215" s="18"/>
      <c r="V215" s="18"/>
      <c r="W215" s="18"/>
      <c r="X215" s="18"/>
      <c r="Y215" s="18"/>
      <c r="Z215" s="18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1:53" s="92" customFormat="1" ht="12.75" customHeight="1" x14ac:dyDescent="0.2">
      <c r="A216" s="18"/>
      <c r="B216" s="39" t="s">
        <v>83</v>
      </c>
      <c r="C216" s="39"/>
      <c r="D216" s="39"/>
      <c r="E216" s="40">
        <f>IF(Num_of_Hyperlink=1,  J216*cpuF + K216, IF(Num_of_Hyperlink=2, ( J216*cpuF + K216)*2))</f>
        <v>124.8</v>
      </c>
      <c r="F216" s="31">
        <f>F215-F214</f>
        <v>0</v>
      </c>
      <c r="G216" s="40">
        <f>(N216*cpuF + O216)*Num_of_Hyperlink</f>
        <v>0</v>
      </c>
      <c r="H216" s="125">
        <f>P216*Num_of_Hyperlink</f>
        <v>650</v>
      </c>
      <c r="I216" s="125">
        <f>R216*Num_of_Hyperlink</f>
        <v>563.15120000000002</v>
      </c>
      <c r="J216" s="125">
        <v>5.1999999999999998E-2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f>IF(mcm_en="Enabled",325,IF(sb="reset",147.5,3.9))</f>
        <v>325</v>
      </c>
      <c r="Q216" s="39"/>
      <c r="R216" s="39">
        <f>IF(mcm_en="Enabled",281.5756,IF(sb="reset",49.5,7.9))</f>
        <v>281.57560000000001</v>
      </c>
      <c r="S216" s="39"/>
      <c r="T216" s="29"/>
      <c r="U216" s="18"/>
      <c r="V216" s="18"/>
      <c r="W216" s="18"/>
      <c r="X216" s="18"/>
      <c r="Y216" s="18"/>
      <c r="Z216" s="18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1:53" s="92" customFormat="1" ht="12.75" customHeight="1" x14ac:dyDescent="0.2">
      <c r="A217" s="18"/>
      <c r="B217" s="31"/>
      <c r="C217" s="31"/>
      <c r="D217" s="31" t="s">
        <v>84</v>
      </c>
      <c r="E217" s="31">
        <f>IF(mcm_en="Enabled",E216,0)</f>
        <v>124.8</v>
      </c>
      <c r="F217" s="31">
        <f>IF(mcm_en="Enabled",F216,0)</f>
        <v>0</v>
      </c>
      <c r="G217" s="31">
        <f>IF(mcm_en="Enabled",G216,0)</f>
        <v>0</v>
      </c>
      <c r="H217" s="31">
        <f>H216</f>
        <v>650</v>
      </c>
      <c r="I217" s="31">
        <f>I216</f>
        <v>563.15120000000002</v>
      </c>
      <c r="J217" s="125"/>
      <c r="K217" s="39"/>
      <c r="L217" s="39"/>
      <c r="M217" s="39"/>
      <c r="N217" s="39"/>
      <c r="O217" s="39"/>
      <c r="P217" s="39"/>
      <c r="Q217" s="39"/>
      <c r="R217" s="39"/>
      <c r="S217" s="39"/>
      <c r="T217" s="29"/>
      <c r="U217" s="18"/>
      <c r="V217" s="18"/>
      <c r="W217" s="18"/>
      <c r="X217" s="18"/>
      <c r="Y217" s="18"/>
      <c r="Z217" s="18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1:53" s="92" customFormat="1" ht="12.75" customHeight="1" x14ac:dyDescent="0.2">
      <c r="A218" s="18"/>
      <c r="B218" s="39"/>
      <c r="C218" s="39"/>
      <c r="D218" s="39"/>
      <c r="E218" s="39"/>
      <c r="F218" s="39"/>
      <c r="G218" s="39"/>
      <c r="H218" s="39"/>
      <c r="I218" s="39"/>
      <c r="J218" s="125"/>
      <c r="K218" s="39"/>
      <c r="L218" s="39"/>
      <c r="M218" s="39"/>
      <c r="N218" s="39"/>
      <c r="O218" s="39"/>
      <c r="P218" s="39"/>
      <c r="Q218" s="39"/>
      <c r="R218" s="39"/>
      <c r="S218" s="39"/>
      <c r="T218" s="29"/>
      <c r="U218" s="18"/>
      <c r="V218" s="18"/>
      <c r="W218" s="18"/>
      <c r="X218" s="18"/>
      <c r="Y218" s="18"/>
      <c r="Z218" s="18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1:53" s="92" customFormat="1" ht="12.75" customHeight="1" x14ac:dyDescent="0.2">
      <c r="A219" s="18"/>
      <c r="B219" s="39" t="s">
        <v>91</v>
      </c>
      <c r="C219" s="39"/>
      <c r="D219" s="39" t="s">
        <v>49</v>
      </c>
      <c r="E219" s="40">
        <v>0</v>
      </c>
      <c r="F219" s="40">
        <v>0</v>
      </c>
      <c r="G219" s="40"/>
      <c r="H219" s="40"/>
      <c r="I219" s="40"/>
      <c r="J219" s="125"/>
      <c r="K219" s="39"/>
      <c r="L219" s="39"/>
      <c r="M219" s="39"/>
      <c r="N219" s="39"/>
      <c r="O219" s="39"/>
      <c r="P219" s="39"/>
      <c r="Q219" s="39"/>
      <c r="R219" s="39"/>
      <c r="S219" s="39"/>
      <c r="T219" s="29"/>
      <c r="U219" s="18"/>
      <c r="V219" s="18"/>
      <c r="W219" s="18"/>
      <c r="X219" s="18"/>
      <c r="Y219" s="18"/>
      <c r="Z219" s="18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1:53" s="92" customFormat="1" ht="12.75" customHeight="1" x14ac:dyDescent="0.2">
      <c r="A220" s="18"/>
      <c r="B220" s="39"/>
      <c r="C220" s="39"/>
      <c r="D220" s="39" t="s">
        <v>92</v>
      </c>
      <c r="E220" s="40">
        <f>(  J220*cpuF + K220)-mcm_base_cvdd</f>
        <v>70.8</v>
      </c>
      <c r="F220" s="40">
        <f xml:space="preserve"> (L220*cpuF + M220)-mcm_base_cvdd1</f>
        <v>16.8</v>
      </c>
      <c r="G220" s="40">
        <f xml:space="preserve"> (N220*cpuF + O220)-mcm_base_dvdd15</f>
        <v>0</v>
      </c>
      <c r="H220" s="40">
        <f xml:space="preserve"> (P220*cpuF + Q220)-mcm_base_dvdd18</f>
        <v>0</v>
      </c>
      <c r="I220" s="40">
        <f xml:space="preserve"> (R220*cpuF +S220)-mcm_base_dvdd33</f>
        <v>0</v>
      </c>
      <c r="J220" s="125">
        <v>5.8999999999999997E-2</v>
      </c>
      <c r="K220" s="39">
        <v>0</v>
      </c>
      <c r="L220" s="39">
        <v>1.4E-2</v>
      </c>
      <c r="M220" s="39">
        <v>0</v>
      </c>
      <c r="N220" s="39">
        <v>0</v>
      </c>
      <c r="O220" s="39">
        <v>0</v>
      </c>
      <c r="P220" s="39">
        <v>0</v>
      </c>
      <c r="Q220" s="39">
        <v>0</v>
      </c>
      <c r="R220" s="39">
        <v>0</v>
      </c>
      <c r="S220" s="39">
        <v>0</v>
      </c>
      <c r="T220" s="29"/>
      <c r="U220" s="18"/>
      <c r="V220" s="18"/>
      <c r="W220" s="18"/>
      <c r="X220" s="18"/>
      <c r="Y220" s="18"/>
      <c r="Z220" s="18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1:53" s="92" customFormat="1" ht="12.75" customHeight="1" x14ac:dyDescent="0.2">
      <c r="A221" s="18"/>
      <c r="B221" s="39"/>
      <c r="C221" s="39"/>
      <c r="D221" s="39" t="s">
        <v>72</v>
      </c>
      <c r="E221" s="40">
        <f>(J221 *mcm_line_rate + K221)-mcm_base_cvdd</f>
        <v>0</v>
      </c>
      <c r="F221" s="40">
        <f>(mcm_line_rate*L221)-mcm_base_cvdd1</f>
        <v>0</v>
      </c>
      <c r="G221" s="40">
        <f xml:space="preserve"> (N221*mcm_line_rate + O221)-mcm_base_dvdd15</f>
        <v>0</v>
      </c>
      <c r="H221" s="40">
        <f xml:space="preserve"> (P221*mcm_line_rate + Q221)-mcm_base_dvdd18</f>
        <v>0</v>
      </c>
      <c r="I221" s="40">
        <f xml:space="preserve"> (R221*mcm_line_rate + S221)-mcm_base_dvdd33</f>
        <v>0</v>
      </c>
      <c r="J221" s="125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29"/>
      <c r="U221" s="18"/>
      <c r="V221" s="18"/>
      <c r="W221" s="18"/>
      <c r="X221" s="18"/>
      <c r="Y221" s="18"/>
      <c r="Z221" s="18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1:53" s="92" customFormat="1" ht="12.75" customHeight="1" x14ac:dyDescent="0.2">
      <c r="A222" s="18"/>
      <c r="B222" s="39"/>
      <c r="C222" s="39"/>
      <c r="D222" s="39" t="s">
        <v>25</v>
      </c>
      <c r="E222" s="39">
        <f>IF(mcm_en="Enabled",SUM(E219:E221)*mcm_util_per*MCM_switch_per*Num_of_Hyperlink, 0)</f>
        <v>141.6</v>
      </c>
      <c r="F222" s="39">
        <f>IF(mcm_en="Enabled", SUM(F219:F221)*mcm_util_per*MCM_switch_per*Num_of_Hyperlink, 0)</f>
        <v>33.6</v>
      </c>
      <c r="G222" s="39">
        <f>IF(mcm_en="Enabled",SUM(G219:G221)*mcm_util_per*MCM_switch_per*Num_of_Hyperlink, 0)</f>
        <v>0</v>
      </c>
      <c r="H222" s="39">
        <f>IF(mcm_en="Enabled",SUM(H219:H221)*mcm_util_per*MCM_switch_per*Num_of_Hyperlink, 0)</f>
        <v>0</v>
      </c>
      <c r="I222" s="39">
        <f>IF(mcm_en="Enabled",SUM(I219:I221)*mcm_util_per*MCM_switch_per*Num_of_Hyperlink, 0)</f>
        <v>0</v>
      </c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18"/>
      <c r="V222" s="18"/>
      <c r="W222" s="18"/>
      <c r="X222" s="18"/>
      <c r="Y222" s="18"/>
      <c r="Z222" s="18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1:53" s="92" customFormat="1" ht="12.75" customHeight="1" x14ac:dyDescent="0.2">
      <c r="A223" s="18"/>
      <c r="B223" s="39" t="s">
        <v>57</v>
      </c>
      <c r="C223" s="39"/>
      <c r="D223" s="39"/>
      <c r="E223" s="39">
        <f>IF(mcm_total_cvdd&gt;0, mcm_total_cvdd, 0)</f>
        <v>141.6</v>
      </c>
      <c r="F223" s="39">
        <f>IF(mcm_total_cvdd1&gt;0, mcm_total_cvdd1, 0)</f>
        <v>33.6</v>
      </c>
      <c r="G223" s="39"/>
      <c r="H223" s="39"/>
      <c r="I223" s="3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18"/>
      <c r="V223" s="18"/>
      <c r="W223" s="18"/>
      <c r="X223" s="18"/>
      <c r="Y223" s="18"/>
      <c r="Z223" s="18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6" spans="1:53" x14ac:dyDescent="0.2">
      <c r="B226" s="38" t="s">
        <v>94</v>
      </c>
      <c r="C226" s="38"/>
      <c r="D226" s="18" t="s">
        <v>95</v>
      </c>
      <c r="R226" s="323"/>
      <c r="S226" s="323"/>
      <c r="T226" s="326" t="s">
        <v>15</v>
      </c>
      <c r="U226" s="324" t="s">
        <v>16</v>
      </c>
      <c r="V226" s="324" t="s">
        <v>17</v>
      </c>
      <c r="W226" s="324" t="s">
        <v>18</v>
      </c>
      <c r="X226" s="324" t="s">
        <v>174</v>
      </c>
      <c r="Y226" s="324" t="s">
        <v>292</v>
      </c>
      <c r="Z226" s="324" t="s">
        <v>293</v>
      </c>
    </row>
    <row r="227" spans="1:53" ht="15" x14ac:dyDescent="0.25">
      <c r="A227" s="234" t="s">
        <v>93</v>
      </c>
      <c r="B227" s="65">
        <f>PCIe_util/100</f>
        <v>0.25</v>
      </c>
      <c r="C227" s="18"/>
      <c r="D227" s="65">
        <f>univ_sw/100</f>
        <v>1</v>
      </c>
      <c r="R227" s="325" t="s">
        <v>428</v>
      </c>
      <c r="S227" s="323"/>
      <c r="T227" s="325">
        <f>PCIe_idle_tot_cvdd/mW_mA_sel_cvdd</f>
        <v>0</v>
      </c>
      <c r="U227" s="325">
        <v>0</v>
      </c>
      <c r="V227" s="325">
        <v>0</v>
      </c>
      <c r="W227" s="325">
        <f>Y227</f>
        <v>2.2777777777777777</v>
      </c>
      <c r="X227" s="325">
        <v>0</v>
      </c>
      <c r="Y227" s="325">
        <f>pcie_idle_tot_vddahv/mW_mA_sel_vddahv</f>
        <v>2.2777777777777777</v>
      </c>
      <c r="Z227" s="325">
        <f>pcie_idle_tot_vddalh/mW_mA_sel_vddalh</f>
        <v>8.5882352941176467</v>
      </c>
    </row>
    <row r="228" spans="1:53" s="92" customFormat="1" ht="12.75" customHeight="1" x14ac:dyDescent="0.2">
      <c r="A228" s="18"/>
      <c r="B228" s="142" t="s">
        <v>213</v>
      </c>
      <c r="C228" s="142"/>
      <c r="D228" s="18"/>
      <c r="E228" s="18"/>
      <c r="G228" s="18"/>
      <c r="H228" s="18"/>
      <c r="I228" s="18"/>
      <c r="J228" s="18"/>
      <c r="K228" s="18"/>
      <c r="L228" s="18"/>
      <c r="M228" s="18"/>
      <c r="N228" s="18"/>
      <c r="O228" s="29"/>
      <c r="P228" s="29"/>
      <c r="Q228" s="29"/>
      <c r="R228" s="29"/>
      <c r="S228" s="29"/>
      <c r="T228" s="29"/>
      <c r="U228" s="29"/>
      <c r="V228" s="29"/>
      <c r="W228" s="18"/>
      <c r="X228" s="16"/>
      <c r="Y228" s="18"/>
      <c r="Z228" s="18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s="92" customFormat="1" ht="12.75" customHeight="1" x14ac:dyDescent="0.2">
      <c r="A229" s="18"/>
      <c r="B229" s="39" t="s">
        <v>93</v>
      </c>
      <c r="C229" s="39"/>
      <c r="D229" s="39"/>
      <c r="E229" s="84" t="s">
        <v>15</v>
      </c>
      <c r="F229" s="39" t="s">
        <v>16</v>
      </c>
      <c r="G229" s="39" t="s">
        <v>17</v>
      </c>
      <c r="H229" s="137" t="s">
        <v>292</v>
      </c>
      <c r="I229" s="137" t="s">
        <v>293</v>
      </c>
      <c r="J229" s="255" t="s">
        <v>15</v>
      </c>
      <c r="K229" s="256"/>
      <c r="L229" s="255" t="s">
        <v>16</v>
      </c>
      <c r="M229" s="256"/>
      <c r="N229" s="255" t="s">
        <v>17</v>
      </c>
      <c r="O229" s="256"/>
      <c r="P229" s="255" t="s">
        <v>292</v>
      </c>
      <c r="Q229" s="256"/>
      <c r="R229" s="255" t="s">
        <v>293</v>
      </c>
      <c r="S229" s="256"/>
      <c r="T229" s="256"/>
      <c r="U229" s="18"/>
      <c r="V229" s="18"/>
      <c r="W229" s="18"/>
      <c r="X229" s="11"/>
      <c r="Y229" s="12"/>
      <c r="Z229" s="12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</row>
    <row r="230" spans="1:53" s="92" customFormat="1" ht="12.75" customHeight="1" x14ac:dyDescent="0.2">
      <c r="A230" s="18"/>
      <c r="B230" s="39"/>
      <c r="C230" s="39"/>
      <c r="D230" s="39"/>
      <c r="E230" s="39"/>
      <c r="F230" s="39"/>
      <c r="J230" s="137" t="s">
        <v>230</v>
      </c>
      <c r="K230" s="137" t="s">
        <v>231</v>
      </c>
      <c r="L230" s="137" t="s">
        <v>230</v>
      </c>
      <c r="M230" s="137" t="s">
        <v>231</v>
      </c>
      <c r="N230" s="137" t="s">
        <v>230</v>
      </c>
      <c r="O230" s="137" t="s">
        <v>231</v>
      </c>
      <c r="P230" s="137" t="s">
        <v>230</v>
      </c>
      <c r="Q230" s="137" t="s">
        <v>231</v>
      </c>
      <c r="R230" s="137" t="s">
        <v>230</v>
      </c>
      <c r="S230" s="137" t="s">
        <v>231</v>
      </c>
      <c r="T230" s="18"/>
      <c r="U230" s="18"/>
      <c r="V230" s="18"/>
      <c r="W230" s="18"/>
      <c r="X230" s="11"/>
      <c r="Y230" s="12"/>
      <c r="Z230" s="12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</row>
    <row r="231" spans="1:53" s="92" customFormat="1" ht="12.75" customHeight="1" x14ac:dyDescent="0.2">
      <c r="A231" s="18"/>
      <c r="B231" s="39" t="s">
        <v>82</v>
      </c>
      <c r="C231" s="39"/>
      <c r="D231" s="39"/>
      <c r="E231" s="27"/>
      <c r="F231" s="27"/>
      <c r="J231" s="125"/>
      <c r="K231" s="39"/>
      <c r="L231" s="39"/>
      <c r="M231" s="39"/>
      <c r="N231" s="29"/>
      <c r="O231" s="29"/>
      <c r="P231" s="39"/>
      <c r="Q231" s="39"/>
      <c r="R231" s="39"/>
      <c r="S231" s="39"/>
      <c r="T231" s="18"/>
      <c r="U231" s="18"/>
      <c r="V231" s="18"/>
      <c r="W231" s="18"/>
      <c r="X231" s="11"/>
      <c r="Y231" s="12"/>
      <c r="Z231" s="12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</row>
    <row r="232" spans="1:53" s="92" customFormat="1" ht="12.75" customHeight="1" x14ac:dyDescent="0.2">
      <c r="A232" s="18"/>
      <c r="B232" s="39" t="s">
        <v>83</v>
      </c>
      <c r="C232" s="39"/>
      <c r="D232" s="39"/>
      <c r="E232" s="139">
        <f xml:space="preserve"> J232*cpuF+K232</f>
        <v>62.565520207936743</v>
      </c>
      <c r="F232" s="265">
        <f xml:space="preserve"> L232*cpuF +M232</f>
        <v>0</v>
      </c>
      <c r="G232" s="92">
        <v>0</v>
      </c>
      <c r="H232" s="125">
        <f>P232</f>
        <v>4.0999999999999996</v>
      </c>
      <c r="I232" s="125">
        <f>R232</f>
        <v>7.3</v>
      </c>
      <c r="J232" s="90">
        <v>5.7058040541550101E-2</v>
      </c>
      <c r="K232" s="90">
        <v>-5.9041284419233762</v>
      </c>
      <c r="L232" s="266">
        <v>0</v>
      </c>
      <c r="M232" s="266">
        <v>0</v>
      </c>
      <c r="N232" s="267">
        <v>0</v>
      </c>
      <c r="O232" s="267">
        <v>0</v>
      </c>
      <c r="P232" s="39">
        <f>IF(PCIe_en="Enabled",118.9971,IF(sb="reset",80.1,4.1))</f>
        <v>4.0999999999999996</v>
      </c>
      <c r="Q232" s="39"/>
      <c r="R232" s="39">
        <f>IF(PCIe_en="Enabled",79.6,IF(sb="reset",20.7,7.3))</f>
        <v>7.3</v>
      </c>
      <c r="S232" s="39"/>
      <c r="T232" s="18"/>
      <c r="U232" s="18"/>
      <c r="V232" s="18"/>
      <c r="W232" s="18"/>
      <c r="X232" s="11"/>
      <c r="Y232" s="12"/>
      <c r="Z232" s="12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</row>
    <row r="233" spans="1:53" s="92" customFormat="1" ht="12.75" customHeight="1" x14ac:dyDescent="0.2">
      <c r="A233" s="18"/>
      <c r="B233" s="31"/>
      <c r="C233" s="31"/>
      <c r="D233" s="31" t="s">
        <v>84</v>
      </c>
      <c r="E233" s="31">
        <f>IF(PCIe_en="Enabled", PCIe_clk_cvdd-E231, 0)</f>
        <v>0</v>
      </c>
      <c r="F233" s="31">
        <f>IF(PCIe_en="Enabled", PCIe_clk_cvdd1-F231, 0)</f>
        <v>0</v>
      </c>
      <c r="G233" s="92">
        <v>0</v>
      </c>
      <c r="H233" s="31">
        <f>H232</f>
        <v>4.0999999999999996</v>
      </c>
      <c r="I233" s="31">
        <f>I232</f>
        <v>7.3</v>
      </c>
      <c r="J233" s="125"/>
      <c r="K233" s="39"/>
      <c r="L233" s="39"/>
      <c r="M233" s="39"/>
      <c r="N233" s="29"/>
      <c r="O233" s="29"/>
      <c r="P233" s="39"/>
      <c r="Q233" s="39"/>
      <c r="R233" s="39"/>
      <c r="S233" s="39"/>
      <c r="T233" s="18"/>
      <c r="U233" s="18"/>
      <c r="V233" s="18"/>
      <c r="W233" s="18"/>
      <c r="X233" s="11"/>
      <c r="Y233" s="12"/>
      <c r="Z233" s="12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</row>
    <row r="234" spans="1:53" s="92" customFormat="1" ht="12.75" customHeight="1" x14ac:dyDescent="0.2">
      <c r="A234" s="18"/>
      <c r="B234" s="39" t="s">
        <v>85</v>
      </c>
      <c r="C234" s="39"/>
      <c r="D234" s="39"/>
      <c r="E234" s="39"/>
      <c r="F234" s="39"/>
      <c r="J234" s="125"/>
      <c r="K234" s="39"/>
      <c r="L234" s="39"/>
      <c r="M234" s="39"/>
      <c r="N234" s="29"/>
      <c r="O234" s="29"/>
      <c r="P234" s="39"/>
      <c r="Q234" s="39"/>
      <c r="R234" s="39"/>
      <c r="S234" s="39"/>
      <c r="T234" s="18"/>
      <c r="U234" s="18"/>
      <c r="V234" s="18"/>
      <c r="W234" s="18"/>
      <c r="X234" s="11"/>
      <c r="Y234" s="12"/>
      <c r="Z234" s="12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</row>
    <row r="235" spans="1:53" s="92" customFormat="1" ht="12.75" customHeight="1" x14ac:dyDescent="0.2">
      <c r="A235" s="18"/>
      <c r="B235" s="39" t="s">
        <v>54</v>
      </c>
      <c r="C235" s="39"/>
      <c r="D235" s="39"/>
      <c r="E235" s="40">
        <f xml:space="preserve"> J235*cpuF + K235</f>
        <v>84.369523464993634</v>
      </c>
      <c r="F235" s="40">
        <f xml:space="preserve"> L235*cpuF +M235</f>
        <v>0</v>
      </c>
      <c r="G235" s="92">
        <v>0</v>
      </c>
      <c r="J235" s="268">
        <v>2.4281278623051322E-2</v>
      </c>
      <c r="K235" s="268">
        <v>55.231989117332049</v>
      </c>
      <c r="L235" s="39">
        <v>0</v>
      </c>
      <c r="M235" s="39">
        <v>0</v>
      </c>
      <c r="N235" s="29">
        <v>0</v>
      </c>
      <c r="O235" s="29">
        <v>0</v>
      </c>
      <c r="P235" s="39"/>
      <c r="Q235" s="39"/>
      <c r="R235" s="39"/>
      <c r="S235" s="39"/>
      <c r="T235" s="18"/>
      <c r="U235" s="18"/>
      <c r="V235" s="18"/>
      <c r="W235" s="18"/>
      <c r="X235" s="11"/>
      <c r="Y235" s="12"/>
      <c r="Z235" s="12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</row>
    <row r="236" spans="1:53" s="92" customFormat="1" ht="12.75" customHeight="1" x14ac:dyDescent="0.2">
      <c r="A236" s="18"/>
      <c r="B236" s="39" t="s">
        <v>48</v>
      </c>
      <c r="C236" s="39"/>
      <c r="D236" s="39"/>
      <c r="E236" s="40">
        <f xml:space="preserve"> J236*cpuF + K236</f>
        <v>84.369523464993634</v>
      </c>
      <c r="F236" s="40">
        <f xml:space="preserve"> L236*cpuF+M236</f>
        <v>0</v>
      </c>
      <c r="G236" s="92">
        <v>0</v>
      </c>
      <c r="J236" s="268">
        <v>2.4281278623051322E-2</v>
      </c>
      <c r="K236" s="268">
        <v>55.231989117332049</v>
      </c>
      <c r="L236" s="39">
        <v>0</v>
      </c>
      <c r="M236" s="39">
        <v>0</v>
      </c>
      <c r="N236" s="29">
        <v>0</v>
      </c>
      <c r="O236" s="29">
        <v>0</v>
      </c>
      <c r="P236" s="39">
        <v>0</v>
      </c>
      <c r="Q236" s="39">
        <v>0</v>
      </c>
      <c r="R236" s="39">
        <v>0</v>
      </c>
      <c r="S236" s="39">
        <v>0</v>
      </c>
      <c r="T236" s="18"/>
      <c r="U236" s="18"/>
      <c r="V236" s="18"/>
      <c r="W236" s="18"/>
      <c r="X236" s="11"/>
      <c r="Y236" s="12"/>
      <c r="Z236" s="12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</row>
    <row r="237" spans="1:53" s="92" customFormat="1" ht="12.75" customHeight="1" x14ac:dyDescent="0.2">
      <c r="A237" s="18"/>
      <c r="B237" s="39"/>
      <c r="C237" s="39"/>
      <c r="D237" s="39" t="s">
        <v>25</v>
      </c>
      <c r="E237" s="39">
        <f>IF(PCIe_en="Enabled",(PCIe_write_cvdd*PCIe_util_per*Pcie_switch_per)+(PCIe_read_cvdd*PCIe_util_per*Pcie_switch_per), 0)</f>
        <v>0</v>
      </c>
      <c r="F237" s="39">
        <f>IF(PCIe_en="Enabled",(PCIe_write_cvdd1*PCIe_util_per*Pcie_switch_per)+(PCIe_read_cvdd1*Pcie_switch_per*PCIe_util_per), 0)</f>
        <v>0</v>
      </c>
      <c r="H237" s="29"/>
      <c r="I237" s="29"/>
      <c r="J237" s="29"/>
      <c r="K237" s="29"/>
      <c r="L237" s="29"/>
      <c r="M237" s="29"/>
      <c r="N237" s="95"/>
      <c r="P237" s="39">
        <v>0</v>
      </c>
      <c r="Q237" s="39">
        <v>0</v>
      </c>
      <c r="R237" s="39">
        <v>0</v>
      </c>
      <c r="S237" s="39">
        <v>0</v>
      </c>
      <c r="T237" s="18"/>
      <c r="U237" s="18"/>
      <c r="V237" s="18"/>
      <c r="W237" s="18"/>
      <c r="X237" s="11"/>
      <c r="Y237" s="12"/>
      <c r="Z237" s="12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</row>
    <row r="238" spans="1:53" s="92" customFormat="1" ht="12.75" customHeight="1" x14ac:dyDescent="0.2">
      <c r="A238" s="18"/>
      <c r="B238" s="39" t="s">
        <v>57</v>
      </c>
      <c r="C238" s="39"/>
      <c r="D238" s="39"/>
      <c r="E238" s="39">
        <f>IF(PCIe_Act_total_cvdd&gt;0, PCIe_Act_total_cvdd, 0)</f>
        <v>0</v>
      </c>
      <c r="F238" s="39">
        <f>IF(PCIe_Act_total_cvdd1&gt;0, PCIe_Act_total_cvdd1, 0)</f>
        <v>0</v>
      </c>
      <c r="H238" s="29"/>
      <c r="I238" s="29"/>
      <c r="J238" s="29"/>
      <c r="K238" s="29"/>
      <c r="L238" s="29"/>
      <c r="M238" s="29"/>
      <c r="N238" s="29"/>
      <c r="O238" s="95"/>
      <c r="Q238" s="29"/>
      <c r="R238" s="18"/>
      <c r="S238" s="18"/>
      <c r="T238" s="18"/>
      <c r="U238" s="18"/>
      <c r="V238" s="18"/>
      <c r="W238" s="18"/>
      <c r="X238" s="11"/>
      <c r="Y238" s="12"/>
      <c r="Z238" s="12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</row>
    <row r="241" spans="1:53" ht="15" x14ac:dyDescent="0.25">
      <c r="A241" s="234" t="s">
        <v>96</v>
      </c>
    </row>
    <row r="242" spans="1:53" s="92" customFormat="1" ht="12" customHeight="1" x14ac:dyDescent="0.2">
      <c r="A242" s="18"/>
      <c r="B242" s="131" t="s">
        <v>264</v>
      </c>
      <c r="C242" s="131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18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</row>
    <row r="243" spans="1:53" s="92" customFormat="1" ht="12" customHeight="1" x14ac:dyDescent="0.2">
      <c r="A243" s="18"/>
      <c r="B243" s="39" t="s">
        <v>96</v>
      </c>
      <c r="C243" s="39"/>
      <c r="D243" s="39"/>
      <c r="E243" s="84" t="s">
        <v>15</v>
      </c>
      <c r="F243" s="39" t="s">
        <v>16</v>
      </c>
      <c r="G243" s="386" t="s">
        <v>15</v>
      </c>
      <c r="H243" s="387"/>
      <c r="I243" s="386" t="s">
        <v>16</v>
      </c>
      <c r="J243" s="387"/>
      <c r="K243" s="29"/>
      <c r="L243" s="29"/>
      <c r="M243" s="29"/>
      <c r="N243" s="29"/>
      <c r="O243" s="95"/>
      <c r="P243" s="95"/>
      <c r="Q243" s="29"/>
      <c r="R243" s="29"/>
      <c r="S243" s="18"/>
      <c r="T243" s="18"/>
      <c r="U243" s="18"/>
      <c r="V243" s="18"/>
      <c r="W243" s="18"/>
      <c r="X243" s="19"/>
      <c r="Y243" s="12"/>
      <c r="Z243" s="12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</row>
    <row r="244" spans="1:53" s="92" customFormat="1" ht="12" customHeight="1" x14ac:dyDescent="0.2">
      <c r="A244" s="38" t="s">
        <v>97</v>
      </c>
      <c r="B244" s="39"/>
      <c r="C244" s="39"/>
      <c r="D244" s="39"/>
      <c r="E244" s="39"/>
      <c r="F244" s="39"/>
      <c r="G244" s="137" t="s">
        <v>230</v>
      </c>
      <c r="H244" s="137" t="s">
        <v>231</v>
      </c>
      <c r="I244" s="137" t="s">
        <v>230</v>
      </c>
      <c r="J244" s="137" t="s">
        <v>231</v>
      </c>
      <c r="K244" s="29"/>
      <c r="L244" s="29"/>
      <c r="M244" s="29"/>
      <c r="N244" s="29"/>
      <c r="O244" s="95"/>
      <c r="P244" s="95"/>
      <c r="Q244" s="29"/>
      <c r="R244" s="29"/>
      <c r="S244" s="18"/>
      <c r="T244" s="18"/>
      <c r="U244" s="18"/>
      <c r="V244" s="18"/>
      <c r="W244" s="18"/>
      <c r="X244" s="19"/>
      <c r="Y244" s="12"/>
      <c r="Z244" s="12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</row>
    <row r="245" spans="1:53" s="92" customFormat="1" ht="12" customHeight="1" x14ac:dyDescent="0.2">
      <c r="A245" s="65">
        <f>spi_util/100</f>
        <v>1</v>
      </c>
      <c r="B245" s="39" t="s">
        <v>82</v>
      </c>
      <c r="C245" s="39"/>
      <c r="D245" s="39"/>
      <c r="E245" s="61">
        <f>sub_comp_cvdd</f>
        <v>0</v>
      </c>
      <c r="F245" s="62">
        <f>sub_comp_cvdd1</f>
        <v>250.22892778684499</v>
      </c>
      <c r="G245" s="125"/>
      <c r="H245" s="39"/>
      <c r="I245" s="39"/>
      <c r="J245" s="39"/>
      <c r="M245" s="29"/>
      <c r="N245" s="29"/>
      <c r="O245" s="95"/>
      <c r="P245" s="95"/>
      <c r="Q245" s="29"/>
      <c r="R245" s="29"/>
      <c r="S245" s="18"/>
      <c r="T245" s="18"/>
      <c r="U245" s="18"/>
      <c r="V245" s="18"/>
      <c r="W245" s="18"/>
      <c r="X245" s="19"/>
      <c r="Y245" s="12"/>
      <c r="Z245" s="12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</row>
    <row r="246" spans="1:53" s="92" customFormat="1" ht="12.75" customHeight="1" x14ac:dyDescent="0.2">
      <c r="A246" s="18"/>
      <c r="B246" s="39" t="s">
        <v>83</v>
      </c>
      <c r="C246" s="39"/>
      <c r="D246" s="39"/>
      <c r="E246" s="40">
        <f>G246*cpuF+H246</f>
        <v>0</v>
      </c>
      <c r="F246" s="40">
        <f>I246*cpuF + J246</f>
        <v>0</v>
      </c>
      <c r="G246" s="125">
        <v>0</v>
      </c>
      <c r="H246" s="39">
        <v>0</v>
      </c>
      <c r="I246" s="39">
        <v>0</v>
      </c>
      <c r="J246" s="39">
        <v>0</v>
      </c>
      <c r="M246" s="29"/>
      <c r="N246" s="29"/>
      <c r="O246" s="95"/>
      <c r="P246" s="95"/>
      <c r="Q246" s="29"/>
      <c r="R246" s="29"/>
      <c r="S246" s="18"/>
      <c r="T246" s="18"/>
      <c r="U246" s="18"/>
      <c r="V246" s="18"/>
      <c r="W246" s="18"/>
      <c r="X246" s="19"/>
      <c r="Y246" s="12"/>
      <c r="Z246" s="12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</row>
    <row r="247" spans="1:53" s="92" customFormat="1" ht="12.75" customHeight="1" x14ac:dyDescent="0.2">
      <c r="A247" s="38" t="s">
        <v>178</v>
      </c>
      <c r="B247" s="31"/>
      <c r="C247" s="31"/>
      <c r="D247" s="31" t="s">
        <v>84</v>
      </c>
      <c r="E247" s="31">
        <f>IF(SPI_clk_cvdd-E245&gt;0,SPI_clk_cvdd-E245,0)</f>
        <v>0</v>
      </c>
      <c r="F247" s="31">
        <f>IF(SPI_clk_cvdd1-F245&gt;0,SPI_clk_cvdd1-F245,0)</f>
        <v>0</v>
      </c>
      <c r="G247" s="125"/>
      <c r="H247" s="39"/>
      <c r="I247" s="39"/>
      <c r="J247" s="39"/>
      <c r="K247" s="18"/>
      <c r="M247" s="29"/>
      <c r="N247" s="29"/>
      <c r="O247" s="95"/>
      <c r="P247" s="95"/>
      <c r="Q247" s="29"/>
      <c r="R247" s="29"/>
      <c r="S247" s="18"/>
      <c r="T247" s="18"/>
      <c r="U247" s="18"/>
      <c r="V247" s="18"/>
      <c r="W247" s="18"/>
      <c r="X247" s="19"/>
      <c r="Y247" s="12"/>
      <c r="Z247" s="12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</row>
    <row r="248" spans="1:53" s="92" customFormat="1" ht="12" customHeight="1" x14ac:dyDescent="0.2">
      <c r="A248" s="18">
        <v>1</v>
      </c>
      <c r="B248" s="39"/>
      <c r="C248" s="39"/>
      <c r="D248" s="39"/>
      <c r="E248" s="39"/>
      <c r="F248" s="39"/>
      <c r="G248" s="125"/>
      <c r="H248" s="39"/>
      <c r="I248" s="39"/>
      <c r="J248" s="39"/>
      <c r="K248" s="29"/>
      <c r="L248" s="29"/>
      <c r="M248" s="29"/>
      <c r="N248" s="29"/>
      <c r="O248" s="95"/>
      <c r="P248" s="95"/>
      <c r="Q248" s="29"/>
      <c r="R248" s="29"/>
      <c r="S248" s="18"/>
      <c r="T248" s="18"/>
      <c r="U248" s="18"/>
      <c r="V248" s="18"/>
      <c r="W248" s="18"/>
      <c r="X248" s="19"/>
      <c r="Y248" s="12"/>
      <c r="Z248" s="12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</row>
    <row r="249" spans="1:53" s="92" customFormat="1" ht="12" customHeight="1" x14ac:dyDescent="0.2">
      <c r="A249" s="18">
        <v>2</v>
      </c>
      <c r="B249" s="39" t="s">
        <v>85</v>
      </c>
      <c r="C249" s="39"/>
      <c r="D249" s="39"/>
      <c r="E249" s="40">
        <f xml:space="preserve"> G249*cpuF +H249</f>
        <v>15.66</v>
      </c>
      <c r="F249" s="40">
        <f xml:space="preserve"> I249*cpuF+J249</f>
        <v>0.92460000000000031</v>
      </c>
      <c r="G249" s="125">
        <v>3.7499999999999999E-2</v>
      </c>
      <c r="H249" s="39">
        <v>-29.34</v>
      </c>
      <c r="I249" s="39">
        <v>3.5000000000000001E-3</v>
      </c>
      <c r="J249" s="39">
        <v>-3.2753999999999999</v>
      </c>
      <c r="K249" s="29"/>
      <c r="L249" s="29"/>
      <c r="M249" s="29"/>
      <c r="N249" s="29"/>
      <c r="O249" s="95"/>
      <c r="P249" s="95"/>
      <c r="Q249" s="29"/>
      <c r="R249" s="29"/>
      <c r="S249" s="18"/>
      <c r="T249" s="18"/>
      <c r="U249" s="18"/>
      <c r="V249" s="18"/>
      <c r="W249" s="18"/>
      <c r="X249" s="19"/>
      <c r="Y249" s="12"/>
      <c r="Z249" s="12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</row>
    <row r="250" spans="1:53" s="92" customFormat="1" ht="12" customHeight="1" x14ac:dyDescent="0.2">
      <c r="A250" s="18">
        <v>3</v>
      </c>
      <c r="B250" s="39"/>
      <c r="C250" s="39"/>
      <c r="D250" s="39" t="s">
        <v>25</v>
      </c>
      <c r="E250" s="39">
        <f>IF(SPI_en="Enabled", E249*spi_util_per *spi_num, 0)</f>
        <v>46.980000000000004</v>
      </c>
      <c r="F250" s="39">
        <f>IF(SPI_en="Enabled", F249*spi_util_per *spi_num, 0)</f>
        <v>2.7738000000000009</v>
      </c>
      <c r="H250" s="29"/>
      <c r="I250" s="29"/>
      <c r="J250" s="29"/>
      <c r="K250" s="29"/>
      <c r="L250" s="29"/>
      <c r="M250" s="29"/>
      <c r="N250" s="29"/>
      <c r="O250" s="95"/>
      <c r="P250" s="95"/>
      <c r="Q250" s="29"/>
      <c r="R250" s="29"/>
      <c r="S250" s="18"/>
      <c r="T250" s="18"/>
      <c r="U250" s="18"/>
      <c r="V250" s="18"/>
      <c r="W250" s="18"/>
      <c r="X250" s="19"/>
      <c r="Y250" s="12"/>
      <c r="Z250" s="12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</row>
    <row r="251" spans="1:53" s="92" customFormat="1" ht="12" customHeight="1" x14ac:dyDescent="0.2">
      <c r="A251" s="18"/>
      <c r="B251" s="39" t="s">
        <v>57</v>
      </c>
      <c r="C251" s="39"/>
      <c r="D251" s="39"/>
      <c r="E251" s="39">
        <f>IF(SPI_Act_tot_cvdd&gt;0, SPI_Act_tot_cvdd, 0)</f>
        <v>46.980000000000004</v>
      </c>
      <c r="F251" s="39">
        <f>IF(SPI_Act_tot_cvdd1&gt;0, SPI_Act_tot_cvdd1, 0)</f>
        <v>2.7738000000000009</v>
      </c>
      <c r="H251" s="29"/>
      <c r="I251" s="29"/>
      <c r="J251" s="29"/>
      <c r="K251" s="29"/>
      <c r="L251" s="29"/>
      <c r="M251" s="29"/>
      <c r="N251" s="29"/>
      <c r="O251" s="95"/>
      <c r="P251" s="95"/>
      <c r="Q251" s="29"/>
      <c r="R251" s="29"/>
      <c r="S251" s="18"/>
      <c r="T251" s="18"/>
      <c r="U251" s="18"/>
      <c r="V251" s="18"/>
      <c r="W251" s="18"/>
      <c r="X251" s="19"/>
      <c r="Y251" s="12"/>
      <c r="Z251" s="12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</row>
    <row r="252" spans="1:53" x14ac:dyDescent="0.2">
      <c r="H252" s="116" t="s">
        <v>207</v>
      </c>
      <c r="I252" s="116" t="s">
        <v>208</v>
      </c>
      <c r="J252" s="116"/>
      <c r="K252" s="38" t="s">
        <v>318</v>
      </c>
    </row>
    <row r="253" spans="1:53" x14ac:dyDescent="0.2">
      <c r="H253" s="29">
        <v>10</v>
      </c>
      <c r="I253" s="29">
        <v>1</v>
      </c>
      <c r="J253" s="116"/>
      <c r="K253" s="65">
        <f>XG_util/100</f>
        <v>1</v>
      </c>
    </row>
    <row r="254" spans="1:53" ht="15" x14ac:dyDescent="0.25">
      <c r="A254" s="234" t="s">
        <v>209</v>
      </c>
      <c r="B254" s="142" t="s">
        <v>251</v>
      </c>
      <c r="H254" s="29"/>
      <c r="I254" s="29">
        <v>2</v>
      </c>
      <c r="J254" s="116"/>
      <c r="K254" s="29"/>
    </row>
    <row r="255" spans="1:53" s="92" customFormat="1" ht="12" customHeight="1" x14ac:dyDescent="0.2">
      <c r="A255" s="16"/>
      <c r="B255" s="138" t="s">
        <v>209</v>
      </c>
      <c r="C255" s="138"/>
      <c r="D255" s="136"/>
      <c r="E255" s="84" t="s">
        <v>15</v>
      </c>
      <c r="F255" s="39" t="s">
        <v>16</v>
      </c>
      <c r="G255" s="137" t="s">
        <v>292</v>
      </c>
      <c r="H255" s="137" t="s">
        <v>293</v>
      </c>
      <c r="I255" s="386" t="s">
        <v>15</v>
      </c>
      <c r="J255" s="387"/>
      <c r="K255" s="255" t="s">
        <v>16</v>
      </c>
      <c r="L255" s="256"/>
      <c r="M255" s="386" t="s">
        <v>292</v>
      </c>
      <c r="N255" s="387"/>
      <c r="O255" s="255" t="s">
        <v>293</v>
      </c>
      <c r="P255" s="256"/>
      <c r="Q255" s="29"/>
      <c r="V255" s="18"/>
      <c r="W255" s="18"/>
      <c r="X255" s="19"/>
      <c r="Y255" s="12"/>
      <c r="Z255" s="12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</row>
    <row r="256" spans="1:53" s="92" customFormat="1" ht="12" customHeight="1" x14ac:dyDescent="0.2">
      <c r="A256" s="16"/>
      <c r="B256" s="136"/>
      <c r="C256" s="136"/>
      <c r="D256" s="136"/>
      <c r="E256" s="136"/>
      <c r="F256" s="136"/>
      <c r="I256" s="137" t="s">
        <v>230</v>
      </c>
      <c r="J256" s="137" t="s">
        <v>231</v>
      </c>
      <c r="K256" s="137" t="s">
        <v>230</v>
      </c>
      <c r="L256" s="137" t="s">
        <v>231</v>
      </c>
      <c r="M256" s="137" t="s">
        <v>230</v>
      </c>
      <c r="N256" s="137" t="s">
        <v>231</v>
      </c>
      <c r="O256" s="137" t="s">
        <v>230</v>
      </c>
      <c r="P256" s="137" t="s">
        <v>231</v>
      </c>
      <c r="Q256" s="29"/>
      <c r="V256" s="18"/>
      <c r="W256" s="18"/>
      <c r="X256" s="19"/>
      <c r="Y256" s="12"/>
      <c r="Z256" s="12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</row>
    <row r="257" spans="1:53" s="92" customFormat="1" ht="12" customHeight="1" x14ac:dyDescent="0.2">
      <c r="A257" s="16"/>
      <c r="B257" s="136" t="s">
        <v>82</v>
      </c>
      <c r="C257" s="136"/>
      <c r="D257" s="136"/>
      <c r="E257" s="110"/>
      <c r="F257" s="110"/>
      <c r="I257" s="125"/>
      <c r="J257" s="39"/>
      <c r="K257" s="39"/>
      <c r="L257" s="39"/>
      <c r="M257" s="29"/>
      <c r="N257" s="29"/>
      <c r="O257" s="95"/>
      <c r="P257" s="95"/>
      <c r="Q257" s="29"/>
      <c r="V257" s="18"/>
      <c r="W257" s="18"/>
      <c r="X257" s="19"/>
      <c r="Y257" s="12"/>
      <c r="Z257" s="12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</row>
    <row r="258" spans="1:53" s="92" customFormat="1" ht="12" customHeight="1" x14ac:dyDescent="0.2">
      <c r="A258" s="16"/>
      <c r="B258" s="136" t="s">
        <v>83</v>
      </c>
      <c r="C258" s="136"/>
      <c r="D258" s="136"/>
      <c r="E258" s="112">
        <f xml:space="preserve"> I258*cpuF+J258</f>
        <v>279.60000000000002</v>
      </c>
      <c r="F258" s="112">
        <f xml:space="preserve"> K258*cpuF+L258</f>
        <v>0</v>
      </c>
      <c r="G258" s="92">
        <f>M258</f>
        <v>196.6</v>
      </c>
      <c r="H258" s="92">
        <f>O258</f>
        <v>179.8</v>
      </c>
      <c r="I258" s="125">
        <v>0.23300000000000001</v>
      </c>
      <c r="J258" s="39">
        <v>0</v>
      </c>
      <c r="K258" s="39">
        <v>0</v>
      </c>
      <c r="L258" s="39">
        <v>0</v>
      </c>
      <c r="M258" s="29">
        <f>IF(XG_en="Enabled",196.6,IF(sb="reset",90.4,6))</f>
        <v>196.6</v>
      </c>
      <c r="N258" s="29"/>
      <c r="O258" s="29">
        <f>IF(XG_en="Enabled",179.8,IF(sb="reset",25.8,5))</f>
        <v>179.8</v>
      </c>
      <c r="P258" s="95">
        <v>0</v>
      </c>
      <c r="Q258" s="331"/>
      <c r="R258" s="331"/>
      <c r="S258" s="329"/>
      <c r="T258" s="332" t="s">
        <v>15</v>
      </c>
      <c r="U258" s="328" t="s">
        <v>16</v>
      </c>
      <c r="V258" s="328" t="s">
        <v>17</v>
      </c>
      <c r="W258" s="328" t="s">
        <v>18</v>
      </c>
      <c r="X258" s="328" t="s">
        <v>174</v>
      </c>
      <c r="Y258" s="328" t="s">
        <v>292</v>
      </c>
      <c r="Z258" s="328" t="s">
        <v>293</v>
      </c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</row>
    <row r="259" spans="1:53" s="92" customFormat="1" ht="12" customHeight="1" x14ac:dyDescent="0.2">
      <c r="A259" s="16"/>
      <c r="B259" s="136"/>
      <c r="C259" s="136"/>
      <c r="D259" s="136" t="s">
        <v>84</v>
      </c>
      <c r="E259" s="113">
        <f>IF(OR(B2="H14",B2="K2K"),IF(XG_en="Enabled",E258,0),0)</f>
        <v>279.60000000000002</v>
      </c>
      <c r="F259" s="113">
        <f>IF(XG_en="Enabled",F258,0)</f>
        <v>0</v>
      </c>
      <c r="G259" s="113">
        <f>G258</f>
        <v>196.6</v>
      </c>
      <c r="H259" s="113">
        <f>H258</f>
        <v>179.8</v>
      </c>
      <c r="I259" s="29"/>
      <c r="J259" s="29"/>
      <c r="K259" s="29"/>
      <c r="L259" s="29"/>
      <c r="M259" s="29"/>
      <c r="N259" s="29"/>
      <c r="O259" s="95"/>
      <c r="P259" s="95"/>
      <c r="Q259" s="331"/>
      <c r="R259" s="333" t="s">
        <v>429</v>
      </c>
      <c r="S259" s="329"/>
      <c r="T259" s="329">
        <f>XGE_Idle_total_CVDD/mW_mA_sel_cvdd</f>
        <v>328.94117647058829</v>
      </c>
      <c r="U259" s="329">
        <v>0</v>
      </c>
      <c r="V259" s="329">
        <v>0</v>
      </c>
      <c r="W259" s="334">
        <f>Y259</f>
        <v>109.22222222222221</v>
      </c>
      <c r="X259" s="330">
        <v>0</v>
      </c>
      <c r="Y259" s="327">
        <f>xge_idle_tot_vddahv/mW_mA_sel_vddahv</f>
        <v>109.22222222222221</v>
      </c>
      <c r="Z259" s="327">
        <f>xge_idle_tot_vddalh/mW_mA_sel_vddalh</f>
        <v>211.52941176470591</v>
      </c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</row>
    <row r="260" spans="1:53" s="92" customFormat="1" ht="12" customHeight="1" x14ac:dyDescent="0.2">
      <c r="A260" s="16"/>
      <c r="B260" s="136" t="s">
        <v>85</v>
      </c>
      <c r="C260" s="136"/>
      <c r="D260" s="136"/>
      <c r="E260" s="112">
        <f xml:space="preserve"> I260*cpuF+J260</f>
        <v>640.80000000000007</v>
      </c>
      <c r="F260" s="112">
        <f xml:space="preserve"> K260*cpuF+L260</f>
        <v>117.60000000000001</v>
      </c>
      <c r="G260" s="92">
        <f>M260*cpuF+N260</f>
        <v>0</v>
      </c>
      <c r="H260" s="92">
        <f>O260*cpuF+P260</f>
        <v>0</v>
      </c>
      <c r="I260" s="29">
        <v>0.53400000000000003</v>
      </c>
      <c r="J260" s="29">
        <v>0</v>
      </c>
      <c r="K260" s="29">
        <v>9.8000000000000004E-2</v>
      </c>
      <c r="L260" s="29">
        <v>0</v>
      </c>
      <c r="M260" s="29">
        <v>0</v>
      </c>
      <c r="N260" s="29">
        <v>0</v>
      </c>
      <c r="O260" s="29">
        <v>0</v>
      </c>
      <c r="P260" s="29">
        <v>0</v>
      </c>
      <c r="Q260" s="29"/>
      <c r="R260" s="29"/>
      <c r="S260" s="18"/>
      <c r="T260" s="18"/>
      <c r="U260" s="18"/>
      <c r="V260" s="18"/>
      <c r="W260" s="18"/>
      <c r="X260" s="19"/>
      <c r="Y260" s="12"/>
      <c r="Z260" s="12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</row>
    <row r="261" spans="1:53" s="92" customFormat="1" ht="12" customHeight="1" x14ac:dyDescent="0.2">
      <c r="A261" s="16"/>
      <c r="B261" s="136"/>
      <c r="C261" s="136"/>
      <c r="D261" s="136" t="s">
        <v>25</v>
      </c>
      <c r="E261" s="112">
        <f>IF(OR(B2="H14",B2="K2K"),IF(XG_en="Enabled",E260*XG_util_per,0),0)</f>
        <v>640.80000000000007</v>
      </c>
      <c r="F261" s="112">
        <f>IF(OR(B2="H14",B2="K2K"),IF(XG_en="Enabled",F260*XG_util_per,0),0)</f>
        <v>117.60000000000001</v>
      </c>
      <c r="G261" s="112">
        <f>IF(XG_en="Enabled",G260*XG_util_per,0)</f>
        <v>0</v>
      </c>
      <c r="H261" s="112">
        <f>IF(XG_en="Enabled",H260*XG_util_per,0)</f>
        <v>0</v>
      </c>
      <c r="I261" s="29"/>
      <c r="J261" s="29"/>
      <c r="K261" s="29"/>
      <c r="L261" s="29"/>
      <c r="M261" s="29"/>
      <c r="N261" s="29"/>
      <c r="O261" s="95"/>
      <c r="P261" s="95"/>
      <c r="Q261" s="29"/>
      <c r="R261" s="29"/>
      <c r="S261" s="18"/>
      <c r="T261" s="18"/>
      <c r="U261" s="18"/>
      <c r="V261" s="18"/>
      <c r="W261" s="18"/>
      <c r="X261" s="19"/>
      <c r="Y261" s="12"/>
      <c r="Z261" s="12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</row>
    <row r="262" spans="1:53" s="92" customFormat="1" ht="12" customHeight="1" x14ac:dyDescent="0.2">
      <c r="A262" s="16"/>
      <c r="B262" s="136"/>
      <c r="C262" s="136"/>
      <c r="D262" s="125"/>
      <c r="E262" s="112"/>
      <c r="F262" s="112"/>
      <c r="G262" s="112"/>
      <c r="H262" s="112"/>
      <c r="I262" s="29"/>
      <c r="J262" s="29"/>
      <c r="K262" s="29"/>
      <c r="L262" s="29"/>
      <c r="M262" s="29"/>
      <c r="N262" s="29"/>
      <c r="O262" s="95"/>
      <c r="P262" s="95"/>
      <c r="Q262" s="29"/>
      <c r="R262" s="29"/>
      <c r="S262" s="18"/>
      <c r="T262" s="18"/>
      <c r="U262" s="18"/>
      <c r="V262" s="18"/>
      <c r="W262" s="18"/>
      <c r="X262" s="19"/>
      <c r="Y262" s="12"/>
      <c r="Z262" s="12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</row>
    <row r="264" spans="1:53" ht="15" x14ac:dyDescent="0.25">
      <c r="A264" s="234" t="s">
        <v>98</v>
      </c>
    </row>
    <row r="265" spans="1:53" s="92" customFormat="1" ht="12" customHeight="1" x14ac:dyDescent="0.2">
      <c r="A265" s="18"/>
      <c r="B265" s="142" t="s">
        <v>213</v>
      </c>
      <c r="C265" s="142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</row>
    <row r="266" spans="1:53" s="92" customFormat="1" ht="12" customHeight="1" x14ac:dyDescent="0.2">
      <c r="A266" s="18"/>
      <c r="B266" s="137" t="s">
        <v>98</v>
      </c>
      <c r="C266" s="39"/>
      <c r="D266" s="39"/>
      <c r="E266" s="84" t="s">
        <v>15</v>
      </c>
      <c r="F266" s="39" t="s">
        <v>16</v>
      </c>
      <c r="I266" s="386" t="s">
        <v>15</v>
      </c>
      <c r="J266" s="387"/>
      <c r="K266" s="255" t="s">
        <v>16</v>
      </c>
      <c r="L266" s="256"/>
      <c r="M266" s="29"/>
      <c r="N266" s="29"/>
      <c r="O266" s="29"/>
      <c r="P266" s="29"/>
      <c r="Q266" s="29"/>
      <c r="R266" s="18"/>
      <c r="S266" s="18"/>
      <c r="T266" s="18"/>
      <c r="U266" s="18"/>
      <c r="V266" s="18"/>
      <c r="W266" s="18"/>
      <c r="X266" s="19"/>
      <c r="Y266" s="12"/>
      <c r="Z266" s="12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</row>
    <row r="267" spans="1:53" s="92" customFormat="1" ht="12" customHeight="1" x14ac:dyDescent="0.2">
      <c r="A267" s="38" t="s">
        <v>99</v>
      </c>
      <c r="B267" s="39"/>
      <c r="C267" s="39"/>
      <c r="D267" s="39"/>
      <c r="E267" s="39"/>
      <c r="F267" s="39"/>
      <c r="I267" s="137" t="s">
        <v>230</v>
      </c>
      <c r="J267" s="137" t="s">
        <v>231</v>
      </c>
      <c r="K267" s="137" t="s">
        <v>230</v>
      </c>
      <c r="L267" s="137" t="s">
        <v>231</v>
      </c>
      <c r="M267" s="29"/>
      <c r="N267" s="29"/>
      <c r="O267" s="29"/>
      <c r="P267" s="29"/>
      <c r="Q267" s="29"/>
      <c r="R267" s="18"/>
      <c r="S267" s="18"/>
      <c r="T267" s="18"/>
      <c r="U267" s="18"/>
      <c r="V267" s="18"/>
      <c r="W267" s="18"/>
      <c r="X267" s="19"/>
      <c r="Y267" s="12"/>
      <c r="Z267" s="12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</row>
    <row r="268" spans="1:53" s="92" customFormat="1" ht="12" customHeight="1" x14ac:dyDescent="0.2">
      <c r="A268" s="65">
        <f>UART_util/100</f>
        <v>1</v>
      </c>
      <c r="B268" s="39" t="s">
        <v>82</v>
      </c>
      <c r="C268" s="39"/>
      <c r="D268" s="39"/>
      <c r="E268" s="61">
        <f>sub_comp_cvdd</f>
        <v>0</v>
      </c>
      <c r="F268" s="62">
        <f>sub_comp_cvdd1</f>
        <v>250.22892778684499</v>
      </c>
      <c r="I268" s="125"/>
      <c r="J268" s="39"/>
      <c r="K268" s="39"/>
      <c r="L268" s="39"/>
      <c r="M268" s="29"/>
      <c r="N268" s="29"/>
      <c r="O268" s="29"/>
      <c r="P268" s="29"/>
      <c r="Q268" s="29"/>
      <c r="R268" s="18"/>
      <c r="S268" s="18"/>
      <c r="T268" s="18"/>
      <c r="U268" s="18"/>
      <c r="V268" s="18"/>
      <c r="W268" s="18"/>
      <c r="X268" s="19"/>
      <c r="Y268" s="12"/>
      <c r="Z268" s="12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</row>
    <row r="269" spans="1:53" s="92" customFormat="1" ht="12" customHeight="1" x14ac:dyDescent="0.2">
      <c r="A269" s="18"/>
      <c r="B269" s="39" t="s">
        <v>83</v>
      </c>
      <c r="C269" s="39"/>
      <c r="D269" s="84" t="s">
        <v>226</v>
      </c>
      <c r="E269" s="40">
        <f xml:space="preserve"> I269*cpuF +J269</f>
        <v>0</v>
      </c>
      <c r="F269" s="40">
        <f xml:space="preserve"> K269*cpuF+L269</f>
        <v>0</v>
      </c>
      <c r="I269" s="125">
        <v>0</v>
      </c>
      <c r="J269" s="39">
        <v>0</v>
      </c>
      <c r="K269" s="39">
        <v>0</v>
      </c>
      <c r="L269" s="39">
        <v>0</v>
      </c>
      <c r="M269" s="29"/>
      <c r="N269" s="29"/>
      <c r="O269" s="29"/>
      <c r="P269" s="29"/>
      <c r="Q269" s="29"/>
      <c r="R269" s="18"/>
      <c r="S269" s="18"/>
      <c r="T269" s="18"/>
      <c r="U269" s="18"/>
      <c r="V269" s="18"/>
      <c r="W269" s="18"/>
      <c r="X269" s="19"/>
      <c r="Y269" s="12"/>
      <c r="Z269" s="12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</row>
    <row r="270" spans="1:53" s="92" customFormat="1" ht="12" customHeight="1" x14ac:dyDescent="0.2">
      <c r="A270" s="38" t="s">
        <v>179</v>
      </c>
      <c r="B270" s="39"/>
      <c r="C270" s="39"/>
      <c r="D270" s="84" t="s">
        <v>227</v>
      </c>
      <c r="E270" s="40">
        <f>IF(UART_num&gt;1,I270*cpuF+J270,0)</f>
        <v>0</v>
      </c>
      <c r="F270" s="40">
        <f>IF(UART_num&gt;1,  K270*cpuF +L270,0)</f>
        <v>0</v>
      </c>
      <c r="I270" s="125">
        <v>0</v>
      </c>
      <c r="J270" s="39">
        <v>0</v>
      </c>
      <c r="K270" s="39">
        <v>0</v>
      </c>
      <c r="L270" s="39">
        <v>0</v>
      </c>
      <c r="M270" s="29"/>
      <c r="N270" s="29"/>
      <c r="O270" s="29"/>
      <c r="P270" s="29"/>
      <c r="Q270" s="29"/>
      <c r="R270" s="18"/>
      <c r="S270" s="18"/>
      <c r="T270" s="18"/>
      <c r="U270" s="18"/>
      <c r="V270" s="18"/>
      <c r="W270" s="18"/>
      <c r="X270" s="19"/>
      <c r="Y270" s="12"/>
      <c r="Z270" s="12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</row>
    <row r="271" spans="1:53" s="92" customFormat="1" ht="12.75" customHeight="1" x14ac:dyDescent="0.2">
      <c r="A271" s="18">
        <v>1</v>
      </c>
      <c r="B271" s="31"/>
      <c r="C271" s="31"/>
      <c r="D271" s="31" t="s">
        <v>84</v>
      </c>
      <c r="E271" s="31">
        <f>SUM(E269:E270)-E268</f>
        <v>0</v>
      </c>
      <c r="F271" s="31">
        <f>SUM(F269:F270)-F268</f>
        <v>-250.22892778684499</v>
      </c>
      <c r="I271" s="125"/>
      <c r="J271" s="39"/>
      <c r="K271" s="39"/>
      <c r="L271" s="39"/>
      <c r="M271" s="29"/>
      <c r="N271" s="29"/>
      <c r="O271" s="29"/>
      <c r="P271" s="29"/>
      <c r="Q271" s="29"/>
      <c r="R271" s="18"/>
      <c r="S271" s="18"/>
      <c r="T271" s="18"/>
      <c r="U271" s="18"/>
      <c r="V271" s="18"/>
      <c r="W271" s="18"/>
      <c r="X271" s="19"/>
      <c r="Y271" s="12"/>
      <c r="Z271" s="12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</row>
    <row r="272" spans="1:53" s="92" customFormat="1" ht="12.75" customHeight="1" x14ac:dyDescent="0.2">
      <c r="A272" s="18">
        <v>2</v>
      </c>
      <c r="B272" s="39"/>
      <c r="C272" s="39"/>
      <c r="D272" s="39"/>
      <c r="E272" s="39"/>
      <c r="F272" s="39"/>
      <c r="I272" s="125"/>
      <c r="J272" s="39"/>
      <c r="K272" s="39"/>
      <c r="L272" s="39"/>
      <c r="M272" s="29"/>
      <c r="N272" s="29"/>
      <c r="O272" s="29"/>
      <c r="P272" s="29"/>
      <c r="Q272" s="29"/>
      <c r="R272" s="18"/>
      <c r="S272" s="18"/>
      <c r="T272" s="18"/>
      <c r="U272" s="18"/>
      <c r="V272" s="18"/>
      <c r="W272" s="18"/>
      <c r="X272" s="19"/>
      <c r="Y272" s="12"/>
      <c r="Z272" s="12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</row>
    <row r="273" spans="1:53" s="92" customFormat="1" ht="12.75" customHeight="1" x14ac:dyDescent="0.2">
      <c r="A273" s="18"/>
      <c r="B273" s="39" t="s">
        <v>85</v>
      </c>
      <c r="C273" s="39"/>
      <c r="D273" s="39"/>
      <c r="E273" s="139">
        <f xml:space="preserve"> I273*cpuF +J273</f>
        <v>8.7100000000000044</v>
      </c>
      <c r="F273" s="40">
        <f xml:space="preserve"> K273*cpuF +L273</f>
        <v>1.0904000000000003</v>
      </c>
      <c r="I273" s="125">
        <v>2.7900000000000001E-2</v>
      </c>
      <c r="J273" s="39">
        <v>-24.77</v>
      </c>
      <c r="K273" s="39">
        <v>3.7000000000000002E-3</v>
      </c>
      <c r="L273" s="39">
        <v>-3.3496000000000001</v>
      </c>
      <c r="M273" s="29"/>
      <c r="N273" s="29"/>
      <c r="O273" s="29"/>
      <c r="P273" s="29"/>
      <c r="Q273" s="29"/>
      <c r="R273" s="18"/>
      <c r="S273" s="18"/>
      <c r="T273" s="18"/>
      <c r="U273" s="18"/>
      <c r="V273" s="18"/>
      <c r="W273" s="18"/>
      <c r="X273" s="19"/>
      <c r="Y273" s="12"/>
      <c r="Z273" s="12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</row>
    <row r="274" spans="1:53" s="92" customFormat="1" x14ac:dyDescent="0.2">
      <c r="A274" s="18"/>
      <c r="B274" s="39"/>
      <c r="C274" s="39"/>
      <c r="D274" s="39" t="s">
        <v>25</v>
      </c>
      <c r="E274" s="39">
        <f>IF(UART_en="Enabled", UART_Act_CVDD*'Calculation sheet'!A268*UART_num, 0)</f>
        <v>17.420000000000009</v>
      </c>
      <c r="F274" s="39">
        <f>IF(UART_en="Enabled", Uart_act_cvdd1*'Calculation sheet'!A268*UART_num, 0)</f>
        <v>2.1808000000000005</v>
      </c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18"/>
      <c r="S274" s="18"/>
      <c r="T274" s="18"/>
      <c r="U274" s="18"/>
      <c r="V274" s="18"/>
      <c r="W274" s="18"/>
      <c r="X274" s="19"/>
      <c r="Y274" s="12"/>
      <c r="Z274" s="12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</row>
    <row r="275" spans="1:53" s="92" customFormat="1" ht="12.75" customHeight="1" x14ac:dyDescent="0.2">
      <c r="A275" s="18"/>
      <c r="B275" s="39" t="s">
        <v>57</v>
      </c>
      <c r="C275" s="39"/>
      <c r="D275" s="39"/>
      <c r="E275" s="39">
        <f>IF(UART_Act_tot_cvdd&gt;0, UART_Act_tot_cvdd, 0)</f>
        <v>17.420000000000009</v>
      </c>
      <c r="F275" s="39">
        <f>IF(F274&gt;0, F274, 0)</f>
        <v>2.1808000000000005</v>
      </c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18"/>
      <c r="S275" s="18"/>
      <c r="T275" s="18"/>
      <c r="U275" s="18"/>
      <c r="V275" s="18"/>
      <c r="W275" s="18"/>
      <c r="X275" s="19"/>
      <c r="Y275" s="12"/>
      <c r="Z275" s="12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</row>
    <row r="279" spans="1:53" ht="15" x14ac:dyDescent="0.25">
      <c r="A279" s="234" t="s">
        <v>101</v>
      </c>
    </row>
    <row r="280" spans="1:53" s="92" customFormat="1" ht="12.75" customHeight="1" x14ac:dyDescent="0.2">
      <c r="A280" s="18"/>
      <c r="B280" s="161" t="s">
        <v>254</v>
      </c>
      <c r="C280" s="25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</row>
    <row r="281" spans="1:53" s="92" customFormat="1" ht="12.75" customHeight="1" x14ac:dyDescent="0.2">
      <c r="A281" s="18"/>
      <c r="B281" s="39" t="s">
        <v>101</v>
      </c>
      <c r="C281" s="39"/>
      <c r="D281" s="39"/>
      <c r="E281" s="84" t="s">
        <v>15</v>
      </c>
      <c r="F281" s="39" t="s">
        <v>16</v>
      </c>
      <c r="G281" s="386" t="s">
        <v>15</v>
      </c>
      <c r="H281" s="387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19"/>
      <c r="Y281" s="12"/>
      <c r="Z281" s="12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</row>
    <row r="282" spans="1:53" s="92" customFormat="1" ht="12.75" customHeight="1" x14ac:dyDescent="0.2">
      <c r="A282" s="18"/>
      <c r="B282" s="39"/>
      <c r="C282" s="39"/>
      <c r="D282" s="39"/>
      <c r="E282" s="39"/>
      <c r="F282" s="39"/>
      <c r="G282" s="137" t="s">
        <v>230</v>
      </c>
      <c r="H282" s="137" t="s">
        <v>231</v>
      </c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19"/>
      <c r="Y282" s="12"/>
      <c r="Z282" s="12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</row>
    <row r="283" spans="1:53" s="92" customFormat="1" ht="12.75" customHeight="1" x14ac:dyDescent="0.2">
      <c r="A283" s="38" t="s">
        <v>102</v>
      </c>
      <c r="B283" s="39" t="s">
        <v>82</v>
      </c>
      <c r="C283" s="39"/>
      <c r="D283" s="39"/>
      <c r="E283" s="61">
        <f>sub_comp_cvdd</f>
        <v>0</v>
      </c>
      <c r="F283" s="62">
        <f>sub_comp_cvdd1</f>
        <v>250.22892778684499</v>
      </c>
      <c r="G283" s="125"/>
      <c r="H283" s="3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19"/>
      <c r="Y283" s="12"/>
      <c r="Z283" s="12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</row>
    <row r="284" spans="1:53" s="92" customFormat="1" ht="12.75" customHeight="1" x14ac:dyDescent="0.2">
      <c r="A284" s="65">
        <f>Timer_util/100</f>
        <v>0.5</v>
      </c>
      <c r="B284" s="39" t="s">
        <v>83</v>
      </c>
      <c r="C284" s="39"/>
      <c r="D284" s="39"/>
      <c r="E284" s="40">
        <f xml:space="preserve">  G284*cpuF + H284</f>
        <v>0</v>
      </c>
      <c r="F284" s="40"/>
      <c r="G284" s="125">
        <v>0</v>
      </c>
      <c r="H284" s="39">
        <v>0</v>
      </c>
      <c r="I284" s="29"/>
      <c r="J284" s="29"/>
      <c r="K284" s="29"/>
      <c r="L284" s="29"/>
      <c r="M284" s="29"/>
      <c r="N284" s="29"/>
      <c r="O284" s="29"/>
      <c r="P284" s="29"/>
      <c r="Q284" s="29"/>
      <c r="R284" s="18"/>
      <c r="S284" s="18"/>
      <c r="T284" s="18"/>
      <c r="U284" s="18"/>
      <c r="V284" s="18"/>
      <c r="W284" s="18"/>
      <c r="X284" s="19"/>
      <c r="Y284" s="12"/>
      <c r="Z284" s="12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</row>
    <row r="285" spans="1:53" s="92" customFormat="1" ht="12.75" customHeight="1" x14ac:dyDescent="0.2">
      <c r="A285" s="38" t="s">
        <v>379</v>
      </c>
      <c r="B285" s="31"/>
      <c r="C285" s="31"/>
      <c r="D285" s="31" t="s">
        <v>84</v>
      </c>
      <c r="E285" s="31">
        <f>IF(Timer_Clk_cvdd-E283&gt;0,Timer_Clk_cvdd-E283,0)</f>
        <v>0</v>
      </c>
      <c r="F285" s="31">
        <f>IF(F284-F283&gt;0,-F283,0)</f>
        <v>0</v>
      </c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18"/>
      <c r="S285" s="18"/>
      <c r="T285" s="18"/>
      <c r="U285" s="18"/>
      <c r="V285" s="18"/>
      <c r="W285" s="18"/>
      <c r="X285" s="19"/>
      <c r="Y285" s="12"/>
      <c r="Z285" s="12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</row>
    <row r="286" spans="1:53" s="92" customFormat="1" ht="12.75" customHeight="1" x14ac:dyDescent="0.2">
      <c r="A286" s="18">
        <v>20</v>
      </c>
      <c r="B286" s="39"/>
      <c r="C286" s="39"/>
      <c r="D286" s="39"/>
      <c r="E286" s="39"/>
      <c r="F286" s="3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18"/>
      <c r="S286" s="18"/>
      <c r="T286" s="18"/>
      <c r="U286" s="18"/>
      <c r="V286" s="18"/>
      <c r="W286" s="18"/>
      <c r="X286" s="19"/>
      <c r="Y286" s="12"/>
      <c r="Z286" s="12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</row>
    <row r="287" spans="1:53" s="92" customFormat="1" ht="12.75" customHeight="1" x14ac:dyDescent="0.2">
      <c r="A287" s="18"/>
      <c r="B287" s="39" t="s">
        <v>85</v>
      </c>
      <c r="C287" s="39"/>
      <c r="D287" s="39"/>
      <c r="E287" s="40">
        <f>1.97*1.1^2</f>
        <v>2.3837000000000002</v>
      </c>
      <c r="F287" s="40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18"/>
      <c r="S287" s="18"/>
      <c r="T287" s="18"/>
      <c r="U287" s="18"/>
      <c r="V287" s="18"/>
      <c r="W287" s="18"/>
      <c r="X287" s="19"/>
      <c r="Y287" s="12"/>
      <c r="Z287" s="12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</row>
    <row r="288" spans="1:53" s="92" customFormat="1" ht="12.75" customHeight="1" x14ac:dyDescent="0.2">
      <c r="A288" s="18"/>
      <c r="B288" s="39"/>
      <c r="C288" s="39"/>
      <c r="D288" s="39" t="s">
        <v>25</v>
      </c>
      <c r="E288" s="39">
        <f>IF(Timer_en="Enabled", Timer_Act_cvdd*Timer_util_per*Timer_total_en, 0)</f>
        <v>23.837000000000003</v>
      </c>
      <c r="F288" s="39">
        <v>4</v>
      </c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18"/>
      <c r="S288" s="18"/>
      <c r="T288" s="18"/>
      <c r="U288" s="18"/>
      <c r="V288" s="18"/>
      <c r="W288" s="18"/>
      <c r="X288" s="19"/>
      <c r="Y288" s="12"/>
      <c r="Z288" s="12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</row>
    <row r="289" spans="1:46" s="92" customFormat="1" ht="12.75" customHeight="1" x14ac:dyDescent="0.2">
      <c r="A289" s="18"/>
      <c r="B289" s="39" t="s">
        <v>57</v>
      </c>
      <c r="C289" s="39"/>
      <c r="D289" s="39"/>
      <c r="E289" s="39">
        <f>IF(Timer_Act_tot_cvdd&gt;0, Timer_Act_tot_cvdd, 0)</f>
        <v>23.837000000000003</v>
      </c>
      <c r="F289" s="84">
        <f>IF(F288&gt;0,F288,0)</f>
        <v>4</v>
      </c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18"/>
      <c r="S289" s="18"/>
      <c r="T289" s="18"/>
      <c r="U289" s="18"/>
      <c r="V289" s="18"/>
      <c r="W289" s="18"/>
      <c r="X289" s="19"/>
      <c r="Y289" s="12"/>
      <c r="Z289" s="12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</row>
    <row r="292" spans="1:46" ht="15" x14ac:dyDescent="0.25">
      <c r="A292" s="234" t="s">
        <v>103</v>
      </c>
      <c r="B292" s="131" t="s">
        <v>257</v>
      </c>
    </row>
    <row r="293" spans="1:46" s="92" customFormat="1" ht="12.75" customHeight="1" x14ac:dyDescent="0.2">
      <c r="A293" s="18"/>
      <c r="B293" s="160" t="s">
        <v>258</v>
      </c>
      <c r="C293" s="39"/>
      <c r="D293" s="39"/>
      <c r="E293" s="84" t="s">
        <v>15</v>
      </c>
      <c r="F293" s="39" t="s">
        <v>16</v>
      </c>
      <c r="G293" s="386" t="s">
        <v>15</v>
      </c>
      <c r="H293" s="387"/>
      <c r="I293" s="386" t="s">
        <v>16</v>
      </c>
      <c r="J293" s="387"/>
      <c r="K293" s="29"/>
      <c r="L293" s="29"/>
      <c r="M293" s="29"/>
      <c r="N293" s="29"/>
      <c r="O293" s="29"/>
      <c r="P293" s="29"/>
      <c r="Q293" s="29"/>
      <c r="R293" s="29"/>
      <c r="S293" s="18"/>
      <c r="T293" s="18"/>
      <c r="U293" s="18"/>
      <c r="V293" s="18"/>
      <c r="W293" s="18"/>
      <c r="X293" s="19"/>
      <c r="Y293" s="12"/>
      <c r="Z293" s="12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</row>
    <row r="294" spans="1:46" s="92" customFormat="1" ht="12.75" customHeight="1" x14ac:dyDescent="0.2">
      <c r="A294" s="38" t="s">
        <v>104</v>
      </c>
      <c r="B294" s="137" t="s">
        <v>255</v>
      </c>
      <c r="C294" s="39"/>
      <c r="D294" s="39"/>
      <c r="E294" s="39"/>
      <c r="F294" s="74"/>
      <c r="G294" s="137" t="s">
        <v>230</v>
      </c>
      <c r="H294" s="137" t="s">
        <v>231</v>
      </c>
      <c r="I294" s="137" t="s">
        <v>230</v>
      </c>
      <c r="J294" s="137" t="s">
        <v>231</v>
      </c>
      <c r="K294" s="29"/>
      <c r="L294" s="29"/>
      <c r="M294" s="29"/>
      <c r="N294" s="29"/>
      <c r="O294" s="29"/>
      <c r="P294" s="29"/>
      <c r="Q294" s="29"/>
      <c r="R294" s="29"/>
      <c r="S294" s="18"/>
      <c r="T294" s="18"/>
      <c r="U294" s="18"/>
      <c r="V294" s="18"/>
      <c r="W294" s="18"/>
      <c r="X294" s="19"/>
      <c r="Y294" s="12"/>
      <c r="Z294" s="12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</row>
    <row r="295" spans="1:46" s="92" customFormat="1" ht="12.75" customHeight="1" x14ac:dyDescent="0.2">
      <c r="A295" s="65">
        <f>I2C_util/100</f>
        <v>1</v>
      </c>
      <c r="B295" s="39" t="s">
        <v>82</v>
      </c>
      <c r="C295" s="39"/>
      <c r="D295" s="39"/>
      <c r="E295" s="61">
        <f>sub_comp_cvdd</f>
        <v>0</v>
      </c>
      <c r="F295" s="152">
        <f>sub_comp_cvdd1</f>
        <v>250.22892778684499</v>
      </c>
      <c r="G295" s="125"/>
      <c r="H295" s="39"/>
      <c r="I295" s="39"/>
      <c r="J295" s="39"/>
      <c r="K295" s="29"/>
      <c r="L295" s="29"/>
      <c r="M295" s="29"/>
      <c r="N295" s="29"/>
      <c r="O295" s="29"/>
      <c r="P295" s="29"/>
      <c r="Q295" s="29"/>
      <c r="R295" s="29"/>
      <c r="S295" s="18"/>
      <c r="T295" s="18"/>
      <c r="U295" s="18"/>
      <c r="V295" s="18"/>
      <c r="W295" s="18"/>
      <c r="X295" s="19"/>
      <c r="Y295" s="12"/>
      <c r="Z295" s="12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</row>
    <row r="296" spans="1:46" s="92" customFormat="1" ht="12.75" customHeight="1" x14ac:dyDescent="0.2">
      <c r="A296" s="18"/>
      <c r="B296" s="39" t="s">
        <v>83</v>
      </c>
      <c r="C296" s="39"/>
      <c r="D296" s="39"/>
      <c r="E296" s="40">
        <v>0</v>
      </c>
      <c r="F296" s="102">
        <v>0</v>
      </c>
      <c r="G296" s="125">
        <v>0</v>
      </c>
      <c r="H296" s="39">
        <v>0</v>
      </c>
      <c r="I296" s="39">
        <v>0</v>
      </c>
      <c r="J296" s="39">
        <v>0</v>
      </c>
      <c r="K296" s="29"/>
      <c r="L296" s="29"/>
      <c r="M296" s="29"/>
      <c r="N296" s="29"/>
      <c r="O296" s="29"/>
      <c r="P296" s="29"/>
      <c r="Q296" s="29"/>
      <c r="R296" s="29"/>
      <c r="S296" s="18"/>
      <c r="T296" s="18"/>
      <c r="U296" s="18"/>
      <c r="V296" s="18"/>
      <c r="W296" s="18"/>
      <c r="X296" s="19"/>
      <c r="Y296" s="12"/>
      <c r="Z296" s="12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</row>
    <row r="297" spans="1:46" s="92" customFormat="1" ht="12.75" customHeight="1" x14ac:dyDescent="0.2">
      <c r="A297" s="99" t="s">
        <v>180</v>
      </c>
      <c r="B297" s="31"/>
      <c r="C297" s="31"/>
      <c r="D297" s="31" t="s">
        <v>84</v>
      </c>
      <c r="E297" s="31">
        <f>IF(I2C_Clk_cvdd-E295&gt;0,I2C_Clk_cvdd-E295,0)</f>
        <v>0</v>
      </c>
      <c r="F297" s="75">
        <f>IF(I2C_Clk_cvdd1-F295&gt;0,I2C_Clk_cvdd1-F295,0)</f>
        <v>0</v>
      </c>
      <c r="G297" s="125"/>
      <c r="H297" s="39"/>
      <c r="I297" s="39"/>
      <c r="J297" s="39"/>
      <c r="K297" s="29"/>
      <c r="L297" s="29"/>
      <c r="M297" s="29"/>
      <c r="N297" s="29"/>
      <c r="O297" s="29"/>
      <c r="P297" s="29"/>
      <c r="Q297" s="29"/>
      <c r="R297" s="29"/>
      <c r="S297" s="18"/>
      <c r="T297" s="18"/>
      <c r="U297" s="18"/>
      <c r="V297" s="18"/>
      <c r="W297" s="18"/>
      <c r="X297" s="19"/>
      <c r="Y297" s="12"/>
      <c r="Z297" s="12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</row>
    <row r="298" spans="1:46" s="92" customFormat="1" ht="12.75" customHeight="1" x14ac:dyDescent="0.2">
      <c r="A298" s="38">
        <v>1</v>
      </c>
      <c r="B298" s="39"/>
      <c r="C298" s="39"/>
      <c r="D298" s="39"/>
      <c r="E298" s="39"/>
      <c r="F298" s="74"/>
      <c r="G298" s="125"/>
      <c r="H298" s="39"/>
      <c r="I298" s="39"/>
      <c r="J298" s="39"/>
      <c r="K298" s="29"/>
      <c r="L298" s="29"/>
      <c r="M298" s="29"/>
      <c r="N298" s="29"/>
      <c r="O298" s="29"/>
      <c r="P298" s="29"/>
      <c r="Q298" s="29"/>
      <c r="R298" s="29"/>
      <c r="S298" s="18"/>
      <c r="T298" s="18"/>
      <c r="U298" s="18"/>
      <c r="V298" s="18"/>
      <c r="W298" s="18"/>
      <c r="X298" s="19"/>
      <c r="Y298" s="12"/>
      <c r="Z298" s="12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</row>
    <row r="299" spans="1:46" s="92" customFormat="1" ht="12.75" customHeight="1" x14ac:dyDescent="0.2">
      <c r="A299" s="18">
        <v>2</v>
      </c>
      <c r="B299" s="39" t="s">
        <v>85</v>
      </c>
      <c r="C299" s="39"/>
      <c r="D299" s="39"/>
      <c r="E299" s="40">
        <f>G299*cpuF</f>
        <v>12</v>
      </c>
      <c r="F299" s="102"/>
      <c r="G299" s="125">
        <v>0.01</v>
      </c>
      <c r="H299" s="39">
        <v>0</v>
      </c>
      <c r="I299" s="39">
        <v>0</v>
      </c>
      <c r="J299" s="39">
        <v>0</v>
      </c>
      <c r="K299" s="29"/>
      <c r="L299" s="29"/>
      <c r="M299" s="29"/>
      <c r="N299" s="29"/>
      <c r="O299" s="29"/>
      <c r="P299" s="29"/>
      <c r="Q299" s="29"/>
      <c r="R299" s="29"/>
      <c r="S299" s="18"/>
      <c r="T299" s="18"/>
      <c r="U299" s="18"/>
      <c r="V299" s="18"/>
      <c r="W299" s="18"/>
      <c r="X299" s="19"/>
      <c r="Y299" s="12"/>
      <c r="Z299" s="12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</row>
    <row r="300" spans="1:46" s="92" customFormat="1" ht="12.75" customHeight="1" x14ac:dyDescent="0.2">
      <c r="A300" s="18">
        <v>3</v>
      </c>
      <c r="B300" s="39"/>
      <c r="C300" s="39"/>
      <c r="D300" s="39" t="s">
        <v>25</v>
      </c>
      <c r="E300" s="39">
        <f>IF(I2C_en="Enabled", I2C_Act_cvdd*I2C_util_per*i2c_num, 0)</f>
        <v>36</v>
      </c>
      <c r="F300" s="39">
        <f>IF(I2C_en="Enabled", I2C_Act_cvdd1*I2C_util_per, 0)</f>
        <v>0</v>
      </c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18"/>
      <c r="T300" s="18"/>
      <c r="U300" s="18"/>
      <c r="V300" s="18"/>
      <c r="W300" s="18"/>
      <c r="X300" s="19"/>
      <c r="Y300" s="12"/>
      <c r="Z300" s="12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</row>
    <row r="301" spans="1:46" s="92" customFormat="1" ht="12.75" customHeight="1" x14ac:dyDescent="0.2">
      <c r="A301" s="18"/>
      <c r="B301" s="39" t="s">
        <v>57</v>
      </c>
      <c r="C301" s="39"/>
      <c r="D301" s="39"/>
      <c r="E301" s="39">
        <f>IF(I2C_Act_total_cvdd&gt;0, I2C_Act_total_cvdd, 0)</f>
        <v>36</v>
      </c>
      <c r="F301" s="39">
        <f>IF(F300&gt;0, F300, 0)</f>
        <v>0</v>
      </c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18"/>
      <c r="T301" s="18"/>
      <c r="U301" s="18"/>
      <c r="V301" s="18"/>
      <c r="W301" s="18"/>
      <c r="X301" s="19"/>
      <c r="Y301" s="12"/>
      <c r="Z301" s="12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</row>
    <row r="304" spans="1:46" ht="15" x14ac:dyDescent="0.25">
      <c r="A304" s="234" t="s">
        <v>105</v>
      </c>
    </row>
    <row r="305" spans="1:53" s="92" customFormat="1" ht="12" customHeight="1" x14ac:dyDescent="0.2">
      <c r="A305" s="18"/>
      <c r="B305" s="142" t="s">
        <v>256</v>
      </c>
      <c r="C305" s="142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18"/>
      <c r="Z305" s="18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</row>
    <row r="306" spans="1:53" s="92" customFormat="1" ht="12" customHeight="1" x14ac:dyDescent="0.2">
      <c r="A306" s="18"/>
      <c r="B306" s="39" t="s">
        <v>105</v>
      </c>
      <c r="C306" s="39"/>
      <c r="D306" s="39"/>
      <c r="E306" s="84" t="s">
        <v>15</v>
      </c>
      <c r="F306" s="39" t="s">
        <v>16</v>
      </c>
      <c r="G306" s="386" t="s">
        <v>15</v>
      </c>
      <c r="H306" s="387"/>
      <c r="I306" s="386" t="s">
        <v>16</v>
      </c>
      <c r="J306" s="387"/>
      <c r="K306" s="29"/>
      <c r="L306" s="29"/>
      <c r="M306" s="29"/>
      <c r="N306" s="29"/>
      <c r="O306" s="29"/>
      <c r="P306" s="29"/>
      <c r="Q306" s="29"/>
      <c r="R306" s="18"/>
      <c r="S306" s="18"/>
      <c r="T306" s="18"/>
      <c r="U306" s="18"/>
      <c r="V306" s="18"/>
      <c r="W306" s="18"/>
      <c r="X306" s="19"/>
      <c r="Y306" s="12"/>
      <c r="Z306" s="12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</row>
    <row r="307" spans="1:53" s="92" customFormat="1" ht="12" customHeight="1" x14ac:dyDescent="0.2">
      <c r="A307" s="18"/>
      <c r="B307" s="39"/>
      <c r="C307" s="39"/>
      <c r="D307" s="39"/>
      <c r="E307" s="39"/>
      <c r="F307" s="39"/>
      <c r="G307" s="137" t="s">
        <v>230</v>
      </c>
      <c r="H307" s="137" t="s">
        <v>231</v>
      </c>
      <c r="I307" s="137" t="s">
        <v>230</v>
      </c>
      <c r="J307" s="137" t="s">
        <v>231</v>
      </c>
      <c r="K307" s="29"/>
      <c r="L307" s="29"/>
      <c r="M307" s="29"/>
      <c r="N307" s="29"/>
      <c r="O307" s="29"/>
      <c r="P307" s="29"/>
      <c r="Q307" s="29"/>
      <c r="R307" s="18"/>
      <c r="S307" s="18"/>
      <c r="T307" s="18"/>
      <c r="U307" s="18"/>
      <c r="V307" s="18"/>
      <c r="W307" s="18"/>
      <c r="X307" s="19"/>
      <c r="Y307" s="12"/>
      <c r="Z307" s="12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</row>
    <row r="308" spans="1:53" s="92" customFormat="1" ht="12" customHeight="1" x14ac:dyDescent="0.2">
      <c r="A308" s="18"/>
      <c r="B308" s="39" t="s">
        <v>82</v>
      </c>
      <c r="C308" s="39"/>
      <c r="D308" s="39"/>
      <c r="E308" s="27">
        <v>0</v>
      </c>
      <c r="F308" s="27">
        <v>0</v>
      </c>
      <c r="G308" s="125"/>
      <c r="H308" s="39"/>
      <c r="I308" s="39"/>
      <c r="J308" s="39"/>
      <c r="K308" s="29"/>
      <c r="L308" s="29"/>
      <c r="M308" s="29"/>
      <c r="N308" s="29"/>
      <c r="O308" s="29"/>
      <c r="P308" s="29"/>
      <c r="Q308" s="29"/>
      <c r="R308" s="18"/>
      <c r="S308" s="18"/>
      <c r="T308" s="18"/>
      <c r="U308" s="18"/>
      <c r="V308" s="18"/>
      <c r="W308" s="18"/>
      <c r="X308" s="19"/>
      <c r="Y308" s="12"/>
      <c r="Z308" s="12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</row>
    <row r="309" spans="1:53" s="92" customFormat="1" ht="12" customHeight="1" x14ac:dyDescent="0.2">
      <c r="A309" s="38" t="s">
        <v>106</v>
      </c>
      <c r="B309" s="39"/>
      <c r="C309" s="39"/>
      <c r="D309" s="39" t="s">
        <v>107</v>
      </c>
      <c r="E309" s="109">
        <v>0</v>
      </c>
      <c r="F309" s="109">
        <v>0</v>
      </c>
      <c r="G309" s="125">
        <v>0</v>
      </c>
      <c r="H309" s="39">
        <v>0</v>
      </c>
      <c r="I309" s="39">
        <v>0</v>
      </c>
      <c r="J309" s="39">
        <v>0</v>
      </c>
      <c r="K309" s="29"/>
      <c r="L309" s="29"/>
      <c r="M309" s="29"/>
      <c r="N309" s="29"/>
      <c r="O309" s="29"/>
      <c r="P309" s="29"/>
      <c r="Q309" s="29"/>
      <c r="R309" s="18"/>
      <c r="S309" s="18"/>
      <c r="T309" s="18"/>
      <c r="U309" s="18"/>
      <c r="V309" s="18"/>
      <c r="W309" s="18"/>
      <c r="X309" s="19"/>
      <c r="Y309" s="12"/>
      <c r="Z309" s="12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</row>
    <row r="310" spans="1:53" s="92" customFormat="1" ht="12" customHeight="1" x14ac:dyDescent="0.2">
      <c r="A310" s="65">
        <f>MSMC_util/100</f>
        <v>1</v>
      </c>
      <c r="B310" s="39"/>
      <c r="C310" s="39"/>
      <c r="D310" s="39"/>
      <c r="E310" s="39"/>
      <c r="F310" s="39"/>
      <c r="G310" s="125"/>
      <c r="H310" s="39"/>
      <c r="I310" s="39"/>
      <c r="J310" s="39"/>
      <c r="K310" s="29"/>
      <c r="L310" s="29"/>
      <c r="M310" s="29"/>
      <c r="N310" s="29"/>
      <c r="O310" s="29"/>
      <c r="P310" s="29"/>
      <c r="Q310" s="29"/>
      <c r="R310" s="18"/>
      <c r="S310" s="18"/>
      <c r="T310" s="18"/>
      <c r="U310" s="18"/>
      <c r="V310" s="18"/>
      <c r="W310" s="18"/>
      <c r="X310" s="19"/>
      <c r="Y310" s="12"/>
      <c r="Z310" s="12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</row>
    <row r="311" spans="1:53" s="92" customFormat="1" ht="12" customHeight="1" x14ac:dyDescent="0.2">
      <c r="A311" s="18"/>
      <c r="B311" s="31"/>
      <c r="C311" s="31"/>
      <c r="D311" s="31" t="s">
        <v>84</v>
      </c>
      <c r="E311" s="31">
        <f>IF(E309-E308&gt;0, E309-E308, 0)</f>
        <v>0</v>
      </c>
      <c r="F311" s="31">
        <f>IF(F309-F308&gt;0, F309-F308, 0)</f>
        <v>0</v>
      </c>
      <c r="G311" s="125"/>
      <c r="H311" s="39"/>
      <c r="I311" s="39"/>
      <c r="J311" s="39"/>
      <c r="K311" s="29"/>
      <c r="L311" s="29"/>
      <c r="M311" s="29"/>
      <c r="N311" s="29"/>
      <c r="O311" s="29"/>
      <c r="P311" s="29"/>
      <c r="Q311" s="29"/>
      <c r="R311" s="18"/>
      <c r="S311" s="18"/>
      <c r="T311" s="18"/>
      <c r="U311" s="18"/>
      <c r="V311" s="18"/>
      <c r="W311" s="18"/>
      <c r="X311" s="19"/>
      <c r="Y311" s="12"/>
      <c r="Z311" s="12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</row>
    <row r="312" spans="1:53" s="92" customFormat="1" ht="12" customHeight="1" x14ac:dyDescent="0.2">
      <c r="A312" s="18"/>
      <c r="B312" s="39"/>
      <c r="C312" s="39"/>
      <c r="D312" s="39" t="s">
        <v>108</v>
      </c>
      <c r="E312" s="39"/>
      <c r="F312" s="39"/>
      <c r="G312" s="125"/>
      <c r="H312" s="39"/>
      <c r="I312" s="39"/>
      <c r="J312" s="39"/>
      <c r="K312" s="29"/>
      <c r="L312" s="29"/>
      <c r="M312" s="29"/>
      <c r="N312" s="29"/>
      <c r="O312" s="29"/>
      <c r="P312" s="29"/>
      <c r="Q312" s="29"/>
      <c r="R312" s="18"/>
      <c r="S312" s="18"/>
      <c r="T312" s="18"/>
      <c r="U312" s="18"/>
      <c r="V312" s="18"/>
      <c r="W312" s="18"/>
      <c r="X312" s="19"/>
      <c r="Y312" s="12"/>
      <c r="Z312" s="12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</row>
    <row r="313" spans="1:53" s="92" customFormat="1" ht="12" customHeight="1" x14ac:dyDescent="0.2">
      <c r="A313" s="18"/>
      <c r="B313" s="39" t="s">
        <v>85</v>
      </c>
      <c r="C313" s="39"/>
      <c r="D313" s="39"/>
      <c r="E313" s="40">
        <f xml:space="preserve"> G313*cpuF +H313</f>
        <v>928.88380899189326</v>
      </c>
      <c r="F313" s="40">
        <f xml:space="preserve"> I313*cpuF +J313</f>
        <v>12.893868346498612</v>
      </c>
      <c r="G313" s="125">
        <v>0.7335854451003001</v>
      </c>
      <c r="H313" s="39">
        <v>48.581274871533083</v>
      </c>
      <c r="I313" s="39">
        <v>1.1857826092656225E-2</v>
      </c>
      <c r="J313" s="39">
        <v>-1.3355229646888578</v>
      </c>
      <c r="K313" s="29"/>
      <c r="L313" s="29"/>
      <c r="M313" s="29"/>
      <c r="N313" s="29"/>
      <c r="O313" s="29"/>
      <c r="P313" s="29"/>
      <c r="Q313" s="29"/>
      <c r="R313" s="18"/>
      <c r="S313" s="18"/>
      <c r="T313" s="18"/>
      <c r="U313" s="18"/>
      <c r="V313" s="18"/>
      <c r="W313" s="18"/>
      <c r="X313" s="19"/>
      <c r="Y313" s="12"/>
      <c r="Z313" s="12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</row>
    <row r="314" spans="1:53" s="92" customFormat="1" ht="12" customHeight="1" x14ac:dyDescent="0.2">
      <c r="A314" s="18"/>
      <c r="B314" s="39"/>
      <c r="C314" s="39"/>
      <c r="D314" s="39" t="s">
        <v>25</v>
      </c>
      <c r="E314" s="39">
        <f>IF(MSMC_enable="Enabled", MSMC_act_cvdd*MSMC_util_per, 0)</f>
        <v>928.88380899189326</v>
      </c>
      <c r="F314" s="39">
        <f>IF(MSMC_enable="Enabled", MSMC_act_cvdd1*MSMC_util_per, 0)</f>
        <v>12.893868346498612</v>
      </c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18"/>
      <c r="S314" s="18"/>
      <c r="T314" s="18"/>
      <c r="U314" s="18"/>
      <c r="V314" s="18"/>
      <c r="W314" s="18"/>
      <c r="X314" s="19"/>
      <c r="Y314" s="12"/>
      <c r="Z314" s="12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</row>
    <row r="315" spans="1:53" s="92" customFormat="1" ht="12" customHeight="1" x14ac:dyDescent="0.2">
      <c r="A315" s="18"/>
      <c r="B315" s="39" t="s">
        <v>57</v>
      </c>
      <c r="C315" s="39"/>
      <c r="D315" s="39"/>
      <c r="E315" s="39">
        <f>IF(E314&gt;0, E314, 0)</f>
        <v>928.88380899189326</v>
      </c>
      <c r="F315" s="39">
        <f>IF(F314&gt;0, F314, 0)</f>
        <v>12.893868346498612</v>
      </c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18"/>
      <c r="S315" s="18"/>
      <c r="T315" s="18"/>
      <c r="U315" s="18"/>
      <c r="V315" s="18"/>
      <c r="W315" s="18"/>
      <c r="X315" s="19"/>
      <c r="Y315" s="12"/>
      <c r="Z315" s="12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</row>
    <row r="317" spans="1:53" x14ac:dyDescent="0.2">
      <c r="E317" s="90" t="s">
        <v>164</v>
      </c>
      <c r="F317" s="91" t="s">
        <v>165</v>
      </c>
      <c r="G317" s="92"/>
      <c r="H317" s="92" t="s">
        <v>81</v>
      </c>
    </row>
    <row r="318" spans="1:53" x14ac:dyDescent="0.2">
      <c r="F318" s="94">
        <f>pass_util/100</f>
        <v>1</v>
      </c>
      <c r="G318" s="94"/>
      <c r="H318" s="94">
        <f>1</f>
        <v>1</v>
      </c>
    </row>
    <row r="319" spans="1:53" ht="15" x14ac:dyDescent="0.25">
      <c r="A319" s="234" t="s">
        <v>234</v>
      </c>
      <c r="B319" s="142" t="s">
        <v>251</v>
      </c>
    </row>
    <row r="320" spans="1:53" x14ac:dyDescent="0.2">
      <c r="A320" s="92"/>
      <c r="B320" s="125" t="s">
        <v>166</v>
      </c>
      <c r="C320" s="125"/>
      <c r="D320" s="136"/>
      <c r="E320" s="84" t="s">
        <v>15</v>
      </c>
      <c r="F320" s="39" t="s">
        <v>16</v>
      </c>
      <c r="G320" s="137" t="s">
        <v>292</v>
      </c>
      <c r="H320" s="137" t="s">
        <v>293</v>
      </c>
      <c r="I320" s="386" t="s">
        <v>15</v>
      </c>
      <c r="J320" s="387"/>
      <c r="K320" s="255" t="s">
        <v>16</v>
      </c>
      <c r="L320" s="256"/>
      <c r="M320" s="386" t="s">
        <v>292</v>
      </c>
      <c r="N320" s="387"/>
      <c r="O320" s="255" t="s">
        <v>293</v>
      </c>
      <c r="P320" s="256"/>
      <c r="X320" s="93"/>
      <c r="Y320" s="89"/>
      <c r="Z320" s="89"/>
    </row>
    <row r="321" spans="1:53" x14ac:dyDescent="0.2">
      <c r="A321" s="92"/>
      <c r="B321" s="136"/>
      <c r="C321" s="136"/>
      <c r="D321" s="136"/>
      <c r="E321" s="136"/>
      <c r="F321" s="136"/>
      <c r="I321" s="137" t="s">
        <v>230</v>
      </c>
      <c r="J321" s="137" t="s">
        <v>231</v>
      </c>
      <c r="K321" s="137" t="s">
        <v>230</v>
      </c>
      <c r="L321" s="137" t="s">
        <v>231</v>
      </c>
      <c r="M321" s="137" t="s">
        <v>230</v>
      </c>
      <c r="N321" s="137" t="s">
        <v>231</v>
      </c>
      <c r="O321" s="137" t="s">
        <v>230</v>
      </c>
      <c r="P321" s="137" t="s">
        <v>231</v>
      </c>
      <c r="X321" s="93"/>
      <c r="Y321" s="89"/>
      <c r="Z321" s="89"/>
    </row>
    <row r="322" spans="1:53" x14ac:dyDescent="0.2">
      <c r="A322" s="92"/>
      <c r="B322" s="136" t="s">
        <v>82</v>
      </c>
      <c r="C322" s="136"/>
      <c r="D322" s="136"/>
      <c r="E322" s="110">
        <v>0</v>
      </c>
      <c r="F322" s="110">
        <v>0</v>
      </c>
      <c r="G322" s="90">
        <v>0</v>
      </c>
      <c r="H322" s="90">
        <v>0</v>
      </c>
      <c r="I322" s="136"/>
      <c r="J322" s="136"/>
      <c r="K322" s="136"/>
      <c r="L322" s="136"/>
      <c r="X322" s="93"/>
      <c r="Y322" s="89"/>
      <c r="Z322" s="89"/>
    </row>
    <row r="323" spans="1:53" x14ac:dyDescent="0.2">
      <c r="A323" s="95"/>
      <c r="B323" s="136" t="s">
        <v>83</v>
      </c>
      <c r="C323" s="136"/>
      <c r="D323" s="136"/>
      <c r="E323" s="145">
        <f xml:space="preserve"> I323*cpuF +J323</f>
        <v>18.027999999999999</v>
      </c>
      <c r="F323" s="145">
        <f xml:space="preserve"> K323*cpuF+L323</f>
        <v>0.3024</v>
      </c>
      <c r="G323" s="90">
        <f>M323</f>
        <v>143.6397</v>
      </c>
      <c r="H323" s="90">
        <f>O323</f>
        <v>122.7968</v>
      </c>
      <c r="I323" s="136">
        <v>3.39E-2</v>
      </c>
      <c r="J323" s="136">
        <v>-22.652000000000001</v>
      </c>
      <c r="K323" s="136">
        <v>2.52E-4</v>
      </c>
      <c r="L323" s="136">
        <v>0</v>
      </c>
      <c r="M323" s="90">
        <f>IF(PASS_en="Enabled",143.6397,IF(sb="reset",106.1,4.2))</f>
        <v>143.6397</v>
      </c>
      <c r="N323" s="90">
        <v>0</v>
      </c>
      <c r="O323" s="90">
        <f>IF(PASS_en="Enabled",122.7968,IF(sb="reset",39.3,13.3))</f>
        <v>122.7968</v>
      </c>
      <c r="P323" s="90">
        <v>0</v>
      </c>
      <c r="R323" s="335"/>
      <c r="S323" s="335"/>
      <c r="T323" s="340" t="s">
        <v>15</v>
      </c>
      <c r="U323" s="336" t="s">
        <v>16</v>
      </c>
      <c r="V323" s="336" t="s">
        <v>17</v>
      </c>
      <c r="W323" s="336" t="s">
        <v>18</v>
      </c>
      <c r="X323" s="336" t="s">
        <v>174</v>
      </c>
      <c r="Y323" s="336" t="s">
        <v>292</v>
      </c>
      <c r="Z323" s="336" t="s">
        <v>293</v>
      </c>
    </row>
    <row r="324" spans="1:53" x14ac:dyDescent="0.2">
      <c r="B324" s="136"/>
      <c r="C324" s="136"/>
      <c r="D324" s="136" t="s">
        <v>84</v>
      </c>
      <c r="E324" s="113">
        <f>IF(PASS_en="Enabled",E323,0)</f>
        <v>18.027999999999999</v>
      </c>
      <c r="F324" s="113">
        <f>IF(PASS_en="Enabled",F323,0)</f>
        <v>0.3024</v>
      </c>
      <c r="G324" s="113">
        <f>G323</f>
        <v>143.6397</v>
      </c>
      <c r="H324" s="113">
        <f>H323</f>
        <v>122.7968</v>
      </c>
      <c r="R324" s="338" t="s">
        <v>430</v>
      </c>
      <c r="S324" s="335"/>
      <c r="T324" s="338">
        <f>NETCP_Idle_CVDD/mW_mA_sel_cvdd</f>
        <v>21.20941176470588</v>
      </c>
      <c r="U324" s="338">
        <f>NETCP_IDLE_CVDD1/mW_mA_sel_cvdd1</f>
        <v>0.31831578947368422</v>
      </c>
      <c r="V324" s="338">
        <v>0</v>
      </c>
      <c r="W324" s="342">
        <f>Y324</f>
        <v>79.799833333333339</v>
      </c>
      <c r="X324" s="339">
        <v>0</v>
      </c>
      <c r="Y324" s="337">
        <f>pa_idle_tot_vddahv/mW_mA_sel_vddahv</f>
        <v>79.799833333333339</v>
      </c>
      <c r="Z324" s="337">
        <f>pa_idle_tot_vddalh/mW_mA_sel_vddalh</f>
        <v>144.46682352941178</v>
      </c>
    </row>
    <row r="325" spans="1:53" x14ac:dyDescent="0.2">
      <c r="B325" s="136" t="s">
        <v>85</v>
      </c>
      <c r="C325" s="136"/>
      <c r="D325" s="136"/>
      <c r="E325" s="136"/>
      <c r="F325" s="136"/>
      <c r="X325" s="93"/>
      <c r="Y325" s="89"/>
      <c r="Z325" s="89"/>
    </row>
    <row r="326" spans="1:53" x14ac:dyDescent="0.2">
      <c r="B326" s="136"/>
      <c r="C326" s="136"/>
      <c r="D326" s="136" t="s">
        <v>164</v>
      </c>
      <c r="E326" s="112">
        <f>I326*cpuF+J326</f>
        <v>694.8</v>
      </c>
      <c r="F326" s="145">
        <f xml:space="preserve"> K326*cpuF+L326</f>
        <v>116.4</v>
      </c>
      <c r="G326" s="90">
        <v>0</v>
      </c>
      <c r="H326" s="90">
        <v>0</v>
      </c>
      <c r="I326" s="90">
        <v>0.57899999999999996</v>
      </c>
      <c r="J326" s="90">
        <v>0</v>
      </c>
      <c r="K326" s="90">
        <v>9.7000000000000003E-2</v>
      </c>
      <c r="L326" s="90">
        <v>0</v>
      </c>
      <c r="M326" s="90">
        <v>0</v>
      </c>
      <c r="N326" s="90">
        <v>0</v>
      </c>
      <c r="O326" s="90">
        <v>0</v>
      </c>
      <c r="P326" s="90">
        <v>0</v>
      </c>
      <c r="X326" s="93"/>
      <c r="Y326" s="89"/>
      <c r="Z326" s="89"/>
    </row>
    <row r="327" spans="1:53" x14ac:dyDescent="0.2">
      <c r="B327" s="136"/>
      <c r="C327" s="136"/>
      <c r="D327" s="125"/>
      <c r="E327" s="112"/>
      <c r="F327" s="112"/>
      <c r="X327" s="93"/>
      <c r="Y327" s="89"/>
      <c r="Z327" s="89"/>
    </row>
    <row r="328" spans="1:53" x14ac:dyDescent="0.2">
      <c r="B328" s="136"/>
      <c r="C328" s="136"/>
      <c r="D328" s="125"/>
      <c r="E328" s="112"/>
      <c r="F328" s="112"/>
      <c r="X328" s="93"/>
      <c r="Y328" s="89"/>
      <c r="Z328" s="89"/>
    </row>
    <row r="329" spans="1:53" x14ac:dyDescent="0.2">
      <c r="B329" s="136"/>
      <c r="C329" s="136"/>
      <c r="D329" s="136" t="s">
        <v>25</v>
      </c>
      <c r="E329" s="136">
        <f>IF(pass_mode="PA", PA_Act_CVDD, IF(pass_mode="PA+SA", PA_Act_CVDD+SA_ACT_CVDD, IF(pass_mode="PA+SGMII", PA_Act_CVDD+SGMII_ACT_CVDD,IF(pass_mode="PA+SA+SGMII", PA_Act_CVDD+SA_ACT_CVDD+SGMII_ACT_CVDD,0))))</f>
        <v>694.8</v>
      </c>
      <c r="F329" s="137">
        <f>IF(pass_mode="PA", PA_ACT_CVDD1, IF(pass_mode="PA+SA", PA_ACT_CVDD1+SA_ACT_CVDD1, IF(pass_mode="PA+SGMII", PA_ACT_CVDD1+SGMII_Act_CVDD1,IF(pass_mode="PA+SA+SGMII", PA_ACT_CVDD1+SA_ACT_CVDD1+SGMII_Act_CVDD1,0))))</f>
        <v>116.4</v>
      </c>
      <c r="X329" s="93"/>
      <c r="Y329" s="89"/>
      <c r="Z329" s="89"/>
    </row>
    <row r="330" spans="1:53" x14ac:dyDescent="0.2">
      <c r="B330" s="136"/>
      <c r="C330" s="136"/>
      <c r="D330" s="125" t="s">
        <v>86</v>
      </c>
      <c r="E330" s="137">
        <f>IF(PASS_en="Enabled", pass_act_tot_cvdd*pass_util_per*pass_switch_per, 0)</f>
        <v>694.8</v>
      </c>
      <c r="F330" s="137">
        <f>IF(PASS_en="Enabled", pass_act_tot_cvdd1*pass_util_per*pass_switch_per, 0)</f>
        <v>116.4</v>
      </c>
      <c r="X330" s="93"/>
      <c r="Y330" s="89"/>
      <c r="Z330" s="89"/>
    </row>
    <row r="331" spans="1:53" x14ac:dyDescent="0.2">
      <c r="B331" s="136" t="s">
        <v>57</v>
      </c>
      <c r="C331" s="136"/>
      <c r="D331" s="136"/>
      <c r="E331" s="137">
        <f>IF(E330&gt;0, E330, 0)</f>
        <v>694.8</v>
      </c>
      <c r="F331" s="137">
        <f>IF(F330&gt;0, F330, 0)</f>
        <v>116.4</v>
      </c>
      <c r="X331" s="93"/>
      <c r="Y331" s="89"/>
      <c r="Z331" s="89"/>
    </row>
    <row r="334" spans="1:53" ht="15" x14ac:dyDescent="0.25">
      <c r="A334" s="234" t="s">
        <v>110</v>
      </c>
    </row>
    <row r="335" spans="1:53" s="92" customFormat="1" ht="12" customHeight="1" x14ac:dyDescent="0.2">
      <c r="A335" s="18"/>
      <c r="B335" s="142" t="s">
        <v>251</v>
      </c>
      <c r="C335" s="25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18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</row>
    <row r="336" spans="1:53" s="92" customFormat="1" ht="12" customHeight="1" x14ac:dyDescent="0.2">
      <c r="A336" s="18"/>
      <c r="B336" s="39" t="s">
        <v>112</v>
      </c>
      <c r="C336" s="39"/>
      <c r="D336" s="39"/>
      <c r="E336" s="84" t="s">
        <v>15</v>
      </c>
      <c r="F336" s="39" t="s">
        <v>16</v>
      </c>
      <c r="G336" s="386" t="s">
        <v>15</v>
      </c>
      <c r="H336" s="387"/>
      <c r="I336" s="386" t="s">
        <v>16</v>
      </c>
      <c r="J336" s="387"/>
      <c r="K336" s="29"/>
      <c r="L336" s="29"/>
      <c r="M336" s="29"/>
      <c r="N336" s="29"/>
      <c r="O336" s="29"/>
      <c r="P336" s="29"/>
      <c r="Q336" s="29"/>
      <c r="R336" s="29"/>
      <c r="S336" s="18"/>
      <c r="T336" s="18"/>
      <c r="U336" s="18"/>
      <c r="V336" s="18"/>
      <c r="W336" s="18"/>
      <c r="X336" s="19"/>
      <c r="Y336" s="12"/>
      <c r="Z336" s="12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</row>
    <row r="337" spans="1:46" s="92" customFormat="1" ht="12" customHeight="1" x14ac:dyDescent="0.2">
      <c r="A337" s="18"/>
      <c r="B337" s="39"/>
      <c r="C337" s="39"/>
      <c r="D337" s="39"/>
      <c r="E337" s="39"/>
      <c r="F337" s="39"/>
      <c r="G337" s="137" t="s">
        <v>230</v>
      </c>
      <c r="H337" s="137" t="s">
        <v>231</v>
      </c>
      <c r="I337" s="137" t="s">
        <v>230</v>
      </c>
      <c r="J337" s="137" t="s">
        <v>231</v>
      </c>
      <c r="K337" s="29"/>
      <c r="L337" s="29"/>
      <c r="M337" s="29"/>
      <c r="N337" s="29"/>
      <c r="O337" s="29"/>
      <c r="P337" s="29"/>
      <c r="Q337" s="29"/>
      <c r="R337" s="29"/>
      <c r="S337" s="18"/>
      <c r="T337" s="18"/>
      <c r="U337" s="18"/>
      <c r="V337" s="18"/>
      <c r="W337" s="18"/>
      <c r="X337" s="19"/>
      <c r="Y337" s="12"/>
      <c r="Z337" s="12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</row>
    <row r="338" spans="1:46" s="92" customFormat="1" ht="12" customHeight="1" x14ac:dyDescent="0.2">
      <c r="A338" s="18"/>
      <c r="B338" s="39" t="s">
        <v>82</v>
      </c>
      <c r="C338" s="39"/>
      <c r="D338" s="39"/>
      <c r="E338" s="61">
        <f>sub_comp_cvdd</f>
        <v>0</v>
      </c>
      <c r="F338" s="62">
        <f>sub_comp_cvdd1</f>
        <v>250.22892778684499</v>
      </c>
      <c r="G338" s="125"/>
      <c r="H338" s="39"/>
      <c r="I338" s="39"/>
      <c r="J338" s="39"/>
      <c r="K338" s="29"/>
      <c r="L338" s="29"/>
      <c r="M338" s="29"/>
      <c r="N338" s="29"/>
      <c r="O338" s="29"/>
      <c r="P338" s="29"/>
      <c r="Q338" s="29"/>
      <c r="R338" s="29"/>
      <c r="S338" s="18"/>
      <c r="T338" s="18"/>
      <c r="U338" s="18"/>
      <c r="V338" s="18"/>
      <c r="W338" s="18"/>
      <c r="X338" s="19"/>
      <c r="Y338" s="12"/>
      <c r="Z338" s="12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</row>
    <row r="339" spans="1:46" s="92" customFormat="1" ht="12" customHeight="1" x14ac:dyDescent="0.2">
      <c r="A339" s="18"/>
      <c r="B339" s="39" t="s">
        <v>83</v>
      </c>
      <c r="C339" s="39"/>
      <c r="D339" s="39"/>
      <c r="E339" s="40">
        <f xml:space="preserve"> G339*cpuF + H339</f>
        <v>0</v>
      </c>
      <c r="F339" s="40">
        <f>I339*cpuF + J339</f>
        <v>0</v>
      </c>
      <c r="G339" s="125">
        <v>0</v>
      </c>
      <c r="H339" s="39">
        <v>0</v>
      </c>
      <c r="I339" s="39">
        <v>0</v>
      </c>
      <c r="J339" s="39">
        <v>0</v>
      </c>
      <c r="K339" s="29"/>
      <c r="L339" s="29"/>
      <c r="M339" s="29"/>
      <c r="N339" s="29"/>
      <c r="O339" s="29"/>
      <c r="P339" s="29"/>
      <c r="Q339" s="29"/>
      <c r="R339" s="29"/>
      <c r="S339" s="18"/>
      <c r="T339" s="18"/>
      <c r="U339" s="18"/>
      <c r="V339" s="18"/>
      <c r="W339" s="18"/>
      <c r="X339" s="19"/>
      <c r="Y339" s="12"/>
      <c r="Z339" s="12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</row>
    <row r="340" spans="1:46" s="92" customFormat="1" ht="12" customHeight="1" x14ac:dyDescent="0.2">
      <c r="A340" s="18"/>
      <c r="B340" s="31"/>
      <c r="C340" s="31"/>
      <c r="D340" s="31" t="s">
        <v>84</v>
      </c>
      <c r="E340" s="31">
        <f>IF(QM_clock_cvdd-E338&gt;0,QM_clock_cvdd-E338,0)</f>
        <v>0</v>
      </c>
      <c r="F340" s="31">
        <f>IF(QM_clock_cvdd1-F338&gt;0,QM_clock_cvdd1-F338,0)</f>
        <v>0</v>
      </c>
      <c r="G340" s="125"/>
      <c r="H340" s="39"/>
      <c r="I340" s="39"/>
      <c r="J340" s="39"/>
      <c r="K340" s="29"/>
      <c r="L340" s="29"/>
      <c r="M340" s="29"/>
      <c r="N340" s="29"/>
      <c r="O340" s="29"/>
      <c r="P340" s="29"/>
      <c r="Q340" s="29"/>
      <c r="R340" s="29"/>
      <c r="S340" s="18"/>
      <c r="T340" s="18"/>
      <c r="U340" s="18"/>
      <c r="V340" s="18"/>
      <c r="W340" s="18"/>
      <c r="X340" s="19"/>
      <c r="Y340" s="12"/>
      <c r="Z340" s="12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</row>
    <row r="341" spans="1:46" s="92" customFormat="1" ht="12" customHeight="1" x14ac:dyDescent="0.2">
      <c r="A341" s="38" t="s">
        <v>111</v>
      </c>
      <c r="B341" s="39"/>
      <c r="C341" s="39"/>
      <c r="D341" s="39"/>
      <c r="E341" s="39"/>
      <c r="F341" s="39"/>
      <c r="G341" s="125"/>
      <c r="H341" s="39"/>
      <c r="I341" s="39"/>
      <c r="J341" s="39"/>
      <c r="K341" s="29"/>
      <c r="L341" s="29"/>
      <c r="M341" s="29"/>
      <c r="N341" s="29"/>
      <c r="O341" s="29"/>
      <c r="P341" s="29"/>
      <c r="Q341" s="29"/>
      <c r="R341" s="29"/>
      <c r="S341" s="18"/>
      <c r="T341" s="18"/>
      <c r="U341" s="18"/>
      <c r="V341" s="18"/>
      <c r="W341" s="18"/>
      <c r="X341" s="19"/>
      <c r="Y341" s="12"/>
      <c r="Z341" s="12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</row>
    <row r="342" spans="1:46" s="92" customFormat="1" ht="12" customHeight="1" x14ac:dyDescent="0.2">
      <c r="A342" s="65">
        <f>QM_util/100</f>
        <v>0.4</v>
      </c>
      <c r="B342" s="39" t="s">
        <v>85</v>
      </c>
      <c r="C342" s="39"/>
      <c r="D342" s="39" t="s">
        <v>49</v>
      </c>
      <c r="E342" s="39"/>
      <c r="F342" s="39"/>
      <c r="G342" s="125"/>
      <c r="H342" s="39"/>
      <c r="I342" s="39"/>
      <c r="J342" s="39"/>
      <c r="K342" s="29"/>
      <c r="L342" s="29"/>
      <c r="M342" s="29"/>
      <c r="N342" s="29"/>
      <c r="O342" s="29"/>
      <c r="P342" s="29"/>
      <c r="Q342" s="29"/>
      <c r="R342" s="29"/>
      <c r="S342" s="18"/>
      <c r="T342" s="18"/>
      <c r="U342" s="18"/>
      <c r="V342" s="18"/>
      <c r="W342" s="18"/>
      <c r="X342" s="19"/>
      <c r="Y342" s="12"/>
      <c r="Z342" s="12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</row>
    <row r="343" spans="1:46" s="92" customFormat="1" ht="12" customHeight="1" x14ac:dyDescent="0.2">
      <c r="A343" s="18"/>
      <c r="B343" s="39"/>
      <c r="C343" s="39"/>
      <c r="D343" s="39" t="s">
        <v>113</v>
      </c>
      <c r="E343" s="39">
        <f xml:space="preserve"> G343*cpuF +H343</f>
        <v>0</v>
      </c>
      <c r="F343" s="39">
        <f xml:space="preserve"> I343*cpuF+J343</f>
        <v>0</v>
      </c>
      <c r="G343" s="125">
        <v>0</v>
      </c>
      <c r="H343" s="39">
        <v>0</v>
      </c>
      <c r="I343" s="39">
        <v>0</v>
      </c>
      <c r="J343" s="39">
        <v>0</v>
      </c>
      <c r="K343" s="29"/>
      <c r="L343" s="29"/>
      <c r="M343" s="29"/>
      <c r="N343" s="29"/>
      <c r="O343" s="29"/>
      <c r="P343" s="29"/>
      <c r="Q343" s="29"/>
      <c r="R343" s="29"/>
      <c r="S343" s="18"/>
      <c r="T343" s="18"/>
      <c r="U343" s="18"/>
      <c r="V343" s="18"/>
      <c r="W343" s="18"/>
      <c r="X343" s="19"/>
      <c r="Y343" s="12"/>
      <c r="Z343" s="12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</row>
    <row r="344" spans="1:46" s="92" customFormat="1" ht="12" customHeight="1" x14ac:dyDescent="0.2">
      <c r="A344" s="18"/>
      <c r="B344" s="39"/>
      <c r="C344" s="39"/>
      <c r="D344" s="39" t="s">
        <v>114</v>
      </c>
      <c r="E344" s="39">
        <f xml:space="preserve"> G344*cpuF+H344</f>
        <v>0</v>
      </c>
      <c r="F344" s="39">
        <f xml:space="preserve">  I344*cpuF + J344</f>
        <v>0</v>
      </c>
      <c r="G344" s="125">
        <v>0</v>
      </c>
      <c r="H344" s="39">
        <v>0</v>
      </c>
      <c r="I344" s="39">
        <v>0</v>
      </c>
      <c r="J344" s="39">
        <v>0</v>
      </c>
      <c r="K344" s="29"/>
      <c r="L344" s="29"/>
      <c r="M344" s="29"/>
      <c r="N344" s="29"/>
      <c r="O344" s="29"/>
      <c r="P344" s="29"/>
      <c r="Q344" s="29"/>
      <c r="R344" s="29"/>
      <c r="S344" s="18"/>
      <c r="T344" s="18"/>
      <c r="U344" s="18"/>
      <c r="V344" s="18"/>
      <c r="W344" s="18"/>
      <c r="X344" s="19"/>
      <c r="Y344" s="12"/>
      <c r="Z344" s="12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</row>
    <row r="345" spans="1:46" s="92" customFormat="1" ht="12" customHeight="1" x14ac:dyDescent="0.2">
      <c r="A345" s="18"/>
      <c r="B345" s="39"/>
      <c r="C345" s="39"/>
      <c r="D345" s="39" t="s">
        <v>115</v>
      </c>
      <c r="E345" s="39">
        <f xml:space="preserve"> G345*cpuF+H345</f>
        <v>0</v>
      </c>
      <c r="F345" s="39">
        <f xml:space="preserve"> I345*cpuF + J345</f>
        <v>0</v>
      </c>
      <c r="G345" s="125">
        <v>0</v>
      </c>
      <c r="H345" s="39">
        <v>0</v>
      </c>
      <c r="I345" s="39">
        <v>0</v>
      </c>
      <c r="J345" s="39">
        <v>0</v>
      </c>
      <c r="K345" s="29"/>
      <c r="L345" s="29"/>
      <c r="M345" s="29"/>
      <c r="N345" s="29"/>
      <c r="O345" s="29"/>
      <c r="P345" s="29"/>
      <c r="Q345" s="29"/>
      <c r="R345" s="29"/>
      <c r="S345" s="18"/>
      <c r="T345" s="18"/>
      <c r="U345" s="18"/>
      <c r="V345" s="18"/>
      <c r="W345" s="18"/>
      <c r="X345" s="19"/>
      <c r="Y345" s="12"/>
      <c r="Z345" s="12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</row>
    <row r="346" spans="1:46" s="92" customFormat="1" ht="12" customHeight="1" x14ac:dyDescent="0.2">
      <c r="A346" s="18"/>
      <c r="B346" s="39" t="s">
        <v>116</v>
      </c>
      <c r="C346" s="39"/>
      <c r="D346" s="39"/>
      <c r="E346" s="40">
        <f xml:space="preserve"> G346*cpuF + H346</f>
        <v>252</v>
      </c>
      <c r="F346" s="40">
        <f>I346*cpuF + J346</f>
        <v>49.2</v>
      </c>
      <c r="G346" s="125">
        <v>0.21</v>
      </c>
      <c r="H346" s="39">
        <v>0</v>
      </c>
      <c r="I346" s="39">
        <v>4.1000000000000002E-2</v>
      </c>
      <c r="J346" s="39">
        <v>0</v>
      </c>
      <c r="K346" s="29"/>
      <c r="L346" s="29"/>
      <c r="M346" s="29"/>
      <c r="N346" s="29"/>
      <c r="O346" s="29"/>
      <c r="P346" s="29"/>
      <c r="Q346" s="29"/>
      <c r="R346" s="29"/>
      <c r="S346" s="18"/>
      <c r="T346" s="18"/>
      <c r="U346" s="18"/>
      <c r="V346" s="18"/>
      <c r="W346" s="18"/>
      <c r="X346" s="19"/>
      <c r="Y346" s="12"/>
      <c r="Z346" s="12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</row>
    <row r="347" spans="1:46" s="92" customFormat="1" ht="12" customHeight="1" x14ac:dyDescent="0.2">
      <c r="A347" s="18"/>
      <c r="B347" s="39"/>
      <c r="C347" s="39"/>
      <c r="D347" s="39"/>
      <c r="E347" s="39"/>
      <c r="F347" s="3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18"/>
      <c r="T347" s="18"/>
      <c r="U347" s="18"/>
      <c r="V347" s="18"/>
      <c r="W347" s="18"/>
      <c r="X347" s="19"/>
      <c r="Y347" s="12"/>
      <c r="Z347" s="12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</row>
    <row r="348" spans="1:46" s="92" customFormat="1" ht="12" customHeight="1" x14ac:dyDescent="0.2">
      <c r="A348" s="18"/>
      <c r="B348" s="39"/>
      <c r="C348" s="39"/>
      <c r="D348" s="39" t="s">
        <v>117</v>
      </c>
      <c r="E348" s="39">
        <f>IF(QM_EN="Enabled", QM_Act_Max_cvdd*QM_util_per, 0)</f>
        <v>100.80000000000001</v>
      </c>
      <c r="F348" s="39">
        <f>IF(QM_EN="Enabled", QM_Act_MAX_cvdd1*QM_util_per, 0)</f>
        <v>19.680000000000003</v>
      </c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18"/>
      <c r="T348" s="18"/>
      <c r="U348" s="18"/>
      <c r="V348" s="18"/>
      <c r="W348" s="18"/>
      <c r="X348" s="19"/>
      <c r="Y348" s="12"/>
      <c r="Z348" s="12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</row>
    <row r="349" spans="1:46" s="92" customFormat="1" ht="12" customHeight="1" x14ac:dyDescent="0.2">
      <c r="A349" s="18"/>
      <c r="B349" s="39" t="s">
        <v>57</v>
      </c>
      <c r="C349" s="39"/>
      <c r="D349" s="39"/>
      <c r="E349" s="39">
        <f>IF(E348&gt;0, E348, 0)</f>
        <v>100.80000000000001</v>
      </c>
      <c r="F349" s="39">
        <f>IF(F348&gt;0, F348, 0)</f>
        <v>19.680000000000003</v>
      </c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18"/>
      <c r="T349" s="18"/>
      <c r="U349" s="18"/>
      <c r="V349" s="18"/>
      <c r="W349" s="18"/>
      <c r="X349" s="19"/>
      <c r="Y349" s="12"/>
      <c r="Z349" s="12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</row>
    <row r="352" spans="1:46" ht="15" x14ac:dyDescent="0.25">
      <c r="A352" s="234" t="s">
        <v>118</v>
      </c>
    </row>
    <row r="353" spans="1:53" s="92" customFormat="1" ht="12" customHeight="1" x14ac:dyDescent="0.2">
      <c r="A353" s="17"/>
      <c r="B353" s="142" t="s">
        <v>251</v>
      </c>
      <c r="C353" s="72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269"/>
      <c r="P353" s="269"/>
      <c r="Q353" s="269"/>
      <c r="R353" s="269"/>
      <c r="S353" s="269"/>
      <c r="T353" s="269"/>
      <c r="U353" s="269"/>
      <c r="V353" s="269"/>
      <c r="W353" s="269"/>
      <c r="X353" s="269"/>
      <c r="Y353" s="70"/>
      <c r="Z353" s="70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92" customFormat="1" ht="12" customHeight="1" x14ac:dyDescent="0.2">
      <c r="A354" s="17"/>
      <c r="B354" s="55"/>
      <c r="C354" s="55"/>
      <c r="D354" s="55"/>
      <c r="E354" s="84" t="s">
        <v>15</v>
      </c>
      <c r="F354" s="39" t="s">
        <v>16</v>
      </c>
      <c r="G354" s="386" t="s">
        <v>15</v>
      </c>
      <c r="H354" s="387"/>
      <c r="I354" s="386" t="s">
        <v>16</v>
      </c>
      <c r="J354" s="387"/>
      <c r="K354" s="269"/>
      <c r="L354" s="269"/>
      <c r="M354" s="269"/>
      <c r="N354" s="269"/>
      <c r="O354" s="269"/>
      <c r="P354" s="95"/>
      <c r="Q354" s="269"/>
      <c r="R354" s="64"/>
      <c r="S354" s="64"/>
      <c r="T354" s="64"/>
      <c r="U354" s="64"/>
      <c r="V354" s="64"/>
      <c r="W354" s="64"/>
      <c r="X354" s="19"/>
      <c r="Y354" s="54"/>
      <c r="Z354" s="54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</row>
    <row r="355" spans="1:53" s="92" customFormat="1" ht="12" customHeight="1" x14ac:dyDescent="0.2">
      <c r="A355" s="17"/>
      <c r="B355" s="55"/>
      <c r="C355" s="55"/>
      <c r="D355" s="55"/>
      <c r="E355" s="55"/>
      <c r="F355" s="55"/>
      <c r="G355" s="137" t="s">
        <v>230</v>
      </c>
      <c r="H355" s="137" t="s">
        <v>231</v>
      </c>
      <c r="I355" s="137" t="s">
        <v>230</v>
      </c>
      <c r="J355" s="137" t="s">
        <v>231</v>
      </c>
      <c r="K355" s="269"/>
      <c r="L355" s="38" t="s">
        <v>119</v>
      </c>
      <c r="M355" s="18" t="s">
        <v>120</v>
      </c>
      <c r="N355" s="18" t="s">
        <v>121</v>
      </c>
      <c r="O355" s="18"/>
      <c r="P355" s="18" t="s">
        <v>122</v>
      </c>
      <c r="Q355" s="269"/>
      <c r="R355" s="64"/>
      <c r="S355" s="64"/>
      <c r="T355" s="64"/>
      <c r="U355" s="64"/>
      <c r="V355" s="64"/>
      <c r="W355" s="64"/>
      <c r="X355" s="19"/>
      <c r="Y355" s="54"/>
      <c r="Z355" s="54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</row>
    <row r="356" spans="1:53" s="92" customFormat="1" ht="12" customHeight="1" x14ac:dyDescent="0.25">
      <c r="A356" s="17"/>
      <c r="B356" s="55" t="s">
        <v>82</v>
      </c>
      <c r="C356" s="55"/>
      <c r="D356" s="55"/>
      <c r="E356" s="103">
        <v>0</v>
      </c>
      <c r="F356" s="153">
        <v>0</v>
      </c>
      <c r="G356" s="125"/>
      <c r="H356" s="270"/>
      <c r="I356" s="125"/>
      <c r="J356" s="270"/>
      <c r="K356" s="271"/>
      <c r="L356" s="71">
        <f>EMIF16_util/100</f>
        <v>1</v>
      </c>
      <c r="M356" s="71">
        <f>EMIF16_WR/100</f>
        <v>0.5</v>
      </c>
      <c r="N356" s="71">
        <f>1-EMIF16_WR_per</f>
        <v>0.5</v>
      </c>
      <c r="O356" s="71"/>
      <c r="P356" s="71">
        <f>1</f>
        <v>1</v>
      </c>
      <c r="Q356" s="271"/>
      <c r="R356" s="64"/>
      <c r="S356" s="64"/>
      <c r="T356" s="64"/>
      <c r="U356" s="64"/>
      <c r="V356" s="64"/>
      <c r="W356" s="64"/>
      <c r="X356" s="19"/>
      <c r="Y356" s="54"/>
      <c r="Z356" s="54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</row>
    <row r="357" spans="1:53" s="92" customFormat="1" ht="12" customHeight="1" x14ac:dyDescent="0.25">
      <c r="A357" s="17"/>
      <c r="B357" s="55" t="s">
        <v>83</v>
      </c>
      <c r="C357" s="55"/>
      <c r="D357" s="55"/>
      <c r="E357" s="56">
        <v>0</v>
      </c>
      <c r="F357" s="272">
        <v>0</v>
      </c>
      <c r="G357" s="125">
        <v>0</v>
      </c>
      <c r="H357" s="270">
        <v>0</v>
      </c>
      <c r="I357" s="125">
        <v>0</v>
      </c>
      <c r="J357" s="137">
        <v>0</v>
      </c>
      <c r="K357" s="269"/>
      <c r="L357" s="269"/>
      <c r="M357" s="269"/>
      <c r="N357" s="269"/>
      <c r="O357" s="269"/>
      <c r="P357" s="95"/>
      <c r="Q357" s="269"/>
      <c r="R357" s="64"/>
      <c r="S357" s="64"/>
      <c r="T357" s="64"/>
      <c r="U357" s="64"/>
      <c r="V357" s="64"/>
      <c r="W357" s="64"/>
      <c r="X357" s="19"/>
      <c r="Y357" s="54"/>
      <c r="Z357" s="54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</row>
    <row r="358" spans="1:53" s="92" customFormat="1" ht="12" customHeight="1" x14ac:dyDescent="0.2">
      <c r="A358" s="17"/>
      <c r="B358" s="146"/>
      <c r="C358" s="146"/>
      <c r="D358" s="147" t="s">
        <v>123</v>
      </c>
      <c r="E358" s="147">
        <f>IF(E357-E356&gt;0,E357-E356,0)</f>
        <v>0</v>
      </c>
      <c r="F358" s="273">
        <f>IF(F357-F356&gt;0,F357-F356,0)</f>
        <v>0</v>
      </c>
      <c r="G358" s="125"/>
      <c r="H358" s="137"/>
      <c r="I358" s="125"/>
      <c r="J358" s="137"/>
      <c r="K358" s="269"/>
      <c r="L358" s="269"/>
      <c r="M358" s="269"/>
      <c r="N358" s="269"/>
      <c r="O358" s="269"/>
      <c r="P358" s="95"/>
      <c r="Q358" s="269"/>
      <c r="R358" s="64"/>
      <c r="S358" s="64"/>
      <c r="T358" s="64"/>
      <c r="U358" s="64"/>
      <c r="V358" s="64"/>
      <c r="W358" s="64"/>
      <c r="X358" s="19"/>
      <c r="Y358" s="54"/>
      <c r="Z358" s="54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</row>
    <row r="359" spans="1:53" s="92" customFormat="1" ht="12" customHeight="1" x14ac:dyDescent="0.2">
      <c r="A359" s="17"/>
      <c r="B359" s="146"/>
      <c r="C359" s="149"/>
      <c r="D359" s="274"/>
      <c r="E359" s="274"/>
      <c r="F359" s="274"/>
      <c r="G359" s="125"/>
      <c r="H359" s="137"/>
      <c r="I359" s="125"/>
      <c r="J359" s="137"/>
      <c r="K359" s="269"/>
      <c r="L359" s="269"/>
      <c r="M359" s="269"/>
      <c r="N359" s="269"/>
      <c r="O359" s="269"/>
      <c r="P359" s="95"/>
      <c r="Q359" s="269"/>
      <c r="R359" s="64"/>
      <c r="S359" s="64"/>
      <c r="T359" s="64"/>
      <c r="U359" s="64"/>
      <c r="V359" s="64"/>
      <c r="W359" s="64"/>
      <c r="X359" s="19"/>
      <c r="Y359" s="54"/>
      <c r="Z359" s="54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</row>
    <row r="360" spans="1:53" s="92" customFormat="1" ht="12" customHeight="1" x14ac:dyDescent="0.2">
      <c r="A360" s="17"/>
      <c r="B360" s="146" t="s">
        <v>91</v>
      </c>
      <c r="C360" s="146"/>
      <c r="D360" s="146"/>
      <c r="E360" s="146"/>
      <c r="F360" s="275"/>
      <c r="G360" s="125"/>
      <c r="H360" s="137"/>
      <c r="I360" s="125"/>
      <c r="J360" s="137"/>
      <c r="K360" s="269"/>
      <c r="L360" s="269"/>
      <c r="M360" s="269"/>
      <c r="N360" s="269"/>
      <c r="O360" s="269"/>
      <c r="P360" s="95"/>
      <c r="Q360" s="269"/>
      <c r="R360" s="64"/>
      <c r="S360" s="64"/>
      <c r="T360" s="64"/>
      <c r="U360" s="64"/>
      <c r="V360" s="64"/>
      <c r="W360" s="64"/>
      <c r="X360" s="19"/>
      <c r="Y360" s="54"/>
      <c r="Z360" s="54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</row>
    <row r="361" spans="1:53" s="92" customFormat="1" ht="12" customHeight="1" x14ac:dyDescent="0.25">
      <c r="A361" s="17"/>
      <c r="B361" s="55" t="s">
        <v>54</v>
      </c>
      <c r="C361" s="55"/>
      <c r="D361" s="55"/>
      <c r="E361" s="57">
        <f>IF(cvdd=1,G361*cpuF +H361, IF(cvdd=1.1,  G362*cpuF + H362,ERR))</f>
        <v>7.2</v>
      </c>
      <c r="F361" s="272">
        <f>IF(cvdd=1,I361*cpuF+J361, IF(cvdd=0.85,I362*cpuF + J362, IF(cvdd=1.1, I363*cpuF + J363,ERR)))</f>
        <v>0</v>
      </c>
      <c r="G361" s="125">
        <v>6.0000000000000001E-3</v>
      </c>
      <c r="H361" s="270">
        <v>0</v>
      </c>
      <c r="I361" s="125">
        <v>0</v>
      </c>
      <c r="J361" s="137">
        <v>0</v>
      </c>
      <c r="K361" s="269"/>
      <c r="L361" s="269"/>
      <c r="M361" s="269"/>
      <c r="N361" s="269"/>
      <c r="O361" s="269"/>
      <c r="P361" s="95"/>
      <c r="Q361" s="269"/>
      <c r="R361" s="64"/>
      <c r="S361" s="64"/>
      <c r="T361" s="64"/>
      <c r="U361" s="64"/>
      <c r="V361" s="64"/>
      <c r="W361" s="64"/>
      <c r="X361" s="19"/>
      <c r="Y361" s="54"/>
      <c r="Z361" s="54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</row>
    <row r="362" spans="1:53" s="92" customFormat="1" ht="12" customHeight="1" x14ac:dyDescent="0.2">
      <c r="A362" s="17"/>
      <c r="B362" s="55" t="s">
        <v>124</v>
      </c>
      <c r="C362" s="55"/>
      <c r="D362" s="55"/>
      <c r="E362" s="57">
        <f>E361*'66AK2H14'!F27/100</f>
        <v>3.6</v>
      </c>
      <c r="F362" s="276">
        <f>F361*'66AK2H14'!F27/100</f>
        <v>0</v>
      </c>
      <c r="G362" s="125"/>
      <c r="H362" s="137"/>
      <c r="I362" s="125"/>
      <c r="J362" s="137"/>
      <c r="K362" s="269"/>
      <c r="L362" s="269"/>
      <c r="M362" s="269"/>
      <c r="N362" s="269"/>
      <c r="O362" s="269"/>
      <c r="P362" s="95"/>
      <c r="Q362" s="269"/>
      <c r="R362" s="64"/>
      <c r="S362" s="64"/>
      <c r="T362" s="64"/>
      <c r="U362" s="64"/>
      <c r="V362" s="64"/>
      <c r="W362" s="64"/>
      <c r="X362" s="19"/>
      <c r="Y362" s="54"/>
      <c r="Z362" s="54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</row>
    <row r="363" spans="1:53" s="92" customFormat="1" ht="12" customHeight="1" x14ac:dyDescent="0.2">
      <c r="A363" s="17"/>
      <c r="B363" s="55"/>
      <c r="C363" s="55"/>
      <c r="D363" s="55"/>
      <c r="E363" s="55"/>
      <c r="F363" s="277"/>
      <c r="G363" s="125"/>
      <c r="H363" s="137"/>
      <c r="I363" s="125"/>
      <c r="J363" s="137"/>
      <c r="K363" s="269"/>
      <c r="L363" s="269"/>
      <c r="M363" s="269"/>
      <c r="N363" s="269"/>
      <c r="O363" s="269"/>
      <c r="P363" s="95"/>
      <c r="Q363" s="269"/>
      <c r="R363" s="64"/>
      <c r="S363" s="64"/>
      <c r="T363" s="64"/>
      <c r="U363" s="64"/>
      <c r="V363" s="64"/>
      <c r="W363" s="64"/>
      <c r="X363" s="19"/>
      <c r="Y363" s="54"/>
      <c r="Z363" s="54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</row>
    <row r="364" spans="1:53" s="92" customFormat="1" ht="12" customHeight="1" x14ac:dyDescent="0.25">
      <c r="A364" s="17"/>
      <c r="B364" s="55" t="s">
        <v>48</v>
      </c>
      <c r="C364" s="55"/>
      <c r="D364" s="55"/>
      <c r="E364" s="57">
        <f>IF(cvdd=1,G364*cpuF + H364, IF(cvdd=1.1,G365*cpuF + H365,ERR))</f>
        <v>4.8</v>
      </c>
      <c r="F364" s="272">
        <f>IF(cvdd=1, I364 + J364 * cpuF, IF(cvdd=1.1,I365*cpuF+J365,ERR))</f>
        <v>0</v>
      </c>
      <c r="G364" s="125">
        <v>4.0000000000000001E-3</v>
      </c>
      <c r="H364" s="270">
        <v>0</v>
      </c>
      <c r="I364" s="125">
        <v>0</v>
      </c>
      <c r="J364" s="137">
        <v>0</v>
      </c>
      <c r="K364" s="269"/>
      <c r="L364" s="269"/>
      <c r="M364" s="269"/>
      <c r="N364" s="269"/>
      <c r="O364" s="269"/>
      <c r="P364" s="95"/>
      <c r="Q364" s="269"/>
      <c r="R364" s="64"/>
      <c r="S364" s="64"/>
      <c r="T364" s="64"/>
      <c r="U364" s="64"/>
      <c r="V364" s="64"/>
      <c r="W364" s="64"/>
      <c r="X364" s="19"/>
      <c r="Y364" s="54"/>
      <c r="Z364" s="54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</row>
    <row r="365" spans="1:53" s="92" customFormat="1" ht="12" customHeight="1" x14ac:dyDescent="0.2">
      <c r="A365" s="17"/>
      <c r="B365" s="55" t="s">
        <v>53</v>
      </c>
      <c r="C365" s="55"/>
      <c r="D365" s="55"/>
      <c r="E365" s="55">
        <f>E364*('66AK2H14'!D27-'66AK2H14'!F27)/100</f>
        <v>2.4</v>
      </c>
      <c r="F365" s="277">
        <f>F364*('66AK2H14'!D27-'66AK2H14'!F27)/100</f>
        <v>0</v>
      </c>
      <c r="G365" s="125"/>
      <c r="H365" s="137"/>
      <c r="I365" s="125"/>
      <c r="J365" s="137"/>
      <c r="K365" s="269"/>
      <c r="L365" s="269"/>
      <c r="M365" s="269"/>
      <c r="N365" s="269"/>
      <c r="O365" s="269"/>
      <c r="P365" s="95"/>
      <c r="Q365" s="269"/>
      <c r="R365" s="64"/>
      <c r="S365" s="64"/>
      <c r="T365" s="64"/>
      <c r="U365" s="64"/>
      <c r="V365" s="64"/>
      <c r="W365" s="64"/>
      <c r="X365" s="19"/>
      <c r="Y365" s="54"/>
      <c r="Z365" s="54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</row>
    <row r="366" spans="1:53" s="209" customFormat="1" ht="12" customHeight="1" x14ac:dyDescent="0.2">
      <c r="A366" s="59"/>
      <c r="B366" s="55" t="s">
        <v>125</v>
      </c>
      <c r="C366" s="55"/>
      <c r="D366" s="55"/>
      <c r="E366" s="57">
        <f>IF(EMIF16_EN="Enabled", (E361*EMIF16_WR_per+E364*EMIF16_RD_per)*EMIF16_Util_per*EMIF16_SW_per, 0)</f>
        <v>6</v>
      </c>
      <c r="F366" s="57">
        <f>IF(EMIF16_EN="Enabled", (F361*EMIF16_WR_per+F364*EMIF16_RD_per)*EMIF16_Util_per*EMIF16_SW_per, 0)</f>
        <v>0</v>
      </c>
      <c r="H366" s="269"/>
      <c r="I366" s="95"/>
      <c r="J366" s="269"/>
      <c r="K366" s="269"/>
      <c r="L366" s="269"/>
      <c r="M366" s="269"/>
      <c r="N366" s="269"/>
      <c r="O366" s="269"/>
      <c r="P366" s="95"/>
      <c r="Q366" s="269"/>
      <c r="R366" s="64"/>
      <c r="S366" s="64"/>
      <c r="T366" s="64"/>
      <c r="U366" s="64"/>
      <c r="V366" s="64"/>
      <c r="W366" s="64"/>
      <c r="X366" s="19"/>
      <c r="Y366" s="54"/>
      <c r="Z366" s="54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</row>
    <row r="367" spans="1:53" s="209" customFormat="1" ht="12" customHeight="1" x14ac:dyDescent="0.2">
      <c r="A367" s="59"/>
      <c r="B367" s="55" t="s">
        <v>57</v>
      </c>
      <c r="C367" s="55"/>
      <c r="D367" s="55"/>
      <c r="E367" s="55">
        <f>IF(E366&gt;0, E366, 0)</f>
        <v>6</v>
      </c>
      <c r="F367" s="55">
        <f>IF(F366&gt;0, F366, 0)</f>
        <v>0</v>
      </c>
      <c r="H367" s="269"/>
      <c r="I367" s="95"/>
      <c r="J367" s="269"/>
      <c r="K367" s="269"/>
      <c r="L367" s="269"/>
      <c r="M367" s="269"/>
      <c r="N367" s="269"/>
      <c r="O367" s="269"/>
      <c r="P367" s="95"/>
      <c r="Q367" s="269"/>
      <c r="R367" s="64"/>
      <c r="S367" s="64"/>
      <c r="T367" s="64"/>
      <c r="U367" s="64"/>
      <c r="V367" s="64"/>
      <c r="W367" s="64"/>
      <c r="X367" s="58"/>
      <c r="Y367" s="58"/>
      <c r="Z367" s="59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</row>
    <row r="370" spans="1:53" ht="15" x14ac:dyDescent="0.25">
      <c r="A370" s="234" t="s">
        <v>126</v>
      </c>
    </row>
    <row r="371" spans="1:53" s="92" customFormat="1" ht="12.75" customHeight="1" x14ac:dyDescent="0.2">
      <c r="A371" s="18"/>
      <c r="B371" s="142" t="s">
        <v>251</v>
      </c>
      <c r="C371" s="142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>
        <v>6</v>
      </c>
      <c r="Z371" s="18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92" customFormat="1" ht="12" customHeight="1" x14ac:dyDescent="0.2">
      <c r="A372" s="18"/>
      <c r="B372" s="39" t="s">
        <v>126</v>
      </c>
      <c r="C372" s="39"/>
      <c r="D372" s="39"/>
      <c r="E372" s="84" t="s">
        <v>15</v>
      </c>
      <c r="F372" s="39" t="s">
        <v>16</v>
      </c>
      <c r="G372" s="386" t="s">
        <v>15</v>
      </c>
      <c r="H372" s="387"/>
      <c r="I372" s="386" t="s">
        <v>16</v>
      </c>
      <c r="J372" s="387"/>
      <c r="K372" s="29"/>
      <c r="L372" s="29"/>
      <c r="M372" s="29"/>
      <c r="N372" s="29"/>
      <c r="O372" s="29"/>
      <c r="P372" s="29"/>
      <c r="Q372" s="29"/>
      <c r="R372" s="18">
        <v>7</v>
      </c>
      <c r="S372" s="18"/>
      <c r="T372" s="18"/>
      <c r="U372" s="18"/>
      <c r="V372" s="18"/>
      <c r="W372" s="18"/>
      <c r="X372" s="19"/>
      <c r="Y372" s="12"/>
      <c r="Z372" s="12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</row>
    <row r="373" spans="1:53" s="92" customFormat="1" ht="12.75" customHeight="1" x14ac:dyDescent="0.2">
      <c r="A373" s="18"/>
      <c r="B373" s="39"/>
      <c r="C373" s="39"/>
      <c r="D373" s="39"/>
      <c r="E373" s="39"/>
      <c r="F373" s="39"/>
      <c r="G373" s="137" t="s">
        <v>230</v>
      </c>
      <c r="H373" s="137" t="s">
        <v>231</v>
      </c>
      <c r="I373" s="137" t="s">
        <v>230</v>
      </c>
      <c r="J373" s="137" t="s">
        <v>231</v>
      </c>
      <c r="K373" s="29"/>
      <c r="L373" s="29"/>
      <c r="M373" s="29"/>
      <c r="N373" s="29"/>
      <c r="O373" s="29"/>
      <c r="P373" s="29"/>
      <c r="Q373" s="29"/>
      <c r="R373" s="18"/>
      <c r="S373" s="18"/>
      <c r="T373" s="18"/>
      <c r="U373" s="18"/>
      <c r="V373" s="18"/>
      <c r="W373" s="18"/>
      <c r="X373" s="19"/>
      <c r="Y373" s="12"/>
      <c r="Z373" s="12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</row>
    <row r="374" spans="1:53" s="92" customFormat="1" ht="12.75" customHeight="1" x14ac:dyDescent="0.2">
      <c r="A374" s="38" t="s">
        <v>127</v>
      </c>
      <c r="B374" s="39"/>
      <c r="C374" s="39"/>
      <c r="D374" s="84" t="s">
        <v>181</v>
      </c>
      <c r="E374" s="106">
        <v>0</v>
      </c>
      <c r="F374" s="106">
        <v>0</v>
      </c>
      <c r="G374" s="125"/>
      <c r="H374" s="39"/>
      <c r="I374" s="39"/>
      <c r="J374" s="39"/>
      <c r="K374" s="29"/>
      <c r="L374" s="29"/>
      <c r="M374" s="29"/>
      <c r="N374" s="29"/>
      <c r="O374" s="29"/>
      <c r="P374" s="29"/>
      <c r="Q374" s="29"/>
      <c r="R374" s="18"/>
      <c r="S374" s="18"/>
      <c r="T374" s="18"/>
      <c r="U374" s="18"/>
      <c r="V374" s="18"/>
      <c r="W374" s="18"/>
      <c r="X374" s="19"/>
      <c r="Y374" s="12"/>
      <c r="Z374" s="12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</row>
    <row r="375" spans="1:53" s="92" customFormat="1" ht="12" customHeight="1" x14ac:dyDescent="0.25">
      <c r="A375" s="65">
        <f>vcp2_0_util/100</f>
        <v>0</v>
      </c>
      <c r="B375" s="39" t="s">
        <v>128</v>
      </c>
      <c r="C375" s="39"/>
      <c r="D375" s="84" t="s">
        <v>182</v>
      </c>
      <c r="E375" s="108">
        <v>0</v>
      </c>
      <c r="F375" s="108">
        <v>0</v>
      </c>
      <c r="G375" s="125"/>
      <c r="H375" s="154"/>
      <c r="I375" s="154"/>
      <c r="J375" s="154"/>
      <c r="K375" s="104"/>
      <c r="L375" s="104"/>
      <c r="M375" s="104"/>
      <c r="N375" s="104"/>
      <c r="O375" s="29"/>
      <c r="P375" s="29"/>
      <c r="Q375" s="29"/>
      <c r="R375" s="18"/>
      <c r="S375" s="18"/>
      <c r="T375" s="18"/>
      <c r="U375" s="18"/>
      <c r="V375" s="18"/>
      <c r="W375" s="18"/>
      <c r="X375" s="19"/>
      <c r="Y375" s="12"/>
      <c r="Z375" s="12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</row>
    <row r="376" spans="1:53" s="92" customFormat="1" ht="12" customHeight="1" x14ac:dyDescent="0.25">
      <c r="A376" s="65">
        <f>vcp2_1_util/100</f>
        <v>0</v>
      </c>
      <c r="B376" s="39"/>
      <c r="C376" s="39"/>
      <c r="D376" s="84" t="s">
        <v>183</v>
      </c>
      <c r="E376" s="107">
        <v>0</v>
      </c>
      <c r="F376" s="107">
        <v>0</v>
      </c>
      <c r="G376" s="125"/>
      <c r="H376" s="154"/>
      <c r="I376" s="154"/>
      <c r="J376" s="154"/>
      <c r="K376" s="104"/>
      <c r="L376" s="104"/>
      <c r="M376" s="104"/>
      <c r="N376" s="104"/>
      <c r="O376" s="29"/>
      <c r="P376" s="29"/>
      <c r="Q376" s="29"/>
      <c r="R376" s="18"/>
      <c r="S376" s="18"/>
      <c r="T376" s="18"/>
      <c r="U376" s="18"/>
      <c r="V376" s="18"/>
      <c r="W376" s="18"/>
      <c r="X376" s="19"/>
      <c r="Y376" s="12"/>
      <c r="Z376" s="12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</row>
    <row r="377" spans="1:53" s="92" customFormat="1" ht="12" customHeight="1" x14ac:dyDescent="0.25">
      <c r="A377" s="65">
        <f>vcp2_2_util/100</f>
        <v>0</v>
      </c>
      <c r="B377" s="39" t="s">
        <v>129</v>
      </c>
      <c r="C377" s="39"/>
      <c r="D377" s="39"/>
      <c r="E377" s="114">
        <f>(G377*cpuF+H377)</f>
        <v>12</v>
      </c>
      <c r="F377" s="114">
        <v>0</v>
      </c>
      <c r="G377" s="125">
        <v>0.01</v>
      </c>
      <c r="H377" s="154">
        <v>0</v>
      </c>
      <c r="I377" s="154">
        <v>0</v>
      </c>
      <c r="J377" s="154">
        <v>0</v>
      </c>
      <c r="K377" s="104"/>
      <c r="L377" s="104"/>
      <c r="M377" s="104"/>
      <c r="N377" s="104"/>
      <c r="O377" s="29"/>
      <c r="P377" s="29"/>
      <c r="Q377" s="29"/>
      <c r="R377" s="18"/>
      <c r="S377" s="18"/>
      <c r="T377" s="18"/>
      <c r="U377" s="18"/>
      <c r="V377" s="18"/>
      <c r="W377" s="18"/>
      <c r="X377" s="19"/>
      <c r="Y377" s="12"/>
      <c r="Z377" s="12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</row>
    <row r="378" spans="1:53" s="92" customFormat="1" ht="12" customHeight="1" x14ac:dyDescent="0.2">
      <c r="A378" s="65">
        <f>vcp2_3_util/100</f>
        <v>0</v>
      </c>
      <c r="B378" s="39"/>
      <c r="C378" s="39"/>
      <c r="D378" s="39" t="s">
        <v>25</v>
      </c>
      <c r="E378" s="39"/>
      <c r="F378" s="39">
        <f>IF(vcp2_enable="Enabled", IF(vcp2_clock_cvdd1-vcp2_leak_cvdd1&gt;0,vcp2_clock_cvdd1-vcp2_leak_cvdd1, 0),0)</f>
        <v>0</v>
      </c>
      <c r="G378" s="125"/>
      <c r="H378" s="39"/>
      <c r="I378" s="39"/>
      <c r="J378" s="39"/>
      <c r="K378" s="29"/>
      <c r="L378" s="29"/>
      <c r="M378" s="29"/>
      <c r="N378" s="29"/>
      <c r="O378" s="29"/>
      <c r="P378" s="29"/>
      <c r="Q378" s="29"/>
      <c r="R378" s="18"/>
      <c r="S378" s="18"/>
      <c r="T378" s="18"/>
      <c r="U378" s="18"/>
      <c r="V378" s="18"/>
      <c r="W378" s="18"/>
      <c r="X378" s="19"/>
      <c r="Y378" s="12"/>
      <c r="Z378" s="12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</row>
    <row r="379" spans="1:53" s="92" customFormat="1" ht="12" customHeight="1" x14ac:dyDescent="0.2">
      <c r="A379" s="65">
        <f>vcp2_4_util/100</f>
        <v>0</v>
      </c>
      <c r="B379" s="31"/>
      <c r="C379" s="31"/>
      <c r="D379" s="177" t="s">
        <v>320</v>
      </c>
      <c r="E379" s="31">
        <f>IF(vcp2_0_enable="Enabled",vcp2_clock_cvdd,0)</f>
        <v>0</v>
      </c>
      <c r="F379" s="31">
        <f>IF(vcp2_0_enable="Enabled",vcp2_clock_cvdd1,0)</f>
        <v>0</v>
      </c>
      <c r="G379" s="125"/>
      <c r="H379" s="39"/>
      <c r="I379" s="39"/>
      <c r="J379" s="39"/>
      <c r="K379" s="29"/>
      <c r="L379" s="29"/>
      <c r="M379" s="29"/>
      <c r="N379" s="29"/>
      <c r="O379" s="29"/>
      <c r="P379" s="29"/>
      <c r="Q379" s="29"/>
      <c r="R379" s="18"/>
      <c r="S379" s="18"/>
      <c r="T379" s="18"/>
      <c r="U379" s="18"/>
      <c r="V379" s="18"/>
      <c r="W379" s="18"/>
      <c r="X379" s="19"/>
      <c r="Y379" s="12"/>
      <c r="Z379" s="12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</row>
    <row r="380" spans="1:53" s="92" customFormat="1" ht="12" customHeight="1" x14ac:dyDescent="0.2">
      <c r="A380" s="65">
        <f>vcp2_5_util/100</f>
        <v>0</v>
      </c>
      <c r="B380" s="31"/>
      <c r="C380" s="31"/>
      <c r="D380" s="177" t="s">
        <v>321</v>
      </c>
      <c r="E380" s="31">
        <f>IF(vcp2_1_enable="Enabled",vcp2_clock_cvdd,0)</f>
        <v>0</v>
      </c>
      <c r="F380" s="31">
        <f>IF(vcp2_1_enable="Enabled",vcp2_clock_cvdd1,0)</f>
        <v>0</v>
      </c>
      <c r="G380" s="125"/>
      <c r="H380" s="39"/>
      <c r="I380" s="39"/>
      <c r="J380" s="39"/>
      <c r="K380" s="29"/>
      <c r="L380" s="29"/>
      <c r="M380" s="29"/>
      <c r="N380" s="29"/>
      <c r="O380" s="29"/>
      <c r="P380" s="29"/>
      <c r="Q380" s="29"/>
      <c r="R380" s="18"/>
      <c r="S380" s="18"/>
      <c r="T380" s="18"/>
      <c r="U380" s="18"/>
      <c r="V380" s="18"/>
      <c r="W380" s="18"/>
      <c r="X380" s="19"/>
      <c r="Y380" s="12"/>
      <c r="Z380" s="12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</row>
    <row r="381" spans="1:53" s="92" customFormat="1" ht="12" customHeight="1" x14ac:dyDescent="0.2">
      <c r="A381" s="65">
        <f>vcp2_6_util/100</f>
        <v>0</v>
      </c>
      <c r="B381" s="31"/>
      <c r="C381" s="31"/>
      <c r="D381" s="177" t="s">
        <v>322</v>
      </c>
      <c r="E381" s="31">
        <f>IF(vcp2_2_enable="Enabled",vcp2_clock_cvdd,0)</f>
        <v>0</v>
      </c>
      <c r="F381" s="31">
        <f>IF(vcp2_2_enable="Enabled",vcp2_clock_cvdd1,0)</f>
        <v>0</v>
      </c>
      <c r="G381" s="125"/>
      <c r="H381" s="39"/>
      <c r="I381" s="39"/>
      <c r="J381" s="39"/>
      <c r="K381" s="29"/>
      <c r="L381" s="29"/>
      <c r="M381" s="29"/>
      <c r="N381" s="29"/>
      <c r="O381" s="29"/>
      <c r="P381" s="29"/>
      <c r="Q381" s="29"/>
      <c r="R381" s="18"/>
      <c r="S381" s="18"/>
      <c r="T381" s="18"/>
      <c r="U381" s="18"/>
      <c r="V381" s="18"/>
      <c r="W381" s="18"/>
      <c r="X381" s="19"/>
      <c r="Y381" s="12"/>
      <c r="Z381" s="12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</row>
    <row r="382" spans="1:53" s="92" customFormat="1" ht="12" customHeight="1" x14ac:dyDescent="0.2">
      <c r="A382" s="65">
        <f>vcp2_7_util/100</f>
        <v>0</v>
      </c>
      <c r="B382" s="31"/>
      <c r="C382" s="31"/>
      <c r="D382" s="177" t="s">
        <v>323</v>
      </c>
      <c r="E382" s="31">
        <f>IF(vcp2_3_enable="Enabled",vcp2_clock_cvdd,0)</f>
        <v>0</v>
      </c>
      <c r="F382" s="31">
        <f>IF(vcp2_3_enable="Enabled",vcp2_clock_cvdd1,0)</f>
        <v>0</v>
      </c>
      <c r="G382" s="125"/>
      <c r="H382" s="39"/>
      <c r="I382" s="39"/>
      <c r="J382" s="39"/>
      <c r="K382" s="29"/>
      <c r="L382" s="29"/>
      <c r="M382" s="29"/>
      <c r="N382" s="29"/>
      <c r="O382" s="29"/>
      <c r="P382" s="29"/>
      <c r="Q382" s="29"/>
      <c r="R382" s="18"/>
      <c r="S382" s="18"/>
      <c r="T382" s="18"/>
      <c r="U382" s="18"/>
      <c r="V382" s="18"/>
      <c r="W382" s="18"/>
      <c r="X382" s="19"/>
      <c r="Y382" s="12"/>
      <c r="Z382" s="12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</row>
    <row r="383" spans="1:53" s="92" customFormat="1" ht="12" customHeight="1" x14ac:dyDescent="0.2">
      <c r="A383" s="65"/>
      <c r="B383" s="31"/>
      <c r="C383" s="31"/>
      <c r="D383" s="177" t="s">
        <v>324</v>
      </c>
      <c r="E383" s="31">
        <f>IF(vcp2_4_enable="Enabled",vcp2_clock_cvdd,0)</f>
        <v>0</v>
      </c>
      <c r="F383" s="31">
        <f>IF(vcp2_4_enable="Enabled",vcp2_clock_cvdd1,0)</f>
        <v>0</v>
      </c>
      <c r="G383" s="125"/>
      <c r="H383" s="39"/>
      <c r="I383" s="39"/>
      <c r="J383" s="39"/>
      <c r="K383" s="29"/>
      <c r="L383" s="29"/>
      <c r="M383" s="29"/>
      <c r="N383" s="29"/>
      <c r="O383" s="29"/>
      <c r="P383" s="29"/>
      <c r="Q383" s="29"/>
      <c r="R383" s="18"/>
      <c r="S383" s="18"/>
      <c r="T383" s="18"/>
      <c r="U383" s="18"/>
      <c r="V383" s="18"/>
      <c r="W383" s="18"/>
      <c r="X383" s="19"/>
      <c r="Y383" s="12"/>
      <c r="Z383" s="12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</row>
    <row r="384" spans="1:53" s="92" customFormat="1" ht="12" customHeight="1" x14ac:dyDescent="0.2">
      <c r="A384" s="65"/>
      <c r="B384" s="31"/>
      <c r="C384" s="31"/>
      <c r="D384" s="177" t="s">
        <v>325</v>
      </c>
      <c r="E384" s="31">
        <f>IF(vcp2_5_enable="Enabled",vcp2_clock_cvdd,0)</f>
        <v>0</v>
      </c>
      <c r="F384" s="31">
        <f>IF(vcp2_5_enable="Enabled",vcp2_clock_cvdd1,0)</f>
        <v>0</v>
      </c>
      <c r="G384" s="125"/>
      <c r="H384" s="39"/>
      <c r="I384" s="39"/>
      <c r="J384" s="39"/>
      <c r="K384" s="29"/>
      <c r="L384" s="29"/>
      <c r="M384" s="29"/>
      <c r="N384" s="29"/>
      <c r="O384" s="29"/>
      <c r="P384" s="29"/>
      <c r="Q384" s="29"/>
      <c r="R384" s="18"/>
      <c r="S384" s="18"/>
      <c r="T384" s="18"/>
      <c r="U384" s="18"/>
      <c r="V384" s="18"/>
      <c r="W384" s="18"/>
      <c r="X384" s="19"/>
      <c r="Y384" s="12"/>
      <c r="Z384" s="12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</row>
    <row r="385" spans="1:46" s="92" customFormat="1" ht="12" customHeight="1" x14ac:dyDescent="0.2">
      <c r="A385" s="65"/>
      <c r="B385" s="31"/>
      <c r="C385" s="31"/>
      <c r="D385" s="177" t="s">
        <v>326</v>
      </c>
      <c r="E385" s="31">
        <f>IF(vcp2_6_enable="Enabled",vcp2_clock_cvdd,0)</f>
        <v>0</v>
      </c>
      <c r="F385" s="31">
        <f>IF(vcp2_6_enable="Enabled",vcp2_clock_cvdd1,0)</f>
        <v>0</v>
      </c>
      <c r="G385" s="125"/>
      <c r="H385" s="39"/>
      <c r="I385" s="39"/>
      <c r="J385" s="39"/>
      <c r="K385" s="29"/>
      <c r="L385" s="29"/>
      <c r="M385" s="29"/>
      <c r="N385" s="29"/>
      <c r="O385" s="29"/>
      <c r="P385" s="29"/>
      <c r="Q385" s="29"/>
      <c r="R385" s="18"/>
      <c r="S385" s="18"/>
      <c r="T385" s="18"/>
      <c r="U385" s="18"/>
      <c r="V385" s="18"/>
      <c r="W385" s="18"/>
      <c r="X385" s="19"/>
      <c r="Y385" s="12"/>
      <c r="Z385" s="12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</row>
    <row r="386" spans="1:46" s="92" customFormat="1" ht="12" customHeight="1" x14ac:dyDescent="0.2">
      <c r="A386" s="65"/>
      <c r="B386" s="31"/>
      <c r="C386" s="31"/>
      <c r="D386" s="177" t="s">
        <v>327</v>
      </c>
      <c r="E386" s="31">
        <f>IF(vcp2_7_enable="Enabled",vcp2_clock_cvdd,0)</f>
        <v>0</v>
      </c>
      <c r="F386" s="31">
        <f>IF(vcp2_7_enable="Enabled",vcp2_clock_cvdd1,0)</f>
        <v>0</v>
      </c>
      <c r="G386" s="125"/>
      <c r="H386" s="39"/>
      <c r="I386" s="39"/>
      <c r="J386" s="39"/>
      <c r="K386" s="29"/>
      <c r="L386" s="29"/>
      <c r="M386" s="29"/>
      <c r="N386" s="29"/>
      <c r="O386" s="29"/>
      <c r="P386" s="29"/>
      <c r="Q386" s="29"/>
      <c r="R386" s="18"/>
      <c r="S386" s="18"/>
      <c r="T386" s="18"/>
      <c r="U386" s="18"/>
      <c r="V386" s="18"/>
      <c r="W386" s="18"/>
      <c r="X386" s="19"/>
      <c r="Y386" s="12"/>
      <c r="Z386" s="12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</row>
    <row r="387" spans="1:46" s="92" customFormat="1" ht="12" customHeight="1" x14ac:dyDescent="0.2">
      <c r="A387" s="65"/>
      <c r="B387" s="31"/>
      <c r="C387" s="31"/>
      <c r="D387" s="177" t="s">
        <v>328</v>
      </c>
      <c r="E387" s="31">
        <f>IF(B2="K2K",SUM(E379:E386),0)</f>
        <v>0</v>
      </c>
      <c r="F387" s="31">
        <f>SUM(F379:F386)</f>
        <v>0</v>
      </c>
      <c r="G387" s="125"/>
      <c r="H387" s="39"/>
      <c r="I387" s="39"/>
      <c r="J387" s="39"/>
      <c r="K387" s="29"/>
      <c r="L387" s="29"/>
      <c r="M387" s="29"/>
      <c r="N387" s="29"/>
      <c r="O387" s="29"/>
      <c r="P387" s="29"/>
      <c r="Q387" s="29"/>
      <c r="R387" s="18"/>
      <c r="S387" s="18"/>
      <c r="T387" s="18"/>
      <c r="U387" s="18"/>
      <c r="V387" s="18"/>
      <c r="W387" s="18"/>
      <c r="X387" s="19"/>
      <c r="Y387" s="12"/>
      <c r="Z387" s="12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</row>
    <row r="388" spans="1:46" s="92" customFormat="1" ht="12" customHeight="1" x14ac:dyDescent="0.2">
      <c r="B388" s="39"/>
      <c r="C388" s="39"/>
      <c r="D388" s="39"/>
      <c r="E388" s="39"/>
      <c r="F388" s="39"/>
      <c r="G388" s="125"/>
      <c r="H388" s="39"/>
      <c r="I388" s="39"/>
      <c r="J388" s="39"/>
      <c r="K388" s="29"/>
      <c r="L388" s="29"/>
      <c r="M388" s="29"/>
      <c r="N388" s="29"/>
      <c r="O388" s="29"/>
      <c r="P388" s="29"/>
      <c r="Q388" s="29"/>
      <c r="R388" s="18"/>
      <c r="S388" s="18"/>
      <c r="T388" s="18"/>
      <c r="U388" s="18"/>
      <c r="V388" s="18"/>
      <c r="W388" s="18"/>
      <c r="X388" s="19"/>
      <c r="Y388" s="12"/>
      <c r="Z388" s="12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</row>
    <row r="389" spans="1:46" s="92" customFormat="1" ht="12" customHeight="1" x14ac:dyDescent="0.25">
      <c r="B389" s="39"/>
      <c r="C389" s="39"/>
      <c r="D389" s="39" t="s">
        <v>91</v>
      </c>
      <c r="E389" s="114">
        <f xml:space="preserve"> IF(B2="K2K",(G389*cpuF + H389),0)</f>
        <v>0</v>
      </c>
      <c r="F389" s="115">
        <f xml:space="preserve"> IF(B2="K2K",I389*cpuF +J389,0)</f>
        <v>0</v>
      </c>
      <c r="G389" s="125">
        <v>1.0999999999999999E-2</v>
      </c>
      <c r="H389" s="154">
        <v>0</v>
      </c>
      <c r="I389" s="154">
        <v>2E-3</v>
      </c>
      <c r="J389" s="154">
        <v>0</v>
      </c>
      <c r="K389" s="104"/>
      <c r="L389" s="104"/>
      <c r="M389" s="104"/>
      <c r="N389" s="104"/>
      <c r="O389" s="29"/>
      <c r="P389" s="29"/>
      <c r="Q389" s="29"/>
      <c r="R389" s="18"/>
      <c r="S389" s="18"/>
      <c r="T389" s="18"/>
      <c r="U389" s="18"/>
      <c r="V389" s="18"/>
      <c r="W389" s="18"/>
      <c r="X389" s="19"/>
      <c r="Y389" s="12"/>
      <c r="Z389" s="12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</row>
    <row r="390" spans="1:46" s="92" customFormat="1" ht="12" customHeight="1" x14ac:dyDescent="0.25">
      <c r="B390" s="39"/>
      <c r="C390" s="39"/>
      <c r="D390" s="137" t="s">
        <v>299</v>
      </c>
      <c r="E390" s="39">
        <f>IF(vcp2_0_enable="Enabled",vcp2_act_cvdd*vcp2_0_util_per,0)</f>
        <v>0</v>
      </c>
      <c r="F390" s="39">
        <f>IF(vcp2_0_enable="Enabled",vcp2_act_cvdd1*vcp2_0_util_per,0)</f>
        <v>0</v>
      </c>
      <c r="G390" s="95"/>
      <c r="H390" s="105"/>
      <c r="I390" s="105"/>
      <c r="J390" s="105"/>
      <c r="K390" s="105"/>
      <c r="L390" s="105"/>
      <c r="M390" s="105"/>
      <c r="N390" s="105"/>
      <c r="O390" s="29"/>
      <c r="P390" s="29"/>
      <c r="Q390" s="29"/>
      <c r="R390" s="18"/>
      <c r="S390" s="18"/>
      <c r="T390" s="18"/>
      <c r="U390" s="18"/>
      <c r="V390" s="18"/>
      <c r="W390" s="18"/>
      <c r="X390" s="19"/>
      <c r="Y390" s="12"/>
      <c r="Z390" s="12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</row>
    <row r="391" spans="1:46" s="92" customFormat="1" ht="12" customHeight="1" x14ac:dyDescent="0.25">
      <c r="B391" s="39"/>
      <c r="C391" s="39"/>
      <c r="D391" s="137" t="s">
        <v>300</v>
      </c>
      <c r="E391" s="39">
        <f>IF(vcp2_1_enable="Enabled",vcp2_act_cvdd*vcp2_1_util_per,0)</f>
        <v>0</v>
      </c>
      <c r="F391" s="39">
        <f>IF(vcp2_1_enable="Enabled",vcp2_act_cvdd1*vcp2_1_util_per,0)</f>
        <v>0</v>
      </c>
      <c r="G391" s="95"/>
      <c r="H391" s="105"/>
      <c r="I391" s="105"/>
      <c r="J391" s="105"/>
      <c r="K391" s="105"/>
      <c r="L391" s="105"/>
      <c r="M391" s="105"/>
      <c r="N391" s="105"/>
      <c r="O391" s="29"/>
      <c r="P391" s="29"/>
      <c r="Q391" s="29"/>
      <c r="R391" s="18"/>
      <c r="S391" s="18"/>
      <c r="T391" s="18"/>
      <c r="U391" s="18"/>
      <c r="V391" s="18"/>
      <c r="W391" s="18"/>
      <c r="X391" s="19"/>
      <c r="Y391" s="12"/>
      <c r="Z391" s="12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</row>
    <row r="392" spans="1:46" s="92" customFormat="1" ht="12" customHeight="1" x14ac:dyDescent="0.25">
      <c r="B392" s="39"/>
      <c r="C392" s="39"/>
      <c r="D392" s="137" t="s">
        <v>301</v>
      </c>
      <c r="E392" s="39">
        <f>IF(vcp2_2_enable="Enabled",vcp2_act_cvdd*vcp2_2_util_per,0)</f>
        <v>0</v>
      </c>
      <c r="F392" s="39">
        <f>IF(vcp2_2_enable="Enabled",vcp2_act_cvdd1*vcp2_2_util_per,0)</f>
        <v>0</v>
      </c>
      <c r="G392" s="95"/>
      <c r="H392" s="105"/>
      <c r="I392" s="105"/>
      <c r="J392" s="105"/>
      <c r="K392" s="105"/>
      <c r="L392" s="105"/>
      <c r="M392" s="105"/>
      <c r="N392" s="105"/>
      <c r="O392" s="29"/>
      <c r="P392" s="29"/>
      <c r="Q392" s="29"/>
      <c r="R392" s="18"/>
      <c r="S392" s="18"/>
      <c r="T392" s="18"/>
      <c r="U392" s="18"/>
      <c r="V392" s="18"/>
      <c r="W392" s="18"/>
      <c r="X392" s="19"/>
      <c r="Y392" s="12"/>
      <c r="Z392" s="12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</row>
    <row r="393" spans="1:46" s="92" customFormat="1" ht="12" customHeight="1" x14ac:dyDescent="0.25">
      <c r="B393" s="39"/>
      <c r="C393" s="39"/>
      <c r="D393" s="137" t="s">
        <v>302</v>
      </c>
      <c r="E393" s="39">
        <f>IF(vcp2_3_enable="Enabled",vcp2_act_cvdd*vcp2_3_util_per,0)</f>
        <v>0</v>
      </c>
      <c r="F393" s="39">
        <f>IF(vcp2_3_enable="Enabled",vcp2_act_cvdd1*vcp2_3_util_per,0)</f>
        <v>0</v>
      </c>
      <c r="G393" s="95"/>
      <c r="H393" s="105"/>
      <c r="I393" s="105"/>
      <c r="J393" s="105"/>
      <c r="K393" s="105"/>
      <c r="L393" s="105"/>
      <c r="M393" s="105"/>
      <c r="N393" s="105"/>
      <c r="O393" s="29"/>
      <c r="P393" s="29"/>
      <c r="Q393" s="29"/>
      <c r="R393" s="18"/>
      <c r="S393" s="18"/>
      <c r="T393" s="18"/>
      <c r="U393" s="18"/>
      <c r="V393" s="18"/>
      <c r="W393" s="18"/>
      <c r="X393" s="19"/>
      <c r="Y393" s="12"/>
      <c r="Z393" s="12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</row>
    <row r="394" spans="1:46" s="92" customFormat="1" ht="12" customHeight="1" x14ac:dyDescent="0.25">
      <c r="B394" s="39"/>
      <c r="C394" s="39"/>
      <c r="D394" s="137" t="s">
        <v>303</v>
      </c>
      <c r="E394" s="39">
        <f>IF(vcp2_4_enable="Enabled",vcp2_act_cvdd*vcp2_4_util_per,0)</f>
        <v>0</v>
      </c>
      <c r="F394" s="39">
        <f>IF(vcp2_4_enable="Enabled",vcp2_act_cvdd1*vcp2_4_util_per,0)</f>
        <v>0</v>
      </c>
      <c r="G394" s="95"/>
      <c r="H394" s="105"/>
      <c r="I394" s="105"/>
      <c r="J394" s="105"/>
      <c r="K394" s="105"/>
      <c r="L394" s="105"/>
      <c r="M394" s="105"/>
      <c r="N394" s="105"/>
      <c r="O394" s="29"/>
      <c r="P394" s="29"/>
      <c r="Q394" s="29"/>
      <c r="R394" s="18"/>
      <c r="S394" s="18"/>
      <c r="T394" s="18"/>
      <c r="U394" s="18"/>
      <c r="V394" s="18"/>
      <c r="W394" s="18"/>
      <c r="X394" s="19"/>
      <c r="Y394" s="12"/>
      <c r="Z394" s="12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</row>
    <row r="395" spans="1:46" s="92" customFormat="1" ht="12" customHeight="1" x14ac:dyDescent="0.25">
      <c r="B395" s="39"/>
      <c r="C395" s="39"/>
      <c r="D395" s="137" t="s">
        <v>304</v>
      </c>
      <c r="E395" s="39">
        <f>IF(vcp2_5_enable="Enabled",vcp2_act_cvdd*vcp2_5_util_per,0)</f>
        <v>0</v>
      </c>
      <c r="F395" s="39">
        <f>IF(vcp2_5_enable="Enabled",vcp2_act_cvdd1*vcp2_5_util_per,0)</f>
        <v>0</v>
      </c>
      <c r="G395" s="95"/>
      <c r="H395" s="105"/>
      <c r="I395" s="105"/>
      <c r="J395" s="105"/>
      <c r="K395" s="105"/>
      <c r="L395" s="105"/>
      <c r="M395" s="105"/>
      <c r="N395" s="105"/>
      <c r="O395" s="29"/>
      <c r="P395" s="29"/>
      <c r="Q395" s="29"/>
      <c r="R395" s="18"/>
      <c r="S395" s="18"/>
      <c r="T395" s="18"/>
      <c r="U395" s="18"/>
      <c r="V395" s="18"/>
      <c r="W395" s="18"/>
      <c r="X395" s="19"/>
      <c r="Y395" s="12"/>
      <c r="Z395" s="12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</row>
    <row r="396" spans="1:46" s="92" customFormat="1" ht="12" customHeight="1" x14ac:dyDescent="0.25">
      <c r="B396" s="39"/>
      <c r="C396" s="39"/>
      <c r="D396" s="137" t="s">
        <v>305</v>
      </c>
      <c r="E396" s="39">
        <f>IF(vcp2_6_enable="Enabled",vcp2_act_cvdd*vcp2_6_util_per,0)</f>
        <v>0</v>
      </c>
      <c r="F396" s="39">
        <f>IF(vcp2_6_enable="Enabled",vcp2_act_cvdd1*vcp2_6_util_per,0)</f>
        <v>0</v>
      </c>
      <c r="G396" s="95"/>
      <c r="H396" s="105"/>
      <c r="I396" s="105"/>
      <c r="J396" s="105"/>
      <c r="K396" s="105"/>
      <c r="L396" s="105"/>
      <c r="M396" s="105"/>
      <c r="N396" s="105"/>
      <c r="O396" s="29"/>
      <c r="P396" s="29"/>
      <c r="Q396" s="29"/>
      <c r="R396" s="18"/>
      <c r="S396" s="18"/>
      <c r="T396" s="18"/>
      <c r="U396" s="18"/>
      <c r="V396" s="18"/>
      <c r="W396" s="18"/>
      <c r="X396" s="19"/>
      <c r="Y396" s="12"/>
      <c r="Z396" s="12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</row>
    <row r="397" spans="1:46" s="92" customFormat="1" ht="12" customHeight="1" x14ac:dyDescent="0.2">
      <c r="A397" s="18"/>
      <c r="B397" s="39"/>
      <c r="C397" s="39"/>
      <c r="D397" s="137" t="s">
        <v>306</v>
      </c>
      <c r="E397" s="39">
        <f>IF(vcp2_7_enable="Enabled",vcp2_act_cvdd*vcp2_7_util_per,0)</f>
        <v>0</v>
      </c>
      <c r="F397" s="39">
        <f>IF(vcp2_7_enable="Enabled",vcp2_act_cvdd1*vcp2_7_util_per,0)</f>
        <v>0</v>
      </c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18"/>
      <c r="S397" s="18"/>
      <c r="T397" s="18"/>
      <c r="U397" s="18"/>
      <c r="V397" s="18"/>
      <c r="W397" s="18"/>
      <c r="X397" s="19"/>
      <c r="Y397" s="12"/>
      <c r="Z397" s="12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</row>
    <row r="400" spans="1:46" ht="15" x14ac:dyDescent="0.25">
      <c r="A400" s="234" t="s">
        <v>130</v>
      </c>
    </row>
    <row r="401" spans="1:53" s="92" customFormat="1" ht="12" customHeight="1" x14ac:dyDescent="0.2">
      <c r="A401" s="18"/>
      <c r="B401" s="142" t="s">
        <v>251</v>
      </c>
      <c r="C401" s="142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278"/>
      <c r="Z401" s="278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</row>
    <row r="402" spans="1:53" s="92" customFormat="1" ht="12" customHeight="1" x14ac:dyDescent="0.2">
      <c r="A402" s="18"/>
      <c r="B402" s="39" t="s">
        <v>130</v>
      </c>
      <c r="C402" s="39"/>
      <c r="D402" s="39"/>
      <c r="E402" s="84" t="s">
        <v>15</v>
      </c>
      <c r="F402" s="39" t="s">
        <v>16</v>
      </c>
      <c r="G402" s="386" t="s">
        <v>15</v>
      </c>
      <c r="H402" s="387"/>
      <c r="I402" s="386" t="s">
        <v>16</v>
      </c>
      <c r="J402" s="387"/>
      <c r="K402" s="116"/>
      <c r="L402" s="116"/>
      <c r="M402" s="116"/>
      <c r="N402" s="116"/>
      <c r="O402" s="116"/>
      <c r="P402" s="116"/>
      <c r="Q402" s="116"/>
      <c r="R402" s="278"/>
      <c r="S402" s="278"/>
      <c r="T402" s="278"/>
      <c r="U402" s="278"/>
      <c r="V402" s="278"/>
      <c r="W402" s="278"/>
      <c r="X402" s="19"/>
      <c r="Y402" s="12"/>
      <c r="Z402" s="12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</row>
    <row r="403" spans="1:53" s="92" customFormat="1" ht="12.75" customHeight="1" x14ac:dyDescent="0.2">
      <c r="A403" s="38" t="s">
        <v>131</v>
      </c>
      <c r="B403" s="39"/>
      <c r="C403" s="39"/>
      <c r="D403" s="39"/>
      <c r="E403" s="39"/>
      <c r="F403" s="39"/>
      <c r="G403" s="137" t="s">
        <v>230</v>
      </c>
      <c r="H403" s="137" t="s">
        <v>231</v>
      </c>
      <c r="I403" s="137" t="s">
        <v>230</v>
      </c>
      <c r="J403" s="137" t="s">
        <v>231</v>
      </c>
      <c r="K403" s="116"/>
      <c r="L403" s="116"/>
      <c r="M403" s="116"/>
      <c r="N403" s="116"/>
      <c r="O403" s="116"/>
      <c r="P403" s="116"/>
      <c r="Q403" s="116"/>
      <c r="R403" s="278"/>
      <c r="S403" s="278"/>
      <c r="T403" s="278"/>
      <c r="U403" s="278"/>
      <c r="V403" s="278"/>
      <c r="W403" s="278"/>
      <c r="X403" s="19"/>
      <c r="Y403" s="12"/>
      <c r="Z403" s="12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</row>
    <row r="404" spans="1:53" s="92" customFormat="1" ht="12.75" customHeight="1" x14ac:dyDescent="0.2">
      <c r="A404" s="65">
        <f>tcp3d_0_util/100</f>
        <v>0</v>
      </c>
      <c r="B404" s="39"/>
      <c r="C404" s="39"/>
      <c r="D404" s="39"/>
      <c r="E404" s="39"/>
      <c r="F404" s="74"/>
      <c r="G404" s="138"/>
      <c r="H404" s="84"/>
      <c r="I404" s="84"/>
      <c r="J404" s="84"/>
      <c r="K404" s="116"/>
      <c r="L404" s="116"/>
      <c r="M404" s="116"/>
      <c r="N404" s="116"/>
      <c r="O404" s="116"/>
      <c r="P404" s="116"/>
      <c r="Q404" s="116"/>
      <c r="R404" s="278"/>
      <c r="S404" s="278"/>
      <c r="T404" s="278"/>
      <c r="U404" s="278"/>
      <c r="V404" s="278"/>
      <c r="W404" s="278"/>
      <c r="X404" s="19"/>
      <c r="Y404" s="12"/>
      <c r="Z404" s="12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</row>
    <row r="405" spans="1:53" s="92" customFormat="1" ht="12.75" customHeight="1" x14ac:dyDescent="0.2">
      <c r="A405" s="65">
        <f>tcp3d_1_util/100</f>
        <v>0</v>
      </c>
      <c r="B405" s="84" t="s">
        <v>163</v>
      </c>
      <c r="C405" s="84"/>
      <c r="D405" s="84" t="s">
        <v>184</v>
      </c>
      <c r="E405" s="27">
        <v>0</v>
      </c>
      <c r="F405" s="155">
        <v>0</v>
      </c>
      <c r="G405" s="138"/>
      <c r="H405" s="84"/>
      <c r="I405" s="84"/>
      <c r="J405" s="84"/>
      <c r="K405" s="116"/>
      <c r="L405" s="116"/>
      <c r="M405" s="116"/>
      <c r="N405" s="116"/>
      <c r="O405" s="116"/>
      <c r="P405" s="116"/>
      <c r="Q405" s="116"/>
      <c r="R405" s="278"/>
      <c r="S405" s="278"/>
      <c r="T405" s="278"/>
      <c r="U405" s="278"/>
      <c r="V405" s="278"/>
      <c r="W405" s="278"/>
      <c r="X405" s="19"/>
      <c r="Y405" s="12"/>
      <c r="Z405" s="12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</row>
    <row r="406" spans="1:53" s="92" customFormat="1" ht="12.75" customHeight="1" x14ac:dyDescent="0.2">
      <c r="A406" s="65">
        <f>tcp3d_2_util/100</f>
        <v>0</v>
      </c>
      <c r="B406" s="84"/>
      <c r="C406" s="84"/>
      <c r="D406" s="84" t="s">
        <v>185</v>
      </c>
      <c r="E406" s="27">
        <v>0</v>
      </c>
      <c r="F406" s="155">
        <v>0</v>
      </c>
      <c r="G406" s="138"/>
      <c r="H406" s="84"/>
      <c r="I406" s="84"/>
      <c r="J406" s="84"/>
      <c r="K406" s="116"/>
      <c r="L406" s="116"/>
      <c r="M406" s="116"/>
      <c r="N406" s="116"/>
      <c r="O406" s="116"/>
      <c r="P406" s="116"/>
      <c r="Q406" s="116"/>
      <c r="R406" s="278"/>
      <c r="S406" s="278"/>
      <c r="T406" s="278"/>
      <c r="U406" s="278"/>
      <c r="V406" s="278"/>
      <c r="W406" s="278"/>
      <c r="X406" s="19"/>
      <c r="Y406" s="12"/>
      <c r="Z406" s="12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</row>
    <row r="407" spans="1:53" s="92" customFormat="1" ht="12.75" customHeight="1" x14ac:dyDescent="0.2">
      <c r="A407" s="65">
        <f>tcp3d_3_util/100</f>
        <v>0</v>
      </c>
      <c r="B407" s="84"/>
      <c r="C407" s="84"/>
      <c r="D407" s="84" t="s">
        <v>183</v>
      </c>
      <c r="E407" s="27">
        <f>SUM(E405:E406)</f>
        <v>0</v>
      </c>
      <c r="F407" s="155">
        <f>SUM(F405:F406)</f>
        <v>0</v>
      </c>
      <c r="G407" s="138"/>
      <c r="H407" s="84"/>
      <c r="I407" s="84"/>
      <c r="J407" s="84"/>
      <c r="K407" s="116"/>
      <c r="L407" s="116"/>
      <c r="M407" s="116"/>
      <c r="N407" s="116"/>
      <c r="O407" s="116"/>
      <c r="P407" s="116"/>
      <c r="Q407" s="116"/>
      <c r="R407" s="278"/>
      <c r="S407" s="278"/>
      <c r="T407" s="278"/>
      <c r="U407" s="278"/>
      <c r="V407" s="278"/>
      <c r="W407" s="278"/>
      <c r="X407" s="19"/>
      <c r="Y407" s="12"/>
      <c r="Z407" s="12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</row>
    <row r="408" spans="1:53" s="92" customFormat="1" ht="12.75" customHeight="1" x14ac:dyDescent="0.2">
      <c r="A408" s="18"/>
      <c r="B408" s="84" t="s">
        <v>162</v>
      </c>
      <c r="C408" s="84"/>
      <c r="D408" s="137" t="s">
        <v>337</v>
      </c>
      <c r="E408" s="279">
        <f xml:space="preserve"> IF(B2="K2K",G408*cpuF+H408,0)</f>
        <v>0</v>
      </c>
      <c r="F408" s="279">
        <f xml:space="preserve"> I408*cpuF +J408</f>
        <v>0</v>
      </c>
      <c r="G408" s="138">
        <v>7.9000000000000001E-2</v>
      </c>
      <c r="H408" s="84">
        <v>0</v>
      </c>
      <c r="I408" s="84">
        <v>0</v>
      </c>
      <c r="J408" s="84">
        <v>0</v>
      </c>
      <c r="K408" s="116"/>
      <c r="L408" s="116"/>
      <c r="M408" s="116"/>
      <c r="N408" s="116"/>
      <c r="O408" s="116"/>
      <c r="P408" s="116"/>
      <c r="Q408" s="116"/>
      <c r="R408" s="278"/>
      <c r="S408" s="278"/>
      <c r="T408" s="278"/>
      <c r="U408" s="278"/>
      <c r="V408" s="278"/>
      <c r="W408" s="278"/>
      <c r="X408" s="19"/>
      <c r="Y408" s="12"/>
      <c r="Z408" s="12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</row>
    <row r="409" spans="1:53" s="92" customFormat="1" ht="12.75" customHeight="1" x14ac:dyDescent="0.2">
      <c r="A409" s="18"/>
      <c r="B409" s="39"/>
      <c r="C409" s="39"/>
      <c r="D409" s="137" t="s">
        <v>333</v>
      </c>
      <c r="E409" s="39">
        <f>IF(tcp3d_0_enable="Enabled",E408,0)</f>
        <v>0</v>
      </c>
      <c r="F409" s="74"/>
      <c r="G409" s="138"/>
      <c r="H409" s="84"/>
      <c r="I409" s="84"/>
      <c r="J409" s="84"/>
      <c r="K409" s="116"/>
      <c r="L409" s="116"/>
      <c r="M409" s="116"/>
      <c r="N409" s="116"/>
      <c r="O409" s="116"/>
      <c r="P409" s="116"/>
      <c r="Q409" s="116"/>
      <c r="R409" s="278"/>
      <c r="S409" s="278"/>
      <c r="T409" s="278"/>
      <c r="U409" s="278"/>
      <c r="V409" s="278"/>
      <c r="W409" s="278"/>
      <c r="X409" s="19"/>
      <c r="Y409" s="12"/>
      <c r="Z409" s="12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</row>
    <row r="410" spans="1:53" s="92" customFormat="1" ht="12.75" customHeight="1" x14ac:dyDescent="0.2">
      <c r="A410" s="18"/>
      <c r="B410" s="39"/>
      <c r="C410" s="39"/>
      <c r="D410" s="137" t="s">
        <v>334</v>
      </c>
      <c r="E410" s="39">
        <f>IF(tcp3d_1_enable="Enabled",E408,0)</f>
        <v>0</v>
      </c>
      <c r="F410" s="74"/>
      <c r="G410" s="138"/>
      <c r="H410" s="84"/>
      <c r="I410" s="84"/>
      <c r="J410" s="84"/>
      <c r="K410" s="116"/>
      <c r="L410" s="116"/>
      <c r="M410" s="116"/>
      <c r="N410" s="116"/>
      <c r="O410" s="116"/>
      <c r="P410" s="116"/>
      <c r="Q410" s="116"/>
      <c r="R410" s="278"/>
      <c r="S410" s="278"/>
      <c r="T410" s="278"/>
      <c r="U410" s="278"/>
      <c r="V410" s="278"/>
      <c r="W410" s="278"/>
      <c r="X410" s="19"/>
      <c r="Y410" s="12"/>
      <c r="Z410" s="12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</row>
    <row r="411" spans="1:53" s="92" customFormat="1" ht="12.75" customHeight="1" x14ac:dyDescent="0.2">
      <c r="A411" s="18"/>
      <c r="B411" s="39"/>
      <c r="C411" s="39"/>
      <c r="D411" s="137" t="s">
        <v>335</v>
      </c>
      <c r="E411" s="39">
        <f>IF(tcp3d_2_enable="Enabled",E408,0)</f>
        <v>0</v>
      </c>
      <c r="F411" s="74"/>
      <c r="G411" s="138"/>
      <c r="H411" s="84"/>
      <c r="I411" s="84"/>
      <c r="J411" s="84"/>
      <c r="K411" s="116"/>
      <c r="L411" s="116"/>
      <c r="M411" s="116"/>
      <c r="N411" s="116"/>
      <c r="O411" s="116"/>
      <c r="P411" s="116"/>
      <c r="Q411" s="116"/>
      <c r="R411" s="278"/>
      <c r="S411" s="278"/>
      <c r="T411" s="278"/>
      <c r="U411" s="278"/>
      <c r="V411" s="278"/>
      <c r="W411" s="278"/>
      <c r="X411" s="19"/>
      <c r="Y411" s="12"/>
      <c r="Z411" s="12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</row>
    <row r="412" spans="1:53" s="92" customFormat="1" ht="12.75" customHeight="1" x14ac:dyDescent="0.2">
      <c r="A412" s="18"/>
      <c r="B412" s="39"/>
      <c r="C412" s="39"/>
      <c r="D412" s="137" t="s">
        <v>336</v>
      </c>
      <c r="E412" s="39">
        <f>IF(tcp3d_3_enable="Enabled",E408,0)</f>
        <v>0</v>
      </c>
      <c r="F412" s="74"/>
      <c r="G412" s="280"/>
      <c r="H412" s="179"/>
      <c r="I412" s="179"/>
      <c r="J412" s="179"/>
      <c r="K412" s="116"/>
      <c r="L412" s="116"/>
      <c r="M412" s="116"/>
      <c r="N412" s="116"/>
      <c r="O412" s="116"/>
      <c r="P412" s="116"/>
      <c r="Q412" s="116"/>
      <c r="R412" s="278"/>
      <c r="S412" s="278"/>
      <c r="T412" s="278"/>
      <c r="U412" s="278"/>
      <c r="V412" s="278"/>
      <c r="W412" s="278"/>
      <c r="X412" s="19"/>
      <c r="Y412" s="12"/>
      <c r="Z412" s="12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</row>
    <row r="413" spans="1:53" s="92" customFormat="1" ht="12.75" customHeight="1" x14ac:dyDescent="0.2">
      <c r="A413" s="18"/>
      <c r="B413" s="39"/>
      <c r="C413" s="39"/>
      <c r="D413" s="137" t="s">
        <v>328</v>
      </c>
      <c r="E413" s="39">
        <f>SUM(E409:E412)</f>
        <v>0</v>
      </c>
      <c r="F413" s="74"/>
      <c r="G413" s="280"/>
      <c r="H413" s="179"/>
      <c r="I413" s="179"/>
      <c r="J413" s="179"/>
      <c r="K413" s="116"/>
      <c r="L413" s="116"/>
      <c r="M413" s="116"/>
      <c r="N413" s="116"/>
      <c r="O413" s="116"/>
      <c r="P413" s="116"/>
      <c r="Q413" s="116"/>
      <c r="R413" s="278"/>
      <c r="S413" s="278"/>
      <c r="T413" s="278"/>
      <c r="U413" s="278"/>
      <c r="V413" s="278"/>
      <c r="W413" s="278"/>
      <c r="X413" s="19"/>
      <c r="Y413" s="12"/>
      <c r="Z413" s="12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</row>
    <row r="414" spans="1:53" s="92" customFormat="1" ht="12.75" customHeight="1" x14ac:dyDescent="0.2">
      <c r="A414" s="18"/>
      <c r="B414" s="39"/>
      <c r="C414" s="39"/>
      <c r="D414" s="137"/>
      <c r="E414" s="39"/>
      <c r="F414" s="74"/>
      <c r="G414" s="280"/>
      <c r="H414" s="179"/>
      <c r="I414" s="179"/>
      <c r="J414" s="179"/>
      <c r="K414" s="116"/>
      <c r="L414" s="116"/>
      <c r="M414" s="116"/>
      <c r="N414" s="116"/>
      <c r="O414" s="116"/>
      <c r="P414" s="116"/>
      <c r="Q414" s="116"/>
      <c r="R414" s="278"/>
      <c r="S414" s="278"/>
      <c r="T414" s="278"/>
      <c r="U414" s="278"/>
      <c r="V414" s="278"/>
      <c r="W414" s="278"/>
      <c r="X414" s="19"/>
      <c r="Y414" s="12"/>
      <c r="Z414" s="12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</row>
    <row r="415" spans="1:53" s="92" customFormat="1" ht="12.75" customHeight="1" x14ac:dyDescent="0.2">
      <c r="A415" s="18"/>
      <c r="B415" s="39"/>
      <c r="C415" s="39"/>
      <c r="D415" s="137" t="s">
        <v>338</v>
      </c>
      <c r="E415" s="40">
        <f>IF(B2="K2K",G415*cpuF + H415,0)</f>
        <v>0</v>
      </c>
      <c r="F415" s="102">
        <f>IF(B2="K2K", I415*cpuF +J415,0)</f>
        <v>0</v>
      </c>
      <c r="G415" s="138">
        <v>0.19800000000000001</v>
      </c>
      <c r="H415" s="84">
        <v>0</v>
      </c>
      <c r="I415" s="84">
        <v>3.5000000000000003E-2</v>
      </c>
      <c r="J415" s="84">
        <v>0</v>
      </c>
      <c r="K415" s="116"/>
      <c r="L415" s="116"/>
      <c r="M415" s="116"/>
      <c r="N415" s="116"/>
      <c r="O415" s="116"/>
      <c r="P415" s="116"/>
      <c r="Q415" s="116"/>
      <c r="R415" s="278"/>
      <c r="S415" s="278"/>
      <c r="T415" s="278"/>
      <c r="U415" s="278"/>
      <c r="V415" s="278"/>
      <c r="W415" s="278"/>
      <c r="X415" s="19"/>
      <c r="Y415" s="12"/>
      <c r="Z415" s="12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</row>
    <row r="416" spans="1:53" s="92" customFormat="1" ht="12.75" customHeight="1" x14ac:dyDescent="0.2">
      <c r="A416" s="18"/>
      <c r="B416" s="39"/>
      <c r="C416" s="39"/>
      <c r="D416" s="137" t="s">
        <v>339</v>
      </c>
      <c r="E416" s="39">
        <f>IF(tcp3d_0_enable="Enabled", E$415*tcp3d_0_util_per, 0)</f>
        <v>0</v>
      </c>
      <c r="F416" s="39">
        <f>IF(tcp3d_0_enable="Enabled", F$415*tcp3d_0_util_per, 0)</f>
        <v>0</v>
      </c>
      <c r="G416" s="245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278"/>
      <c r="S416" s="278"/>
      <c r="T416" s="278"/>
      <c r="U416" s="278"/>
      <c r="V416" s="278"/>
      <c r="W416" s="278"/>
      <c r="X416" s="19"/>
      <c r="Y416" s="12"/>
      <c r="Z416" s="12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</row>
    <row r="417" spans="1:46" s="92" customFormat="1" ht="12.75" customHeight="1" x14ac:dyDescent="0.2">
      <c r="A417" s="18"/>
      <c r="B417" s="39"/>
      <c r="C417" s="39"/>
      <c r="D417" s="137" t="s">
        <v>340</v>
      </c>
      <c r="E417" s="39">
        <f>IF(tcp3d_1_enable="Enabled", E$415*tcp3d_1_util_per, 0)</f>
        <v>0</v>
      </c>
      <c r="F417" s="39">
        <f>IF(tcp3d_1_enable="Enabled", F$415*tcp3d_1_util_per, 0)</f>
        <v>0</v>
      </c>
      <c r="G417" s="245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278"/>
      <c r="S417" s="278"/>
      <c r="T417" s="278"/>
      <c r="U417" s="278"/>
      <c r="V417" s="278"/>
      <c r="W417" s="278"/>
      <c r="X417" s="19"/>
      <c r="Y417" s="12"/>
      <c r="Z417" s="12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</row>
    <row r="418" spans="1:46" s="92" customFormat="1" ht="12.75" customHeight="1" x14ac:dyDescent="0.2">
      <c r="A418" s="18"/>
      <c r="B418" s="39"/>
      <c r="C418" s="39"/>
      <c r="D418" s="137" t="s">
        <v>341</v>
      </c>
      <c r="E418" s="39">
        <f>IF(tcp3d_2_enable="Enabled", E$415*tcp3d_2_util_per, 0)</f>
        <v>0</v>
      </c>
      <c r="F418" s="39">
        <f>IF(tcp3d_2_enable="Enabled", F$415*tcp3d_2_util_per, 0)</f>
        <v>0</v>
      </c>
      <c r="G418" s="245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278"/>
      <c r="S418" s="278"/>
      <c r="T418" s="278"/>
      <c r="U418" s="278"/>
      <c r="V418" s="278"/>
      <c r="W418" s="278"/>
      <c r="X418" s="19"/>
      <c r="Y418" s="12"/>
      <c r="Z418" s="12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</row>
    <row r="419" spans="1:46" s="92" customFormat="1" ht="12.75" customHeight="1" x14ac:dyDescent="0.2">
      <c r="A419" s="18"/>
      <c r="B419" s="39"/>
      <c r="C419" s="39"/>
      <c r="D419" s="137" t="s">
        <v>342</v>
      </c>
      <c r="E419" s="39">
        <f>IF(tcp3d_3_enable="Enabled", E$415*tcp3d_3_util_per, 0)</f>
        <v>0</v>
      </c>
      <c r="F419" s="39">
        <f>IF(tcp3d_3_enable="Enabled", F$415*tcp3d_3_util_per, 0)</f>
        <v>0</v>
      </c>
      <c r="G419" s="245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278"/>
      <c r="S419" s="278"/>
      <c r="T419" s="278"/>
      <c r="U419" s="278"/>
      <c r="V419" s="278"/>
      <c r="W419" s="278"/>
      <c r="X419" s="19"/>
      <c r="Y419" s="12"/>
      <c r="Z419" s="12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</row>
    <row r="422" spans="1:46" ht="15" x14ac:dyDescent="0.25">
      <c r="A422" s="234" t="s">
        <v>186</v>
      </c>
    </row>
    <row r="423" spans="1:46" s="92" customFormat="1" ht="12.75" customHeight="1" x14ac:dyDescent="0.2">
      <c r="B423" s="142" t="s">
        <v>251</v>
      </c>
      <c r="C423" s="131"/>
      <c r="E423" s="18"/>
      <c r="F423" s="119"/>
      <c r="H423" s="18"/>
      <c r="I423" s="18"/>
    </row>
    <row r="424" spans="1:46" s="92" customFormat="1" ht="12.75" customHeight="1" x14ac:dyDescent="0.2">
      <c r="B424" s="125" t="s">
        <v>194</v>
      </c>
      <c r="C424" s="125"/>
      <c r="D424" s="125"/>
      <c r="E424" s="84" t="s">
        <v>15</v>
      </c>
      <c r="F424" s="39" t="s">
        <v>16</v>
      </c>
      <c r="G424" s="39" t="s">
        <v>17</v>
      </c>
      <c r="H424" s="137" t="s">
        <v>292</v>
      </c>
      <c r="I424" s="137" t="s">
        <v>293</v>
      </c>
      <c r="J424" s="386" t="s">
        <v>15</v>
      </c>
      <c r="K424" s="387"/>
      <c r="L424" s="386" t="s">
        <v>16</v>
      </c>
      <c r="M424" s="387"/>
      <c r="N424" s="386" t="s">
        <v>17</v>
      </c>
      <c r="O424" s="387"/>
      <c r="P424" s="386" t="s">
        <v>292</v>
      </c>
      <c r="Q424" s="387"/>
      <c r="R424" s="386" t="s">
        <v>293</v>
      </c>
      <c r="S424" s="387"/>
      <c r="Y424" s="281"/>
      <c r="Z424" s="118"/>
    </row>
    <row r="425" spans="1:46" s="92" customFormat="1" ht="12.75" customHeight="1" x14ac:dyDescent="0.2">
      <c r="B425" s="125"/>
      <c r="C425" s="125"/>
      <c r="D425" s="125"/>
      <c r="E425" s="39"/>
      <c r="F425" s="125"/>
      <c r="G425" s="39"/>
      <c r="J425" s="137" t="s">
        <v>230</v>
      </c>
      <c r="K425" s="137" t="s">
        <v>231</v>
      </c>
      <c r="L425" s="137" t="s">
        <v>230</v>
      </c>
      <c r="M425" s="137" t="s">
        <v>231</v>
      </c>
      <c r="N425" s="137" t="s">
        <v>230</v>
      </c>
      <c r="O425" s="137" t="s">
        <v>231</v>
      </c>
      <c r="Y425" s="281"/>
      <c r="Z425" s="118"/>
    </row>
    <row r="426" spans="1:46" s="92" customFormat="1" ht="12.75" customHeight="1" x14ac:dyDescent="0.2">
      <c r="B426" s="125" t="s">
        <v>82</v>
      </c>
      <c r="C426" s="125"/>
      <c r="D426" s="125"/>
      <c r="E426" s="107">
        <v>0</v>
      </c>
      <c r="F426" s="127">
        <v>0</v>
      </c>
      <c r="G426" s="127">
        <v>0</v>
      </c>
      <c r="J426" s="125"/>
      <c r="K426" s="125"/>
      <c r="L426" s="125"/>
      <c r="M426" s="125"/>
      <c r="N426" s="125"/>
      <c r="O426" s="125"/>
      <c r="Y426" s="281"/>
      <c r="Z426" s="118"/>
    </row>
    <row r="427" spans="1:46" s="92" customFormat="1" ht="12.75" customHeight="1" x14ac:dyDescent="0.2">
      <c r="B427" s="125" t="s">
        <v>83</v>
      </c>
      <c r="C427" s="125"/>
      <c r="D427" s="125"/>
      <c r="E427" s="109">
        <f>IF(B2="K2K", J427*cpuF + K427,0)</f>
        <v>0</v>
      </c>
      <c r="F427" s="128">
        <f>IF(B2="K2K", L427*cpuF + M427,0)</f>
        <v>0</v>
      </c>
      <c r="G427" s="109">
        <f>N427*cpuF + O427</f>
        <v>0</v>
      </c>
      <c r="H427" s="92">
        <f>P427</f>
        <v>7.1999999999999993</v>
      </c>
      <c r="I427" s="92">
        <f>R427</f>
        <v>10.4</v>
      </c>
      <c r="J427" s="125">
        <v>0.19</v>
      </c>
      <c r="K427" s="125">
        <v>0</v>
      </c>
      <c r="L427" s="125">
        <v>7.5000000000000002E-4</v>
      </c>
      <c r="M427" s="125">
        <v>0</v>
      </c>
      <c r="N427" s="125">
        <v>0</v>
      </c>
      <c r="O427" s="125">
        <v>0</v>
      </c>
      <c r="P427" s="92">
        <f>IF(aif_en="Enabled",SUM(P438:P439),SUM(O456:O457))</f>
        <v>7.1999999999999993</v>
      </c>
      <c r="R427" s="92">
        <f>IF(aif_en="Enabled",SUM(R438:R439),SUM(N456:N457))</f>
        <v>10.4</v>
      </c>
      <c r="Y427" s="281"/>
      <c r="Z427" s="118"/>
    </row>
    <row r="428" spans="1:46" s="92" customFormat="1" ht="12.75" customHeight="1" x14ac:dyDescent="0.2">
      <c r="B428" s="125"/>
      <c r="C428" s="125"/>
      <c r="D428" s="125"/>
      <c r="E428" s="109">
        <f>E427</f>
        <v>0</v>
      </c>
      <c r="F428" s="128">
        <f>F427</f>
        <v>0</v>
      </c>
      <c r="G428" s="109">
        <f>G427</f>
        <v>0</v>
      </c>
      <c r="J428" s="125"/>
      <c r="K428" s="125"/>
      <c r="L428" s="125"/>
      <c r="M428" s="125"/>
      <c r="N428" s="125"/>
      <c r="O428" s="125"/>
      <c r="Y428" s="281"/>
      <c r="Z428" s="118"/>
    </row>
    <row r="429" spans="1:46" s="92" customFormat="1" ht="12.75" customHeight="1" x14ac:dyDescent="0.2">
      <c r="B429" s="123"/>
      <c r="C429" s="123"/>
      <c r="D429" s="123" t="s">
        <v>84</v>
      </c>
      <c r="E429" s="31">
        <f>IF(aif_en="Enabled", (IF(E428&gt;0, E428, 0)), 0)</f>
        <v>0</v>
      </c>
      <c r="F429" s="123">
        <f>IF(aif_en="Enabled", IF(F428&gt;0, F428,0), 0)</f>
        <v>0</v>
      </c>
      <c r="G429" s="31">
        <f>IF(aif_en="Enabled", aif_clk_dvdd15, 0)</f>
        <v>0</v>
      </c>
      <c r="H429" s="31">
        <f>IF(B2="K2K",H427,0)</f>
        <v>0</v>
      </c>
      <c r="I429" s="31">
        <f>IF(B2="K2K",I427,0)</f>
        <v>0</v>
      </c>
      <c r="J429" s="125"/>
      <c r="K429" s="125"/>
      <c r="L429" s="125"/>
      <c r="M429" s="125"/>
      <c r="N429" s="125"/>
      <c r="O429" s="125"/>
      <c r="V429" s="95"/>
      <c r="W429" s="95"/>
      <c r="X429" s="95"/>
      <c r="Y429" s="281"/>
      <c r="Z429" s="118"/>
    </row>
    <row r="430" spans="1:46" s="92" customFormat="1" ht="12.75" customHeight="1" x14ac:dyDescent="0.2">
      <c r="B430" s="125"/>
      <c r="C430" s="125"/>
      <c r="D430" s="125"/>
      <c r="E430" s="39"/>
      <c r="F430" s="125"/>
      <c r="G430" s="39"/>
      <c r="J430" s="125"/>
      <c r="K430" s="125"/>
      <c r="L430" s="125"/>
      <c r="M430" s="125"/>
      <c r="N430" s="125"/>
      <c r="O430" s="125"/>
      <c r="V430" s="95"/>
      <c r="W430" s="95"/>
      <c r="X430" s="95"/>
      <c r="Y430" s="281"/>
      <c r="Z430" s="118"/>
    </row>
    <row r="431" spans="1:46" s="92" customFormat="1" ht="12.75" customHeight="1" x14ac:dyDescent="0.2">
      <c r="B431" s="125" t="s">
        <v>188</v>
      </c>
      <c r="C431" s="125"/>
      <c r="D431" s="125" t="s">
        <v>49</v>
      </c>
      <c r="E431" s="39">
        <v>0</v>
      </c>
      <c r="F431" s="125"/>
      <c r="G431" s="39">
        <v>0</v>
      </c>
      <c r="J431" s="125"/>
      <c r="K431" s="125"/>
      <c r="L431" s="125"/>
      <c r="M431" s="125"/>
      <c r="N431" s="125"/>
      <c r="O431" s="125"/>
      <c r="V431" s="95"/>
      <c r="W431" s="95"/>
      <c r="X431" s="95"/>
      <c r="Y431" s="281"/>
      <c r="Z431" s="118"/>
    </row>
    <row r="432" spans="1:46" s="92" customFormat="1" ht="12.75" customHeight="1" x14ac:dyDescent="0.2">
      <c r="B432" s="125" t="s">
        <v>188</v>
      </c>
      <c r="C432" s="125"/>
      <c r="D432" s="125" t="s">
        <v>50</v>
      </c>
      <c r="E432" s="39">
        <f>IF(B2="K2K",J432*cpuF+K432,0)</f>
        <v>0</v>
      </c>
      <c r="F432" s="125">
        <f>IF(B2="K2K",L432*cpuF+M432-G431,0)</f>
        <v>0</v>
      </c>
      <c r="G432" s="39"/>
      <c r="J432" s="125">
        <v>0.109</v>
      </c>
      <c r="K432" s="125">
        <v>0</v>
      </c>
      <c r="L432" s="125">
        <v>3.7999999999999999E-2</v>
      </c>
      <c r="M432" s="125">
        <v>0</v>
      </c>
      <c r="N432" s="125">
        <v>0</v>
      </c>
      <c r="O432" s="125">
        <v>0</v>
      </c>
      <c r="V432" s="95"/>
      <c r="W432" s="95"/>
      <c r="X432" s="95"/>
      <c r="Y432" s="281"/>
      <c r="Z432" s="118"/>
    </row>
    <row r="433" spans="2:26" s="92" customFormat="1" ht="12.75" customHeight="1" x14ac:dyDescent="0.2">
      <c r="B433" s="125" t="s">
        <v>188</v>
      </c>
      <c r="C433" s="125"/>
      <c r="D433" s="125" t="s">
        <v>72</v>
      </c>
      <c r="E433" s="39">
        <f xml:space="preserve"> H433*aif_line_rate + I433-obsai_dio_base</f>
        <v>0</v>
      </c>
      <c r="F433" s="125">
        <v>0</v>
      </c>
      <c r="G433" s="39">
        <f xml:space="preserve"> L433*aif_line_rate +M433-G431</f>
        <v>0</v>
      </c>
      <c r="J433" s="125">
        <v>0</v>
      </c>
      <c r="K433" s="125">
        <v>0</v>
      </c>
      <c r="L433" s="125">
        <v>0</v>
      </c>
      <c r="M433" s="125">
        <v>0</v>
      </c>
      <c r="N433" s="125">
        <v>0</v>
      </c>
      <c r="O433" s="125">
        <v>0</v>
      </c>
      <c r="V433" s="95"/>
      <c r="W433" s="95"/>
      <c r="X433" s="95"/>
      <c r="Y433" s="281"/>
      <c r="Z433" s="118"/>
    </row>
    <row r="434" spans="2:26" s="92" customFormat="1" ht="12.75" customHeight="1" x14ac:dyDescent="0.2">
      <c r="B434" s="125" t="s">
        <v>188</v>
      </c>
      <c r="C434" s="125"/>
      <c r="D434" s="125" t="s">
        <v>73</v>
      </c>
      <c r="E434" s="39">
        <f xml:space="preserve"> H434*aif_lanes + I434-obsai_dio_base</f>
        <v>0</v>
      </c>
      <c r="F434" s="125">
        <v>0</v>
      </c>
      <c r="G434" s="39">
        <f xml:space="preserve"> L434*aif_lanes +M434-G431</f>
        <v>0</v>
      </c>
      <c r="J434" s="125">
        <v>0</v>
      </c>
      <c r="K434" s="125">
        <v>0</v>
      </c>
      <c r="L434" s="125">
        <v>0</v>
      </c>
      <c r="M434" s="125">
        <v>0</v>
      </c>
      <c r="N434" s="125">
        <v>0</v>
      </c>
      <c r="O434" s="125">
        <v>0</v>
      </c>
      <c r="V434" s="95"/>
      <c r="W434" s="95"/>
      <c r="X434" s="95"/>
      <c r="Y434" s="281"/>
      <c r="Z434" s="118"/>
    </row>
    <row r="435" spans="2:26" s="92" customFormat="1" ht="12.75" customHeight="1" x14ac:dyDescent="0.2">
      <c r="B435" s="125"/>
      <c r="C435" s="125"/>
      <c r="D435" s="125" t="s">
        <v>25</v>
      </c>
      <c r="E435" s="109">
        <f>SUM(E431:E434)</f>
        <v>0</v>
      </c>
      <c r="F435" s="109">
        <f>SUM(F431:F434)</f>
        <v>0</v>
      </c>
      <c r="G435" s="109">
        <f>SUM(G431:G434)</f>
        <v>0</v>
      </c>
      <c r="J435" s="125"/>
      <c r="K435" s="125"/>
      <c r="L435" s="125"/>
      <c r="M435" s="125"/>
      <c r="N435" s="125"/>
      <c r="O435" s="125"/>
      <c r="V435" s="95"/>
      <c r="W435" s="95"/>
      <c r="X435" s="95"/>
      <c r="Y435" s="281"/>
      <c r="Z435" s="118"/>
    </row>
    <row r="436" spans="2:26" s="92" customFormat="1" ht="12.75" customHeight="1" x14ac:dyDescent="0.2">
      <c r="B436" s="125"/>
      <c r="C436" s="125"/>
      <c r="D436" s="125"/>
      <c r="E436" s="39"/>
      <c r="F436" s="125"/>
      <c r="G436" s="39"/>
      <c r="J436" s="125"/>
      <c r="K436" s="125"/>
      <c r="L436" s="125"/>
      <c r="M436" s="125"/>
      <c r="N436" s="125"/>
      <c r="O436" s="125"/>
      <c r="V436" s="95"/>
      <c r="W436" s="95"/>
      <c r="X436" s="95"/>
      <c r="Y436" s="281"/>
      <c r="Z436" s="118"/>
    </row>
    <row r="437" spans="2:26" s="92" customFormat="1" ht="12.75" customHeight="1" x14ac:dyDescent="0.2">
      <c r="B437" s="125" t="s">
        <v>192</v>
      </c>
      <c r="C437" s="125"/>
      <c r="D437" s="125" t="s">
        <v>49</v>
      </c>
      <c r="E437" s="39">
        <v>0</v>
      </c>
      <c r="F437" s="125"/>
      <c r="G437" s="39">
        <v>0</v>
      </c>
      <c r="J437" s="125"/>
      <c r="K437" s="125"/>
      <c r="L437" s="125"/>
      <c r="M437" s="125"/>
      <c r="N437" s="125"/>
      <c r="O437" s="125"/>
      <c r="V437" s="95"/>
      <c r="W437" s="95"/>
      <c r="X437" s="95"/>
      <c r="Y437" s="281"/>
      <c r="Z437" s="118"/>
    </row>
    <row r="438" spans="2:26" s="92" customFormat="1" ht="12.75" customHeight="1" x14ac:dyDescent="0.2">
      <c r="B438" s="125" t="s">
        <v>192</v>
      </c>
      <c r="C438" s="125"/>
      <c r="D438" s="125" t="s">
        <v>50</v>
      </c>
      <c r="E438" s="39">
        <f>IF(B2="K2K", J438*cpuF+K438,0)</f>
        <v>0</v>
      </c>
      <c r="F438" s="125">
        <f>IF(B2="K2K",  L438*cpuF + M438-G437,0)</f>
        <v>0</v>
      </c>
      <c r="G438" s="39">
        <v>0</v>
      </c>
      <c r="J438" s="125">
        <v>0.109</v>
      </c>
      <c r="K438" s="125">
        <v>0</v>
      </c>
      <c r="L438" s="125">
        <v>3.7999999999999999E-2</v>
      </c>
      <c r="M438" s="125">
        <v>0</v>
      </c>
      <c r="N438" s="125">
        <v>0</v>
      </c>
      <c r="O438" s="125">
        <v>0</v>
      </c>
      <c r="P438" s="92">
        <f>IF(OR(aif_lanes=2,aif_lanes=6),M457,O457)</f>
        <v>3.3</v>
      </c>
      <c r="R438" s="92">
        <f>IF(OR(aif_lanes=2,aif_lanes=6),L457,N457)</f>
        <v>3.7</v>
      </c>
      <c r="T438" s="92">
        <v>2</v>
      </c>
      <c r="V438" s="95"/>
      <c r="W438" s="95"/>
      <c r="X438" s="95"/>
      <c r="Y438" s="281"/>
      <c r="Z438" s="118"/>
    </row>
    <row r="439" spans="2:26" s="92" customFormat="1" ht="12.75" customHeight="1" x14ac:dyDescent="0.2">
      <c r="B439" s="125" t="s">
        <v>192</v>
      </c>
      <c r="C439" s="125"/>
      <c r="D439" s="125" t="s">
        <v>72</v>
      </c>
      <c r="E439" s="39">
        <f xml:space="preserve"> H439*aif_line_rate + I439-obsai_dio_base</f>
        <v>0</v>
      </c>
      <c r="F439" s="125">
        <v>0</v>
      </c>
      <c r="G439" s="39">
        <f xml:space="preserve"> L439*aif_line_rate +M439-G437</f>
        <v>0</v>
      </c>
      <c r="J439" s="125">
        <v>0</v>
      </c>
      <c r="K439" s="125">
        <v>0</v>
      </c>
      <c r="L439" s="125">
        <v>0</v>
      </c>
      <c r="M439" s="125">
        <v>0</v>
      </c>
      <c r="N439" s="125">
        <v>0</v>
      </c>
      <c r="O439" s="125">
        <v>0</v>
      </c>
      <c r="P439" s="92">
        <f>IF(OR(aif_lanes=4,aif_lanes=6),M456,O456)</f>
        <v>243.7</v>
      </c>
      <c r="R439" s="92">
        <f>IF(OR(aif_lanes=4,aif_lanes=6),L456,N456)</f>
        <v>179.8</v>
      </c>
      <c r="T439" s="92">
        <v>4</v>
      </c>
      <c r="V439" s="95"/>
      <c r="W439" s="95"/>
      <c r="X439" s="95"/>
      <c r="Y439" s="281"/>
      <c r="Z439" s="118"/>
    </row>
    <row r="440" spans="2:26" s="92" customFormat="1" ht="12.75" customHeight="1" x14ac:dyDescent="0.2">
      <c r="B440" s="125" t="s">
        <v>192</v>
      </c>
      <c r="C440" s="125"/>
      <c r="D440" s="125" t="s">
        <v>73</v>
      </c>
      <c r="E440" s="39">
        <f xml:space="preserve"> H440*aif_lanes + I440-obsai_dio_base</f>
        <v>0</v>
      </c>
      <c r="F440" s="125">
        <v>0</v>
      </c>
      <c r="G440" s="39">
        <f xml:space="preserve"> L440*aif_lanes +M440-G437</f>
        <v>0</v>
      </c>
      <c r="J440" s="125">
        <v>0</v>
      </c>
      <c r="K440" s="125">
        <v>0</v>
      </c>
      <c r="L440" s="125">
        <v>0</v>
      </c>
      <c r="M440" s="125">
        <v>0</v>
      </c>
      <c r="N440" s="125">
        <v>0</v>
      </c>
      <c r="O440" s="125">
        <v>0</v>
      </c>
      <c r="V440" s="95"/>
      <c r="W440" s="95"/>
      <c r="X440" s="95"/>
      <c r="Y440" s="281"/>
      <c r="Z440" s="118"/>
    </row>
    <row r="441" spans="2:26" s="92" customFormat="1" ht="12.75" customHeight="1" x14ac:dyDescent="0.2">
      <c r="B441" s="125"/>
      <c r="C441" s="125"/>
      <c r="D441" s="125" t="s">
        <v>25</v>
      </c>
      <c r="E441" s="109">
        <f>SUM(E437:E440)</f>
        <v>0</v>
      </c>
      <c r="F441" s="109">
        <f>SUM(F437:F440)</f>
        <v>0</v>
      </c>
      <c r="G441" s="109">
        <f>SUM(G437:G440)</f>
        <v>0</v>
      </c>
      <c r="J441" s="125"/>
      <c r="K441" s="125"/>
      <c r="L441" s="125"/>
      <c r="M441" s="125"/>
      <c r="N441" s="125"/>
      <c r="O441" s="125"/>
      <c r="V441" s="95"/>
      <c r="W441" s="95"/>
      <c r="X441" s="95"/>
      <c r="Y441" s="281"/>
      <c r="Z441" s="118"/>
    </row>
    <row r="442" spans="2:26" s="92" customFormat="1" ht="12.75" customHeight="1" x14ac:dyDescent="0.2">
      <c r="B442" s="125"/>
      <c r="C442" s="125"/>
      <c r="D442" s="125"/>
      <c r="E442" s="39"/>
      <c r="F442" s="125"/>
      <c r="G442" s="39"/>
      <c r="J442" s="125"/>
      <c r="K442" s="125"/>
      <c r="L442" s="125"/>
      <c r="M442" s="125"/>
      <c r="N442" s="125"/>
      <c r="O442" s="125"/>
      <c r="V442" s="95"/>
      <c r="W442" s="95"/>
      <c r="X442" s="95"/>
      <c r="Y442" s="281"/>
      <c r="Z442" s="118"/>
    </row>
    <row r="443" spans="2:26" s="92" customFormat="1" ht="12.75" customHeight="1" x14ac:dyDescent="0.2">
      <c r="B443" s="125" t="s">
        <v>187</v>
      </c>
      <c r="C443" s="125"/>
      <c r="D443" s="125" t="s">
        <v>49</v>
      </c>
      <c r="E443" s="39">
        <v>0</v>
      </c>
      <c r="F443" s="125"/>
      <c r="G443" s="39">
        <v>0</v>
      </c>
      <c r="J443" s="125"/>
      <c r="K443" s="125"/>
      <c r="L443" s="125"/>
      <c r="M443" s="125"/>
      <c r="N443" s="125"/>
      <c r="O443" s="125"/>
      <c r="V443" s="95"/>
      <c r="W443" s="95"/>
      <c r="X443" s="95"/>
      <c r="Y443" s="281"/>
      <c r="Z443" s="118"/>
    </row>
    <row r="444" spans="2:26" s="92" customFormat="1" ht="12.75" customHeight="1" x14ac:dyDescent="0.2">
      <c r="B444" s="125" t="s">
        <v>187</v>
      </c>
      <c r="C444" s="125"/>
      <c r="D444" s="125" t="s">
        <v>50</v>
      </c>
      <c r="E444" s="39">
        <f>IF(B2="K2K", J444*cpuF+K444,0)</f>
        <v>0</v>
      </c>
      <c r="F444" s="125">
        <f>IF(B2="K2K",  L444*cpuF + M444-G443,0)</f>
        <v>0</v>
      </c>
      <c r="G444" s="39">
        <v>0</v>
      </c>
      <c r="J444" s="125">
        <v>0.109</v>
      </c>
      <c r="K444" s="125">
        <v>0</v>
      </c>
      <c r="L444" s="125">
        <v>3.7999999999999999E-2</v>
      </c>
      <c r="M444" s="125">
        <v>0</v>
      </c>
      <c r="N444" s="125">
        <v>0</v>
      </c>
      <c r="O444" s="125">
        <v>0</v>
      </c>
      <c r="V444" s="95"/>
      <c r="W444" s="95"/>
      <c r="X444" s="95"/>
      <c r="Y444" s="281"/>
      <c r="Z444" s="118"/>
    </row>
    <row r="445" spans="2:26" s="92" customFormat="1" ht="12.75" customHeight="1" x14ac:dyDescent="0.2">
      <c r="B445" s="125" t="s">
        <v>187</v>
      </c>
      <c r="C445" s="125"/>
      <c r="D445" s="125" t="s">
        <v>72</v>
      </c>
      <c r="E445" s="39">
        <f xml:space="preserve"> H445*aif_line_rate + I445-obsai_dio_base</f>
        <v>0</v>
      </c>
      <c r="F445" s="125">
        <v>0</v>
      </c>
      <c r="G445" s="39">
        <f xml:space="preserve"> L445*aif_line_rate +M445-G443</f>
        <v>0</v>
      </c>
      <c r="J445" s="125">
        <v>0</v>
      </c>
      <c r="K445" s="125">
        <v>0</v>
      </c>
      <c r="L445" s="125">
        <v>0</v>
      </c>
      <c r="M445" s="125">
        <v>0</v>
      </c>
      <c r="N445" s="125">
        <v>0</v>
      </c>
      <c r="O445" s="125">
        <v>0</v>
      </c>
      <c r="V445" s="95"/>
      <c r="W445" s="95"/>
      <c r="X445" s="95"/>
      <c r="Y445" s="281"/>
      <c r="Z445" s="118"/>
    </row>
    <row r="446" spans="2:26" s="92" customFormat="1" ht="12.75" customHeight="1" x14ac:dyDescent="0.2">
      <c r="B446" s="125" t="s">
        <v>187</v>
      </c>
      <c r="C446" s="125"/>
      <c r="D446" s="125" t="s">
        <v>73</v>
      </c>
      <c r="E446" s="39">
        <f xml:space="preserve"> H446*aif_lanes + I446-obsai_dio_base</f>
        <v>0</v>
      </c>
      <c r="F446" s="125">
        <v>0</v>
      </c>
      <c r="G446" s="39">
        <f xml:space="preserve"> L446*aif_lanes +M446-G443</f>
        <v>0</v>
      </c>
      <c r="J446" s="125">
        <v>0</v>
      </c>
      <c r="K446" s="125">
        <v>0</v>
      </c>
      <c r="L446" s="125">
        <v>0</v>
      </c>
      <c r="M446" s="125">
        <v>0</v>
      </c>
      <c r="N446" s="125">
        <v>0</v>
      </c>
      <c r="O446" s="125">
        <v>0</v>
      </c>
      <c r="V446" s="95"/>
      <c r="W446" s="95"/>
      <c r="X446" s="95"/>
      <c r="Y446" s="281"/>
      <c r="Z446" s="118"/>
    </row>
    <row r="447" spans="2:26" s="92" customFormat="1" ht="12.75" customHeight="1" x14ac:dyDescent="0.2">
      <c r="B447" s="125"/>
      <c r="C447" s="125"/>
      <c r="D447" s="125" t="s">
        <v>25</v>
      </c>
      <c r="E447" s="109">
        <f>SUM(E443:E446)</f>
        <v>0</v>
      </c>
      <c r="F447" s="109">
        <f>SUM(F443:F446)</f>
        <v>0</v>
      </c>
      <c r="G447" s="109">
        <f>SUM(G443:G446)</f>
        <v>0</v>
      </c>
      <c r="J447" s="125"/>
      <c r="K447" s="125"/>
      <c r="L447" s="125"/>
      <c r="M447" s="125"/>
      <c r="N447" s="125"/>
      <c r="O447" s="125"/>
      <c r="V447" s="95"/>
      <c r="W447" s="95"/>
      <c r="X447" s="95"/>
      <c r="Y447" s="281"/>
      <c r="Z447" s="118"/>
    </row>
    <row r="448" spans="2:26" s="92" customFormat="1" ht="12.75" customHeight="1" x14ac:dyDescent="0.2">
      <c r="B448" s="125"/>
      <c r="C448" s="125"/>
      <c r="D448" s="125"/>
      <c r="E448" s="39"/>
      <c r="F448" s="125"/>
      <c r="G448" s="39"/>
      <c r="J448" s="125"/>
      <c r="K448" s="125"/>
      <c r="L448" s="125"/>
      <c r="M448" s="125"/>
      <c r="N448" s="125"/>
      <c r="O448" s="125"/>
      <c r="V448" s="95"/>
      <c r="W448" s="95"/>
      <c r="X448" s="95"/>
      <c r="Y448" s="281"/>
      <c r="Z448" s="118"/>
    </row>
    <row r="449" spans="1:26" s="92" customFormat="1" ht="12.75" customHeight="1" x14ac:dyDescent="0.2">
      <c r="B449" s="125" t="s">
        <v>193</v>
      </c>
      <c r="C449" s="125"/>
      <c r="D449" s="125" t="s">
        <v>49</v>
      </c>
      <c r="E449" s="39">
        <v>0</v>
      </c>
      <c r="F449" s="125"/>
      <c r="G449" s="39">
        <v>0</v>
      </c>
      <c r="J449" s="125"/>
      <c r="K449" s="125"/>
      <c r="L449" s="125"/>
      <c r="M449" s="125"/>
      <c r="N449" s="125"/>
      <c r="O449" s="125"/>
      <c r="V449" s="95"/>
      <c r="W449" s="95"/>
      <c r="X449" s="95"/>
      <c r="Y449" s="281"/>
      <c r="Z449" s="118"/>
    </row>
    <row r="450" spans="1:26" s="92" customFormat="1" ht="12.75" customHeight="1" x14ac:dyDescent="0.2">
      <c r="B450" s="125" t="s">
        <v>193</v>
      </c>
      <c r="C450" s="125"/>
      <c r="D450" s="125" t="s">
        <v>50</v>
      </c>
      <c r="E450" s="39">
        <f>IF(B2="K2K", J450*cpuF+K450,0)</f>
        <v>0</v>
      </c>
      <c r="F450" s="125">
        <f>IF(B2="K2K",  L450*cpuF + M450-G449,0)</f>
        <v>0</v>
      </c>
      <c r="G450" s="39">
        <v>0</v>
      </c>
      <c r="J450" s="125">
        <v>0.109</v>
      </c>
      <c r="K450" s="125">
        <v>0</v>
      </c>
      <c r="L450" s="125">
        <v>3.7999999999999999E-2</v>
      </c>
      <c r="M450" s="125">
        <v>0</v>
      </c>
      <c r="N450" s="125">
        <v>0</v>
      </c>
      <c r="O450" s="125">
        <v>0</v>
      </c>
      <c r="V450" s="95"/>
      <c r="W450" s="95"/>
      <c r="X450" s="95"/>
      <c r="Y450" s="281"/>
      <c r="Z450" s="118"/>
    </row>
    <row r="451" spans="1:26" s="92" customFormat="1" ht="12.75" customHeight="1" x14ac:dyDescent="0.2">
      <c r="B451" s="125" t="s">
        <v>193</v>
      </c>
      <c r="C451" s="125"/>
      <c r="D451" s="125" t="s">
        <v>72</v>
      </c>
      <c r="E451" s="39">
        <f xml:space="preserve"> H451*aif_line_rate + I451-obsai_dio_base</f>
        <v>0</v>
      </c>
      <c r="F451" s="125">
        <v>0</v>
      </c>
      <c r="G451" s="39">
        <f xml:space="preserve"> L451*aif_line_rate +M451-G449</f>
        <v>0</v>
      </c>
      <c r="J451" s="125">
        <v>0</v>
      </c>
      <c r="K451" s="125">
        <v>0</v>
      </c>
      <c r="L451" s="125">
        <v>0</v>
      </c>
      <c r="M451" s="125">
        <v>0</v>
      </c>
      <c r="N451" s="125">
        <v>0</v>
      </c>
      <c r="O451" s="125">
        <v>0</v>
      </c>
      <c r="V451" s="95"/>
      <c r="W451" s="95"/>
      <c r="X451" s="95"/>
      <c r="Y451" s="281"/>
      <c r="Z451" s="118"/>
    </row>
    <row r="452" spans="1:26" s="92" customFormat="1" ht="12.75" customHeight="1" x14ac:dyDescent="0.2">
      <c r="B452" s="125" t="s">
        <v>193</v>
      </c>
      <c r="C452" s="125"/>
      <c r="D452" s="125" t="s">
        <v>73</v>
      </c>
      <c r="E452" s="39">
        <f xml:space="preserve"> H452*aif_lanes + I452-obsai_dio_base</f>
        <v>0</v>
      </c>
      <c r="F452" s="125">
        <v>0</v>
      </c>
      <c r="G452" s="39">
        <f xml:space="preserve"> L452*aif_lanes +M452-G449</f>
        <v>0</v>
      </c>
      <c r="J452" s="125">
        <v>0</v>
      </c>
      <c r="K452" s="125">
        <v>0</v>
      </c>
      <c r="L452" s="125">
        <v>0</v>
      </c>
      <c r="M452" s="125">
        <v>0</v>
      </c>
      <c r="N452" s="125">
        <v>0</v>
      </c>
      <c r="O452" s="125">
        <v>0</v>
      </c>
      <c r="V452" s="95"/>
      <c r="W452" s="95"/>
      <c r="X452" s="95"/>
      <c r="Y452" s="281"/>
      <c r="Z452" s="118"/>
    </row>
    <row r="453" spans="1:26" s="92" customFormat="1" ht="12.75" customHeight="1" thickBot="1" x14ac:dyDescent="0.25">
      <c r="B453" s="125"/>
      <c r="C453" s="125"/>
      <c r="D453" s="125" t="s">
        <v>25</v>
      </c>
      <c r="E453" s="109">
        <f>SUM(E449:E452)</f>
        <v>0</v>
      </c>
      <c r="F453" s="109">
        <f>SUM(F449:F452)</f>
        <v>0</v>
      </c>
      <c r="G453" s="109">
        <f>SUM(G449:G452)</f>
        <v>0</v>
      </c>
      <c r="V453" s="95"/>
      <c r="W453" s="95"/>
      <c r="X453" s="95"/>
      <c r="Y453" s="281"/>
      <c r="Z453" s="118"/>
    </row>
    <row r="454" spans="1:26" s="92" customFormat="1" ht="12.75" customHeight="1" thickBot="1" x14ac:dyDescent="0.3">
      <c r="B454" s="125"/>
      <c r="C454" s="125"/>
      <c r="D454" s="125"/>
      <c r="E454" s="39"/>
      <c r="F454" s="39"/>
      <c r="G454" s="39"/>
      <c r="L454" s="388" t="s">
        <v>381</v>
      </c>
      <c r="M454" s="388"/>
      <c r="N454" s="389" t="s">
        <v>382</v>
      </c>
      <c r="O454" s="388"/>
      <c r="P454" s="91">
        <v>2</v>
      </c>
      <c r="Q454" s="18" t="s">
        <v>188</v>
      </c>
      <c r="R454" s="120" t="s">
        <v>189</v>
      </c>
      <c r="T454" s="18" t="s">
        <v>191</v>
      </c>
      <c r="V454" s="95"/>
      <c r="W454" s="95"/>
      <c r="X454" s="95"/>
      <c r="Y454" s="281"/>
      <c r="Z454" s="118"/>
    </row>
    <row r="455" spans="1:26" s="92" customFormat="1" ht="12.75" customHeight="1" thickBot="1" x14ac:dyDescent="0.3">
      <c r="B455" s="125"/>
      <c r="C455" s="125"/>
      <c r="D455" s="125" t="s">
        <v>25</v>
      </c>
      <c r="E455" s="39">
        <f>IF(aif_prot="OBSAI_DIO",E435,IF(aif_prot="OBSAI_CPPI",E441,IF(aif_prot="CPRI_DIO",E447,IF(aif_prot="CPRI_CPPI",E453,0))))</f>
        <v>0</v>
      </c>
      <c r="F455" s="39">
        <f>IF(aif_prot="OBSAI_DIO",F435,IF(aif_prot="OBSAI_CPPI",F441, IF(aif_prot="CPRI_DIO",F447,IF(aif_prot="CPRI_CPPI",F453,0))))</f>
        <v>0</v>
      </c>
      <c r="G455" s="39">
        <f>IF(aif_prot="OBSAI_DIO",G435,IF(aif_prot="OBSAI_CPPI",G441, IF(aif_prot="CPRI_DIO",G447,IF(aif_prot="CPRI_CPPI",G453,0))))</f>
        <v>0</v>
      </c>
      <c r="L455" s="282" t="s">
        <v>383</v>
      </c>
      <c r="M455" s="282" t="s">
        <v>384</v>
      </c>
      <c r="N455" s="282" t="s">
        <v>383</v>
      </c>
      <c r="O455" s="282" t="s">
        <v>384</v>
      </c>
      <c r="P455" s="95">
        <v>4</v>
      </c>
      <c r="Q455" s="18" t="s">
        <v>192</v>
      </c>
      <c r="R455" s="121">
        <f>aif_util/100</f>
        <v>0</v>
      </c>
      <c r="S455" s="92">
        <v>6.1440000000000001</v>
      </c>
      <c r="T455" s="65">
        <f>1</f>
        <v>1</v>
      </c>
      <c r="V455" s="95"/>
      <c r="W455" s="95"/>
      <c r="X455" s="95"/>
      <c r="Y455" s="281"/>
      <c r="Z455" s="118"/>
    </row>
    <row r="456" spans="1:26" s="92" customFormat="1" ht="12.75" customHeight="1" thickBot="1" x14ac:dyDescent="0.3">
      <c r="B456" s="125"/>
      <c r="C456" s="125"/>
      <c r="D456" s="125"/>
      <c r="E456" s="39">
        <f>IF(aif_en="Enabled", E455*aif_util_per*aif_switch_per, 0)</f>
        <v>0</v>
      </c>
      <c r="F456" s="39">
        <f>IF(aif_en="Enabled", F455*aif_util_per*aif_switch_per, 0)</f>
        <v>0</v>
      </c>
      <c r="G456" s="39">
        <f>IF(aif_en="Enabled", G455*aif_util_per*aif_switch_per, 0)</f>
        <v>0</v>
      </c>
      <c r="J456" s="90" t="s">
        <v>385</v>
      </c>
      <c r="K456" s="90" t="s">
        <v>386</v>
      </c>
      <c r="L456" s="282">
        <v>179.8</v>
      </c>
      <c r="M456" s="282">
        <v>243.7</v>
      </c>
      <c r="N456" s="282">
        <f>IF(sb="reset",43.5,6.7)</f>
        <v>6.7</v>
      </c>
      <c r="O456" s="282">
        <f>IF(sb="reset",147.5,3.9)</f>
        <v>3.9</v>
      </c>
      <c r="P456" s="95">
        <v>6</v>
      </c>
      <c r="Q456" s="18" t="s">
        <v>187</v>
      </c>
      <c r="R456" s="119"/>
      <c r="T456" s="18"/>
      <c r="V456" s="95"/>
      <c r="W456" s="95"/>
      <c r="X456" s="95"/>
      <c r="Y456" s="281"/>
      <c r="Z456" s="118"/>
    </row>
    <row r="457" spans="1:26" s="92" customFormat="1" ht="12.75" customHeight="1" thickBot="1" x14ac:dyDescent="0.3">
      <c r="B457" s="125" t="s">
        <v>57</v>
      </c>
      <c r="C457" s="125"/>
      <c r="D457" s="125"/>
      <c r="E457" s="39">
        <f>IF(aif_act_tot_cvdd&gt;0, aif_act_tot_cvdd, 0)</f>
        <v>0</v>
      </c>
      <c r="F457" s="39">
        <f>IF(aif_act_tot_cvdd1&gt;0, aif_act_tot_cvdd1, 0)</f>
        <v>0</v>
      </c>
      <c r="G457" s="39">
        <f>IF(G456&gt;0, G456, 0)</f>
        <v>0</v>
      </c>
      <c r="J457" s="90" t="s">
        <v>387</v>
      </c>
      <c r="K457" s="90" t="s">
        <v>388</v>
      </c>
      <c r="L457" s="282">
        <v>95.9</v>
      </c>
      <c r="M457" s="282">
        <v>130.5</v>
      </c>
      <c r="N457" s="282">
        <f>IF(sb="reset",22.1,3.7)</f>
        <v>3.7</v>
      </c>
      <c r="O457" s="282">
        <f>IF(sb="reset",79.3,3.3)</f>
        <v>3.3</v>
      </c>
      <c r="P457" s="95"/>
      <c r="Q457" s="29" t="s">
        <v>193</v>
      </c>
      <c r="R457" s="92" t="s">
        <v>190</v>
      </c>
      <c r="V457" s="95"/>
      <c r="W457" s="95"/>
      <c r="X457" s="95"/>
      <c r="Y457" s="281"/>
      <c r="Z457" s="118"/>
    </row>
    <row r="458" spans="1:26" x14ac:dyDescent="0.2">
      <c r="A458" s="251"/>
      <c r="J458" s="90" t="s">
        <v>389</v>
      </c>
      <c r="K458" s="90" t="s">
        <v>390</v>
      </c>
      <c r="L458" s="90">
        <f>L457+L456</f>
        <v>275.70000000000005</v>
      </c>
      <c r="M458" s="90">
        <f>M457+M456</f>
        <v>374.2</v>
      </c>
      <c r="N458" s="90">
        <f>N457+N456</f>
        <v>10.4</v>
      </c>
      <c r="O458" s="90">
        <f>O457+O456</f>
        <v>7.1999999999999993</v>
      </c>
      <c r="P458" s="95"/>
      <c r="Q458" s="18"/>
      <c r="R458" s="122">
        <f>IF(aif_en="Enabled",100,0)</f>
        <v>0</v>
      </c>
      <c r="S458" s="92"/>
      <c r="T458" s="92"/>
    </row>
    <row r="459" spans="1:26" x14ac:dyDescent="0.2">
      <c r="A459" s="131"/>
      <c r="L459" s="90">
        <f>IF(aif_lanes=2,L457,IF(aif_lanes=4,L456,L458))</f>
        <v>179.8</v>
      </c>
      <c r="M459" s="90">
        <f>IF(aif_lanes=2,M457,IF(aif_lanes=4,M456,M458))</f>
        <v>243.7</v>
      </c>
      <c r="N459" s="90">
        <f>IF(aif_lanes=2,N457,IF(aif_lanes=4,N456,N458))</f>
        <v>6.7</v>
      </c>
      <c r="O459" s="90">
        <f>IF(aif_lanes=2,O457,IF(aif_lanes=4,O456,O458))</f>
        <v>3.9</v>
      </c>
    </row>
    <row r="460" spans="1:26" x14ac:dyDescent="0.2">
      <c r="A460" s="131"/>
    </row>
    <row r="461" spans="1:26" x14ac:dyDescent="0.2">
      <c r="A461" s="131"/>
    </row>
    <row r="462" spans="1:26" ht="15" x14ac:dyDescent="0.25">
      <c r="A462" s="234" t="s">
        <v>195</v>
      </c>
    </row>
    <row r="463" spans="1:26" s="92" customFormat="1" ht="12.75" customHeight="1" x14ac:dyDescent="0.2">
      <c r="B463" s="142" t="s">
        <v>259</v>
      </c>
      <c r="C463" s="131"/>
      <c r="F463" s="25"/>
      <c r="G463" s="131"/>
      <c r="H463" s="18"/>
    </row>
    <row r="464" spans="1:26" s="92" customFormat="1" ht="12.75" customHeight="1" x14ac:dyDescent="0.2">
      <c r="B464" s="125" t="s">
        <v>195</v>
      </c>
      <c r="C464" s="125"/>
      <c r="D464" s="125"/>
      <c r="E464" s="84" t="s">
        <v>15</v>
      </c>
      <c r="F464" s="39" t="s">
        <v>16</v>
      </c>
      <c r="G464" s="386" t="s">
        <v>15</v>
      </c>
      <c r="H464" s="387"/>
      <c r="I464" s="386" t="s">
        <v>16</v>
      </c>
      <c r="J464" s="387"/>
      <c r="U464" s="95"/>
      <c r="V464" s="95"/>
      <c r="W464" s="95"/>
      <c r="X464" s="88"/>
      <c r="Y464" s="118"/>
      <c r="Z464" s="126"/>
    </row>
    <row r="465" spans="1:26" s="92" customFormat="1" ht="12.75" customHeight="1" x14ac:dyDescent="0.2">
      <c r="B465" s="125"/>
      <c r="C465" s="125"/>
      <c r="D465" s="125"/>
      <c r="E465" s="125"/>
      <c r="F465" s="125"/>
      <c r="G465" s="137" t="s">
        <v>230</v>
      </c>
      <c r="H465" s="137" t="s">
        <v>231</v>
      </c>
      <c r="I465" s="137" t="s">
        <v>230</v>
      </c>
      <c r="J465" s="137" t="s">
        <v>231</v>
      </c>
      <c r="U465" s="95"/>
      <c r="V465" s="95"/>
      <c r="W465" s="95"/>
      <c r="X465" s="88"/>
      <c r="Y465" s="118"/>
      <c r="Z465" s="126"/>
    </row>
    <row r="466" spans="1:26" s="92" customFormat="1" ht="12.75" customHeight="1" x14ac:dyDescent="0.2">
      <c r="A466" s="38" t="s">
        <v>349</v>
      </c>
      <c r="B466" s="125" t="s">
        <v>196</v>
      </c>
      <c r="C466" s="125"/>
      <c r="D466" s="138" t="s">
        <v>198</v>
      </c>
      <c r="E466" s="130">
        <v>0</v>
      </c>
      <c r="F466" s="130">
        <v>0</v>
      </c>
      <c r="G466" s="125"/>
      <c r="H466" s="125"/>
      <c r="I466" s="125"/>
      <c r="J466" s="125"/>
      <c r="U466" s="95"/>
      <c r="V466" s="95"/>
      <c r="W466" s="95"/>
      <c r="X466" s="88"/>
      <c r="Y466" s="118"/>
      <c r="Z466" s="126"/>
    </row>
    <row r="467" spans="1:26" s="92" customFormat="1" ht="12.75" customHeight="1" x14ac:dyDescent="0.2">
      <c r="A467" s="65">
        <f>FFTC_0_util/100</f>
        <v>0</v>
      </c>
      <c r="B467" s="125"/>
      <c r="C467" s="125"/>
      <c r="D467" s="138" t="s">
        <v>199</v>
      </c>
      <c r="E467" s="130">
        <v>0</v>
      </c>
      <c r="F467" s="130">
        <v>0</v>
      </c>
      <c r="G467" s="125"/>
      <c r="H467" s="125"/>
      <c r="I467" s="125"/>
      <c r="J467" s="125"/>
      <c r="U467" s="95"/>
      <c r="V467" s="95"/>
      <c r="W467" s="95"/>
      <c r="X467" s="88"/>
      <c r="Y467" s="118"/>
      <c r="Z467" s="126"/>
    </row>
    <row r="468" spans="1:26" s="92" customFormat="1" x14ac:dyDescent="0.2">
      <c r="A468" s="65">
        <f>FFTC_1_util/100</f>
        <v>0</v>
      </c>
      <c r="B468" s="125"/>
      <c r="C468" s="125"/>
      <c r="D468" s="138" t="s">
        <v>183</v>
      </c>
      <c r="E468" s="129">
        <f>SUM(E466:E467)</f>
        <v>0</v>
      </c>
      <c r="F468" s="129">
        <f>SUM(F466:F467)</f>
        <v>0</v>
      </c>
      <c r="G468" s="125"/>
      <c r="H468" s="125"/>
      <c r="I468" s="125"/>
      <c r="J468" s="125"/>
      <c r="U468" s="95"/>
      <c r="V468" s="95"/>
      <c r="W468" s="95"/>
      <c r="X468" s="88"/>
      <c r="Y468" s="118"/>
      <c r="Z468" s="126"/>
    </row>
    <row r="469" spans="1:26" s="92" customFormat="1" ht="12.75" customHeight="1" x14ac:dyDescent="0.2">
      <c r="A469" s="65">
        <f>FFTC_2_util/100</f>
        <v>0</v>
      </c>
      <c r="B469" s="125"/>
      <c r="C469" s="125"/>
      <c r="D469" s="136" t="s">
        <v>363</v>
      </c>
      <c r="E469" s="128">
        <f>IF(B2="K2K",  (G469*cpuF + H469),0)</f>
        <v>0</v>
      </c>
      <c r="F469" s="148"/>
      <c r="G469" s="125">
        <v>1.4830812971800923E-2</v>
      </c>
      <c r="H469" s="125">
        <v>16.143836164859067</v>
      </c>
      <c r="I469" s="125">
        <v>0</v>
      </c>
      <c r="J469" s="125">
        <v>0</v>
      </c>
      <c r="U469" s="95"/>
      <c r="V469" s="95"/>
      <c r="W469" s="95"/>
      <c r="X469" s="88"/>
      <c r="Y469" s="118"/>
      <c r="Z469" s="126"/>
    </row>
    <row r="470" spans="1:26" s="92" customFormat="1" ht="12.75" customHeight="1" x14ac:dyDescent="0.2">
      <c r="A470" s="65">
        <f>FFTC_3_util/100</f>
        <v>0</v>
      </c>
      <c r="B470" s="125"/>
      <c r="C470" s="125"/>
      <c r="D470" s="136" t="s">
        <v>350</v>
      </c>
      <c r="E470" s="128">
        <f>IF(FFTC_0_enable="Enabled",FFTC_clock_cvdd,0)</f>
        <v>0</v>
      </c>
      <c r="F470" s="128"/>
      <c r="G470" s="125"/>
      <c r="H470" s="125"/>
      <c r="I470" s="125"/>
      <c r="J470" s="125"/>
      <c r="U470" s="95"/>
      <c r="V470" s="95"/>
      <c r="W470" s="95"/>
      <c r="X470" s="88"/>
      <c r="Y470" s="118"/>
      <c r="Z470" s="126"/>
    </row>
    <row r="471" spans="1:26" s="92" customFormat="1" ht="12.75" customHeight="1" x14ac:dyDescent="0.2">
      <c r="A471" s="65">
        <f>FFTC_4_util/100</f>
        <v>0</v>
      </c>
      <c r="B471" s="125"/>
      <c r="C471" s="125"/>
      <c r="D471" s="136" t="s">
        <v>351</v>
      </c>
      <c r="E471" s="128">
        <f>IF(FFTC_1_enable="Enabled",FFTC_clock_cvdd,0)</f>
        <v>0</v>
      </c>
      <c r="F471" s="128"/>
      <c r="G471" s="125"/>
      <c r="H471" s="125"/>
      <c r="I471" s="125"/>
      <c r="J471" s="125"/>
      <c r="U471" s="95"/>
      <c r="V471" s="95"/>
      <c r="W471" s="95"/>
      <c r="X471" s="88"/>
      <c r="Y471" s="118"/>
      <c r="Z471" s="126"/>
    </row>
    <row r="472" spans="1:26" s="92" customFormat="1" ht="12.75" customHeight="1" x14ac:dyDescent="0.2">
      <c r="A472" s="65">
        <f>FFTC_5_util/100</f>
        <v>0</v>
      </c>
      <c r="B472" s="125"/>
      <c r="C472" s="125"/>
      <c r="D472" s="136" t="s">
        <v>352</v>
      </c>
      <c r="E472" s="128">
        <f>IF(FFTC_2_enable="Enabled",FFTC_clock_cvdd,0)</f>
        <v>0</v>
      </c>
      <c r="F472" s="128"/>
      <c r="G472" s="125"/>
      <c r="H472" s="125"/>
      <c r="I472" s="125"/>
      <c r="J472" s="125"/>
      <c r="U472" s="95"/>
      <c r="V472" s="95"/>
      <c r="W472" s="95"/>
      <c r="X472" s="88"/>
      <c r="Y472" s="118"/>
      <c r="Z472" s="126"/>
    </row>
    <row r="473" spans="1:26" s="92" customFormat="1" ht="12.75" customHeight="1" x14ac:dyDescent="0.2">
      <c r="A473" s="65"/>
      <c r="B473" s="125"/>
      <c r="C473" s="125"/>
      <c r="D473" s="136" t="s">
        <v>353</v>
      </c>
      <c r="E473" s="128">
        <f>IF(FFTC_3_enable="Enabled",FFTC_clock_cvdd,0)</f>
        <v>0</v>
      </c>
      <c r="F473" s="128"/>
      <c r="G473" s="125"/>
      <c r="H473" s="125"/>
      <c r="I473" s="125"/>
      <c r="J473" s="125"/>
      <c r="U473" s="95"/>
      <c r="V473" s="95"/>
      <c r="W473" s="95"/>
      <c r="X473" s="88"/>
      <c r="Y473" s="118"/>
      <c r="Z473" s="126"/>
    </row>
    <row r="474" spans="1:26" s="92" customFormat="1" ht="12.75" customHeight="1" x14ac:dyDescent="0.2">
      <c r="A474" s="65"/>
      <c r="B474" s="125"/>
      <c r="C474" s="125"/>
      <c r="D474" s="136" t="s">
        <v>354</v>
      </c>
      <c r="E474" s="128">
        <f>IF(FFTC_4_enable="Enabled",FFTC_clock_cvdd,0)</f>
        <v>0</v>
      </c>
      <c r="F474" s="128"/>
      <c r="G474" s="125"/>
      <c r="H474" s="125"/>
      <c r="I474" s="125"/>
      <c r="J474" s="125"/>
      <c r="U474" s="95"/>
      <c r="V474" s="95"/>
      <c r="W474" s="95"/>
      <c r="X474" s="88"/>
      <c r="Y474" s="118"/>
      <c r="Z474" s="126"/>
    </row>
    <row r="475" spans="1:26" s="92" customFormat="1" ht="12.75" customHeight="1" x14ac:dyDescent="0.2">
      <c r="A475" s="65"/>
      <c r="B475" s="125"/>
      <c r="C475" s="125"/>
      <c r="D475" s="136" t="s">
        <v>355</v>
      </c>
      <c r="E475" s="128">
        <f>IF(FFTC_5_enable="Enabled",FFTC_clock_cvdd,0)</f>
        <v>0</v>
      </c>
      <c r="F475" s="128"/>
      <c r="G475" s="125"/>
      <c r="H475" s="125"/>
      <c r="I475" s="125"/>
      <c r="J475" s="125"/>
      <c r="U475" s="95"/>
      <c r="V475" s="95"/>
      <c r="W475" s="95"/>
      <c r="X475" s="88"/>
      <c r="Y475" s="118"/>
      <c r="Z475" s="126"/>
    </row>
    <row r="476" spans="1:26" s="92" customFormat="1" ht="12.75" customHeight="1" x14ac:dyDescent="0.2">
      <c r="B476" s="123"/>
      <c r="C476" s="123"/>
      <c r="D476" s="178" t="s">
        <v>362</v>
      </c>
      <c r="E476" s="123">
        <f>SUM(E470:E475)</f>
        <v>0</v>
      </c>
      <c r="F476" s="123">
        <f>IF(FFTC_enable="Enabled",F469,0)</f>
        <v>0</v>
      </c>
      <c r="G476" s="125"/>
      <c r="H476" s="125"/>
      <c r="I476" s="125"/>
      <c r="J476" s="125"/>
      <c r="U476" s="95"/>
      <c r="V476" s="95"/>
      <c r="W476" s="95"/>
      <c r="X476" s="88"/>
      <c r="Y476" s="118"/>
      <c r="Z476" s="126"/>
    </row>
    <row r="477" spans="1:26" s="92" customFormat="1" ht="12.75" customHeight="1" x14ac:dyDescent="0.2">
      <c r="B477" s="125"/>
      <c r="C477" s="125"/>
      <c r="D477" s="136" t="s">
        <v>364</v>
      </c>
      <c r="E477" s="125">
        <f>IF(B2="K2K", G484*cpuF+H484,0)</f>
        <v>0</v>
      </c>
      <c r="F477" s="125">
        <v>0</v>
      </c>
      <c r="G477" s="125"/>
      <c r="H477" s="125"/>
      <c r="I477" s="125"/>
      <c r="J477" s="125"/>
      <c r="U477" s="95"/>
      <c r="V477" s="95"/>
      <c r="W477" s="95"/>
    </row>
    <row r="478" spans="1:26" s="92" customFormat="1" ht="12.75" customHeight="1" x14ac:dyDescent="0.2">
      <c r="B478" s="125"/>
      <c r="C478" s="125"/>
      <c r="D478" s="136" t="s">
        <v>356</v>
      </c>
      <c r="E478" s="125">
        <f>IF(FFTC_0_enable="Enabled",$E$477*FFTC_0_util_per,0)</f>
        <v>0</v>
      </c>
      <c r="F478" s="125"/>
      <c r="G478" s="125"/>
      <c r="H478" s="125"/>
      <c r="I478" s="125"/>
      <c r="J478" s="125"/>
      <c r="U478" s="95"/>
      <c r="V478" s="95"/>
      <c r="W478" s="95"/>
    </row>
    <row r="479" spans="1:26" s="92" customFormat="1" ht="12.75" customHeight="1" x14ac:dyDescent="0.2">
      <c r="B479" s="125"/>
      <c r="C479" s="125"/>
      <c r="D479" s="136" t="s">
        <v>357</v>
      </c>
      <c r="E479" s="125">
        <f>IF(FFTC_1_enable="Enabled",$E$477*FFTC_1_util_per,0)</f>
        <v>0</v>
      </c>
      <c r="F479" s="125"/>
      <c r="G479" s="125"/>
      <c r="H479" s="125"/>
      <c r="I479" s="125"/>
      <c r="J479" s="125"/>
      <c r="U479" s="95"/>
      <c r="V479" s="95"/>
      <c r="W479" s="95"/>
    </row>
    <row r="480" spans="1:26" s="92" customFormat="1" ht="12.75" customHeight="1" x14ac:dyDescent="0.2">
      <c r="B480" s="125"/>
      <c r="C480" s="125"/>
      <c r="D480" s="136" t="s">
        <v>358</v>
      </c>
      <c r="E480" s="125">
        <f>IF(FFTC_2_enable="Enabled",$E$477*FFTC_2_util_per,0)</f>
        <v>0</v>
      </c>
      <c r="F480" s="125"/>
      <c r="G480" s="125"/>
      <c r="H480" s="125"/>
      <c r="I480" s="125"/>
      <c r="J480" s="125"/>
      <c r="U480" s="95"/>
      <c r="V480" s="95"/>
      <c r="W480" s="95"/>
    </row>
    <row r="481" spans="1:49" s="92" customFormat="1" ht="12.75" customHeight="1" x14ac:dyDescent="0.2">
      <c r="B481" s="125"/>
      <c r="C481" s="125"/>
      <c r="D481" s="136" t="s">
        <v>359</v>
      </c>
      <c r="E481" s="125">
        <f>IF(FFTC_3_enable="Enabled",$E$477*FFTC_3_util_per,0)</f>
        <v>0</v>
      </c>
      <c r="F481" s="125"/>
      <c r="G481" s="125"/>
      <c r="H481" s="125"/>
      <c r="I481" s="125"/>
      <c r="J481" s="125"/>
      <c r="U481" s="95"/>
      <c r="V481" s="95"/>
      <c r="W481" s="95"/>
    </row>
    <row r="482" spans="1:49" s="92" customFormat="1" ht="12.75" customHeight="1" x14ac:dyDescent="0.2">
      <c r="B482" s="125"/>
      <c r="C482" s="125"/>
      <c r="D482" s="136" t="s">
        <v>360</v>
      </c>
      <c r="E482" s="125">
        <f>IF(FFTC_4_enable="Enabled",$E$477*FFTC_4_util_per,0)</f>
        <v>0</v>
      </c>
      <c r="F482" s="125"/>
      <c r="G482" s="125"/>
      <c r="H482" s="125"/>
      <c r="I482" s="125"/>
      <c r="J482" s="125"/>
      <c r="U482" s="95"/>
      <c r="V482" s="95"/>
      <c r="W482" s="95"/>
    </row>
    <row r="483" spans="1:49" s="92" customFormat="1" ht="12.75" customHeight="1" x14ac:dyDescent="0.2">
      <c r="B483" s="125"/>
      <c r="C483" s="125"/>
      <c r="D483" s="136" t="s">
        <v>361</v>
      </c>
      <c r="E483" s="125">
        <f>IF(FFTC_5_enable="Enabled",$E$477*FFTC_5_util_per,0)</f>
        <v>0</v>
      </c>
      <c r="F483" s="125"/>
      <c r="G483" s="125"/>
      <c r="H483" s="125"/>
      <c r="I483" s="125"/>
      <c r="J483" s="125"/>
      <c r="U483" s="95"/>
      <c r="V483" s="95"/>
      <c r="W483" s="95"/>
    </row>
    <row r="484" spans="1:49" s="92" customFormat="1" ht="12.75" customHeight="1" x14ac:dyDescent="0.2">
      <c r="B484" s="138" t="s">
        <v>197</v>
      </c>
      <c r="C484" s="138"/>
      <c r="D484" s="136"/>
      <c r="E484" s="128"/>
      <c r="F484" s="128">
        <f xml:space="preserve"> I484*cpuF + J484</f>
        <v>0</v>
      </c>
      <c r="G484" s="125">
        <v>0.26127066550499878</v>
      </c>
      <c r="H484" s="125">
        <v>67.428522814507858</v>
      </c>
      <c r="I484" s="125">
        <v>0</v>
      </c>
      <c r="J484" s="125">
        <v>0</v>
      </c>
      <c r="U484" s="95"/>
      <c r="V484" s="95"/>
      <c r="W484" s="95"/>
      <c r="X484" s="88"/>
      <c r="Y484" s="118"/>
      <c r="Z484" s="126"/>
    </row>
    <row r="485" spans="1:49" s="92" customFormat="1" ht="12.75" customHeight="1" x14ac:dyDescent="0.2">
      <c r="B485" s="125"/>
      <c r="C485" s="125"/>
      <c r="D485" s="125"/>
      <c r="E485" s="128"/>
      <c r="F485" s="128"/>
      <c r="U485" s="95"/>
      <c r="V485" s="95"/>
      <c r="W485" s="95"/>
      <c r="X485" s="88"/>
      <c r="Y485" s="118"/>
      <c r="Z485" s="126"/>
    </row>
    <row r="486" spans="1:49" s="92" customFormat="1" ht="12.75" customHeight="1" x14ac:dyDescent="0.2">
      <c r="B486" s="125"/>
      <c r="C486" s="125"/>
      <c r="D486" s="125"/>
      <c r="E486" s="125"/>
      <c r="F486" s="125"/>
      <c r="U486" s="95"/>
      <c r="V486" s="95"/>
      <c r="W486" s="95"/>
      <c r="X486" s="88"/>
      <c r="Y486" s="118"/>
      <c r="Z486" s="126"/>
    </row>
    <row r="487" spans="1:49" s="92" customFormat="1" ht="12.75" customHeight="1" x14ac:dyDescent="0.2">
      <c r="B487" s="125"/>
      <c r="C487" s="125"/>
      <c r="D487" s="125"/>
      <c r="E487" s="125"/>
      <c r="F487" s="125"/>
      <c r="U487" s="95"/>
      <c r="V487" s="95"/>
      <c r="W487" s="95"/>
      <c r="X487" s="88"/>
      <c r="Y487" s="118"/>
      <c r="Z487" s="126"/>
    </row>
    <row r="490" spans="1:49" ht="15" x14ac:dyDescent="0.25">
      <c r="A490" s="234" t="s">
        <v>235</v>
      </c>
    </row>
    <row r="491" spans="1:49" s="92" customFormat="1" ht="12" customHeight="1" x14ac:dyDescent="0.2">
      <c r="A491" s="18"/>
      <c r="B491" s="84" t="s">
        <v>210</v>
      </c>
      <c r="C491" s="39"/>
      <c r="D491" s="39"/>
      <c r="E491" s="84" t="s">
        <v>15</v>
      </c>
      <c r="F491" s="39" t="s">
        <v>16</v>
      </c>
      <c r="G491" s="39" t="s">
        <v>17</v>
      </c>
      <c r="H491" s="84" t="s">
        <v>174</v>
      </c>
      <c r="I491" s="137" t="s">
        <v>293</v>
      </c>
      <c r="J491" s="386" t="s">
        <v>15</v>
      </c>
      <c r="K491" s="387"/>
      <c r="L491" s="386" t="s">
        <v>16</v>
      </c>
      <c r="M491" s="387"/>
      <c r="N491" s="386" t="s">
        <v>17</v>
      </c>
      <c r="O491" s="387"/>
      <c r="P491" s="386" t="s">
        <v>174</v>
      </c>
      <c r="Q491" s="387"/>
      <c r="R491" s="386" t="s">
        <v>293</v>
      </c>
      <c r="S491" s="387"/>
      <c r="U491" s="18"/>
      <c r="V491" s="18"/>
      <c r="W491" s="18"/>
      <c r="X491" s="18"/>
      <c r="Y491" s="18"/>
      <c r="Z491" s="18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1:49" s="92" customFormat="1" ht="12" customHeight="1" x14ac:dyDescent="0.2">
      <c r="A492" s="18"/>
      <c r="B492" s="39"/>
      <c r="C492" s="39"/>
      <c r="D492" s="39"/>
      <c r="E492" s="97"/>
      <c r="F492" s="39"/>
      <c r="G492" s="39"/>
      <c r="H492" s="39"/>
      <c r="I492" s="39"/>
      <c r="J492" s="137" t="s">
        <v>230</v>
      </c>
      <c r="K492" s="137" t="s">
        <v>231</v>
      </c>
      <c r="L492" s="137" t="s">
        <v>230</v>
      </c>
      <c r="M492" s="137" t="s">
        <v>231</v>
      </c>
      <c r="N492" s="137" t="s">
        <v>230</v>
      </c>
      <c r="O492" s="137" t="s">
        <v>231</v>
      </c>
      <c r="P492" s="29"/>
      <c r="S492" s="18"/>
      <c r="T492" s="65"/>
      <c r="U492" s="18"/>
      <c r="V492" s="18"/>
      <c r="W492" s="18"/>
      <c r="X492" s="18"/>
      <c r="Y492" s="18"/>
      <c r="Z492" s="18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1:49" s="92" customFormat="1" ht="12.75" customHeight="1" x14ac:dyDescent="0.2">
      <c r="A493" s="18"/>
      <c r="B493" s="39" t="s">
        <v>82</v>
      </c>
      <c r="C493" s="39"/>
      <c r="D493" s="39"/>
      <c r="E493" s="27">
        <f>sub_comp_cvdd</f>
        <v>0</v>
      </c>
      <c r="F493" s="27">
        <f>sub_comp_cvdd1</f>
        <v>250.22892778684499</v>
      </c>
      <c r="G493" s="27">
        <v>0</v>
      </c>
      <c r="H493" s="27">
        <v>0</v>
      </c>
      <c r="I493" s="27">
        <v>0</v>
      </c>
      <c r="J493" s="125"/>
      <c r="K493" s="39"/>
      <c r="L493" s="39"/>
      <c r="M493" s="39"/>
      <c r="N493" s="39"/>
      <c r="O493" s="39"/>
      <c r="P493" s="29"/>
      <c r="S493" s="18"/>
      <c r="T493" s="18"/>
      <c r="U493" s="18"/>
      <c r="V493" s="18"/>
      <c r="W493" s="18"/>
      <c r="X493" s="18"/>
      <c r="Y493" s="18"/>
      <c r="Z493" s="18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1:49" s="92" customFormat="1" ht="12.75" customHeight="1" x14ac:dyDescent="0.2">
      <c r="A494" s="18"/>
      <c r="B494" s="39" t="s">
        <v>83</v>
      </c>
      <c r="C494" s="39"/>
      <c r="D494" s="39"/>
      <c r="E494" s="40">
        <f xml:space="preserve"> J494*cpuF + K494</f>
        <v>30</v>
      </c>
      <c r="F494" s="40">
        <f>L494*cpuF + M494</f>
        <v>37.200000000000003</v>
      </c>
      <c r="G494" s="40"/>
      <c r="H494" s="40">
        <f>P494</f>
        <v>3</v>
      </c>
      <c r="I494" s="40">
        <f>R494</f>
        <v>1</v>
      </c>
      <c r="J494" s="125">
        <v>2.5000000000000001E-2</v>
      </c>
      <c r="K494" s="39">
        <v>0</v>
      </c>
      <c r="L494" s="39">
        <v>3.1E-2</v>
      </c>
      <c r="M494" s="39">
        <v>0</v>
      </c>
      <c r="N494" s="39"/>
      <c r="O494" s="39"/>
      <c r="P494" s="29">
        <f>IF(USB_Enable="Enabled",I503,L503)</f>
        <v>3</v>
      </c>
      <c r="R494" s="29">
        <f>IF(USB_Enable="Enabled",G503,J503)</f>
        <v>1</v>
      </c>
      <c r="S494" s="18"/>
      <c r="T494" s="349" t="s">
        <v>15</v>
      </c>
      <c r="U494" s="347" t="s">
        <v>16</v>
      </c>
      <c r="V494" s="347" t="s">
        <v>17</v>
      </c>
      <c r="W494" s="347" t="s">
        <v>18</v>
      </c>
      <c r="X494" s="347" t="s">
        <v>174</v>
      </c>
      <c r="Y494" s="347" t="s">
        <v>292</v>
      </c>
      <c r="Z494" s="347" t="s">
        <v>293</v>
      </c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1:49" s="92" customFormat="1" ht="12.75" customHeight="1" x14ac:dyDescent="0.2">
      <c r="A495" s="18"/>
      <c r="B495" s="31"/>
      <c r="C495" s="31"/>
      <c r="D495" s="31" t="s">
        <v>84</v>
      </c>
      <c r="E495" s="31">
        <f>IF(USB_Enable="Enabled", E494-E493, 0)</f>
        <v>0</v>
      </c>
      <c r="F495" s="31">
        <f>IF(USB_Enable="Enabled", IF(F494-F493&lt;0, 0,F494-F493),0)</f>
        <v>0</v>
      </c>
      <c r="G495" s="31"/>
      <c r="H495" s="31">
        <f>H494</f>
        <v>3</v>
      </c>
      <c r="I495" s="31">
        <f>I494</f>
        <v>1</v>
      </c>
      <c r="K495" s="29"/>
      <c r="L495" s="29"/>
      <c r="M495" s="29"/>
      <c r="N495" s="29"/>
      <c r="O495" s="29"/>
      <c r="P495" s="29"/>
      <c r="Q495" s="351" t="s">
        <v>431</v>
      </c>
      <c r="S495" s="18"/>
      <c r="T495" s="350">
        <f>USB_total_idle/mW_mA_sel_cvdd</f>
        <v>0</v>
      </c>
      <c r="U495" s="348">
        <v>0</v>
      </c>
      <c r="V495" s="348">
        <v>0</v>
      </c>
      <c r="W495" s="348">
        <f>Y495</f>
        <v>0</v>
      </c>
      <c r="X495" s="350">
        <f>USB_tot_idle_dvdd33/mW_mA_sel_dvdd33</f>
        <v>0.90909090909090917</v>
      </c>
      <c r="Y495" s="348">
        <v>0</v>
      </c>
      <c r="Z495" s="350">
        <f>USB_tot_idle_vddalh/mW_mA_sel_vddalh</f>
        <v>1.1764705882352942</v>
      </c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1:49" s="92" customFormat="1" ht="12.75" customHeight="1" x14ac:dyDescent="0.2">
      <c r="A496" s="18"/>
      <c r="B496" s="39"/>
      <c r="C496" s="39"/>
      <c r="D496" s="39"/>
      <c r="E496" s="39"/>
      <c r="F496" s="39"/>
      <c r="G496" s="39"/>
      <c r="H496" s="39"/>
      <c r="I496" s="3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18"/>
      <c r="V496" s="18"/>
      <c r="W496" s="18"/>
      <c r="X496" s="18"/>
      <c r="Y496" s="18"/>
      <c r="Z496" s="18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1:49" s="92" customFormat="1" ht="12.75" customHeight="1" x14ac:dyDescent="0.2">
      <c r="A497" s="18"/>
      <c r="B497" s="39" t="s">
        <v>91</v>
      </c>
      <c r="C497" s="39"/>
      <c r="D497" s="39" t="s">
        <v>49</v>
      </c>
      <c r="E497" s="40">
        <v>0</v>
      </c>
      <c r="F497" s="40">
        <v>0</v>
      </c>
      <c r="G497" s="40">
        <v>0</v>
      </c>
      <c r="H497" s="40">
        <v>0</v>
      </c>
      <c r="I497" s="40">
        <v>0</v>
      </c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18"/>
      <c r="V497" s="18"/>
      <c r="W497" s="18"/>
      <c r="X497" s="18"/>
      <c r="Y497" s="18"/>
      <c r="Z497" s="18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1:49" s="92" customFormat="1" ht="12.75" customHeight="1" x14ac:dyDescent="0.2">
      <c r="A498" s="18"/>
      <c r="B498" s="39"/>
      <c r="C498" s="39"/>
      <c r="D498" s="39" t="s">
        <v>92</v>
      </c>
      <c r="E498" s="40">
        <f xml:space="preserve"> J498*cpuF + K498</f>
        <v>78</v>
      </c>
      <c r="F498" s="40">
        <f>L498*cpuF + M498</f>
        <v>0</v>
      </c>
      <c r="G498" s="40">
        <f>N498*cpuF+O498</f>
        <v>0</v>
      </c>
      <c r="H498" s="40"/>
      <c r="I498" s="40"/>
      <c r="J498" s="92">
        <v>6.5000000000000002E-2</v>
      </c>
      <c r="K498" s="29">
        <v>0</v>
      </c>
      <c r="L498" s="29">
        <v>0</v>
      </c>
      <c r="M498" s="29">
        <v>0</v>
      </c>
      <c r="N498" s="29">
        <v>0</v>
      </c>
      <c r="O498" s="29">
        <v>0</v>
      </c>
      <c r="P498" s="29"/>
      <c r="Q498" s="29"/>
      <c r="R498" s="29"/>
      <c r="S498" s="29"/>
      <c r="T498" s="29"/>
      <c r="U498" s="18"/>
      <c r="V498" s="18"/>
      <c r="W498" s="18"/>
      <c r="X498" s="18"/>
      <c r="Y498" s="18"/>
      <c r="Z498" s="18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1:49" s="92" customFormat="1" ht="12.75" customHeight="1" x14ac:dyDescent="0.2">
      <c r="A499" s="18"/>
      <c r="B499" s="39"/>
      <c r="C499" s="39"/>
      <c r="D499" s="39" t="s">
        <v>72</v>
      </c>
      <c r="E499" s="40">
        <v>0</v>
      </c>
      <c r="F499" s="40">
        <v>0</v>
      </c>
      <c r="G499" s="40">
        <v>0</v>
      </c>
      <c r="H499" s="40">
        <v>0</v>
      </c>
      <c r="I499" s="40">
        <v>0</v>
      </c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18"/>
      <c r="V499" s="18"/>
      <c r="W499" s="18"/>
      <c r="X499" s="18"/>
      <c r="Y499" s="18"/>
      <c r="Z499" s="18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1:49" s="92" customFormat="1" ht="12.75" customHeight="1" x14ac:dyDescent="0.2">
      <c r="A500" s="18"/>
      <c r="B500" s="39"/>
      <c r="C500" s="39"/>
      <c r="D500" s="39" t="s">
        <v>25</v>
      </c>
      <c r="E500" s="39">
        <f>IF(USB_Enable="Enabled",SUM(E497:E499)*USB_util_per,0)</f>
        <v>0</v>
      </c>
      <c r="F500" s="39">
        <f>IF(USB_Enable="Enabled",SUM(F497:F499),0)</f>
        <v>0</v>
      </c>
      <c r="G500" s="39">
        <f>IF(USB_Enable="Enabled",SUM(G497:G499)*USB_util_per,0)</f>
        <v>0</v>
      </c>
      <c r="H500" s="39">
        <f>IF(USB_Enable="Enabled",SUM(H497:H499),0)</f>
        <v>0</v>
      </c>
      <c r="I500" s="39">
        <f>IF(USB_Enable="Enabled",SUM(I497:I499),0)</f>
        <v>0</v>
      </c>
      <c r="K500" s="29"/>
      <c r="L500" s="29"/>
      <c r="M500" s="29"/>
      <c r="N500" s="29"/>
      <c r="O500" s="29"/>
      <c r="P500" s="29"/>
      <c r="Q500" s="29"/>
      <c r="R500" s="269" t="s">
        <v>398</v>
      </c>
      <c r="S500" s="269" t="s">
        <v>399</v>
      </c>
      <c r="T500" s="29"/>
      <c r="U500" s="18"/>
      <c r="V500" s="18"/>
      <c r="W500" s="18"/>
      <c r="X500" s="18"/>
      <c r="Y500" s="18"/>
      <c r="Z500" s="18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1:49" s="92" customFormat="1" ht="12.75" customHeight="1" x14ac:dyDescent="0.2">
      <c r="A501" s="18"/>
      <c r="B501" s="39"/>
      <c r="C501" s="39"/>
      <c r="D501" s="39"/>
      <c r="E501" s="39"/>
      <c r="F501" s="39"/>
      <c r="G501" s="39"/>
      <c r="H501" s="39"/>
      <c r="I501" s="39"/>
      <c r="K501" s="29"/>
      <c r="L501" s="29"/>
      <c r="M501" s="29"/>
      <c r="N501" s="29"/>
      <c r="O501" s="29"/>
      <c r="P501" s="29"/>
      <c r="Q501" s="17" t="s">
        <v>260</v>
      </c>
      <c r="R501" s="65">
        <f>USB_Util/100</f>
        <v>0.25</v>
      </c>
      <c r="S501" s="283">
        <f>1</f>
        <v>1</v>
      </c>
      <c r="T501" s="29"/>
      <c r="U501" s="18"/>
      <c r="V501" s="18"/>
      <c r="W501" s="18"/>
      <c r="X501" s="18"/>
      <c r="Y501" s="18"/>
      <c r="Z501" s="18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1:49" x14ac:dyDescent="0.2">
      <c r="G502" s="90">
        <v>0.85</v>
      </c>
      <c r="I502" s="90">
        <v>3.3</v>
      </c>
      <c r="J502" s="90">
        <v>0.85</v>
      </c>
      <c r="L502" s="90">
        <v>3.3</v>
      </c>
      <c r="Q502" s="17" t="s">
        <v>262</v>
      </c>
      <c r="R502" s="18"/>
    </row>
    <row r="503" spans="1:49" ht="15.75" thickBot="1" x14ac:dyDescent="0.3">
      <c r="G503" s="282">
        <v>51</v>
      </c>
      <c r="H503" s="282" t="s">
        <v>391</v>
      </c>
      <c r="I503" s="282">
        <v>82</v>
      </c>
      <c r="J503" s="282">
        <v>1</v>
      </c>
      <c r="K503" s="282" t="s">
        <v>391</v>
      </c>
      <c r="L503" s="282">
        <v>3</v>
      </c>
      <c r="Q503" s="17" t="s">
        <v>261</v>
      </c>
      <c r="R503" s="18"/>
    </row>
    <row r="504" spans="1:49" ht="15" x14ac:dyDescent="0.25">
      <c r="A504" s="234" t="s">
        <v>200</v>
      </c>
      <c r="Q504" s="17" t="s">
        <v>263</v>
      </c>
      <c r="R504" s="18"/>
    </row>
    <row r="505" spans="1:49" s="92" customFormat="1" ht="12" customHeight="1" x14ac:dyDescent="0.2">
      <c r="B505" s="142" t="s">
        <v>251</v>
      </c>
      <c r="C505" s="131"/>
      <c r="E505" s="131"/>
    </row>
    <row r="506" spans="1:49" s="92" customFormat="1" ht="12" customHeight="1" x14ac:dyDescent="0.2">
      <c r="B506" s="125" t="s">
        <v>200</v>
      </c>
      <c r="C506" s="125"/>
      <c r="D506" s="125"/>
      <c r="E506" s="84" t="s">
        <v>15</v>
      </c>
      <c r="F506" s="39" t="s">
        <v>16</v>
      </c>
      <c r="G506" s="386" t="s">
        <v>15</v>
      </c>
      <c r="H506" s="387"/>
      <c r="I506" s="386" t="s">
        <v>16</v>
      </c>
      <c r="J506" s="387"/>
      <c r="X506" s="88"/>
      <c r="Y506" s="118"/>
      <c r="Z506" s="118"/>
    </row>
    <row r="507" spans="1:49" s="92" customFormat="1" ht="12" customHeight="1" x14ac:dyDescent="0.2">
      <c r="B507" s="125"/>
      <c r="C507" s="125"/>
      <c r="D507" s="125"/>
      <c r="E507" s="125"/>
      <c r="F507" s="125"/>
      <c r="G507" s="137" t="s">
        <v>230</v>
      </c>
      <c r="H507" s="137" t="s">
        <v>231</v>
      </c>
      <c r="I507" s="137" t="s">
        <v>230</v>
      </c>
      <c r="J507" s="137" t="s">
        <v>231</v>
      </c>
      <c r="X507" s="88"/>
      <c r="Y507" s="118"/>
      <c r="Z507" s="118"/>
    </row>
    <row r="508" spans="1:49" s="92" customFormat="1" ht="12" customHeight="1" x14ac:dyDescent="0.2">
      <c r="B508" s="125" t="s">
        <v>82</v>
      </c>
      <c r="C508" s="125"/>
      <c r="D508" s="125"/>
      <c r="E508" s="127"/>
      <c r="F508" s="127"/>
      <c r="G508" s="125"/>
      <c r="H508" s="125"/>
      <c r="I508" s="125"/>
      <c r="J508" s="125"/>
      <c r="X508" s="88"/>
      <c r="Y508" s="118"/>
      <c r="Z508" s="118"/>
    </row>
    <row r="509" spans="1:49" s="92" customFormat="1" ht="12" customHeight="1" x14ac:dyDescent="0.2">
      <c r="A509" s="91" t="s">
        <v>201</v>
      </c>
      <c r="B509" s="125" t="s">
        <v>83</v>
      </c>
      <c r="C509" s="125"/>
      <c r="D509" s="125"/>
      <c r="E509" s="128">
        <f>IF(B2="K2K", G509*cpuF + H509,0)</f>
        <v>0</v>
      </c>
      <c r="F509" s="128">
        <f xml:space="preserve"> I509*cpuF+J509</f>
        <v>0</v>
      </c>
      <c r="G509" s="125">
        <v>0.13</v>
      </c>
      <c r="H509" s="125">
        <v>0</v>
      </c>
      <c r="I509" s="125">
        <v>0</v>
      </c>
      <c r="J509" s="125">
        <v>0</v>
      </c>
      <c r="X509" s="88"/>
      <c r="Y509" s="118"/>
      <c r="Z509" s="118"/>
    </row>
    <row r="510" spans="1:49" s="92" customFormat="1" ht="12" customHeight="1" x14ac:dyDescent="0.2">
      <c r="A510" s="124">
        <f>BCP_util/100</f>
        <v>0</v>
      </c>
      <c r="B510" s="123"/>
      <c r="C510" s="123"/>
      <c r="D510" s="123" t="s">
        <v>84</v>
      </c>
      <c r="E510" s="123">
        <f>IF(BCP_enable="Enabled", E509-E508, 0)</f>
        <v>0</v>
      </c>
      <c r="F510" s="123">
        <f>IF(BCP_enable="Enabled", F509-F508, 0)</f>
        <v>0</v>
      </c>
      <c r="G510" s="125"/>
      <c r="H510" s="125"/>
      <c r="I510" s="125"/>
      <c r="J510" s="125"/>
      <c r="X510" s="88"/>
      <c r="Y510" s="118"/>
      <c r="Z510" s="118"/>
    </row>
    <row r="511" spans="1:49" s="92" customFormat="1" ht="12" customHeight="1" x14ac:dyDescent="0.2">
      <c r="B511" s="125"/>
      <c r="C511" s="125"/>
      <c r="D511" s="125"/>
      <c r="E511" s="125"/>
      <c r="F511" s="125"/>
      <c r="G511" s="125"/>
      <c r="H511" s="125"/>
      <c r="I511" s="125"/>
      <c r="J511" s="125"/>
      <c r="X511" s="88"/>
      <c r="Y511" s="118"/>
      <c r="Z511" s="118"/>
    </row>
    <row r="512" spans="1:49" s="92" customFormat="1" ht="12" customHeight="1" x14ac:dyDescent="0.2">
      <c r="B512" s="125" t="s">
        <v>85</v>
      </c>
      <c r="C512" s="125"/>
      <c r="D512" s="125"/>
      <c r="E512" s="128">
        <f>IF(B2="K2K", G512*cpuF + H512,0)</f>
        <v>0</v>
      </c>
      <c r="F512" s="128">
        <f>IF(B2="K2K", I512*cpuF + J512,0)</f>
        <v>0</v>
      </c>
      <c r="G512" s="125">
        <v>0.14380200000000001</v>
      </c>
      <c r="H512" s="125">
        <v>0</v>
      </c>
      <c r="I512" s="125">
        <v>3.4549000000000003E-2</v>
      </c>
      <c r="J512" s="125">
        <v>0</v>
      </c>
      <c r="X512" s="88"/>
      <c r="Y512" s="118"/>
      <c r="Z512" s="118"/>
    </row>
    <row r="513" spans="1:26" s="92" customFormat="1" ht="12" customHeight="1" x14ac:dyDescent="0.2">
      <c r="B513" s="125"/>
      <c r="C513" s="125"/>
      <c r="D513" s="125" t="s">
        <v>25</v>
      </c>
      <c r="E513" s="125">
        <f>IF(BCP_enable="Enabled", BCP_Act_cvdd*BCP_util_per, 0)</f>
        <v>0</v>
      </c>
      <c r="F513" s="125">
        <f>IF(BCP_enable="Enabled", BCP_Act_cvdd1*BCP_util_per, 0)</f>
        <v>0</v>
      </c>
      <c r="U513" s="95"/>
      <c r="V513" s="95"/>
      <c r="W513" s="95"/>
      <c r="X513" s="88"/>
      <c r="Y513" s="118"/>
      <c r="Z513" s="118"/>
    </row>
    <row r="514" spans="1:26" s="92" customFormat="1" ht="12" customHeight="1" x14ac:dyDescent="0.2">
      <c r="B514" s="125"/>
      <c r="C514" s="125"/>
      <c r="D514" s="125"/>
      <c r="E514" s="125"/>
      <c r="F514" s="125"/>
      <c r="U514" s="95"/>
      <c r="V514" s="95"/>
      <c r="W514" s="95"/>
      <c r="X514" s="88"/>
      <c r="Y514" s="118"/>
      <c r="Z514" s="118"/>
    </row>
    <row r="517" spans="1:26" ht="15" x14ac:dyDescent="0.25">
      <c r="A517" s="234" t="s">
        <v>372</v>
      </c>
    </row>
    <row r="518" spans="1:26" s="92" customFormat="1" ht="12.75" customHeight="1" x14ac:dyDescent="0.2">
      <c r="B518" s="142" t="s">
        <v>251</v>
      </c>
      <c r="C518" s="131"/>
      <c r="F518" s="18"/>
      <c r="H518" s="18"/>
    </row>
    <row r="519" spans="1:26" s="92" customFormat="1" ht="12.75" customHeight="1" x14ac:dyDescent="0.2">
      <c r="B519" s="125" t="s">
        <v>203</v>
      </c>
      <c r="C519" s="125"/>
      <c r="D519" s="125"/>
      <c r="E519" s="84" t="s">
        <v>15</v>
      </c>
      <c r="F519" s="39" t="s">
        <v>16</v>
      </c>
      <c r="G519" s="84"/>
      <c r="H519" s="386" t="s">
        <v>15</v>
      </c>
      <c r="I519" s="387"/>
      <c r="J519" s="386" t="s">
        <v>16</v>
      </c>
      <c r="K519" s="387"/>
      <c r="V519" s="95"/>
      <c r="W519" s="95"/>
      <c r="X519" s="95"/>
      <c r="Y519" s="88"/>
      <c r="Z519" s="118"/>
    </row>
    <row r="520" spans="1:26" s="92" customFormat="1" ht="12.75" customHeight="1" x14ac:dyDescent="0.2">
      <c r="B520" s="125"/>
      <c r="C520" s="125"/>
      <c r="D520" s="125"/>
      <c r="E520" s="125"/>
      <c r="F520" s="125"/>
      <c r="G520" s="125"/>
      <c r="H520" s="137" t="s">
        <v>230</v>
      </c>
      <c r="I520" s="137" t="s">
        <v>231</v>
      </c>
      <c r="J520" s="137" t="s">
        <v>230</v>
      </c>
      <c r="K520" s="137" t="s">
        <v>231</v>
      </c>
      <c r="V520" s="95"/>
      <c r="W520" s="95"/>
      <c r="X520" s="95"/>
      <c r="Y520" s="88"/>
      <c r="Z520" s="118"/>
    </row>
    <row r="521" spans="1:26" s="92" customFormat="1" ht="12.75" customHeight="1" x14ac:dyDescent="0.2">
      <c r="A521" s="38" t="s">
        <v>369</v>
      </c>
      <c r="B521" s="125"/>
      <c r="C521" s="125"/>
      <c r="D521" s="138"/>
      <c r="E521" s="127"/>
      <c r="F521" s="127"/>
      <c r="G521" s="127"/>
      <c r="H521" s="125"/>
      <c r="I521" s="125"/>
      <c r="J521" s="125"/>
      <c r="K521" s="125"/>
      <c r="V521" s="95"/>
      <c r="W521" s="95"/>
      <c r="X521" s="95"/>
      <c r="Y521" s="88"/>
      <c r="Z521" s="118"/>
    </row>
    <row r="522" spans="1:26" s="92" customFormat="1" ht="12.75" customHeight="1" x14ac:dyDescent="0.2">
      <c r="A522" s="65">
        <f>RAC_0_util/100</f>
        <v>0</v>
      </c>
      <c r="B522" s="125"/>
      <c r="C522" s="125"/>
      <c r="D522" s="136" t="s">
        <v>370</v>
      </c>
      <c r="E522" s="128">
        <f>IF(B2="K2K", ( H522*cpuF + I522),0)</f>
        <v>0</v>
      </c>
      <c r="F522" s="128">
        <f xml:space="preserve"> ( J522*cpuF + K522)</f>
        <v>0</v>
      </c>
      <c r="G522" s="128">
        <v>0</v>
      </c>
      <c r="H522" s="125">
        <v>0.16200000000000001</v>
      </c>
      <c r="I522" s="125">
        <v>0</v>
      </c>
      <c r="J522" s="125">
        <v>0</v>
      </c>
      <c r="K522" s="125">
        <v>0</v>
      </c>
      <c r="V522" s="95"/>
      <c r="W522" s="95"/>
      <c r="X522" s="95"/>
      <c r="Y522" s="88"/>
      <c r="Z522" s="118"/>
    </row>
    <row r="523" spans="1:26" s="92" customFormat="1" ht="12.75" customHeight="1" x14ac:dyDescent="0.2">
      <c r="A523" s="65">
        <f>RAC_1_util/100</f>
        <v>0</v>
      </c>
      <c r="B523" s="138"/>
      <c r="C523" s="138"/>
      <c r="D523" s="113" t="s">
        <v>371</v>
      </c>
      <c r="E523" s="135">
        <f>IF(RAC_0_1_en="Enabled",E522,0)</f>
        <v>0</v>
      </c>
      <c r="F523" s="135">
        <f>IF(RAC_0_1_en="Enabled",F522,0)</f>
        <v>0</v>
      </c>
      <c r="G523" s="127"/>
      <c r="H523" s="125"/>
      <c r="I523" s="125"/>
      <c r="J523" s="125"/>
      <c r="K523" s="125"/>
      <c r="V523" s="95"/>
      <c r="W523" s="95"/>
      <c r="X523" s="95"/>
      <c r="Y523" s="88"/>
      <c r="Z523" s="118"/>
    </row>
    <row r="524" spans="1:26" s="92" customFormat="1" ht="12.75" customHeight="1" x14ac:dyDescent="0.2">
      <c r="A524" s="65">
        <f>RAC_2_util/100</f>
        <v>0</v>
      </c>
      <c r="B524" s="138"/>
      <c r="C524" s="138"/>
      <c r="D524" s="113" t="s">
        <v>373</v>
      </c>
      <c r="E524" s="135">
        <f>IF(RAC_2_3_en="Enabled",E522,0)</f>
        <v>0</v>
      </c>
      <c r="F524" s="135">
        <f>IF(RAC_2_3_en="Enabled",F522,0)</f>
        <v>0</v>
      </c>
      <c r="G524" s="127"/>
      <c r="H524" s="125"/>
      <c r="I524" s="125"/>
      <c r="J524" s="125"/>
      <c r="K524" s="125"/>
      <c r="V524" s="95"/>
      <c r="W524" s="95"/>
      <c r="X524" s="95"/>
      <c r="Y524" s="88"/>
      <c r="Z524" s="118"/>
    </row>
    <row r="525" spans="1:26" s="92" customFormat="1" ht="12.75" customHeight="1" x14ac:dyDescent="0.2">
      <c r="A525" s="65">
        <f>RAC_3_util/100</f>
        <v>0</v>
      </c>
      <c r="B525" s="138"/>
      <c r="C525" s="138"/>
      <c r="D525" s="136" t="s">
        <v>362</v>
      </c>
      <c r="E525" s="128">
        <f>SUM(E523:E524)</f>
        <v>0</v>
      </c>
      <c r="F525" s="128">
        <f>SUM(F523:F524)</f>
        <v>0</v>
      </c>
      <c r="G525" s="128">
        <v>0</v>
      </c>
      <c r="H525" s="125"/>
      <c r="I525" s="125"/>
      <c r="J525" s="125"/>
      <c r="K525" s="125">
        <v>0</v>
      </c>
      <c r="V525" s="95"/>
      <c r="W525" s="95"/>
      <c r="X525" s="95"/>
      <c r="Y525" s="88"/>
      <c r="Z525" s="118"/>
    </row>
    <row r="526" spans="1:26" s="92" customFormat="1" ht="12.75" customHeight="1" x14ac:dyDescent="0.2">
      <c r="B526" s="125"/>
      <c r="C526" s="125"/>
      <c r="D526" s="125"/>
      <c r="E526" s="134"/>
      <c r="F526" s="134"/>
      <c r="G526" s="134"/>
      <c r="H526" s="125"/>
      <c r="I526" s="125"/>
      <c r="J526" s="125"/>
      <c r="K526" s="125"/>
      <c r="V526" s="95"/>
      <c r="W526" s="95"/>
      <c r="X526" s="95"/>
      <c r="Y526" s="88"/>
      <c r="Z526" s="118"/>
    </row>
    <row r="527" spans="1:26" s="92" customFormat="1" ht="12.75" customHeight="1" x14ac:dyDescent="0.2">
      <c r="B527" s="135"/>
      <c r="C527" s="135"/>
      <c r="D527" s="136" t="s">
        <v>375</v>
      </c>
      <c r="E527" s="128">
        <f>IF(B2="K2K",  H527*cpuF + I527,0)</f>
        <v>0</v>
      </c>
      <c r="F527" s="128">
        <f xml:space="preserve"> J527*cpuF + K527</f>
        <v>43.199999999999996</v>
      </c>
      <c r="G527" s="148"/>
      <c r="H527" s="125">
        <f>0.409/2</f>
        <v>0.20449999999999999</v>
      </c>
      <c r="I527" s="125">
        <v>0</v>
      </c>
      <c r="J527" s="125">
        <f>0.072/2</f>
        <v>3.5999999999999997E-2</v>
      </c>
      <c r="K527" s="125">
        <v>0</v>
      </c>
      <c r="V527" s="95"/>
      <c r="W527" s="95"/>
      <c r="X527" s="95"/>
      <c r="Y527" s="88"/>
      <c r="Z527" s="118"/>
    </row>
    <row r="528" spans="1:26" s="92" customFormat="1" ht="12.75" customHeight="1" x14ac:dyDescent="0.2">
      <c r="B528" s="125"/>
      <c r="C528" s="125"/>
      <c r="D528" s="136" t="s">
        <v>374</v>
      </c>
      <c r="E528" s="128">
        <f>IF(RAC_0_1_en="Enabled",$E$527*RAC_0_util_per,0)</f>
        <v>0</v>
      </c>
      <c r="F528" s="128">
        <f>IF(RAC_0_1_en="Enabled",$F$527*RAC_0_util_per,0)</f>
        <v>0</v>
      </c>
      <c r="G528" s="128"/>
      <c r="H528" s="125"/>
      <c r="I528" s="125"/>
      <c r="J528" s="125"/>
      <c r="K528" s="125"/>
      <c r="V528" s="95"/>
      <c r="W528" s="95"/>
      <c r="X528" s="95"/>
      <c r="Y528" s="88"/>
      <c r="Z528" s="118"/>
    </row>
    <row r="529" spans="1:26" s="92" customFormat="1" ht="12.75" customHeight="1" x14ac:dyDescent="0.2">
      <c r="B529" s="138"/>
      <c r="C529" s="138"/>
      <c r="D529" s="136" t="s">
        <v>376</v>
      </c>
      <c r="E529" s="128">
        <f>IF(RAC_0_1_en="Enabled",$E$527*RAC_1_util_per,0)</f>
        <v>0</v>
      </c>
      <c r="F529" s="128">
        <f>IF(RAC_0_1_en="Enabled",$F$527*RAC_1_util_per,0)</f>
        <v>0</v>
      </c>
      <c r="G529" s="148"/>
      <c r="H529" s="125"/>
      <c r="I529" s="125"/>
      <c r="J529" s="125"/>
      <c r="K529" s="125"/>
      <c r="V529" s="95"/>
      <c r="W529" s="95"/>
      <c r="X529" s="95"/>
      <c r="Y529" s="88"/>
      <c r="Z529" s="118"/>
    </row>
    <row r="530" spans="1:26" s="92" customFormat="1" ht="12.75" customHeight="1" x14ac:dyDescent="0.2">
      <c r="B530" s="125"/>
      <c r="C530" s="125"/>
      <c r="D530" s="136" t="s">
        <v>377</v>
      </c>
      <c r="E530" s="128">
        <f>IF(RAC_2_3_en="Enabled",$E$527*RAC_2_util_per,0)</f>
        <v>0</v>
      </c>
      <c r="F530" s="128">
        <f>IF(RAC_2_3_en="Enabled",$F$527*RAC_2_util_per,0)</f>
        <v>0</v>
      </c>
      <c r="G530" s="128"/>
      <c r="V530" s="95"/>
      <c r="W530" s="95"/>
      <c r="X530" s="95"/>
      <c r="Y530" s="88"/>
      <c r="Z530" s="118"/>
    </row>
    <row r="531" spans="1:26" s="92" customFormat="1" ht="12.75" customHeight="1" x14ac:dyDescent="0.2">
      <c r="B531" s="125"/>
      <c r="C531" s="125"/>
      <c r="D531" s="136" t="s">
        <v>378</v>
      </c>
      <c r="E531" s="128">
        <f>IF(RAC_2_3_en="Enabled",$E$527*RAC_3_util_per,0)</f>
        <v>0</v>
      </c>
      <c r="F531" s="128">
        <f>IF(RAC_2_3_en="Enabled",$F$527*RAC_3_util_per,0)</f>
        <v>0</v>
      </c>
      <c r="G531" s="128"/>
      <c r="V531" s="95"/>
      <c r="W531" s="95"/>
      <c r="X531" s="95"/>
      <c r="Y531" s="88"/>
      <c r="Z531" s="118"/>
    </row>
    <row r="532" spans="1:26" s="92" customFormat="1" ht="12.75" customHeight="1" x14ac:dyDescent="0.2">
      <c r="B532" s="125"/>
      <c r="C532" s="125"/>
      <c r="D532" s="125"/>
      <c r="E532" s="128"/>
      <c r="F532" s="128"/>
      <c r="G532" s="128"/>
      <c r="V532" s="95"/>
      <c r="W532" s="95"/>
      <c r="X532" s="95"/>
      <c r="Y532" s="88"/>
      <c r="Z532" s="118"/>
    </row>
    <row r="536" spans="1:26" ht="15" x14ac:dyDescent="0.25">
      <c r="A536" s="234" t="s">
        <v>100</v>
      </c>
    </row>
    <row r="537" spans="1:26" s="92" customFormat="1" ht="12.75" customHeight="1" x14ac:dyDescent="0.2">
      <c r="B537" s="131"/>
      <c r="C537" s="131"/>
      <c r="F537" s="18"/>
      <c r="H537" s="18"/>
    </row>
    <row r="538" spans="1:26" s="92" customFormat="1" ht="12.75" customHeight="1" x14ac:dyDescent="0.2">
      <c r="B538" s="131"/>
      <c r="C538" s="131"/>
      <c r="F538" s="18"/>
      <c r="H538" s="18"/>
    </row>
    <row r="539" spans="1:26" s="92" customFormat="1" ht="12.75" customHeight="1" x14ac:dyDescent="0.2">
      <c r="B539" s="142" t="s">
        <v>251</v>
      </c>
      <c r="C539" s="131"/>
      <c r="F539" s="25"/>
      <c r="H539" s="99"/>
    </row>
    <row r="540" spans="1:26" s="92" customFormat="1" ht="12.75" customHeight="1" x14ac:dyDescent="0.2">
      <c r="B540" s="125" t="s">
        <v>100</v>
      </c>
      <c r="C540" s="125"/>
      <c r="D540" s="125"/>
      <c r="E540" s="84" t="s">
        <v>15</v>
      </c>
      <c r="F540" s="39" t="s">
        <v>16</v>
      </c>
      <c r="G540" s="386" t="s">
        <v>15</v>
      </c>
      <c r="H540" s="387"/>
      <c r="I540" s="386" t="s">
        <v>16</v>
      </c>
      <c r="J540" s="387"/>
      <c r="U540" s="95"/>
      <c r="V540" s="95"/>
      <c r="W540" s="95"/>
      <c r="X540" s="88"/>
      <c r="Y540" s="118"/>
      <c r="Z540" s="118"/>
    </row>
    <row r="541" spans="1:26" s="92" customFormat="1" ht="12.75" customHeight="1" x14ac:dyDescent="0.2">
      <c r="B541" s="125"/>
      <c r="C541" s="125"/>
      <c r="D541" s="125"/>
      <c r="E541" s="125"/>
      <c r="F541" s="125"/>
      <c r="G541" s="137" t="s">
        <v>230</v>
      </c>
      <c r="H541" s="137" t="s">
        <v>231</v>
      </c>
      <c r="I541" s="137" t="s">
        <v>230</v>
      </c>
      <c r="J541" s="137" t="s">
        <v>231</v>
      </c>
      <c r="U541" s="95"/>
      <c r="V541" s="95"/>
      <c r="W541" s="95"/>
      <c r="X541" s="88"/>
      <c r="Y541" s="118"/>
      <c r="Z541" s="118"/>
    </row>
    <row r="542" spans="1:26" s="92" customFormat="1" ht="12.75" customHeight="1" x14ac:dyDescent="0.2">
      <c r="A542" s="38" t="s">
        <v>204</v>
      </c>
      <c r="B542" s="125" t="s">
        <v>82</v>
      </c>
      <c r="C542" s="125"/>
      <c r="D542" s="138" t="s">
        <v>206</v>
      </c>
      <c r="E542" s="127">
        <v>0</v>
      </c>
      <c r="F542" s="127">
        <v>0</v>
      </c>
      <c r="U542" s="95"/>
      <c r="V542" s="95"/>
      <c r="W542" s="95"/>
      <c r="X542" s="88"/>
      <c r="Y542" s="118"/>
      <c r="Z542" s="118"/>
    </row>
    <row r="543" spans="1:26" s="92" customFormat="1" ht="12.75" customHeight="1" x14ac:dyDescent="0.2">
      <c r="A543" s="65">
        <f>TAC_util/100</f>
        <v>0</v>
      </c>
      <c r="B543" s="125" t="s">
        <v>83</v>
      </c>
      <c r="C543" s="125"/>
      <c r="D543" s="125"/>
      <c r="E543" s="128">
        <v>0</v>
      </c>
      <c r="F543" s="128">
        <v>0</v>
      </c>
      <c r="U543" s="95"/>
      <c r="V543" s="95"/>
      <c r="W543" s="95"/>
      <c r="X543" s="132"/>
      <c r="Y543" s="133"/>
      <c r="Z543" s="133"/>
    </row>
    <row r="544" spans="1:26" s="92" customFormat="1" ht="12.75" customHeight="1" x14ac:dyDescent="0.2">
      <c r="B544" s="123"/>
      <c r="C544" s="123"/>
      <c r="D544" s="123" t="s">
        <v>84</v>
      </c>
      <c r="E544" s="123">
        <f>IF(B2="K2K", IF(TAC_enable="Enabled",G544*cpuF+H544,0),0)</f>
        <v>0</v>
      </c>
      <c r="F544" s="123">
        <f>IF(TAC_enable="Enabled",I544*cpuF+J544,0)</f>
        <v>0</v>
      </c>
      <c r="G544" s="92">
        <v>0.16900000000000001</v>
      </c>
      <c r="H544" s="92">
        <v>0</v>
      </c>
      <c r="I544" s="92">
        <v>0</v>
      </c>
      <c r="J544" s="245">
        <v>0</v>
      </c>
      <c r="U544" s="95"/>
      <c r="V544" s="95"/>
      <c r="W544" s="95"/>
      <c r="X544" s="88"/>
      <c r="Y544" s="118"/>
      <c r="Z544" s="118"/>
    </row>
    <row r="545" spans="2:26" s="92" customFormat="1" ht="12.75" customHeight="1" x14ac:dyDescent="0.2">
      <c r="B545" s="125"/>
      <c r="C545" s="125"/>
      <c r="D545" s="125"/>
      <c r="E545" s="125"/>
      <c r="F545" s="125"/>
      <c r="U545" s="95"/>
      <c r="V545" s="95"/>
      <c r="W545" s="95"/>
      <c r="X545" s="132"/>
      <c r="Y545" s="133"/>
      <c r="Z545" s="133"/>
    </row>
    <row r="546" spans="2:26" s="92" customFormat="1" ht="12.75" customHeight="1" x14ac:dyDescent="0.2">
      <c r="B546" s="125" t="s">
        <v>205</v>
      </c>
      <c r="C546" s="125"/>
      <c r="D546" s="125"/>
      <c r="E546" s="128">
        <f>IF(B2="K2K",  G546*cpuF+H546,0)</f>
        <v>0</v>
      </c>
      <c r="F546" s="128">
        <f>IF(B2="K2K",  I546*cpuF+J546,0)</f>
        <v>0</v>
      </c>
      <c r="G546" s="92">
        <v>0.40300000000000002</v>
      </c>
      <c r="H546" s="92">
        <v>0</v>
      </c>
      <c r="I546" s="92">
        <v>7.2999999999999995E-2</v>
      </c>
      <c r="J546" s="92">
        <v>0</v>
      </c>
      <c r="U546" s="95"/>
      <c r="V546" s="95"/>
      <c r="W546" s="95"/>
      <c r="X546" s="88"/>
      <c r="Y546" s="118"/>
      <c r="Z546" s="118"/>
    </row>
    <row r="547" spans="2:26" s="92" customFormat="1" ht="12.75" customHeight="1" x14ac:dyDescent="0.2">
      <c r="B547" s="125"/>
      <c r="C547" s="125"/>
      <c r="D547" s="125" t="s">
        <v>25</v>
      </c>
      <c r="E547" s="125">
        <f>IF(TAC_enable="Enabled", TAC_Act_cvdd*TAC_util_per, 0)</f>
        <v>0</v>
      </c>
      <c r="F547" s="125">
        <f>IF(TAC_enable="Enabled", TAC_Act_cvdd1*TAC_util_per, 0)</f>
        <v>0</v>
      </c>
      <c r="U547" s="95"/>
      <c r="V547" s="95"/>
      <c r="W547" s="95"/>
      <c r="X547" s="132"/>
      <c r="Y547" s="133"/>
      <c r="Z547" s="133"/>
    </row>
    <row r="548" spans="2:26" s="92" customFormat="1" ht="12.75" customHeight="1" x14ac:dyDescent="0.2">
      <c r="B548" s="125" t="s">
        <v>57</v>
      </c>
      <c r="C548" s="125"/>
      <c r="D548" s="125"/>
      <c r="E548" s="125"/>
      <c r="F548" s="125"/>
      <c r="U548" s="95"/>
      <c r="V548" s="95"/>
      <c r="W548" s="95"/>
      <c r="X548" s="88"/>
      <c r="Y548" s="118"/>
      <c r="Z548" s="118"/>
    </row>
  </sheetData>
  <sheetProtection password="C4EB" sheet="1" objects="1" scenarios="1"/>
  <mergeCells count="59">
    <mergeCell ref="M90:N90"/>
    <mergeCell ref="A86:C90"/>
    <mergeCell ref="K137:L137"/>
    <mergeCell ref="M137:N137"/>
    <mergeCell ref="G107:L107"/>
    <mergeCell ref="K156:L156"/>
    <mergeCell ref="M156:N156"/>
    <mergeCell ref="K119:L119"/>
    <mergeCell ref="M119:N119"/>
    <mergeCell ref="O137:P137"/>
    <mergeCell ref="O156:P156"/>
    <mergeCell ref="J213:K213"/>
    <mergeCell ref="L213:M213"/>
    <mergeCell ref="M255:N255"/>
    <mergeCell ref="N213:O213"/>
    <mergeCell ref="G293:H293"/>
    <mergeCell ref="I293:J293"/>
    <mergeCell ref="H519:I519"/>
    <mergeCell ref="J519:K519"/>
    <mergeCell ref="G354:H354"/>
    <mergeCell ref="G243:H243"/>
    <mergeCell ref="I243:J243"/>
    <mergeCell ref="I266:J266"/>
    <mergeCell ref="G281:H281"/>
    <mergeCell ref="I255:J255"/>
    <mergeCell ref="I320:J320"/>
    <mergeCell ref="G336:H336"/>
    <mergeCell ref="I336:J336"/>
    <mergeCell ref="G306:H306"/>
    <mergeCell ref="I306:J306"/>
    <mergeCell ref="G540:H540"/>
    <mergeCell ref="I540:J540"/>
    <mergeCell ref="I354:J354"/>
    <mergeCell ref="N491:O491"/>
    <mergeCell ref="G372:H372"/>
    <mergeCell ref="I372:J372"/>
    <mergeCell ref="G402:H402"/>
    <mergeCell ref="I402:J402"/>
    <mergeCell ref="J491:K491"/>
    <mergeCell ref="L491:M491"/>
    <mergeCell ref="J424:K424"/>
    <mergeCell ref="L424:M424"/>
    <mergeCell ref="G464:H464"/>
    <mergeCell ref="I464:J464"/>
    <mergeCell ref="G506:H506"/>
    <mergeCell ref="I506:J506"/>
    <mergeCell ref="P491:Q491"/>
    <mergeCell ref="R491:S491"/>
    <mergeCell ref="Q182:R182"/>
    <mergeCell ref="N424:O424"/>
    <mergeCell ref="P424:Q424"/>
    <mergeCell ref="R424:S424"/>
    <mergeCell ref="M320:N320"/>
    <mergeCell ref="R213:S213"/>
    <mergeCell ref="M182:N182"/>
    <mergeCell ref="O182:P182"/>
    <mergeCell ref="L454:M454"/>
    <mergeCell ref="N454:O454"/>
    <mergeCell ref="P213:Q213"/>
  </mergeCells>
  <dataValidations count="5">
    <dataValidation type="whole" operator="lessThanOrEqual" allowBlank="1" showInputMessage="1" showErrorMessage="1" sqref="W81:X81">
      <formula1>W81</formula1>
    </dataValidation>
    <dataValidation type="list" allowBlank="1" showInputMessage="1" showErrorMessage="1" sqref="F5">
      <formula1>$E$8:$E$10</formula1>
    </dataValidation>
    <dataValidation allowBlank="1" sqref="E71:E74"/>
    <dataValidation type="list" allowBlank="1" showInputMessage="1" showErrorMessage="1" sqref="B1">
      <formula1>$A$2:$A$5</formula1>
    </dataValidation>
    <dataValidation type="list" allowBlank="1" showInputMessage="1" showErrorMessage="1" sqref="P177">
      <formula1>"reset, suspend"</formula1>
    </dataValidation>
  </dataValidations>
  <pageMargins left="0.7" right="0.7" top="0.75" bottom="0.75" header="0.3" footer="0.3"/>
  <pageSetup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6C0D969E7D55449DEF0D79CBD91C86" ma:contentTypeVersion="0" ma:contentTypeDescription="Create a new document." ma:contentTypeScope="" ma:versionID="6daed6d7741475de7592e6f990b4ec5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69F245-DC52-4CD9-8C7F-28067FEAB49F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E41EB12-0CF1-466C-8DED-165A6F87F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32FBAD-A0CF-4881-A4FF-F53625C691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618</vt:i4>
      </vt:variant>
    </vt:vector>
  </HeadingPairs>
  <TitlesOfParts>
    <vt:vector size="620" baseType="lpstr">
      <vt:lpstr>66AK2H14</vt:lpstr>
      <vt:lpstr>Calculation sheet</vt:lpstr>
      <vt:lpstr>agap0000_cc_cvdd1_11</vt:lpstr>
      <vt:lpstr>agap0000_cc_cvdd11</vt:lpstr>
      <vt:lpstr>agap0000_cc_cvdd12</vt:lpstr>
      <vt:lpstr>aif_act_tot_cvdd</vt:lpstr>
      <vt:lpstr>aif_act_tot_cvdd1</vt:lpstr>
      <vt:lpstr>aif_clk_cvdd</vt:lpstr>
      <vt:lpstr>aif_clk_cvdd1</vt:lpstr>
      <vt:lpstr>aif_clk_dvdd15</vt:lpstr>
      <vt:lpstr>aif_en</vt:lpstr>
      <vt:lpstr>AIF_idle_cvdd</vt:lpstr>
      <vt:lpstr>AIF_idle_Cvdd1</vt:lpstr>
      <vt:lpstr>aif_lanes</vt:lpstr>
      <vt:lpstr>aif_line_rate</vt:lpstr>
      <vt:lpstr>aif_prot</vt:lpstr>
      <vt:lpstr>aif_switch_per</vt:lpstr>
      <vt:lpstr>aif_util</vt:lpstr>
      <vt:lpstr>aif_util_per</vt:lpstr>
      <vt:lpstr>aif2_idle_tot_vddahv</vt:lpstr>
      <vt:lpstr>aif2_idle_tot_vddalh</vt:lpstr>
      <vt:lpstr>aif2_lane_list</vt:lpstr>
      <vt:lpstr>aif2_mode_list</vt:lpstr>
      <vt:lpstr>aif2_rate_list</vt:lpstr>
      <vt:lpstr>all_cores_cvdd_idle_clk</vt:lpstr>
      <vt:lpstr>all_cores_cvdd1_idle_clk</vt:lpstr>
      <vt:lpstr>ARM_act_tot_cvdd</vt:lpstr>
      <vt:lpstr>ARM_Act_total_cvdd1</vt:lpstr>
      <vt:lpstr>ARM_cpuF</vt:lpstr>
      <vt:lpstr>ARM_SS_en</vt:lpstr>
      <vt:lpstr>ARM_SS_status</vt:lpstr>
      <vt:lpstr>ARM_Status</vt:lpstr>
      <vt:lpstr>ARM_util_0</vt:lpstr>
      <vt:lpstr>ARM_util_1</vt:lpstr>
      <vt:lpstr>ARM_util_2</vt:lpstr>
      <vt:lpstr>ARM_util_3</vt:lpstr>
      <vt:lpstr>ARM0_en</vt:lpstr>
      <vt:lpstr>ARM1_en</vt:lpstr>
      <vt:lpstr>ARM2_en</vt:lpstr>
      <vt:lpstr>ARM3_en</vt:lpstr>
      <vt:lpstr>armss_idle_clocking</vt:lpstr>
      <vt:lpstr>BCP_Act_cvdd</vt:lpstr>
      <vt:lpstr>BCP_Act_cvdd1</vt:lpstr>
      <vt:lpstr>BCP_Act_tot_cvdd</vt:lpstr>
      <vt:lpstr>BCP_Act_tot_cvdd1</vt:lpstr>
      <vt:lpstr>BCP_enable</vt:lpstr>
      <vt:lpstr>BCP_total_idle</vt:lpstr>
      <vt:lpstr>BCP_util</vt:lpstr>
      <vt:lpstr>BCP_util_per</vt:lpstr>
      <vt:lpstr>bit_width_list</vt:lpstr>
      <vt:lpstr>con_est_gem_act_cvdd</vt:lpstr>
      <vt:lpstr>con_est_gem_act_cvdd1</vt:lpstr>
      <vt:lpstr>core0_clk_idle_cvdd</vt:lpstr>
      <vt:lpstr>core0_clk_idle_cvdd1</vt:lpstr>
      <vt:lpstr>core0_en</vt:lpstr>
      <vt:lpstr>core1_clk_idle_cvdd</vt:lpstr>
      <vt:lpstr>core1_clk_idle_cvdd1</vt:lpstr>
      <vt:lpstr>core1_en</vt:lpstr>
      <vt:lpstr>core2_clk_idle_cvdd</vt:lpstr>
      <vt:lpstr>core2_clk_idle_cvdd1</vt:lpstr>
      <vt:lpstr>core2_en</vt:lpstr>
      <vt:lpstr>core3_clk_idle_cvdd</vt:lpstr>
      <vt:lpstr>core3_clk_idle_cvdd1</vt:lpstr>
      <vt:lpstr>core3_en</vt:lpstr>
      <vt:lpstr>core4_clk_idle_cvdd</vt:lpstr>
      <vt:lpstr>core4_clk_idle_cvdd1</vt:lpstr>
      <vt:lpstr>core4_en</vt:lpstr>
      <vt:lpstr>core5_clk_idle_cvdd</vt:lpstr>
      <vt:lpstr>core5_clk_idle_cvdd1</vt:lpstr>
      <vt:lpstr>core5_en</vt:lpstr>
      <vt:lpstr>core6_clk_idle_cvdd</vt:lpstr>
      <vt:lpstr>core6_clk_idle_cvdd1</vt:lpstr>
      <vt:lpstr>core6_en</vt:lpstr>
      <vt:lpstr>core7_clk_idle_cvdd</vt:lpstr>
      <vt:lpstr>core7_clk_idle_cvdd1</vt:lpstr>
      <vt:lpstr>core7_en</vt:lpstr>
      <vt:lpstr>cpri_cppi_base</vt:lpstr>
      <vt:lpstr>cpri_dio_base</vt:lpstr>
      <vt:lpstr>cpu_max_power_test_index</vt:lpstr>
      <vt:lpstr>cpu0_ac_util</vt:lpstr>
      <vt:lpstr>cpu0_ac_util_per</vt:lpstr>
      <vt:lpstr>cpu0_cc_util</vt:lpstr>
      <vt:lpstr>cpu0_cc_util_per</vt:lpstr>
      <vt:lpstr>cpu0_idle_per</vt:lpstr>
      <vt:lpstr>cpu1_ac_util</vt:lpstr>
      <vt:lpstr>cpu1_ac_util_per</vt:lpstr>
      <vt:lpstr>cpu1_cc_util</vt:lpstr>
      <vt:lpstr>cpu1_cc_util_per</vt:lpstr>
      <vt:lpstr>cpu1_idle_per</vt:lpstr>
      <vt:lpstr>cpu2_ac_util</vt:lpstr>
      <vt:lpstr>cpu2_ac_util_per</vt:lpstr>
      <vt:lpstr>cpu2_cc_util</vt:lpstr>
      <vt:lpstr>cpu2_cc_util_per</vt:lpstr>
      <vt:lpstr>cpu2_idle_per</vt:lpstr>
      <vt:lpstr>cpu3_ac_util</vt:lpstr>
      <vt:lpstr>cpu3_ac_util_per</vt:lpstr>
      <vt:lpstr>cpu3_cc_util</vt:lpstr>
      <vt:lpstr>cpu3_cc_util_per</vt:lpstr>
      <vt:lpstr>cpu3_idle_per</vt:lpstr>
      <vt:lpstr>cpu4_ac_util</vt:lpstr>
      <vt:lpstr>cpu4_ac_util_per</vt:lpstr>
      <vt:lpstr>cpu4_cc_util</vt:lpstr>
      <vt:lpstr>cpu4_cc_util_per</vt:lpstr>
      <vt:lpstr>cpu4_idle_per</vt:lpstr>
      <vt:lpstr>cpu5_ac_util</vt:lpstr>
      <vt:lpstr>cpu5_ac_util_per</vt:lpstr>
      <vt:lpstr>cpu5_cc_util</vt:lpstr>
      <vt:lpstr>cpu5_cc_util_per</vt:lpstr>
      <vt:lpstr>cpu6_ac_util</vt:lpstr>
      <vt:lpstr>cpu6_ac_util_per</vt:lpstr>
      <vt:lpstr>cpu6_cc_util</vt:lpstr>
      <vt:lpstr>cpu6_cc_util_per</vt:lpstr>
      <vt:lpstr>cpu6_idle_per</vt:lpstr>
      <vt:lpstr>cpu7_ac_util</vt:lpstr>
      <vt:lpstr>cpu7_ac_util_per</vt:lpstr>
      <vt:lpstr>cpu7_cc_util</vt:lpstr>
      <vt:lpstr>cpu7_cc_util_per</vt:lpstr>
      <vt:lpstr>cpu7_idle_per</vt:lpstr>
      <vt:lpstr>cpuF</vt:lpstr>
      <vt:lpstr>cvdd</vt:lpstr>
      <vt:lpstr>cvdd_select</vt:lpstr>
      <vt:lpstr>CVDD_SF</vt:lpstr>
      <vt:lpstr>CVDD1_SF</vt:lpstr>
      <vt:lpstr>ddr_B_rate</vt:lpstr>
      <vt:lpstr>ddr_cvdd_read_base</vt:lpstr>
      <vt:lpstr>ddr_cvdd_write_base</vt:lpstr>
      <vt:lpstr>ddr_cvdd1_read_base</vt:lpstr>
      <vt:lpstr>ddr_cvdd1_write_base</vt:lpstr>
      <vt:lpstr>ddr_dvdd15_read_base</vt:lpstr>
      <vt:lpstr>ddr_dvdd15_write_base</vt:lpstr>
      <vt:lpstr>ddr_read_total_cvdd</vt:lpstr>
      <vt:lpstr>ddr_read_total_cvdd1</vt:lpstr>
      <vt:lpstr>ddr_read_total_dvdd15</vt:lpstr>
      <vt:lpstr>ddr_total_check_dvdd15</vt:lpstr>
      <vt:lpstr>ddr_total_cvdd</vt:lpstr>
      <vt:lpstr>ddr_total_cvdd1</vt:lpstr>
      <vt:lpstr>ddr_total_dvdd15</vt:lpstr>
      <vt:lpstr>ddr_write_total_cvdd</vt:lpstr>
      <vt:lpstr>ddr_write_total_cvdd1</vt:lpstr>
      <vt:lpstr>ddr_write_total_dvdd15</vt:lpstr>
      <vt:lpstr>ddr3a_cvdd_idle</vt:lpstr>
      <vt:lpstr>ddr3a_dvdd15_idle</vt:lpstr>
      <vt:lpstr>ddr3a_dvdd18_idle</vt:lpstr>
      <vt:lpstr>ddr3a_en</vt:lpstr>
      <vt:lpstr>ddr3b_cvdd_idle</vt:lpstr>
      <vt:lpstr>ddr3b_dvdd15_idle</vt:lpstr>
      <vt:lpstr>ddr3b_dvdd18_idle</vt:lpstr>
      <vt:lpstr>ddr3b_en</vt:lpstr>
      <vt:lpstr>ddr3b_writes</vt:lpstr>
      <vt:lpstr>ddrA_bits</vt:lpstr>
      <vt:lpstr>ddra_clock</vt:lpstr>
      <vt:lpstr>ddra_reads_per</vt:lpstr>
      <vt:lpstr>ddra_switch_per</vt:lpstr>
      <vt:lpstr>ddrA_util</vt:lpstr>
      <vt:lpstr>ddra_util_per</vt:lpstr>
      <vt:lpstr>ddra_writes</vt:lpstr>
      <vt:lpstr>ddra_writes_per</vt:lpstr>
      <vt:lpstr>ddrb_bits</vt:lpstr>
      <vt:lpstr>ddrb_clock</vt:lpstr>
      <vt:lpstr>ddrb_cvdd_read_base</vt:lpstr>
      <vt:lpstr>ddrb_cvdd_write_base</vt:lpstr>
      <vt:lpstr>ddrb_cvdd1_read_base</vt:lpstr>
      <vt:lpstr>ddrb_cvdd1_write_base</vt:lpstr>
      <vt:lpstr>ddrb_dvdd15_read_base</vt:lpstr>
      <vt:lpstr>ddrb_dvdd15_read_total</vt:lpstr>
      <vt:lpstr>ddrb_dvdd15_write_base</vt:lpstr>
      <vt:lpstr>ddrb_dvdd15_write_total</vt:lpstr>
      <vt:lpstr>ddrb_read_total_cvdd</vt:lpstr>
      <vt:lpstr>ddrb_read_total_cvdd1</vt:lpstr>
      <vt:lpstr>ddrb_reads_per</vt:lpstr>
      <vt:lpstr>ddrb_switch_per</vt:lpstr>
      <vt:lpstr>ddrb_util_per</vt:lpstr>
      <vt:lpstr>ddrb_wr_per</vt:lpstr>
      <vt:lpstr>ddrb_write_total_cvdd</vt:lpstr>
      <vt:lpstr>ddrb_write_total_cvdd1</vt:lpstr>
      <vt:lpstr>ddrF_a</vt:lpstr>
      <vt:lpstr>Device_Var</vt:lpstr>
      <vt:lpstr>EMIF_Act_Total_Cvdd</vt:lpstr>
      <vt:lpstr>EMIF_Act_Total_Cvdd1</vt:lpstr>
      <vt:lpstr>EMIF_Clk_CVDD</vt:lpstr>
      <vt:lpstr>EMIF_Clk_CVDD1</vt:lpstr>
      <vt:lpstr>EMIF_IDLE_Total_CVDD</vt:lpstr>
      <vt:lpstr>EMIF_IDLE_Total_CVDD1</vt:lpstr>
      <vt:lpstr>EMIF_Util</vt:lpstr>
      <vt:lpstr>EMIF_Wr_Total_Cvdd</vt:lpstr>
      <vt:lpstr>EMIF_Wr_Total_Cvdd1</vt:lpstr>
      <vt:lpstr>EMIF16_EN</vt:lpstr>
      <vt:lpstr>EMIF16_RD_per</vt:lpstr>
      <vt:lpstr>EMIF16_SW_per</vt:lpstr>
      <vt:lpstr>EMIF16_util</vt:lpstr>
      <vt:lpstr>EMIF16_Util_per</vt:lpstr>
      <vt:lpstr>EMIF16_WR</vt:lpstr>
      <vt:lpstr>EMIF16_WR_per</vt:lpstr>
      <vt:lpstr>FFTC_0_enable</vt:lpstr>
      <vt:lpstr>FFTC_0_util</vt:lpstr>
      <vt:lpstr>FFTC_0_util_per</vt:lpstr>
      <vt:lpstr>FFTC_1_enable</vt:lpstr>
      <vt:lpstr>FFTC_1_util</vt:lpstr>
      <vt:lpstr>FFTC_1_util_per</vt:lpstr>
      <vt:lpstr>FFTC_2_enable</vt:lpstr>
      <vt:lpstr>FFTC_2_util</vt:lpstr>
      <vt:lpstr>FFTC_2_util_per</vt:lpstr>
      <vt:lpstr>FFTC_3_enable</vt:lpstr>
      <vt:lpstr>FFTC_3_util</vt:lpstr>
      <vt:lpstr>FFTC_3_util_per</vt:lpstr>
      <vt:lpstr>FFTC_4_enable</vt:lpstr>
      <vt:lpstr>FFTC_4_util</vt:lpstr>
      <vt:lpstr>FFTC_4_util_per</vt:lpstr>
      <vt:lpstr>FFTC_5_enable</vt:lpstr>
      <vt:lpstr>FFTC_5_util</vt:lpstr>
      <vt:lpstr>FFTC_5_util_per</vt:lpstr>
      <vt:lpstr>FFTC_Act_tot_cvdd</vt:lpstr>
      <vt:lpstr>FFTC_Act_tot_cvdd1</vt:lpstr>
      <vt:lpstr>FFTC_clock_cvdd</vt:lpstr>
      <vt:lpstr>FFTC_clock_cvdd1</vt:lpstr>
      <vt:lpstr>FFTC_enable</vt:lpstr>
      <vt:lpstr>FFTC_Idle_tot_cvdd</vt:lpstr>
      <vt:lpstr>FFTC_idle_tot_cvdd1</vt:lpstr>
      <vt:lpstr>FFTC_leak_cvdd</vt:lpstr>
      <vt:lpstr>FFTC_leak_cvdd1</vt:lpstr>
      <vt:lpstr>FFTC_util</vt:lpstr>
      <vt:lpstr>FFTC_util_per</vt:lpstr>
      <vt:lpstr>gem_est_sel</vt:lpstr>
      <vt:lpstr>I2C_Act_cvdd</vt:lpstr>
      <vt:lpstr>I2C_Act_cvdd1</vt:lpstr>
      <vt:lpstr>I2C_Act_final_cvdd</vt:lpstr>
      <vt:lpstr>I2C_Act_total_cvdd</vt:lpstr>
      <vt:lpstr>I2C_Clk_cvdd</vt:lpstr>
      <vt:lpstr>I2C_Clk_cvdd1</vt:lpstr>
      <vt:lpstr>I2C_Clk_tot_cvdd</vt:lpstr>
      <vt:lpstr>I2C_Clk_tot_cvdd1</vt:lpstr>
      <vt:lpstr>I2C_en</vt:lpstr>
      <vt:lpstr>i2c_num</vt:lpstr>
      <vt:lpstr>i2c_num_list</vt:lpstr>
      <vt:lpstr>I2C_util</vt:lpstr>
      <vt:lpstr>I2C_util_per</vt:lpstr>
      <vt:lpstr>idle_leak_comp_dvdd15</vt:lpstr>
      <vt:lpstr>mcm_base_cvdd</vt:lpstr>
      <vt:lpstr>mcm_base_cvdd1</vt:lpstr>
      <vt:lpstr>mcm_base_dvdd15</vt:lpstr>
      <vt:lpstr>mcm_base_dvdd18</vt:lpstr>
      <vt:lpstr>mcm_base_dvdd33</vt:lpstr>
      <vt:lpstr>mcm_cpuf_cvdd</vt:lpstr>
      <vt:lpstr>mcm_en</vt:lpstr>
      <vt:lpstr>mcm_idle_tot_cvdd</vt:lpstr>
      <vt:lpstr>mcm_idle_tot_cvdd1</vt:lpstr>
      <vt:lpstr>mcm_idle_tot_dvdd15</vt:lpstr>
      <vt:lpstr>mcm_idle_tot_dvdd18</vt:lpstr>
      <vt:lpstr>mcm_idle_tot_dvdd33</vt:lpstr>
      <vt:lpstr>mcm_idle_tot_vddahv</vt:lpstr>
      <vt:lpstr>mcm_idle_tot_vddalh</vt:lpstr>
      <vt:lpstr>mcm_ioFreq_cvdd</vt:lpstr>
      <vt:lpstr>mcm_line_rate</vt:lpstr>
      <vt:lpstr>MCM_switch_per</vt:lpstr>
      <vt:lpstr>mcm_total_cvdd</vt:lpstr>
      <vt:lpstr>mcm_total_cvdd1</vt:lpstr>
      <vt:lpstr>mcm_util</vt:lpstr>
      <vt:lpstr>mcm_util_per</vt:lpstr>
      <vt:lpstr>MSMC_act_cvdd</vt:lpstr>
      <vt:lpstr>MSMC_act_cvdd1</vt:lpstr>
      <vt:lpstr>MSMC_enable</vt:lpstr>
      <vt:lpstr>MSMC_idle_tot_CVDD</vt:lpstr>
      <vt:lpstr>MSMC_idle_tot_CVDD1</vt:lpstr>
      <vt:lpstr>MSMC_util</vt:lpstr>
      <vt:lpstr>MSMC_util_per</vt:lpstr>
      <vt:lpstr>mW_mA_sel_cvdd</vt:lpstr>
      <vt:lpstr>mW_mA_sel_cvdd1</vt:lpstr>
      <vt:lpstr>mW_mA_sel_dvdd15</vt:lpstr>
      <vt:lpstr>mW_mA_sel_dvdd18</vt:lpstr>
      <vt:lpstr>mW_mA_sel_dvdd33</vt:lpstr>
      <vt:lpstr>mW_mA_sel_vddahv</vt:lpstr>
      <vt:lpstr>mW_mA_sel_vddalh</vt:lpstr>
      <vt:lpstr>mW_mA_seldvdd18</vt:lpstr>
      <vt:lpstr>Netcp_Act_Final_CVDD</vt:lpstr>
      <vt:lpstr>Netcp_Act_Final_CVDD1</vt:lpstr>
      <vt:lpstr>NETCP_Idle_CVDD</vt:lpstr>
      <vt:lpstr>NETCP_IDLE_CVDD1</vt:lpstr>
      <vt:lpstr>netcp_mode_list</vt:lpstr>
      <vt:lpstr>Netcp_Total_CVDD</vt:lpstr>
      <vt:lpstr>Netcp_Total_CVDD1</vt:lpstr>
      <vt:lpstr>num_ARM_cores_WFI</vt:lpstr>
      <vt:lpstr>num_dis_ARM_cores</vt:lpstr>
      <vt:lpstr>num_fftc</vt:lpstr>
      <vt:lpstr>Num_of_Hyperlink</vt:lpstr>
      <vt:lpstr>num_tcp</vt:lpstr>
      <vt:lpstr>obsai_cppi_base</vt:lpstr>
      <vt:lpstr>obsai_dio_base</vt:lpstr>
      <vt:lpstr>Operating_freq</vt:lpstr>
      <vt:lpstr>PA_Act_CVDD</vt:lpstr>
      <vt:lpstr>PA_ACT_CVDD1</vt:lpstr>
      <vt:lpstr>pa_idle_tot_vddahv</vt:lpstr>
      <vt:lpstr>pa_idle_tot_vddalh</vt:lpstr>
      <vt:lpstr>pass_act_tot_cvdd</vt:lpstr>
      <vt:lpstr>pass_act_tot_cvdd1</vt:lpstr>
      <vt:lpstr>PASS_en</vt:lpstr>
      <vt:lpstr>pass_mode</vt:lpstr>
      <vt:lpstr>pass_switch_per</vt:lpstr>
      <vt:lpstr>pass_util</vt:lpstr>
      <vt:lpstr>pass_util_per</vt:lpstr>
      <vt:lpstr>PCIe_Act_total_cvdd</vt:lpstr>
      <vt:lpstr>PCIe_Act_total_cvdd1</vt:lpstr>
      <vt:lpstr>PCIe_clk_cvdd</vt:lpstr>
      <vt:lpstr>PCIe_clk_cvdd1</vt:lpstr>
      <vt:lpstr>PCIe_en</vt:lpstr>
      <vt:lpstr>PCIe_idle_tot_cvdd</vt:lpstr>
      <vt:lpstr>PCIe_idle_tot_cvdd1</vt:lpstr>
      <vt:lpstr>pcie_idle_tot_vddahv</vt:lpstr>
      <vt:lpstr>pcie_idle_tot_vddalh</vt:lpstr>
      <vt:lpstr>PCIe_read_cvdd</vt:lpstr>
      <vt:lpstr>PCIe_read_cvdd1</vt:lpstr>
      <vt:lpstr>Pcie_switch_per</vt:lpstr>
      <vt:lpstr>PCIe_util</vt:lpstr>
      <vt:lpstr>PCIe_util_per</vt:lpstr>
      <vt:lpstr>PCIe_write_cvdd</vt:lpstr>
      <vt:lpstr>PCIe_write_cvdd1</vt:lpstr>
      <vt:lpstr>PD_10GBE_LEAK_CVDDT1</vt:lpstr>
      <vt:lpstr>PD_10GBE_LEAK_DVDD33_25</vt:lpstr>
      <vt:lpstr>PD_AIF2_LEAK_CVDDT1</vt:lpstr>
      <vt:lpstr>PD_AIF2_LEAK_dvdd33_25</vt:lpstr>
      <vt:lpstr>PD_ARM_COREPAC_LEAK_CVDDT1</vt:lpstr>
      <vt:lpstr>PD_ARM_SMARTREFLEX_LEAK_CVDDT1</vt:lpstr>
      <vt:lpstr>PD_BCP_LEAK_CVDDT1</vt:lpstr>
      <vt:lpstr>PD_BCP_LEAK_DVDD33_25</vt:lpstr>
      <vt:lpstr>PD_Core0_Leak_CVDDT1</vt:lpstr>
      <vt:lpstr>PD_Core1_Leak_CVDDT1</vt:lpstr>
      <vt:lpstr>PD_Core2_Leak_CVDDT1</vt:lpstr>
      <vt:lpstr>PD_CORE3_LEAK_CVDDT1</vt:lpstr>
      <vt:lpstr>PD_CORE4_LEAK_CVDDT1</vt:lpstr>
      <vt:lpstr>PD_CORE5_LEAK_CVDDT1</vt:lpstr>
      <vt:lpstr>PD_CORE6_LEAK_CVDDT1</vt:lpstr>
      <vt:lpstr>PD_CORE7_LEAK_CVDDT1</vt:lpstr>
      <vt:lpstr>PD_EMIF_LEAK_CVDDT1</vt:lpstr>
      <vt:lpstr>PD_EMIF_LEAK_DVDD33_25</vt:lpstr>
      <vt:lpstr>PD_FFTC0_1_LEAK_CVDDT1</vt:lpstr>
      <vt:lpstr>PD_FFTC0_1_LEAK_DVDD33_25</vt:lpstr>
      <vt:lpstr>PD_FFTC2345_LEAK_CVDDT1</vt:lpstr>
      <vt:lpstr>PD_FFTC2345_LEAK_DVDD33_25</vt:lpstr>
      <vt:lpstr>PD_Hyperlink0_Leak_CVDDT1</vt:lpstr>
      <vt:lpstr>PD_HYPERLINK0_LEAK_DVDD33_25</vt:lpstr>
      <vt:lpstr>PD_HYPERLINK1_LEAK_CVDDT1</vt:lpstr>
      <vt:lpstr>PD_MSMC_LEAK_CVDDT1</vt:lpstr>
      <vt:lpstr>PD_MSMC_LEAK_DVDD33_25</vt:lpstr>
      <vt:lpstr>PD_NETCP_LEAK_CVDDT1</vt:lpstr>
      <vt:lpstr>PD_NETCP_LEAK_DVDD33_25</vt:lpstr>
      <vt:lpstr>PD_PCIE_LEAK_CVDDT1</vt:lpstr>
      <vt:lpstr>PD_PCIE_LEAK_DVDD33_25</vt:lpstr>
      <vt:lpstr>PD_RAC01_TAC_LEAK_CVDDT1</vt:lpstr>
      <vt:lpstr>PD_RAC01_TAC_LEAK_DVDD33_25</vt:lpstr>
      <vt:lpstr>PD_RAC2_3_LEAK_CVDDT1</vt:lpstr>
      <vt:lpstr>PD_RAC2_3_LEAK_DVDD33_25</vt:lpstr>
      <vt:lpstr>PD_RESERVED2_LEAK_CVDDT1</vt:lpstr>
      <vt:lpstr>PD_SRIO_LEAK_CVDDT1</vt:lpstr>
      <vt:lpstr>PD_SRIO_LEAK_DVDD33_25</vt:lpstr>
      <vt:lpstr>PD_TCP0_1_LEAK_CVDDT1</vt:lpstr>
      <vt:lpstr>PD_TCP2_3_LEAK_CVDDT1</vt:lpstr>
      <vt:lpstr>PD_TCP3D_A_LEAK_DVDD33_25</vt:lpstr>
      <vt:lpstr>PD_TCP3D_B_LEAK_DVDD33_25</vt:lpstr>
      <vt:lpstr>PD_VCP_4_5_6_7_LEAK_CVDDT1</vt:lpstr>
      <vt:lpstr>PD_VCP0_1_2_3_LEAK_CVDDT1</vt:lpstr>
      <vt:lpstr>PD_VCP0_1_2_3_LEAK_dvdd33_25</vt:lpstr>
      <vt:lpstr>PD_VCP4567_leak_dvdd33_25</vt:lpstr>
      <vt:lpstr>QM_Act_100Pks_cvdd</vt:lpstr>
      <vt:lpstr>QM_Act_100Pks_cvdd1</vt:lpstr>
      <vt:lpstr>QM_Act_16Pks_cvdd</vt:lpstr>
      <vt:lpstr>QM_Act_16Pks_cvdd1</vt:lpstr>
      <vt:lpstr>QM_Act_400Pks_cvdd</vt:lpstr>
      <vt:lpstr>QM_Act_400Pks_cvdd1</vt:lpstr>
      <vt:lpstr>QM_Act_Max_cvdd</vt:lpstr>
      <vt:lpstr>QM_Act_MAX_cvdd1</vt:lpstr>
      <vt:lpstr>QM_clock_cvdd</vt:lpstr>
      <vt:lpstr>QM_clock_cvdd1</vt:lpstr>
      <vt:lpstr>QM_EN</vt:lpstr>
      <vt:lpstr>QM_idle_tot_cvdd</vt:lpstr>
      <vt:lpstr>QM_idle_tot_cvdd1</vt:lpstr>
      <vt:lpstr>QM_util</vt:lpstr>
      <vt:lpstr>QM_util_per</vt:lpstr>
      <vt:lpstr>RAC_0_1_en</vt:lpstr>
      <vt:lpstr>RAC_0_1_total_idle</vt:lpstr>
      <vt:lpstr>RAC_0_util</vt:lpstr>
      <vt:lpstr>RAC_0_util_per</vt:lpstr>
      <vt:lpstr>RAC_1_en</vt:lpstr>
      <vt:lpstr>RAC_1_util</vt:lpstr>
      <vt:lpstr>RAC_1_util_per</vt:lpstr>
      <vt:lpstr>RAC_2_3_en</vt:lpstr>
      <vt:lpstr>RAC_2_util</vt:lpstr>
      <vt:lpstr>RAC_2_util_per</vt:lpstr>
      <vt:lpstr>RAC_3_en</vt:lpstr>
      <vt:lpstr>RAC_3_util</vt:lpstr>
      <vt:lpstr>RAC_3_util_per</vt:lpstr>
      <vt:lpstr>RAC_Act_cvdd</vt:lpstr>
      <vt:lpstr>RAC_Act_cvdd1</vt:lpstr>
      <vt:lpstr>RAC_Act_cvddt1</vt:lpstr>
      <vt:lpstr>RAC_clock_cvdd</vt:lpstr>
      <vt:lpstr>RAC_clock_cvdd1</vt:lpstr>
      <vt:lpstr>RAC_Clock_cvddt1</vt:lpstr>
      <vt:lpstr>rev_list</vt:lpstr>
      <vt:lpstr>RSA_A_CP1_Act_cvdd</vt:lpstr>
      <vt:lpstr>RSA_B_CP1_Act_cvdd11</vt:lpstr>
      <vt:lpstr>RSA_CP1_Act_final_tot_cvdd11</vt:lpstr>
      <vt:lpstr>RSA_CP1_Act_total_cvdd11</vt:lpstr>
      <vt:lpstr>RSA_CP1_clock_cvdd11</vt:lpstr>
      <vt:lpstr>RSA_cp1_idle_tot_cvdd11</vt:lpstr>
      <vt:lpstr>SA_ACT_CVDD</vt:lpstr>
      <vt:lpstr>SA_ACT_CVDD1</vt:lpstr>
      <vt:lpstr>sb</vt:lpstr>
      <vt:lpstr>SGMII_ACT_CVDD</vt:lpstr>
      <vt:lpstr>SGMII_Act_CVDD1</vt:lpstr>
      <vt:lpstr>sio_mp_total_cvddt1</vt:lpstr>
      <vt:lpstr>speed_grade</vt:lpstr>
      <vt:lpstr>SPI_Act_tot_cvdd</vt:lpstr>
      <vt:lpstr>SPI_Act_tot_cvdd1</vt:lpstr>
      <vt:lpstr>SPI_clk_cvdd</vt:lpstr>
      <vt:lpstr>SPI_clk_cvdd1</vt:lpstr>
      <vt:lpstr>SPI_en</vt:lpstr>
      <vt:lpstr>spi_idle_tot_cvdd</vt:lpstr>
      <vt:lpstr>spi_idle_tot_cvdd1</vt:lpstr>
      <vt:lpstr>spi_num</vt:lpstr>
      <vt:lpstr>spi_num_list</vt:lpstr>
      <vt:lpstr>spi_util</vt:lpstr>
      <vt:lpstr>spi_util_per</vt:lpstr>
      <vt:lpstr>srio_dio_base_cvdd</vt:lpstr>
      <vt:lpstr>srio_dio_base_cvdd1</vt:lpstr>
      <vt:lpstr>Srio_DIO_Base_CVDDT1</vt:lpstr>
      <vt:lpstr>srio_dio_base_dvdd15</vt:lpstr>
      <vt:lpstr>srio_dio_cpuf_cvdd</vt:lpstr>
      <vt:lpstr>srio_dio_cpuf_cvdd1</vt:lpstr>
      <vt:lpstr>SRIO_DIO_cpuF_CVDDT1</vt:lpstr>
      <vt:lpstr>srio_dio_cpuf_dvdd15</vt:lpstr>
      <vt:lpstr>srio_DIO_idle_cvdd</vt:lpstr>
      <vt:lpstr>SRIO_DIO_Idle_CVDD1</vt:lpstr>
      <vt:lpstr>SRIO_DIO_Idle_CVDDT1</vt:lpstr>
      <vt:lpstr>srio_DIO_idle_dvdd15</vt:lpstr>
      <vt:lpstr>srio_dio_iofreq_cvdd</vt:lpstr>
      <vt:lpstr>srio_dio_iofreq_cvdd1</vt:lpstr>
      <vt:lpstr>Srio_DIO_iofreq_CVDDT1</vt:lpstr>
      <vt:lpstr>srio_dio_iofreq_dvdd15</vt:lpstr>
      <vt:lpstr>srio_dio_ports_cvdd</vt:lpstr>
      <vt:lpstr>srio_dio_ports_cvdd1</vt:lpstr>
      <vt:lpstr>SRIO_DIO_Ports_CVDDT1</vt:lpstr>
      <vt:lpstr>srio_dio_ports_dvdd15</vt:lpstr>
      <vt:lpstr>srio_dio_total_cvdd</vt:lpstr>
      <vt:lpstr>srio_dio_total_cvdd1</vt:lpstr>
      <vt:lpstr>SRIO_DIO_total_CVDDT1</vt:lpstr>
      <vt:lpstr>srio_dio_total_dvdd15</vt:lpstr>
      <vt:lpstr>srio_en</vt:lpstr>
      <vt:lpstr>srio_final_cvdd</vt:lpstr>
      <vt:lpstr>srio_final_cvdd1</vt:lpstr>
      <vt:lpstr>Srio_Final_CVDDT1</vt:lpstr>
      <vt:lpstr>srio_final_dvdd15</vt:lpstr>
      <vt:lpstr>srio_idle_cvdd</vt:lpstr>
      <vt:lpstr>srio_idle_cvdd1</vt:lpstr>
      <vt:lpstr>SRIO_Idle_CVDDT1</vt:lpstr>
      <vt:lpstr>srio_idle_dvdd15</vt:lpstr>
      <vt:lpstr>srio_idle_total_cvdd</vt:lpstr>
      <vt:lpstr>srio_idle_total_cvdd1</vt:lpstr>
      <vt:lpstr>Srio_idle_total_CVDDT1</vt:lpstr>
      <vt:lpstr>srio_idle_total_dvdd15</vt:lpstr>
      <vt:lpstr>srio_idle_vddahv</vt:lpstr>
      <vt:lpstr>srio_idle_vddalh</vt:lpstr>
      <vt:lpstr>srio_lane_list</vt:lpstr>
      <vt:lpstr>srio_lanes</vt:lpstr>
      <vt:lpstr>srio_mode</vt:lpstr>
      <vt:lpstr>srio_mode_list</vt:lpstr>
      <vt:lpstr>srio_mp_base_cvdd1</vt:lpstr>
      <vt:lpstr>srio_mp_base_cvdd11</vt:lpstr>
      <vt:lpstr>SRIO_MP_Base_CVDDT1</vt:lpstr>
      <vt:lpstr>srio_mp_base_dvdd15</vt:lpstr>
      <vt:lpstr>srio_mp_cpuf_cvdd</vt:lpstr>
      <vt:lpstr>srio_mp_cpuf_cvdd1</vt:lpstr>
      <vt:lpstr>Srio_MP_cpuF_CVDDT1</vt:lpstr>
      <vt:lpstr>srio_mp_cpuf_dvdd15</vt:lpstr>
      <vt:lpstr>srio_mp_iofreq_cvdd</vt:lpstr>
      <vt:lpstr>srio_mp_iofreq_cvdd1</vt:lpstr>
      <vt:lpstr>SRIO_MP_iofreq_CVDDT1</vt:lpstr>
      <vt:lpstr>srio_mp_iofreq_dvdd15</vt:lpstr>
      <vt:lpstr>srio_mp_ports_cvdd</vt:lpstr>
      <vt:lpstr>srio_mp_ports_cvdd1</vt:lpstr>
      <vt:lpstr>SRIO_MP_Ports_CVDDT1</vt:lpstr>
      <vt:lpstr>srio_mp_ports_dvdd15</vt:lpstr>
      <vt:lpstr>srio_mp_total_cvdd</vt:lpstr>
      <vt:lpstr>srio_mp_total_cvdd1</vt:lpstr>
      <vt:lpstr>srio_mp_total_dvdd15</vt:lpstr>
      <vt:lpstr>srio_rate</vt:lpstr>
      <vt:lpstr>srio_rate_list</vt:lpstr>
      <vt:lpstr>srio_switch_per</vt:lpstr>
      <vt:lpstr>srio_total_cvdd</vt:lpstr>
      <vt:lpstr>srio_total_cvdd1</vt:lpstr>
      <vt:lpstr>Srio_Total_cvddt1</vt:lpstr>
      <vt:lpstr>srio_total_dvdd15</vt:lpstr>
      <vt:lpstr>srio_util</vt:lpstr>
      <vt:lpstr>srio_util_per</vt:lpstr>
      <vt:lpstr>Status</vt:lpstr>
      <vt:lpstr>sub_comp_cvdd</vt:lpstr>
      <vt:lpstr>sub_comp_cvdd1</vt:lpstr>
      <vt:lpstr>Sub_Comp_CVDDT</vt:lpstr>
      <vt:lpstr>sub_comp_dvdd15</vt:lpstr>
      <vt:lpstr>TAC_Act_cvdd</vt:lpstr>
      <vt:lpstr>TAC_Act_cvdd1</vt:lpstr>
      <vt:lpstr>TAC_Act_tot_cvdd</vt:lpstr>
      <vt:lpstr>TAC_enable</vt:lpstr>
      <vt:lpstr>TAC_final_act_cvdd1</vt:lpstr>
      <vt:lpstr>TAC_total_idle</vt:lpstr>
      <vt:lpstr>TAC_util</vt:lpstr>
      <vt:lpstr>TAC_util_per</vt:lpstr>
      <vt:lpstr>tcp_idle_total_cvdd</vt:lpstr>
      <vt:lpstr>tcp3d_0_enable</vt:lpstr>
      <vt:lpstr>tcp3d_0_util</vt:lpstr>
      <vt:lpstr>tcp3d_0_util_per</vt:lpstr>
      <vt:lpstr>tcp3d_1_enable</vt:lpstr>
      <vt:lpstr>tcp3d_1_util</vt:lpstr>
      <vt:lpstr>tcp3d_1_util_per</vt:lpstr>
      <vt:lpstr>tcp3d_2_enable</vt:lpstr>
      <vt:lpstr>tcp3d_2_util</vt:lpstr>
      <vt:lpstr>tcp3d_2_util_per</vt:lpstr>
      <vt:lpstr>tcp3d_3_enable</vt:lpstr>
      <vt:lpstr>tcp3d_3_util</vt:lpstr>
      <vt:lpstr>tcp3d_3_util_per</vt:lpstr>
      <vt:lpstr>tcp3d_A_act_cvdd1</vt:lpstr>
      <vt:lpstr>tcp3d_Act_total</vt:lpstr>
      <vt:lpstr>TCP3d_idle_tot_cvdd</vt:lpstr>
      <vt:lpstr>TCP3d_idle_tot_cvdd1</vt:lpstr>
      <vt:lpstr>tcp3d_total_leak_cvdd</vt:lpstr>
      <vt:lpstr>tcp3d_total_leak_cvdd1</vt:lpstr>
      <vt:lpstr>tcp3d_util</vt:lpstr>
      <vt:lpstr>tcp3d_util_per</vt:lpstr>
      <vt:lpstr>Tdut</vt:lpstr>
      <vt:lpstr>Timer_Act_cvdd</vt:lpstr>
      <vt:lpstr>Timer_act_cvdd1</vt:lpstr>
      <vt:lpstr>Timer_Act_final_cvdd</vt:lpstr>
      <vt:lpstr>Timer_act_final_cvdd1</vt:lpstr>
      <vt:lpstr>Timer_Act_tot_cvdd</vt:lpstr>
      <vt:lpstr>Timer_Act_tot_cvdd1</vt:lpstr>
      <vt:lpstr>Timer_Clk_cvdd</vt:lpstr>
      <vt:lpstr>Timer_Clk_tot_cvdd</vt:lpstr>
      <vt:lpstr>timer_clk_tot_cvdd1</vt:lpstr>
      <vt:lpstr>Timer_en</vt:lpstr>
      <vt:lpstr>timer_num_list</vt:lpstr>
      <vt:lpstr>Timer_total_en</vt:lpstr>
      <vt:lpstr>Timer_util</vt:lpstr>
      <vt:lpstr>Timer_util_per</vt:lpstr>
      <vt:lpstr>two_core_select</vt:lpstr>
      <vt:lpstr>UART_Act_CVDD</vt:lpstr>
      <vt:lpstr>Uart_act_cvdd1</vt:lpstr>
      <vt:lpstr>UART_Act_final_cvdd</vt:lpstr>
      <vt:lpstr>uart_Act_final_cvdd1</vt:lpstr>
      <vt:lpstr>UART_Act_tot_cvdd</vt:lpstr>
      <vt:lpstr>UART_Act_tot_cvdd1</vt:lpstr>
      <vt:lpstr>UART_Clk_cvdd</vt:lpstr>
      <vt:lpstr>UART_Clk_cvdd1</vt:lpstr>
      <vt:lpstr>UART_en</vt:lpstr>
      <vt:lpstr>UART_Idle_tot_cvdd</vt:lpstr>
      <vt:lpstr>UART_Idle_tot_cvdd1</vt:lpstr>
      <vt:lpstr>UART_num</vt:lpstr>
      <vt:lpstr>uart_num_list</vt:lpstr>
      <vt:lpstr>UART_util</vt:lpstr>
      <vt:lpstr>Uart_util_per</vt:lpstr>
      <vt:lpstr>unit_list</vt:lpstr>
      <vt:lpstr>univ_sw</vt:lpstr>
      <vt:lpstr>USB_Enable</vt:lpstr>
      <vt:lpstr>USB_SW_per</vt:lpstr>
      <vt:lpstr>USB_tot_idle_dvdd33</vt:lpstr>
      <vt:lpstr>USB_tot_idle_vddalh</vt:lpstr>
      <vt:lpstr>USB_total_idle</vt:lpstr>
      <vt:lpstr>USB_total_idle_CVDD1</vt:lpstr>
      <vt:lpstr>USB_Util</vt:lpstr>
      <vt:lpstr>USB_util_per</vt:lpstr>
      <vt:lpstr>var</vt:lpstr>
      <vt:lpstr>var_select</vt:lpstr>
      <vt:lpstr>vcp2_0_enable</vt:lpstr>
      <vt:lpstr>vcp2_0_util</vt:lpstr>
      <vt:lpstr>vcp2_0_util_per</vt:lpstr>
      <vt:lpstr>vcp2_1_enable</vt:lpstr>
      <vt:lpstr>vcp2_1_util</vt:lpstr>
      <vt:lpstr>vcp2_1_util_per</vt:lpstr>
      <vt:lpstr>vcp2_2_enable</vt:lpstr>
      <vt:lpstr>vcp2_2_util</vt:lpstr>
      <vt:lpstr>vcp2_2_util_per</vt:lpstr>
      <vt:lpstr>vcp2_3_enable</vt:lpstr>
      <vt:lpstr>vcp2_3_util</vt:lpstr>
      <vt:lpstr>vcp2_3_util_per</vt:lpstr>
      <vt:lpstr>vcp2_4_enable</vt:lpstr>
      <vt:lpstr>vcp2_4_util</vt:lpstr>
      <vt:lpstr>vcp2_4_util_per</vt:lpstr>
      <vt:lpstr>vcp2_5_enable</vt:lpstr>
      <vt:lpstr>vcp2_5_util</vt:lpstr>
      <vt:lpstr>vcp2_5_util_per</vt:lpstr>
      <vt:lpstr>vcp2_6_enable</vt:lpstr>
      <vt:lpstr>vcp2_6_util</vt:lpstr>
      <vt:lpstr>vcp2_6_util_per</vt:lpstr>
      <vt:lpstr>vcp2_7_enable</vt:lpstr>
      <vt:lpstr>vcp2_7_util</vt:lpstr>
      <vt:lpstr>vcp2_7_util_per</vt:lpstr>
      <vt:lpstr>vcp2_act_cvdd</vt:lpstr>
      <vt:lpstr>vcp2_act_cvdd1</vt:lpstr>
      <vt:lpstr>vcp2_clock_cvdd</vt:lpstr>
      <vt:lpstr>vcp2_clock_cvdd1</vt:lpstr>
      <vt:lpstr>vcp2_enable</vt:lpstr>
      <vt:lpstr>vcp2_idle_cvdd</vt:lpstr>
      <vt:lpstr>vcp2_idle_cvdd1</vt:lpstr>
      <vt:lpstr>vcp2_idle_en_cvdd</vt:lpstr>
      <vt:lpstr>vcp2_idle_en_cvdd1</vt:lpstr>
      <vt:lpstr>vcp2_idle_total_cvdd</vt:lpstr>
      <vt:lpstr>vcp2_leak_cvdd</vt:lpstr>
      <vt:lpstr>vcp2_leak_cvdd1</vt:lpstr>
      <vt:lpstr>vcp2_total_en</vt:lpstr>
      <vt:lpstr>vcp2_util</vt:lpstr>
      <vt:lpstr>vcp2_util_per</vt:lpstr>
      <vt:lpstr>vusr_lane_list</vt:lpstr>
      <vt:lpstr>vusr_rate_list</vt:lpstr>
      <vt:lpstr>wfi_per_core</vt:lpstr>
      <vt:lpstr>XG_en</vt:lpstr>
      <vt:lpstr>XG_util</vt:lpstr>
      <vt:lpstr>XG_util_per</vt:lpstr>
      <vt:lpstr>xge_idle_tot_vddahv</vt:lpstr>
      <vt:lpstr>xge_idle_tot_vddalh</vt:lpstr>
      <vt:lpstr>XGE_Idle_total_CVDD</vt:lpstr>
      <vt:lpstr>XGE_idle_total_CVDD1</vt:lpstr>
      <vt:lpstr>xge_lane_list</vt:lpstr>
      <vt:lpstr>xge_rate_list</vt:lpstr>
      <vt:lpstr>XGE_select</vt:lpstr>
    </vt:vector>
  </TitlesOfParts>
  <Company>Texas Instruments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Kelsch, Katherine</dc:creator>
  <cp:lastModifiedBy>madhuk</cp:lastModifiedBy>
  <cp:lastPrinted>2014-01-30T22:08:22Z</cp:lastPrinted>
  <dcterms:created xsi:type="dcterms:W3CDTF">2013-05-07T14:25:05Z</dcterms:created>
  <dcterms:modified xsi:type="dcterms:W3CDTF">2017-07-21T07:45:59Z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0x010100EC6C0D969E7D55449DEF0D79CBD91C86</vt:lpwstr>
  </property>
</Properties>
</file>