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660" yWindow="600" windowWidth="18480" windowHeight="6375" tabRatio="702" firstSheet="1" activeTab="6"/>
  </bookViews>
  <sheets>
    <sheet name="Title-README" sheetId="24" state="hidden" r:id="rId1"/>
    <sheet name="Step1-System Details" sheetId="20" r:id="rId2"/>
    <sheet name="Step2-DDR Timings" sheetId="21" r:id="rId3"/>
    <sheet name="Step3-Board Details" sheetId="19" r:id="rId4"/>
    <sheet name="Invert Clock" sheetId="16" state="hidden" r:id="rId5"/>
    <sheet name="EMIF Tool" sheetId="18" r:id="rId6"/>
    <sheet name="Registers" sheetId="22" r:id="rId7"/>
    <sheet name="GEL" sheetId="25" r:id="rId8"/>
    <sheet name="u-boot" sheetId="26" r:id="rId9"/>
  </sheets>
  <externalReferences>
    <externalReference r:id="rId10"/>
  </externalReferences>
  <definedNames>
    <definedName name="_auto_nda_config" hidden="1">0</definedName>
    <definedName name="_company_project" hidden="1">'[1]Step1-SystemDetails'!$F$17</definedName>
    <definedName name="_company_project_invalid" comment="**********" hidden="1">IsSpecial(_company_project)</definedName>
    <definedName name="_CTRL_CORE_CONTROL_DDRCACH1_0_VAL" comment="Register*****OFFSET: 0x000000*****" hidden="1">DEC2HEX(SUM(_ctrl_io_ch1_acc_i*2^29,_ctrl_io_ch1_acc_sr*2^26,_ctrl_io_ch1_acc_wd*2^24,_ctrl_io_ch1_acc_i*2^21,_ctrl_io_ch1_acc_sr*2^18,_ctrl_io_ch1_acc_wd*2^16,_ctrl_io_ch1_acc_i*2^13,_ctrl_io_ch1_acc_sr*2^10,_ctrl_io_ch1_acc_wd*2^8,_ctrl_io_ch1_acc_i*2^5,_ctrl_io_ch1_acc_sr*2^2,_ctrl_io_ch1_acc_wd),8)</definedName>
    <definedName name="_CTRL_CORE_CONTROL_DDRCH1_0_VAL" comment="Register*****OFFSET: 0x000000*****" hidden="1">DEC2HEX(SUM(_ctrl_io_ch1_ds_i*2^29,_ctrl_io_ch1_ds_sr*2^26,_ctrl_io_ch1_ds_wd*2^24,_ctrl_io_ch1_ds_i*2^21,_ctrl_io_ch1_ds_sr*2^18,_ctrl_io_ch1_ds_wd*2^16,_ctrl_io_ch1_ds_i*2^13,_ctrl_io_ch1_ds_sr*2^10,_ctrl_io_ch1_ds_wd*2^8,_ctrl_io_ch1_ds_i*2^5,_ctrl_io_ch1_ds_sr*2^2,_ctrl_io_ch1_ds_wd),8)</definedName>
    <definedName name="_CTRL_CORE_CONTROL_DDRIO_0" comment="**********" hidden="1">IF('Title-README'!_soc_name="adaslow",DEC2HEX(642656,8),DEC2HEX(608832,8))</definedName>
    <definedName name="_CTRL_CORE_CONTROL_DDRIO_1" comment="**********" hidden="1">IF('Title-README'!_soc_name="vayu",DEC2HEX(77930496,8),DEC2HEX(0,8))</definedName>
    <definedName name="_ctrl_io_ch1_acc_i" comment="Bit_Field_CTRL_CORE_CONTROL_DDRCACH1_0_VAL**********" hidden="1">MATCH(_emif_io_dr_acc,_emif_io_dr,0)-1</definedName>
    <definedName name="_ctrl_io_ch1_acc_sr" comment="Bit_Field_CTRL_CORE_CONTROL_DDRCACH1_0_VAL**********" hidden="1">MATCH(_emif_io_sr_acc,_emif_io_sr,0)-1</definedName>
    <definedName name="_ctrl_io_ch1_acc_wd" comment="Bit_Field_CTRL_CORE_CONTROL_DDRCACH1_0_VAL**********" hidden="1">0</definedName>
    <definedName name="_ctrl_io_ch1_ds_i" comment="Bit_Field_CTRL_CORE_CONTROL_DDRCH1_0_VAL**********" hidden="1">MATCH(_emif_io_dr_ds,_emif_io_dr,0)-1</definedName>
    <definedName name="_ctrl_io_ch1_ds_sr" comment="Bit_Field_CTRL_CORE_CONTROL_DDRCH1_0_VAL**********" hidden="1">MATCH(_emif_io_sr_ds,_emif_io_sr,0)-1</definedName>
    <definedName name="_ctrl_io_ch1_ds_wd" comment="Bit_Field_CTRL_CORE_CONTROL_DDRCH1_0_VAL**********" hidden="1">0</definedName>
    <definedName name="_ctrl_ratio0" comment="Bit_Field_PHY_CTRL_EXT*****PHY_CONTROL_EXT[009:000]*****" hidden="1">IF(_phy_invert_clk=1,256,128)</definedName>
    <definedName name="_ctrl_ratio1" comment="Bit_Field_PHY_CTRL_EXT*****PHY_CONTROL_EXT[019:010]*****" hidden="1">IF(_phy_invert_clk=1,256,128)</definedName>
    <definedName name="_ctrl_ratio2" comment="Bit_Field_PHY_CTRL_EXT*****PHY_CONTROL_EXT[029:020]*****" hidden="1">64</definedName>
    <definedName name="_ctrl_wkup_emif1_dis_reset" comment="Bit_Field_CTRL_WKUP_EMIF1_SDRAM_CONFIG_EXT*****CTRL_WKUP_EMIF1_SDRAM_CONFIG_EXT[07]*****Re-used for CTRL_CORE_EMIF2_SDRAM_CONFIG_EXT" hidden="1">0</definedName>
    <definedName name="_ctrl_wkup_emif1_en_ecc" comment="Bit_Field_CTRL_WKUP_EMIF1_SDRAM_CONFIG_EXT*****CTRL_WKUP_EMIF1_SDRAM_CONFIG_EXT[16]*****" hidden="1">IF(_user_ecc="Yes",1,0)</definedName>
    <definedName name="_ctrl_wkup_emif1_en_slice0" comment="Bit_Field_CTRL_WKUP_EMIF1_SDRAM_CONFIG_EXT*****CTRL_WKUP_EMIF1_SDRAM_CONFIG_EXT[00]*****Re-used for CTRL_CORE_EMIF2_SDRAM_CONFIG_EXT" hidden="1">1</definedName>
    <definedName name="_ctrl_wkup_emif1_en_slice1" comment="Bit_Field_CTRL_WKUP_EMIF1_SDRAM_CONFIG_EXT*****CTRL_WKUP_EMIF1_SDRAM_CONFIG_EXT[01]*****Re-used for CTRL_CORE_EMIF2_SDRAM_CONFIG_EXT" hidden="1">1</definedName>
    <definedName name="_ctrl_wkup_emif1_en_slice2" comment="Bit_Field_CTRL_WKUP_EMIF1_SDRAM_CONFIG_EXT*****CTRL_WKUP_EMIF1_SDRAM_CONFIG_EXT[02]*****Re-used for CTRL_CORE_EMIF2_SDRAM_CONFIG_EXT" hidden="1">IF(_sdram_type="LPDDR2",1,0)</definedName>
    <definedName name="_ctrl_wkup_emif1_odt" comment="Bit_Field_CTRL_WKUP_EMIF1_SDRAM_CONFIG_EXT*****CTRL_WKUP_EMIF1_SDRAM_CONFIG_EXT[06:05]*****Re-used for CTRL_CORE_EMIF2_SDRAM_CONFIG_EXT" hidden="1">MATCH(_emif_io_odt,_emif_io_odt_list,0)-1</definedName>
    <definedName name="_ctrl_wkup_emif1_phase_ctrl" comment="Bit_Field_CTRL_WKUP_EMIF1_SDRAM_CONFIG_EXT*****CTRL_WKUP_EMIF1_SDRAM_CONFIG_EXT[03]*****Re-used for CTRL_CORE_EMIF2_SDRAM_CONFIG_EXT" hidden="1">0</definedName>
    <definedName name="_ctrl_wkup_emif1_rdlvl_algo" comment="Bit_Field_CTRL_WKUP_EMIF1_SDRAM_CONFIG_EXT*****CTRL_WKUP_EMIF1_SDRAM_CONFIG_EXT[13]*****Re-used for CTRL_CORE_EMIF2_SDRAM_CONFIG_EXT" hidden="1">0</definedName>
    <definedName name="_ctrl_wkup_emif1_rdlvl_resp" comment="Bit_Field_CTRL_WKUP_EMIF1_SDRAM_CONFIG_EXT*****CTRL_WKUP_EMIF1_SDRAM_CONFIG_EXT[12]*****Re-used for CTRL_CORE_EMIF2_SDRAM_CONFIG_EXT" hidden="1">0</definedName>
    <definedName name="_ctrl_wkup_emif1_rdlvl_samp" comment="Bit_Field_CTRL_WKUP_EMIF1_SDRAM_CONFIG_EXT*****CTRL_WKUP_EMIF1_SDRAM_CONFIG_EXT[15:14]*****Re-used for CTRL_CORE_EMIF2_SDRAM_CONFIG_EXT" hidden="1">3</definedName>
    <definedName name="_ctrl_wkup_emif1_reserved" comment="Bit_Field_CTRL_WKUP_EMIF1_SDRAM_CONFIG_EXT*****CTRL_WKUP_EMIF1_SDRAM_CONFIG_EXT[04]*****Re-used for CTRL_CORE_EMIF2_SDRAM_CONFIG_EXT" hidden="1">1</definedName>
    <definedName name="_CTRL_WKUP_EMIF1_SDRAM_CONFIG_EXT" comment="Register*****OFFSET: 0x000000*****" hidden="1">DEC2HEX(SUM(_sdram_config_narrow_mode*2^17,_ctrl_wkup_emif1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name="_ctrl_wkup_emif2_en_ecc" comment="Bit_Field_CTRL_WKUP_EMIF2_SDRAM_CONFIG_EXT*****CTRL_WKUP_EMIF2_SDRAM_CONFIG_EXT[16]*****" hidden="1">0</definedName>
    <definedName name="_CTRL_WKUP_EMIF2_SDRAM_CONFIG_EXT" comment="Register*****OFFSET: 0x000000*****" hidden="1">DEC2HEX(SUM(_sdram_config_narrow_mode*2^17,_ctrl_wkup_emif2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name="_ddr_pll_dco_div2" comment="PLL_Info**********" hidden="1">_ddr_pll_freq*_ddr_pll_m2</definedName>
    <definedName name="_ddr_pll_freq" hidden="1">'[1]Step1-SystemDetails'!$F$22</definedName>
    <definedName name="_ddr_pll_m" comment="PLL_Info**********" hidden="1">ROUNDDOWN(_ddr_pll_dco_div2*(_ddr_pll_n+1)/_sysclk1,0)</definedName>
    <definedName name="_ddr_pll_m2" comment="PLL_Info*****Want EVEN value*****" hidden="1">MAX(IF(ISEVEN(ROUNDDOWN(_ddr_pll_m2_max,0)),ROUNDDOWN(_ddr_pll_m2_max,0),ROUNDDOWN(_ddr_pll_m2_max,0)-1),1)</definedName>
    <definedName name="_ddr_pll_m2_max" comment="PLL_Info*****Max CLKOUT = 1.4 GHz*****" hidden="1">1400/_ddr_pll_freq</definedName>
    <definedName name="_ddr_pll_mn_gcd" comment="PLL_Info**********" hidden="1">GCD(_ddr_pll_dco_div2*_sysclk1_mult,_sysclk1*_sysclk1_mult)</definedName>
    <definedName name="_ddr_pll_n" comment="PLL_Info**********" hidden="1">MIN((_sysclk1*_sysclk1_mult/_ddr_pll_mn_gcd)-1,ROUNDDOWN(_sysclk1-1,0))</definedName>
    <definedName name="_ddr2_3_width" comment="**********" hidden="1">{8;16}</definedName>
    <definedName name="_ddr2_ddr3_ecc" comment="**********" localSheetId="0" hidden="1">{"Yes";"No"}</definedName>
    <definedName name="_ddr2_ddr3_ecc" hidden="1">{"Yes";"No"}</definedName>
    <definedName name="_ddr2_densities" comment="JEDEC_DDR2_SPEC**********" localSheetId="0" hidden="1">{0.25;0.5;1;2;4}</definedName>
    <definedName name="_ddr2_densities" hidden="1">{0.25;0.5;1;2;4}</definedName>
    <definedName name="_ddr2_drive_imp" comment="JEDEC_DDR2_SPEC**********" localSheetId="0" hidden="1">{"Normal";"Weak"}</definedName>
    <definedName name="_ddr2_drive_imp" hidden="1">{"Normal";"Weak"}</definedName>
    <definedName name="_ddr2_lvl" comment="**********" localSheetId="0" hidden="1">{"S/W"}</definedName>
    <definedName name="_ddr2_lvl" hidden="1">{"S/W"}</definedName>
    <definedName name="_ddr2_rtt" comment="JEDEC_DDR2_SPEC**********" localSheetId="0" hidden="1">{"Disabled";"75 Ohm";"150 Ohm";"50 Ohm"}</definedName>
    <definedName name="_ddr2_rtt" hidden="1">{"Disabled";"75 Ohm";"150 Ohm";"50 Ohm"}</definedName>
    <definedName name="_ddr2_rttwr" comment="JEDEC_DDR2_SPEC**********" localSheetId="0" hidden="1">{"NA"}</definedName>
    <definedName name="_ddr2_rttwr" hidden="1">{"NA"}</definedName>
    <definedName name="_ddr2_sb_403_ck" comment="JEDEC_DDR2_SPEC**********INTERNAL ONLY" localSheetId="0" hidden="1">{5;5}</definedName>
    <definedName name="_ddr2_sb_403_ck" hidden="1">{5;5}</definedName>
    <definedName name="_ddr2_sb_403_cl" comment="JEDEC_DDR2_SPEC**********INTERNAL ONLY" localSheetId="0" hidden="1">{3;4}</definedName>
    <definedName name="_ddr2_sb_403_cl" hidden="1">{3;4}</definedName>
    <definedName name="_ddr2_sb_404_ck" comment="JEDEC_DDR2_SPEC**********INTERNAL ONLY" localSheetId="0" hidden="1">{5}</definedName>
    <definedName name="_ddr2_sb_404_ck" hidden="1">{5}</definedName>
    <definedName name="_ddr2_sb_404_cl" comment="JEDEC_DDR2_SPEC**********INTERNAL ONLY" localSheetId="0" hidden="1">{4}</definedName>
    <definedName name="_ddr2_sb_404_cl" hidden="1">{4}</definedName>
    <definedName name="_ddr2_sb_536_ck" comment="JEDEC_DDR2_SPEC**********INTERNAL ONLY" localSheetId="0" hidden="1">{3.75;3.75}</definedName>
    <definedName name="_ddr2_sb_536_ck" hidden="1">{3.75;3.75}</definedName>
    <definedName name="_ddr2_sb_536_cl" comment="JEDEC_DDR2_SPEC**********INTERNAL ONLY" localSheetId="0" hidden="1">{3;4}</definedName>
    <definedName name="_ddr2_sb_536_cl" hidden="1">{3;4}</definedName>
    <definedName name="_ddr2_sb_537_ck" comment="JEDEC_DDR2_SPEC**********INTERNAL ONLY" localSheetId="0" hidden="1">{5;3.75}</definedName>
    <definedName name="_ddr2_sb_537_ck" hidden="1">{5;3.75}</definedName>
    <definedName name="_ddr2_sb_537_cl" comment="JEDEC_DDR2_SPEC**********INTERNAL ONLY" localSheetId="0" hidden="1">{3;4}</definedName>
    <definedName name="_ddr2_sb_537_cl" hidden="1">{3;4}</definedName>
    <definedName name="_ddr2_sb_671_ck" comment="JEDEC_DDR2_SPEC**********INTERNAL ONLY" localSheetId="0" hidden="1">{3;3}</definedName>
    <definedName name="_ddr2_sb_671_ck" hidden="1">{3;3}</definedName>
    <definedName name="_ddr2_sb_671_cl" comment="JEDEC_DDR2_SPEC**********INTERNAL ONLY" localSheetId="0" hidden="1">{4;5}</definedName>
    <definedName name="_ddr2_sb_671_cl" hidden="1">{4;5}</definedName>
    <definedName name="_ddr2_sb_672_ck" comment="JEDEC_DDR2_SPEC**********INTERNAL ONLY" localSheetId="0" hidden="1">{3.75;3}</definedName>
    <definedName name="_ddr2_sb_672_ck" hidden="1">{3.75;3}</definedName>
    <definedName name="_ddr2_sb_672_cl" comment="JEDEC_DDR2_SPEC**********INTERNAL ONLY" localSheetId="0" hidden="1">{4;5}</definedName>
    <definedName name="_ddr2_sb_672_cl" hidden="1">{4;5}</definedName>
    <definedName name="_ddr2_sb_804_ck" comment="JEDEC_DDR2_SPEC**********INTERNAL ONLY" localSheetId="0" hidden="1">{2.5;2.5}</definedName>
    <definedName name="_ddr2_sb_804_ck" hidden="1">{2.5;2.5}</definedName>
    <definedName name="_ddr2_sb_804_cl" comment="JEDEC_DDR2_SPEC**********INTERNAL ONLY" localSheetId="0" hidden="1">{4;5}</definedName>
    <definedName name="_ddr2_sb_804_cl" hidden="1">{4;5}</definedName>
    <definedName name="_ddr2_sb_805_ck" comment="JEDEC_DDR2_SPEC**********INTERNAL ONLY" localSheetId="0" hidden="1">{3.75;2.5}</definedName>
    <definedName name="_ddr2_sb_805_ck" hidden="1">{3.75;2.5}</definedName>
    <definedName name="_ddr2_sb_805_cl" comment="JEDEC_DDR2_SPEC**********INTERNAL ONLY" localSheetId="0" hidden="1">{4;5}</definedName>
    <definedName name="_ddr2_sb_805_cl" hidden="1">{4;5}</definedName>
    <definedName name="_ddr2_sb_806_ck" comment="JEDEC_DDR2_SPEC**********INTERNAL ONLY" localSheetId="0" hidden="1">{3.75;3;2.5}</definedName>
    <definedName name="_ddr2_sb_806_ck" hidden="1">{3.75;3;2.5}</definedName>
    <definedName name="_ddr2_sb_806_cl" comment="JEDEC_DDR2_SPEC**********INTERNAL ONLY" localSheetId="0" hidden="1">{4;5;6}</definedName>
    <definedName name="_ddr2_sb_806_cl" hidden="1">{4;5;6}</definedName>
    <definedName name="_ddr2_sb_data" comment="JEDEC_DDR2_SPEC**********" localSheetId="0" hidden="1">{400;533;667;800}</definedName>
    <definedName name="_ddr2_sb_data" hidden="1">{400;533;667;800}</definedName>
    <definedName name="_ddr2_sb_dqsck_max" comment="JEDEC_DDR2_SPEC**********INTERNAL ONLY" hidden="1">{500;500;450;450;400;400;350;350;350}</definedName>
    <definedName name="_ddr2_sb_faw_1k" comment="JEDEC_DDR2_SPEC**********" localSheetId="0" hidden="1">{37.5;37.5;37.5;37.5;37.5;37.5;35;35;35}</definedName>
    <definedName name="_ddr2_sb_faw_1k" hidden="1">{37.5;37.5;37.5;37.5;37.5;37.5;35;35;35}</definedName>
    <definedName name="_ddr2_sb_faw_2k" comment="JEDEC_DDR2_SPEC**********" localSheetId="0" hidden="1">{50;50;50;50;50;50;45;45;45}</definedName>
    <definedName name="_ddr2_sb_faw_2k" hidden="1">{50;50;50;50;50;50;45;45;45}</definedName>
    <definedName name="_ddr2_sb_lookup" comment="JEDEC_DDR2_SPEC**********" localSheetId="0" hidden="1">{403;404;536;537;671;672;804;805;806}</definedName>
    <definedName name="_ddr2_sb_lookup" hidden="1">{403;404;536;537;671;672;804;805;806}</definedName>
    <definedName name="_ddr2_sb_ras_min" comment="JEDEC_DDR2_SPEC**********INTERNAL ONLY" localSheetId="0" hidden="1">{40;45;45;45;45;45;45;45;45}</definedName>
    <definedName name="_ddr2_sb_ras_min" hidden="1">{40;45;45;45;45;45;45;45;45}</definedName>
    <definedName name="_ddr2_sb_rc" comment="JEDEC_DDR2_SPEC**********INTERNAL ONLY" localSheetId="0" hidden="1">{55;65;56.25;60;57;60;55;57.5;60}</definedName>
    <definedName name="_ddr2_sb_rc" hidden="1">{55;65;56.25;60;57;60;55;57.5;60}</definedName>
    <definedName name="_ddr2_sb_rcd" comment="JEDEC_DDR2_SPEC**********INTERNAL ONLY" localSheetId="0" hidden="1">{15;20;11.25;15;12;15;10;12.5;15}</definedName>
    <definedName name="_ddr2_sb_rcd" hidden="1">{15;20;11.25;15;12;15;10;12.5;15}</definedName>
    <definedName name="_ddr2_sb_rp" comment="JEDEC_DDR2_SPEC**********INTERNAL ONLY" localSheetId="0" hidden="1">{15;20;11.25;15;12;15;10;12.5;15}</definedName>
    <definedName name="_ddr2_sb_rp" hidden="1">{15;20;11.25;15;12;15;10;12.5;15}</definedName>
    <definedName name="_ddr2_sb_wtr" comment="JEDEC_DDR2_SPEC**********INTERNAL ONLY" localSheetId="0" hidden="1">{10;10;7.5;7.5;7.5;7.5;7.5;7.5;7.5}</definedName>
    <definedName name="_ddr2_sb_wtr" hidden="1">{10;10;7.5;7.5;7.5;7.5;7.5;7.5;7.5}</definedName>
    <definedName name="_ddr2_width" comment="**********" hidden="1">{8;16;32}</definedName>
    <definedName name="_ddr3_densities" comment="JEDEC_DDR3_SPEC**********" localSheetId="0" hidden="1">{0.5;1;2;4;8}</definedName>
    <definedName name="_ddr3_densities" hidden="1">{0.5;1;2;4;8}</definedName>
    <definedName name="_ddr3_drive_imp" comment="JEDEC_DDR3_SPEC**********" localSheetId="0" hidden="1">{"RZQ/6";"RZQ/7"}</definedName>
    <definedName name="_ddr3_drive_imp" hidden="1">{"RZQ/6";"RZQ/7"}</definedName>
    <definedName name="_ddr3_lvl" comment="**********" localSheetId="0" hidden="1">{"S/W","H/W"}</definedName>
    <definedName name="_ddr3_lvl" hidden="1">{"S/W","H/W"}</definedName>
    <definedName name="_ddr3_rtt" comment="JEDEC_DDR3_SPEC**********" localSheetId="0" hidden="1">{"Disabled";"RZQ/4";"RZQ/2";"RZQ/6";"RZQ/12";"RZQ/8"}</definedName>
    <definedName name="_ddr3_rtt" hidden="1">{"Disabled";"RZQ/4";"RZQ/2";"RZQ/6";"RZQ/12";"RZQ/8"}</definedName>
    <definedName name="_ddr3_rttwr" comment="JEDEC_DDR3_SPEC**********" localSheetId="0" hidden="1">{"Disabled";"RZQ/4";"RZQ/2"}</definedName>
    <definedName name="_ddr3_rttwr" hidden="1">{"Disabled";"RZQ/4";"RZQ/2"}</definedName>
    <definedName name="_ddr3_sb_1072_ck" comment="JEDEC_DDR3_SPEC**********INTERNAL ONLY" localSheetId="0" hidden="1">{2.5;2.5;1.875;1.875;1.875}</definedName>
    <definedName name="_ddr3_sb_1072_ck" hidden="1">{2.5;2.5;1.875;1.875;1.875}</definedName>
    <definedName name="_ddr3_sb_1072_cl" comment="JEDEC_DDR3_SPEC**********INTERNAL ONLY" localSheetId="0" hidden="1">{5;6;6;7;8}</definedName>
    <definedName name="_ddr3_sb_1072_cl" hidden="1">{5;6;6;7;8}</definedName>
    <definedName name="_ddr3_sb_1072_cwl" comment="JEDEC_DDR3_SPEC**********INTERNAL ONLY" localSheetId="0" hidden="1">{5;5;6;6;6}</definedName>
    <definedName name="_ddr3_sb_1072_cwl" hidden="1">{5;5;6;6;6}</definedName>
    <definedName name="_ddr3_sb_1073_ck" comment="JEDEC_DDR3_SPEC**********INTERNAL ONLY" localSheetId="0" hidden="1">{3;2.5;1.875;1.875}</definedName>
    <definedName name="_ddr3_sb_1073_ck" hidden="1">{3;2.5;1.875;1.875}</definedName>
    <definedName name="_ddr3_sb_1073_cl" comment="JEDEC_DDR3_SPEC**********INTERNAL ONLY" localSheetId="0" hidden="1">{5;6;7;8}</definedName>
    <definedName name="_ddr3_sb_1073_cl" hidden="1">{5;6;7;8}</definedName>
    <definedName name="_ddr3_sb_1073_cwl" comment="JEDEC_DDR3_SPEC**********INTERNAL ONLY" localSheetId="0" hidden="1">{5;5;6;6}</definedName>
    <definedName name="_ddr3_sb_1073_cwl" hidden="1">{5;5;6;6}</definedName>
    <definedName name="_ddr3_sb_1074_ck" comment="JEDEC_DDR3_SPEC**********INTERNAL ONLY" localSheetId="0" hidden="1">{3;2.5;1.875}</definedName>
    <definedName name="_ddr3_sb_1074_ck" hidden="1">{3;2.5;1.875}</definedName>
    <definedName name="_ddr3_sb_1074_cl" comment="JEDEC_DDR3_SPEC**********INTERNAL ONLY" localSheetId="0" hidden="1">{5;6;8}</definedName>
    <definedName name="_ddr3_sb_1074_cl" hidden="1">{5;6;8}</definedName>
    <definedName name="_ddr3_sb_1074_cwl" comment="JEDEC_DDR3_SPEC**********INTERNAL ONLY" localSheetId="0" hidden="1">{5;5;6}</definedName>
    <definedName name="_ddr3_sb_1074_cwl" hidden="1">{5;5;6}</definedName>
    <definedName name="_ddr3_sb_1340_ck" comment="JEDEC_DDR3_SPEC**********INTERNAL ONLY" localSheetId="0" hidden="1">{2.5;2.5;1.875;1.875;1.5;1.875;1.5;1.5;1.5}</definedName>
    <definedName name="_ddr3_sb_1340_ck" hidden="1">{2.5;2.5;1.875;1.875;1.5;1.875;1.5;1.5;1.5}</definedName>
    <definedName name="_ddr3_sb_1340_cl" comment="JEDEC_DDR3_SPEC**********INTERNAL ONLY" localSheetId="0" hidden="1">{5;6;6;7;7;8;8;9;10}</definedName>
    <definedName name="_ddr3_sb_1340_cl" hidden="1">{5;6;6;7;7;8;8;9;10}</definedName>
    <definedName name="_ddr3_sb_1340_cwl" comment="JEDEC_DDR3_SPEC**********INTERNAL ONLY" localSheetId="0" hidden="1">{5;5;6;6;7;6;7;7;7}</definedName>
    <definedName name="_ddr3_sb_1340_cwl" hidden="1">{5;5;6;6;7;6;7;7;7}</definedName>
    <definedName name="_ddr3_sb_1341_ck" comment="JEDEC_DDR3_SPEC**********INTERNAL ONLY" localSheetId="0" hidden="1">{2.5;2.5;1.875;1.875;1.5;1.5;1.5}</definedName>
    <definedName name="_ddr3_sb_1341_ck" hidden="1">{2.5;2.5;1.875;1.875;1.5;1.5;1.5}</definedName>
    <definedName name="_ddr3_sb_1341_cl" comment="JEDEC_DDR3_SPEC**********INTERNAL ONLY" localSheetId="0" hidden="1">{5;6;7;8;8;9;10}</definedName>
    <definedName name="_ddr3_sb_1341_cl" hidden="1">{5;6;7;8;8;9;10}</definedName>
    <definedName name="_ddr3_sb_1341_cwl" comment="JEDEC_DDR3_SPEC**********INTERNAL ONLY" localSheetId="0" hidden="1">{5;5;6;6;7;7;7}</definedName>
    <definedName name="_ddr3_sb_1341_cwl" hidden="1">{5;5;6;6;7;7;7}</definedName>
    <definedName name="_ddr3_sb_1342_ck" comment="JEDEC_DDR3_SPEC**********INTERNAL ONLY" localSheetId="0" hidden="1">{3;2.5;1.875;1.875;1.5;1.5}</definedName>
    <definedName name="_ddr3_sb_1342_ck" hidden="1">{3;2.5;1.875;1.875;1.5;1.5}</definedName>
    <definedName name="_ddr3_sb_1342_cl" comment="JEDEC_DDR3_SPEC**********INTERNAL ONLY" localSheetId="0" hidden="1">{5;6;7;8;9;10}</definedName>
    <definedName name="_ddr3_sb_1342_cl" hidden="1">{5;6;7;8;9;10}</definedName>
    <definedName name="_ddr3_sb_1342_cwl" comment="JEDEC_DDR3_SPEC**********INTERNAL ONLY" localSheetId="0" hidden="1">{5;5;6;6;7;7}</definedName>
    <definedName name="_ddr3_sb_1342_cwl" hidden="1">{5;5;6;6;7;7}</definedName>
    <definedName name="_ddr3_sb_1343_ck" comment="JEDEC_DDR3_SPEC**********INTERNAL ONLY" localSheetId="0" hidden="1">{3;2.5;1.875;1.5}</definedName>
    <definedName name="_ddr3_sb_1343_ck" hidden="1">{3;2.5;1.875;1.5}</definedName>
    <definedName name="_ddr3_sb_1343_cl" comment="JEDEC_DDR3_SPEC**********INTERNAL ONLY" localSheetId="0" hidden="1">{5;6;8;10}</definedName>
    <definedName name="_ddr3_sb_1343_cl" hidden="1">{5;6;8;10}</definedName>
    <definedName name="_ddr3_sb_1343_cwl" comment="JEDEC_DDR3_SPEC**********INTERNAL ONLY" localSheetId="0" hidden="1">{5;5;6;7}</definedName>
    <definedName name="_ddr3_sb_1343_cwl" hidden="1">{5;5;6;7}</definedName>
    <definedName name="_ddr3_sb_1608_ck" comment="JEDEC_DDR3_SPEC**********INTERNAL ONLY" localSheetId="0" hidden="1">{2.5;2.5;1.875;1.875;1.5;1.875;1.5;1.25;1.5;1.25;1.5;1.25;1.25}</definedName>
    <definedName name="_ddr3_sb_1608_ck" hidden="1">{2.5;2.5;1.875;1.875;1.5;1.875;1.5;1.25;1.5;1.25;1.5;1.25;1.25}</definedName>
    <definedName name="_ddr3_sb_1608_cl" comment="JEDEC_DDR3_SPEC**********INTERNAL ONLY" localSheetId="0" hidden="1">{5;6;6;7;7;8;8;8;9;9;10;10;11}</definedName>
    <definedName name="_ddr3_sb_1608_cl" hidden="1">{5;6;6;7;7;8;8;8;9;9;10;10;11}</definedName>
    <definedName name="_ddr3_sb_1608_cwl" comment="JEDEC_DDR3_SPEC**********INTERNAL ONLY" localSheetId="0" hidden="1">{5;5;6;6;7;6;7;8;7;8;7;8;8}</definedName>
    <definedName name="_ddr3_sb_1608_cwl" hidden="1">{5;5;6;6;7;6;7;8;7;8;7;8;8}</definedName>
    <definedName name="_ddr3_sb_1609_ck" comment="JEDEC_DDR3_SPEC**********INTERNAL ONLY" localSheetId="0" hidden="1">{2.5;2.5;1.875;1.875;1.875;1.5;1.5;1.25;1.5;1.25;1.25}</definedName>
    <definedName name="_ddr3_sb_1609_ck" hidden="1">{2.5;2.5;1.875;1.875;1.875;1.5;1.5;1.25;1.5;1.25;1.25}</definedName>
    <definedName name="_ddr3_sb_1609_cl" comment="JEDEC_DDR3_SPEC**********INTERNAL ONLY" localSheetId="0" hidden="1">{5;6;6;7;8;8;9;9;10;10;11}</definedName>
    <definedName name="_ddr3_sb_1609_cl" hidden="1">{5;6;6;7;8;8;9;9;10;10;11}</definedName>
    <definedName name="_ddr3_sb_1609_cwl" comment="JEDEC_DDR3_SPEC**********INTERNAL ONLY" localSheetId="0" hidden="1">{5;5;6;6;6;7;7;8;7;8;8}</definedName>
    <definedName name="_ddr3_sb_1609_cwl" hidden="1">{5;5;6;6;6;7;7;8;7;8;8}</definedName>
    <definedName name="_ddr3_sb_1610_ck" comment="JEDEC_DDR3_SPEC**********INTERNAL ONLY" localSheetId="0" hidden="1">{2.5;2.5;1.875;1.875;1.5;1.5;1.25;1.25}</definedName>
    <definedName name="_ddr3_sb_1610_ck" hidden="1">{2.5;2.5;1.875;1.875;1.5;1.5;1.25;1.25}</definedName>
    <definedName name="_ddr3_sb_1610_cl" comment="JEDEC_DDR3_SPEC**********INTERNAL ONLY" localSheetId="0" hidden="1">{5;6;7;8;9;10;10;11}</definedName>
    <definedName name="_ddr3_sb_1610_cl" hidden="1">{5;6;7;8;9;10;10;11}</definedName>
    <definedName name="_ddr3_sb_1610_cwl" comment="JEDEC_DDR3_SPEC**********INTERNAL ONLY" localSheetId="0" hidden="1">{5;5;6;6;7;7;8;8}</definedName>
    <definedName name="_ddr3_sb_1610_cwl" hidden="1">{5;5;6;6;7;7;8;8}</definedName>
    <definedName name="_ddr3_sb_1611_ck" comment="JEDEC_DDR3_SPEC**********INTERNAL ONLY" localSheetId="0" hidden="1">{3;2.5;1.875;1.875;1.5;1.5;1.25}</definedName>
    <definedName name="_ddr3_sb_1611_ck" hidden="1">{3;2.5;1.875;1.875;1.5;1.5;1.25}</definedName>
    <definedName name="_ddr3_sb_1611_cl" comment="JEDEC_DDR3_SPEC**********INTERNAL ONLY" localSheetId="0" hidden="1">{5;6;7;8;9;10;11}</definedName>
    <definedName name="_ddr3_sb_1611_cl" hidden="1">{5;6;7;8;9;10;11}</definedName>
    <definedName name="_ddr3_sb_1611_cwl" comment="JEDEC_DDR3_SPEC**********INTERNAL ONLY" localSheetId="0" hidden="1">{5;5;6;6;7;7;8}</definedName>
    <definedName name="_ddr3_sb_1611_cwl" hidden="1">{5;5;6;6;7;7;8}</definedName>
    <definedName name="_ddr3_sb_1876_ck" comment="JEDEC_DDR3_SPEC**********INTERNAL ONLY" localSheetId="0" hidden="1">{1.25}</definedName>
    <definedName name="_ddr3_sb_1876_ck" hidden="1">{1.25}</definedName>
    <definedName name="_ddr3_sb_1876_cl" comment="JEDEC_DDR3_SPEC**********INTERNAL ONLY" localSheetId="0" hidden="1">{1}</definedName>
    <definedName name="_ddr3_sb_1876_cl" hidden="1">{1}</definedName>
    <definedName name="_ddr3_sb_1876_cwl" comment="JEDEC_DDR3_SPEC**********INTERNAL ONLY" localSheetId="0" hidden="1">{1}</definedName>
    <definedName name="_ddr3_sb_1876_cwl" hidden="1">{1}</definedName>
    <definedName name="_ddr3_sb_1877_ck" comment="JEDEC_DDR3_SPEC**********INTERNAL ONLY" localSheetId="0" hidden="1">{1.25}</definedName>
    <definedName name="_ddr3_sb_1877_ck" hidden="1">{1.25}</definedName>
    <definedName name="_ddr3_sb_1877_cl" comment="JEDEC_DDR3_SPEC**********INTERNAL ONLY" localSheetId="0" hidden="1">{1}</definedName>
    <definedName name="_ddr3_sb_1877_cl" hidden="1">{1}</definedName>
    <definedName name="_ddr3_sb_1877_cwl" comment="JEDEC_DDR3_SPEC**********INTERNAL ONLY" localSheetId="0" hidden="1">{1}</definedName>
    <definedName name="_ddr3_sb_1877_cwl" hidden="1">{1}</definedName>
    <definedName name="_ddr3_sb_1878_ck" comment="JEDEC_DDR3_SPEC**********INTERNAL ONLY" localSheetId="0" hidden="1">{1.25}</definedName>
    <definedName name="_ddr3_sb_1878_ck" hidden="1">{1.25}</definedName>
    <definedName name="_ddr3_sb_1878_cl" comment="JEDEC_DDR3_SPEC**********INTERNAL ONLY" localSheetId="0" hidden="1">{1}</definedName>
    <definedName name="_ddr3_sb_1878_cl" hidden="1">{1}</definedName>
    <definedName name="_ddr3_sb_1878_cwl" comment="JEDEC_DDR3_SPEC**********INTERNAL ONLY" localSheetId="0" hidden="1">{1}</definedName>
    <definedName name="_ddr3_sb_1878_cwl" hidden="1">{1}</definedName>
    <definedName name="_ddr3_sb_1879_ck" comment="JEDEC_DDR3_SPEC**********INTERNAL ONLY" localSheetId="0" hidden="1">{1.25}</definedName>
    <definedName name="_ddr3_sb_1879_ck" hidden="1">{1.25}</definedName>
    <definedName name="_ddr3_sb_1879_cl" comment="JEDEC_DDR3_SPEC**********INTERNAL ONLY" localSheetId="0" hidden="1">{1}</definedName>
    <definedName name="_ddr3_sb_1879_cl" hidden="1">{1}</definedName>
    <definedName name="_ddr3_sb_1879_cwl" comment="JEDEC_DDR3_SPEC**********INTERNAL ONLY" localSheetId="0" hidden="1">{1}</definedName>
    <definedName name="_ddr3_sb_1879_cwl" hidden="1">{1}</definedName>
    <definedName name="_ddr3_sb_2144_ck" comment="JEDEC_DDR3_SPEC**********INTERNAL ONLY" localSheetId="0" hidden="1">{1.25}</definedName>
    <definedName name="_ddr3_sb_2144_ck" hidden="1">{1.25}</definedName>
    <definedName name="_ddr3_sb_2144_cl" comment="JEDEC_DDR3_SPEC**********INTERNAL ONLY" localSheetId="0" hidden="1">{1}</definedName>
    <definedName name="_ddr3_sb_2144_cl" hidden="1">{1}</definedName>
    <definedName name="_ddr3_sb_2144_cwl" comment="JEDEC_DDR3_SPEC**********INTERNAL ONLY" localSheetId="0" hidden="1">{1}</definedName>
    <definedName name="_ddr3_sb_2144_cwl" hidden="1">{1}</definedName>
    <definedName name="_ddr3_sb_2145_ck" comment="JEDEC_DDR3_SPEC**********INTERNAL ONLY" localSheetId="0" hidden="1">{1.25}</definedName>
    <definedName name="_ddr3_sb_2145_ck" hidden="1">{1.25}</definedName>
    <definedName name="_ddr3_sb_2145_cl" comment="JEDEC_DDR3_SPEC**********INTERNAL ONLY" localSheetId="0" hidden="1">{1}</definedName>
    <definedName name="_ddr3_sb_2145_cl" hidden="1">{1}</definedName>
    <definedName name="_ddr3_sb_2145_cwl" comment="JEDEC_DDR3_SPEC**********INTERNAL ONLY" localSheetId="0" hidden="1">{1}</definedName>
    <definedName name="_ddr3_sb_2145_cwl" hidden="1">{1}</definedName>
    <definedName name="_ddr3_sb_2146_ck" comment="JEDEC_DDR3_SPEC**********INTERNAL ONLY" localSheetId="0" hidden="1">{1.25}</definedName>
    <definedName name="_ddr3_sb_2146_ck" hidden="1">{1.25}</definedName>
    <definedName name="_ddr3_sb_2146_cl" comment="JEDEC_DDR3_SPEC**********INTERNAL ONLY" localSheetId="0" hidden="1">{1}</definedName>
    <definedName name="_ddr3_sb_2146_cl" hidden="1">{1}</definedName>
    <definedName name="_ddr3_sb_2146_cwl" comment="JEDEC_DDR3_SPEC**********INTERNAL ONLY" localSheetId="0" hidden="1">{1}</definedName>
    <definedName name="_ddr3_sb_2146_cwl" hidden="1">{1}</definedName>
    <definedName name="_ddr3_sb_2147_ck" comment="JEDEC_DDR3_SPEC**********INTERNAL ONLY" localSheetId="0" hidden="1">{1.25}</definedName>
    <definedName name="_ddr3_sb_2147_ck" hidden="1">{1.25}</definedName>
    <definedName name="_ddr3_sb_2147_cl" comment="JEDEC_DDR3_SPEC**********INTERNAL ONLY" localSheetId="0" hidden="1">{1}</definedName>
    <definedName name="_ddr3_sb_2147_cl" hidden="1">{1}</definedName>
    <definedName name="_ddr3_sb_2147_cwl" comment="JEDEC_DDR3_SPEC**********INTERNAL ONLY" localSheetId="0" hidden="1">{1}</definedName>
    <definedName name="_ddr3_sb_2147_cwl" hidden="1">{1}</definedName>
    <definedName name="_ddr3_sb_805_ck" comment="JEDEC_DDR3_SPEC**********INTERNAL ONLY" localSheetId="0" hidden="1">{2.5;2.5}</definedName>
    <definedName name="_ddr3_sb_805_ck" hidden="1">{2.5;2.5}</definedName>
    <definedName name="_ddr3_sb_805_cl" comment="JEDEC_DDR3_SPEC**********INTERNAL ONLY" localSheetId="0" hidden="1">{5;6}</definedName>
    <definedName name="_ddr3_sb_805_cl" hidden="1">{5;6}</definedName>
    <definedName name="_ddr3_sb_805_cwl" comment="JEDEC_DDR3_SPEC**********INTERNAL ONLY" localSheetId="0" hidden="1">{5;5}</definedName>
    <definedName name="_ddr3_sb_805_cwl" hidden="1">{5;5}</definedName>
    <definedName name="_ddr3_sb_806_ck" comment="JEDEC_DDR3_SPEC**********INTERNAL ONLY" localSheetId="0" hidden="1">{3;2.5}</definedName>
    <definedName name="_ddr3_sb_806_ck" hidden="1">{3;2.5}</definedName>
    <definedName name="_ddr3_sb_806_cl" comment="JEDEC_DDR3_SPEC**********INTERNAL ONLY" localSheetId="0" hidden="1">{5;6}</definedName>
    <definedName name="_ddr3_sb_806_cl" hidden="1">{5;6}</definedName>
    <definedName name="_ddr3_sb_806_cwl" comment="JEDEC_DDR3_SPEC**********INTERNAL ONLY" localSheetId="0" hidden="1">{5;5}</definedName>
    <definedName name="_ddr3_sb_806_cwl" hidden="1">{5;5}</definedName>
    <definedName name="_ddr3_sb_cke" comment="JEDEC_DDR3_SPEC**********INTERNAL ONLY" localSheetId="0" hidden="1">{7.5;7.5;5.625;5.625;5.625;5.625;5.625;5.625;5.625;5;5;5;5;5;5;5;5;5;5;5;5}</definedName>
    <definedName name="_ddr3_sb_cke" hidden="1">{7.5;7.5;5.625;5.625;5.625;5.625;5.625;5.625;5.625;5;5;5;5;5;5;5;5;5;5;5;5}</definedName>
    <definedName name="_ddr3_sb_data" comment="JEDEC_DDR3_SPEC**********INTERNAL ONLY" localSheetId="0" hidden="1">{800;1066;1333;1600;1866;2133}</definedName>
    <definedName name="_ddr3_sb_data" hidden="1">{800;1066;1333;1600;1866;2133}</definedName>
    <definedName name="_ddr3_sb_dqsck_max" comment="JEDEC_DDR3_SPEC**********INTERNAL ONLY" hidden="1">{400;400;300;300;300;255;255;255;255;255;255;255;255;195;195;195;195;180;180;180;180}</definedName>
    <definedName name="_ddr3_sb_faw_1k" comment="JEDEC_DDR3_SPEC**********" localSheetId="0" hidden="1">{40;40;37.5;37.5;37.5;30;30;30;30;30;30;30;30;27;27;27;27;25;25;25;25}</definedName>
    <definedName name="_ddr3_sb_faw_1k" hidden="1">{40;40;37.5;37.5;37.5;30;30;30;30;30;30;30;30;27;27;27;27;25;25;25;25}</definedName>
    <definedName name="_ddr3_sb_faw_2k" comment="JEDEC_DDR3_SPEC**********" localSheetId="0" hidden="1">{50;50;50;50;50;45;45;45;45;40;40;40;40;35;35;35;35;35;35;35;35}</definedName>
    <definedName name="_ddr3_sb_faw_2k" hidden="1">{50;50;50;50;50;45;45;45;45;40;40;40;40;35;35;35;35;35;35;35;35}</definedName>
    <definedName name="_ddr3_sb_lookup" comment="JEDEC_DDR3_SPEC**********INTERNAL ONLY" localSheetId="0" hidden="1">{805;806;1072;1073;1074;1340;1341;1342;1343;1608;1609;1610;1611;1876;1877;1878;1879;2144;2145;2146;2147}</definedName>
    <definedName name="_ddr3_sb_lookup" hidden="1">{805;806;1072;1073;1074;1340;1341;1342;1343;1608;1609;1610;1611;1876;1877;1878;1879;2144;2145;2146;2147}</definedName>
    <definedName name="_ddr3_sb_ras_min" comment="JEDEC_DDR3_SPEC**********INTERNAL ONLY" localSheetId="0" hidden="1">{37.5;37.5;37.5;37.5;37.5;36;36;36;36;35;35;35;35;34;34;34;34;33;33;33;33}</definedName>
    <definedName name="_ddr3_sb_ras_min" hidden="1">{37.5;37.5;37.5;37.5;37.5;36;36;36;36;35;35;35;35;34;34;34;34;33;33;33;33}</definedName>
    <definedName name="_ddr3_sb_rc" comment="JEDEC_DDR3_SPEC**********INTERNAL ONLY" localSheetId="0" hidden="1">{50;52.5;48.75;50.625;52.5;46.5;48;49.5;51;45;46.25;47.5;48.75;44.7;45.77;46.84;47.91;43.285;44.22;45.155;46.09}</definedName>
    <definedName name="_ddr3_sb_rc" hidden="1">{50;52.5;48.75;50.625;52.5;46.5;48;49.5;51;45;46.25;47.5;48.75;44.7;45.77;46.84;47.91;43.285;44.22;45.155;46.09}</definedName>
    <definedName name="_ddr3_sb_rcd" comment="JEDEC_DDR3_SPEC**********INTERNAL ONLY" localSheetId="0" hidden="1">{12.5;15;11.25;13.125;15;10.5;12;13.5;15;10;11.25;12.5;13.75;10.7;11.77;12.84;13.91;10.285;11.22;12.155;13.09}</definedName>
    <definedName name="_ddr3_sb_rcd" hidden="1">{12.5;15;11.25;13.125;15;10.5;12;13.5;15;10;11.25;12.5;13.75;10.7;11.77;12.84;13.91;10.285;11.22;12.155;13.09}</definedName>
    <definedName name="_ddr3_sb_rp" comment="JEDEC_DDR3_SPEC**********INTERNAL ONLY" localSheetId="0" hidden="1">{12.5;15;11.25;13.125;15;10.5;12;13.5;15;10;11.25;12.5;13.75;10.7;11.77;12.84;13.91;10.285;11.22;12.155;13.09}</definedName>
    <definedName name="_ddr3_sb_rp" hidden="1">{12.5;15;11.25;13.125;15;10.5;12;13.5;15;10;11.25;12.5;13.75;10.7;11.77;12.84;13.91;10.285;11.22;12.155;13.09}</definedName>
    <definedName name="_ddr3_sb_rrd_1k" comment="JEDEC_DDR3_SPEC**********INTERNAL ONLY" localSheetId="0" hidden="1">{10;10;7.5;7.5;7.5;6;6;6;6;6;6;6;6;5;5;5;5;5;5;5;5}</definedName>
    <definedName name="_ddr3_sb_rrd_1k" hidden="1">{10;10;7.5;7.5;7.5;6;6;6;6;6;6;6;6;5;5;5;5;5;5;5;5}</definedName>
    <definedName name="_ddr3_sb_rrd_2k" comment="JEDEC_DDR3_SPEC**********INTERNAL ONLY" localSheetId="0" hidden="1">{10;10;10;10;10;7.5;7.5;7.5;7.5;7.5;7.5;7.5;7.5;6;6;6;6;6;6;6;6}</definedName>
    <definedName name="_ddr3_sb_rrd_2k" hidden="1">{10;10;10;10;10;7.5;7.5;7.5;7.5;7.5;7.5;7.5;7.5;6;6;6;6;6;6;6;6}</definedName>
    <definedName name="_ddr3_sb_xp" comment="JEDEC_DDR3_SPEC**********INTERNAL ONLY" localSheetId="0" hidden="1">{7.5;7.5;7.5;7.5;7.5;6;6;6;6;6;6;6;6;6;6;6;6;6;6;6;6}</definedName>
    <definedName name="_ddr3_sb_xp" hidden="1">{7.5;7.5;7.5;7.5;7.5;6;6;6;6;6;6;6;6;6;6;6;6;6;6;6;6}</definedName>
    <definedName name="_ddr3_width" comment="**********" hidden="1">{8;16}</definedName>
    <definedName name="_dll_res" comment="**********" hidden="1">IF(_phy_half_delay=1,1000000/_ddr_pll_freq/128,1000000/_ddr_pll_freq/256)</definedName>
    <definedName name="_DMM_LISA_MAP_0_VAL" comment="Register*****OFFSET: _0x00000040*****" hidden="1">DEC2HEX(SUM(_dmm_sys_addr_0*2^24,_dmm_sys_size_0*2^20,_dmm_sdrc_intl_0*2^18,_dmm_sdrc_map_0*2^8),8)</definedName>
    <definedName name="_DMM_LISA_MAP_1_VAL" comment="Register*****OFFSET: _0x00000044*****" hidden="1">DEC2HEX(SUM(_dmm_sys_addr_1*2^24,_dmm_sys_size_1*2^20,_dmm_sdrc_intl_1*2^18,_dmm_sdrc_map_1*2^8),8)</definedName>
    <definedName name="_DMM_LISA_MAP_2_VAL" comment="Register*****OFFSET: _0x00000048*****" hidden="1">DEC2HEX(SUM(_dmm_sys_addr_2*2^24,_dmm_sys_size_2*2^20,_dmm_sdrc_intl_2*2^18,_dmm_sdrc_map_2*2^8),8)</definedName>
    <definedName name="_DMM_LISA_MAP_3_VAL" comment="Register*****OFFSET: _0x0000004C*****" hidden="1">DEC2HEX(SUM(_dmm_sys_addr_3*2^24,_dmm_sys_size_3*2^20,_dmm_sdrc_intl_3*2^18,_dmm_sdrc_addrspc_3*2^16,_dmm_sdrc_map_3*2^8),8)</definedName>
    <definedName name="_dmm_sdrc_addrspc_3" comment="Bit_Field_DMM_LISA_MAP_3_VAL*****DMM_LISA_MAP_3[17:16]*****Set to match U-boot" hidden="1">2</definedName>
    <definedName name="_dmm_sdrc_intl_0" comment="Bit_Field_DMM_LISA_MAP_0_VAL*****DMM_LISA_MAP_0[19:18]*****" hidden="1">0</definedName>
    <definedName name="_dmm_sdrc_intl_1" comment="Bit_Field_DMM_LISA_MAP_1_VAL*****DMM_LISA_MAP_1[19:18]*****" hidden="1">0</definedName>
    <definedName name="_dmm_sdrc_intl_2" comment="Bit_Field_DMM_LISA_MAP_2_VAL*****DMM_LISA_MAP_2[19:18]*****Interleave by 128-byte" hidden="1">IF(_user_emifs=1,0,1)</definedName>
    <definedName name="_dmm_sdrc_intl_3" comment="Bit_Field_DMM_LISA_MAP_3_VAL*****DMM_LISA_MAP_3[19:18]*****Set to match U-boot" hidden="1">0</definedName>
    <definedName name="_dmm_sdrc_map_0" comment="Bit_Field_DMM_LISA_MAP_0_VAL*****DMM_LISA_MAP_0[09:08]*****" hidden="1">0</definedName>
    <definedName name="_dmm_sdrc_map_1" comment="Bit_Field_DMM_LISA_MAP_1_VAL*****DMM_LISA_MAP_1[09:08]*****Old equation: IF(_user_emifs=1,0,2)" hidden="1">0</definedName>
    <definedName name="_dmm_sdrc_map_2" comment="Bit_Field_DMM_LISA_MAP_2_VAL*****DMM_LISA_MAP_2[09:08]*****Interleave by default" hidden="1">IF(_user_emifs=1,1,3)</definedName>
    <definedName name="_dmm_sdrc_map_3" comment="Bit_Field_DMM_LISA_MAP_3_VAL*****DMM_LISA_MAP_3[09:08]*****Set to match U-boot" hidden="1">1</definedName>
    <definedName name="_dmm_sys_addr_0" comment="Bit_Field_DMM_LISA_MAP_0_VAL*****DMM_LISA_MAP_0[31:24]*****" hidden="1">0</definedName>
    <definedName name="_dmm_sys_addr_1" comment="Bit_Field_DMM_LISA_MAP_1_VAL*****DMM_LISA_MAP_1[31:24]*****Old equation: IF(_user_emifs=1,0,(2^_sdram_density_mult*_sdram_bw/_sdram_width/8/16777216)+128)" hidden="1">0</definedName>
    <definedName name="_dmm_sys_addr_2" comment="Bit_Field_DMM_LISA_MAP_2_VAL*****DMM_LISA_MAP_2[31:24]*****Set to base 0x80000000" hidden="1">128</definedName>
    <definedName name="_dmm_sys_addr_3" comment="Bit_Field_DMM_LISA_MAP_3_VAL*****DMM_LISA_MAP_3[31:24]*****Set to match U-boot" hidden="1">255</definedName>
    <definedName name="_dmm_sys_size_0" comment="Bit_Field_DMM_LISA_MAP_0_VAL*****DMM_LISA_MAP_0[22:20]*****" hidden="1">0</definedName>
    <definedName name="_dmm_sys_size_1" comment="Bit_Field_DMM_LISA_MAP_1_VAL*****DMM_LISA_MAP_1[22:20]*****Old equation: IF(_user_emifs=1,0,MATCH(MIN(_sdram_density*_sdram_bw/_sdram_width/8,2),_dmm_sys_size_list,0)-1)" hidden="1">0</definedName>
    <definedName name="_dmm_sys_size_2" comment="Bit_Field_DMM_LISA_MAP_2_VAL*****DMM_LISA_MAP_2[22:20]*****Set to 2x if two EMIFs used" hidden="1">IF(_user_emifs=1,MATCH(MIN(_sdram_density*_sdram_bw/_sdram_width/8,2),_dmm_sys_size_list,0)-1,MATCH(MIN(2*_sdram_density*_sdram_bw/_sdram_width/8,2),_dmm_sys_size_list,0)-1)</definedName>
    <definedName name="_dmm_sys_size_3" comment="Bit_Field_DMM_LISA_MAP_3_VAL*****DMM_LISA_MAP_3[22:20]*****Set to match U-boot" hidden="1">0</definedName>
    <definedName name="_dmm_sys_size_list" comment="Bit_Field_DMM_LISA_MAPx**********" hidden="1">{0.015625;0.03125;0.0625;0.125;0.25;0.5;1;2}</definedName>
    <definedName name="_dyn_user_config_options" hidden="1">[1]UserConfig!$A$1:INDEX([1]UserConfig!$A$1:$A$100,COUNTIF([1]UserConfig!$A$1:$A$100,"?*"))</definedName>
    <definedName name="_dyn_user_cs" hidden="1">[1]DynamicUserOptions!$E$6:INDEX([1]DynamicUserOptions!$E$6:$E$19,COUNTIF([1]DynamicUserOptions!$E$6:$E$19,"&lt;&gt;"&amp;"*"))</definedName>
    <definedName name="_dyn_user_cs_list" comment="XCEL_LIST_CREATION**********" localSheetId="0" hidden="1">IF('Title-README'!_soc_name="j6eco",'Title-README'!_soc_cs_j6eco,'Title-README'!_soc_cs_vayu)</definedName>
    <definedName name="_dyn_user_cs_list" hidden="1">IF(_soc_name="j6eco",_soc_cs_j6eco,_soc_cs_vayu)</definedName>
    <definedName name="_dyn_user_ecc" hidden="1">[1]DynamicUserOptions!$G$6:INDEX([1]DynamicUserOptions!$G$6:$G$19,COUNTIF([1]DynamicUserOptions!$G$6:$G$19,"?*"))</definedName>
    <definedName name="_dyn_user_ecc_list" comment="**********" localSheetId="0" hidden="1">IF(_sdram_type="LPDDR2",'Title-README'!_lpddr2_ecc,'Title-README'!_ddr2_ddr3_ecc)</definedName>
    <definedName name="_dyn_user_ecc_list" hidden="1">IF(_sdram_type="LPDDR2",_lpddr2_ecc,_ddr2_ddr3_ecc)</definedName>
    <definedName name="_dyn_user_emif_io_sr" hidden="1">[1]DynamicUserOptions!$Q$6:INDEX([1]DynamicUserOptions!$Q$6:$Q$19,COUNTIF([1]DynamicUserOptions!$Q$6:$Q$19,"?*"))</definedName>
    <definedName name="_dyn_user_emifs" comment="XCEL_LIST_CREATION**********" hidden="1">[1]DynamicUserOptions!$D$6:INDEX([1]DynamicUserOptions!$D$6:$D$19,COUNTIF([1]DynamicUserOptions!$D$6:$D$19,"&lt;&gt;"&amp;"*"))</definedName>
    <definedName name="_dyn_user_emifs_list" comment="XCEL_LIST_CREATION**********" hidden="1">IF(OR('Title-README'!_soc_name="j6eco",'Title-README'!_soc_name="adaslow"),_soc_emifs_j6eco,_soc_emifs_vayu)</definedName>
    <definedName name="_dyn_user_freqmax" hidden="1">[1]DynamicUserOptions!$I$6</definedName>
    <definedName name="_dyn_user_freqmax_list" comment="XCEL_LIST_CREATION**********" hidden="1">IF('Title-README'!_soc_name="adaslow",_soc_freqmax_adaslow,IF('Title-README'!_soc_name="j6eco",_soc_freqmax_j6eco,_soc_freqmax_vayu))</definedName>
    <definedName name="_dyn_user_freqmin" hidden="1">[1]DynamicUserOptions!$H$6</definedName>
    <definedName name="_dyn_user_freqmin_list" comment="XCEL_LIST_CREATION**********" hidden="1">IF('Title-README'!_soc_name="adaslow",_soc_freqmin_adaslow,IF('Title-README'!_soc_name="j6eco",_soc_freqmin_j6eco,_soc_freqmin_vayu))</definedName>
    <definedName name="_dyn_user_memtype" hidden="1">[1]DynamicUserOptions!$C$6:INDEX([1]DynamicUserOptions!$C$6:$C$19,COUNTIF([1]DynamicUserOptions!$C$6:$C$19,"?*"))</definedName>
    <definedName name="_dyn_user_memtype_list" comment="XCEL_LIST_CREATION**********" localSheetId="0" hidden="1">CHOOSE(MATCH('Title-README'!_soc_name,'Title-README'!_soc_names,0),'Title-README'!_soc_memtype_vayu,'Title-README'!_soc_memtype_vayu,'Title-README'!_soc_memtype_j6eco,'Title-README'!_soc_memtype_adaslow)</definedName>
    <definedName name="_dyn_user_memtype_list" hidden="1">CHOOSE(MATCH(_soc_name,_soc_names,0),_soc_memtype_vayu,_soc_memtype_vayu,_soc_memtype_j6eco,_soc_memtype_adaslow)</definedName>
    <definedName name="_dyn_user_sdram_cl" hidden="1">[1]DynamicUserOptions!$L$6:INDEX([1]DynamicUserOptions!$L$6:$L$19,COUNTIF([1]DynamicUserOptions!$L$6:$L$19,"&lt;&gt;"&amp;"*")+COUNTIF([1]DynamicUserOptions!$L$6:$L$19,"?*"))</definedName>
    <definedName name="_dyn_user_sdram_data" hidden="1">[1]DynamicUserOptions!$J$6:INDEX([1]DynamicUserOptions!$J$6:$J$19,COUNTIF([1]DynamicUserOptions!$J$6:$J$19,"&lt;&gt;"&amp;"*"))</definedName>
    <definedName name="_dyn_user_sdram_data_list" comment="XCEL_LIST_CREATION**********" localSheetId="0" hidden="1">IF(_sdram_type="LPDDR2",'Title-README'!_lpddr2_sb_data,IF(_sdram_type="DDR2",'Title-README'!_ddr2_sb_data,'Title-README'!_ddr3_sb_data))</definedName>
    <definedName name="_dyn_user_sdram_data_list" hidden="1">IF(_sdram_type="LPDDR2",_lpddr2_sb_data,IF(_sdram_type="DDR2",_ddr2_sb_data,_ddr3_sb_data))</definedName>
    <definedName name="_dyn_user_sdram_density" hidden="1">[1]DynamicUserOptions!$M$6:INDEX([1]DynamicUserOptions!$M$6:$M$19,COUNTIF([1]DynamicUserOptions!$M$6:$M$19,"&lt;&gt;"&amp;"*"))</definedName>
    <definedName name="_dyn_user_sdram_density_list" comment="XCEL_LIST_CREATION**********" localSheetId="0" hidden="1">IF(_sdram_type="LPDDR2",'Title-README'!_lpddr2_densities,IF(_sdram_type="DDR2",'Title-README'!_ddr2_densities,'Title-README'!_ddr3_densities))</definedName>
    <definedName name="_dyn_user_sdram_density_list" hidden="1">IF(_sdram_type="LPDDR2",_lpddr2_densities,IF(_sdram_type="DDR2",_ddr2_densities,_ddr3_densities))</definedName>
    <definedName name="_dyn_user_sdram_drivimp" hidden="1">[1]DynamicUserOptions!$P$6:INDEX([1]DynamicUserOptions!$P$6:$P$19,COUNTIF([1]DynamicUserOptions!$P$6:$P$19,"?*")+COUNTIF([1]DynamicUserOptions!$P$6:$P$19,"&lt;&gt;"&amp;"*"))</definedName>
    <definedName name="_dyn_user_sdram_drivimp_list" comment="XCEL_LIST_CREATION**********" localSheetId="0" hidden="1">IF(_sdram_type="LPDDR2",'Title-README'!_lpddr2_drive_imp,IF(_sdram_type="DDR2",'Title-README'!_ddr2_drive_imp,'Title-README'!_ddr3_drive_imp))</definedName>
    <definedName name="_dyn_user_sdram_drivimp_list" hidden="1">IF(_sdram_type="LPDDR2",_lpddr2_drive_imp,IF(_sdram_type="DDR2",_ddr2_drive_imp,_ddr3_drive_imp))</definedName>
    <definedName name="_dyn_user_sdram_lvl" hidden="1">[1]DynamicUserOptions!$F$6:INDEX([1]DynamicUserOptions!$F$6:$F$19,COUNTIF([1]DynamicUserOptions!$F$6:$F$19,"?*"))</definedName>
    <definedName name="_dyn_user_sdram_lvl_list" comment="**********" localSheetId="0" hidden="1">IF(OR(_sdram_type="DDR2",_sdram_type="LPDDR2"),'Title-README'!_ddr2_lvl,'Title-README'!_ddr3_lvl)</definedName>
    <definedName name="_dyn_user_sdram_lvl_list" hidden="1">IF(OR(_sdram_type="DDR2",_sdram_type="LPDDR2"),_ddr2_lvl,_ddr3_lvl)</definedName>
    <definedName name="_dyn_user_sdram_rtt" hidden="1">[1]DynamicUserOptions!$N$6:INDEX([1]DynamicUserOptions!$N$6:$N$19,COUNTIF([1]DynamicUserOptions!$N$6:$N$19,"?*"))</definedName>
    <definedName name="_dyn_user_sdram_rtt_list" comment="XCEL_LIST_CREATION**********" localSheetId="0" hidden="1">IF(_sdram_type="LPDDR2",'Title-README'!_lpddr2_rtt,IF(_sdram_type="DDR2",'Title-README'!_ddr2_rtt,'Title-README'!_ddr3_rtt))</definedName>
    <definedName name="_dyn_user_sdram_rtt_list" hidden="1">IF(_sdram_type="LPDDR2",_lpddr2_rtt,IF(_sdram_type="DDR2",_ddr2_rtt,_ddr3_rtt))</definedName>
    <definedName name="_dyn_user_sdram_rttwr" hidden="1">[1]DynamicUserOptions!$O$6:INDEX([1]DynamicUserOptions!$O$6:$O$19,COUNTIF([1]DynamicUserOptions!$O$6:$O$19,"?*"))</definedName>
    <definedName name="_dyn_user_sdram_rttwr_list" comment="XCEL_LIST_CREATION**********" localSheetId="0" hidden="1">IF(_sdram_type="LPDDR2",'Title-README'!_lpddr2_rttwr,IF(_sdram_type="DDR2",'Title-README'!_ddr2_rttwr,'Title-README'!_ddr3_rttwr))</definedName>
    <definedName name="_dyn_user_sdram_rttwr_list" hidden="1">IF(_sdram_type="LPDDR2",_lpddr2_rttwr,IF(_sdram_type="DDR2",_ddr2_rttwr,_ddr3_rttwr))</definedName>
    <definedName name="_dyn_user_sdram_width" hidden="1">[1]DynamicUserOptions!$K$6:INDEX([1]DynamicUserOptions!$K$6:$K$19,COUNTIF([1]DynamicUserOptions!$K$6:$K$19,"&lt;&gt;"&amp;"*"))</definedName>
    <definedName name="_dyn_user_sdram_width_list" comment="XCEL_LIST_CREATION**********" hidden="1">IF(_sdram_type="LPDDR2",32,IF(AND('Title-README'!_soc_name="adaslow",_sdram_type="DDR2",_sdram_density=0.5),_ddr2_width,_ddr3_width))</definedName>
    <definedName name="_dyn_user_soc_list" comment="XCEL_LIST_CREATION**********" hidden="1">[1]DynamicUserOptions!$B$6:INDEX([1]DynamicUserOptions!$B$6:$B$19,COUNTIF([1]DynamicUserOptions!$B$6:$B$19,"?*"))</definedName>
    <definedName name="_EMIF_DDR_PHY_CTRL_1_VAL" comment="Register*****OFFSET: 0x000000E4*****" hidden="1">DEC2HEX(SUM(_phy_rdlvl_mask*2^27,_phy_rdlvlgate_mask*2^26,_phy_wrlvl_mask*2^25,_phy_half_delay*2^21,_phy_clk_stall_level*2^20,_phy_dis_calib_rst*2^19,_phy_invert_clk*2^18,_phy_dll_lock_diff*2^10,_phy_fast_dll_lock*2^9,_phy_rd_rl_delay),8)</definedName>
    <definedName name="_EMIF_DDR_PHY_CTRL_1_VAL_NOLVL" comment="**********" hidden="1">DEC2HEX(SUM(1*2^27,1*2^26,1*2^25,_phy_half_delay*2^21,_phy_clk_stall_level*2^20,_phy_dis_calib_rst*2^19,_phy_invert_clk*2^18,_phy_dll_lock_diff*2^10,_phy_fast_dll_lock*2^9,_phy_rd_rl_delay),8)</definedName>
    <definedName name="_EMIF_DLL_CALIB_CTRL_VAL" comment="**********" hidden="1">"00050000"</definedName>
    <definedName name="_emif_io_dr" comment="**********" hidden="1">{80;60;48;40;34}</definedName>
    <definedName name="_emif_io_dr_acc" comment="User_Input**********" hidden="1">'[1]Step1-SystemDetails'!$F$50</definedName>
    <definedName name="_emif_io_dr_acc_rec" comment="**********" hidden="1">CHOOSE(MATCH('Title-README'!_soc_name,'Title-README'!_soc_names,0),_soc_emif_io_dr_acc_vayu,_soc_emif_io_dr_acc_vayu,_soc_emif_io_dr_acc_j6eco,_soc_emif_io_dr_acc_adaslow)</definedName>
    <definedName name="_emif_io_dr_ds" comment="User_Input**********" hidden="1">'[1]Step1-SystemDetails'!$F$51</definedName>
    <definedName name="_emif_io_dr_ds_rec" comment="**********" hidden="1">CHOOSE(MATCH('Title-README'!_soc_name,'Title-README'!_soc_names,0),_soc_emif_io_dr_ds_vayu,_soc_emif_io_dr_ds_vayu,_soc_emif_io_dr_ds_j6eco,_soc_emif_io_dr_ds_adaslow)</definedName>
    <definedName name="_emif_io_odt" comment="User_Input**********" hidden="1">'[1]Step1-SystemDetails'!$F$47</definedName>
    <definedName name="_emif_io_odt_list" comment="**********" hidden="1">{"Disabled";60;80;120}</definedName>
    <definedName name="_emif_io_sr" comment="**********" hidden="1">{"Fastest: SR[2:0] = 0b000";"SR[2:0] = 0b001";"SR[2:0] = 0b010";"SR[2:0] = 0b011";"SR[2:0] = 0b100";"SR[2:0] = 0b101";"SR[2:0] = 0b110";"Slowest: SR[2:0] = 0b111"}</definedName>
    <definedName name="_emif_io_sr_acc" comment="User_Input**********" hidden="1">'[1]Step1-SystemDetails'!$F$48</definedName>
    <definedName name="_emif_io_sr_acc_rec" comment="**********" hidden="1">CHOOSE(MATCH('Title-README'!_soc_name,'Title-README'!_soc_names,0),_soc_emif_io_sr_vayu,_soc_emif_io_sr_vayu,_soc_emif_io_sr_j6eco,_soc_emif_io_sr_acc_adaslow)</definedName>
    <definedName name="_emif_io_sr_ds" comment="User_Input**********" hidden="1">'[1]Step1-SystemDetails'!$F$49</definedName>
    <definedName name="_emif_io_sr_ds_rec" comment="**********" hidden="1">CHOOSE(MATCH('Title-README'!_soc_name,'Title-README'!_soc_names,0),_soc_emif_io_sr_vayu,_soc_emif_io_sr_vayu,_soc_emif_io_sr_j6eco,_soc_emif_io_sr_ds_adaslow)</definedName>
    <definedName name="_EMIF_RD_WR_EXEC_THRESH_VAL" comment="**********" hidden="1">"00000305"</definedName>
    <definedName name="_EMIF_RDWR_LVL_CTRL_VAL" comment="Register*****OFFSET: 0x000000DC*****" hidden="1">DEC2HEX(SUM(_phy_rdwrlvlfull_start*2^31),8)</definedName>
    <definedName name="_EMIF_RDWR_LVL_RMP_CTRL_VAL" comment="Register*****OFFSET: 0x000000D8*****" hidden="1">DEC2HEX(SUM(_phy_rdwrlvl_en*2^31),8)</definedName>
    <definedName name="_EMIF_SDRAM_CONFIG_2_VAL" comment="Register*****OFFSET: 0x0000000C*****" hidden="1">DEC2HEX(SUM(_sdram_cs1nvmen*2^30,_sdram_ebank_pos*2^27,_sdram_rdbnum*2^4,_sdram_rdbsize),8)</definedName>
    <definedName name="_EMIF_SDRAM_CONFIG_VAL" comment="Register*****OFFSET: 0x00000008*****" hidden="1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name="_emif_sdram_config_val_avatar" comment="**********" hidden="1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name="_EMIF_SDRAM_REF_CTRL_INIT_VAL" comment="Register*****OFFSET: 0x00000010*****" hidden="1">DEC2HEX(SUM(_sdram_initref_dis*2^31,_sdram_srt*2^29,_sdram_asr*2^28,_sdram_pasr*2^24,_t_refi_init),8)</definedName>
    <definedName name="_EMIF_SDRAM_REF_CTRL_VAL" comment="Register*****OFFSET: 0x00000010*****" hidden="1">DEC2HEX(SUM(_sdram_initref_dis*2^31,_sdram_srt*2^29,_sdram_asr*2^28,_sdram_pasr*2^24,_t_refi),8)</definedName>
    <definedName name="_EMIF_SDRAM_TIM_1_VAL" comment="Register*****OFFSET: 0x00000018*****" hidden="1">DEC2HEX(SUM(_t_rtw_gel*2^29,_t_rp*2^25,_t_rcd*2^21,_t_wr*2^17,_t_ras*2^12,_t_rc*2^6,_t_rrd*2^3,_t_wtr),8)</definedName>
    <definedName name="_EMIF_SDRAM_TIM_2_VAL" comment="Register*****OFFSET: 0x00000020*****" hidden="1">DEC2HEX(SUM(_t_xp*2^28,_t_xsnr*2^16,_t_xsrd*2^6,_t_rtp*2^3,_t_cke),8)</definedName>
    <definedName name="_EMIF_SDRAM_TIM_3_VAL" comment="Register*****OFFSET: 0x00000028*****" hidden="1">DEC2HEX(SUM(_t_pdll_ul*2^28,_t_csta*2^24,_t_ckesr*2^21,_t_zqcs*2^15,_t_dqsck_max*2^13,_t_rfc*2^4,_t_ras_max),8)</definedName>
    <definedName name="_EMIF_TEMP_ALERT_CONFIG_VAL" comment="**********" hidden="1">"00000000"</definedName>
    <definedName name="_EMIF_ZQ_CONFIG_VAL" comment="Register*****OFFSET: 0x000000C8*****" hidden="1">DEC2HEX(SUM(_zq_cs1en*2^31,_zq_cs0en*2^30,_zq_dualcalen*2^29,_zq_sfexiten*2^28,_zq_zqinit_mult*2^18,_zq_zqcl_mult*2^16,_zq_refinterval),8)</definedName>
    <definedName name="_emif1_ext_phy_ctrl_1_val_omap5" comment="Register_SOC-OMAP5*****OFFSET: 0x00000200*****INTERNAL ONLY" hidden="1">DEC2HEX(SUM(_ctrl_ratio2*2^20,_ctrl_ratio1*2^10,_ctrl_ratio0),8)</definedName>
    <definedName name="_emif1_ext_phy_ctrl_1_val_vayu" comment="Register_SOC-Vayu**********OFFSET: 0x00000200" hidden="1">DEC2HEX(SUM(_ctrl_ratio2*2^20,_ctrl_ratio1*2^10,_ctrl_ratio0),8)</definedName>
    <definedName name="_emif1_ext_phy_ctrl_10_val_omap5" comment="Register_SOC-OMAP5*****OFFSET: 0x00000248*****INTERNAL ONLY" hidden="1">DEC2HEX(TRUNC(SUM(_wrdata_ratio3_ch1_cs1*2^10,_wrdata_ratio3_ch1_cs0)/2^4)-(TRUNC(SUM(_wrdata_ratio3_ch1_cs1*2^10,_wrdata_ratio3_ch1_cs0)/2^36)*2^32),8)</definedName>
    <definedName name="_emif1_ext_phy_ctrl_10_val_vayu" comment="Register_SOC-Vayu**********OFFSET: 0x00000248" hidden="1">DEC2HEX(SUM(_rddqs_ratio3*2^16,_rddqs_ratio3),8)</definedName>
    <definedName name="_emif1_ext_phy_ctrl_11_val_omap5" comment="Register_SOC-OMAP5*****OFFSET: 0x00000250*****INTERNAL ONLY" hidden="1">DEC2HEX(SUM(_wrdqs_ratio1_ch1_cs1*2^30,_wrdqs_ratio1_ch1_cs0*2^20,_wrdqs_ratio0_ch1_cs1*2^10,_wrdqs_ratio0_ch1_cs0)-(TRUNC(SUM(_wrdqs_ratio1_ch1_cs1*2^30,_wrdqs_ratio1_ch1_cs0*2^20,_wrdqs_ratio0_ch1_cs1*2^10,_wrdqs_ratio0_ch1_cs0)/2^32)*2^32),8)</definedName>
    <definedName name="_emif1_ext_phy_ctrl_11_val_vayu" comment="Register_SOC-Vayu**********OFFSET: 0x00000250" hidden="1">DEC2HEX(SUM(_rddqs_ratio4*2^16,_rddqs_ratio4),8)</definedName>
    <definedName name="_emif1_ext_phy_ctrl_12_val_omap5" comment="Register_SOC-OMAP5*****OFFSET: 0x00000258*****INTERNAL ONLY" hidden="1">DEC2HEX(TRUNC(SUM(_wrdqs_ratio3_ch1_cs0*2^30,_wrdqs_ratio2_ch1_cs1*2^20,_wrdqs_ratio2_ch1_cs0*2^10,_wrdqs_ratio1_ch1_cs1)/2^2)-(TRUNC(SUM(_wrdqs_ratio3_ch1_cs0*2^30,_wrdqs_ratio2_ch1_cs1*2^20,_wrdqs_ratio2_ch1_cs0*2^10,_wrdqs_ratio1_ch1_cs1)/2^34)*2^32),8)</definedName>
    <definedName name="_emif1_ext_phy_ctrl_12_val_vayu" comment="Register_SOC-Vayu**********OFFSET: 0x00000258" hidden="1">DEC2HEX(SUM(_wrdata_ratio0_ch1_cs1*2^16,_wrdata_ratio0_ch1_cs0),8)</definedName>
    <definedName name="_emif1_ext_phy_ctrl_13_val_omap5" comment="Register_SOC-OMAP5*****OFFSET: 0x00000260*****INTERNAL ONLY" hidden="1">DEC2HEX(TRUNC(SUM(_wrdqs_ratio3_ch1_cs1*2^10,_wrdqs_ratio3_ch1_cs0)/2^4)-(TRUNC(SUM(_wrdqs_ratio3_ch1_cs1*2^10,_wrdqs_ratio3_ch1_cs0)/2^36)*2^32),8)</definedName>
    <definedName name="_emif1_ext_phy_ctrl_13_val_vayu" comment="Register_SOC-Vayu**********OFFSET: 0x00000260" hidden="1">DEC2HEX(SUM(_wrdata_ratio1_ch1_cs1*2^16,_wrdata_ratio1_ch1_cs0),8)</definedName>
    <definedName name="_emif1_ext_phy_ctrl_14_val_omap5" comment="Register_SOC-OMAP5*****OFFSET: 0x00000268*****INTERNAL ONLY" hidden="1">DEC2HEX(SUM(_phy_rddqs_delay*2^24,_phy_fifowe_delay*2^12,_phy_ctrl_delay)-(TRUNC(SUM(_phy_rddqs_delay*2^24,_phy_fifowe_delay*2^12,_phy_ctrl_delay)/2^32)*2^32),8)</definedName>
    <definedName name="_emif1_ext_phy_ctrl_14_val_vayu" comment="Register_SOC-Vayu**********OFFSET: 0x00000268" hidden="1">DEC2HEX(SUM(_wrdata_ratio2_ch1_cs1*2^16,_wrdata_ratio2_ch1_cs0),8)</definedName>
    <definedName name="_emif1_ext_phy_ctrl_15_val_omap5" comment="Register_SOC-OMAP5*****OFFSET: 0x00000270*****INTERNAL ONLY" hidden="1">DEC2HEX(TRUNC(SUM(_phy_wrdata_delay*2^24,_phy_wrdqs_delay*2^12,_phy_rddqs_delay)/2^8),8)</definedName>
    <definedName name="_emif1_ext_phy_ctrl_15_val_vayu" comment="Register_SOC-Vayu**********OFFSET: 0x00000270" hidden="1">DEC2HEX(SUM(_wrdata_ratio3_ch1_cs1*2^16,_wrdata_ratio3_ch1_cs0),8)</definedName>
    <definedName name="_emif1_ext_phy_ctrl_16_val_omap5" comment="Register_SOC-OMAP5*****OFFSET: 0x00000278*****INTERNAL ONLY" hidden="1">DEC2HEX(SUM(_phy_dq_offset3*2^21,_phy_dq_offset2*2^14,_phy_dq_offset1*2^7,_phy_dq_offset0),8)</definedName>
    <definedName name="_emif1_ext_phy_ctrl_16_val_vayu" comment="Register_SOC-Vayu**********OFFSET: 0x00000278" hidden="1">DEC2HEX(SUM(_wrdata_ratio4_ch1_cs1*2^16,_wrdata_ratio4_ch1_cs0),8)</definedName>
    <definedName name="_emif1_ext_phy_ctrl_17_val_omap5" comment="Register_SOC-OMAP5*****OFFSET: 0x00000280*****INTERNAL ONLY" hidden="1">DEC2HEX(SUM(_phy_gatelvl_init_mode*2^1,_phy_use_rank0_delays),8)</definedName>
    <definedName name="_emif1_ext_phy_ctrl_17_val_vayu" comment="Register_SOC-Vayu**********OFFSET: 0x00000280" hidden="1">DEC2HEX(SUM(_wrdqs_ratio0_ch1_cs1*2^16,_wrdqs_ratio0_ch1_cs0),8)</definedName>
    <definedName name="_emif1_ext_phy_ctrl_18_val_omap5" comment="Register_SOC-OMAP5*****OFFSET: 0x00000288*****INTERNAL ONLY" hidden="1">DEC2HEX(SUM(_fifowe_init1_ch1_cs0*2^22,_fifowe_init0_ch1_cs1*2^11,_fifowe_init0_ch1_cs0)-(TRUNC(SUM(_fifowe_init1_ch1_cs0*2^22,_fifowe_init0_ch1_cs1*2^11,_fifowe_init0_ch1_cs0)/2^32)*2^32),8)</definedName>
    <definedName name="_emif1_ext_phy_ctrl_18_val_vayu" comment="Register_SOC-Vayu**********OFFSET: 0x00000288" hidden="1">DEC2HEX(SUM(_wrdqs_ratio1_ch1_cs1*2^16,_wrdqs_ratio1_ch1_cs0),8)</definedName>
    <definedName name="_emif1_ext_phy_ctrl_19_val_omap5" comment="Register_SOC-OMAP5*****OFFSET: 0x00000290*****INTERNAL ONLY" hidden="1">DEC2HEX(TRUNC(SUM(_fifowe_init2_ch1_cs1*2^33,_fifowe_init2_ch1_cs0*2^22,_fifowe_init1_ch1_cs1*2^11,_fifowe_init1_ch1_cs0)/2^10)-(TRUNC(SUM(_fifowe_init2_ch1_cs1*2^33,_fifowe_init2_ch1_cs0*2^22,_fifowe_init1_ch1_cs1*2^11,_fifowe_init1_ch1_cs0)/2^42)*2^32),8)</definedName>
    <definedName name="_emif1_ext_phy_ctrl_19_val_vayu" comment="Register_SOC-Vayu**********OFFSET: 0x00000290" hidden="1">DEC2HEX(SUM(_wrdqs_ratio2_ch1_cs1*2^16,_wrdqs_ratio2_ch1_cs0),8)</definedName>
    <definedName name="_emif1_ext_phy_ctrl_2_val_omap5" comment="Register_SOC-OMAP5*****OFFSET: 0x00000208*****INTERNAL ONLY" hidden="1">DEC2HEX(SUM(_fifowe_ratio1_ch1_cs0*2^22,_fifowe_ratio0_ch1_cs1*2^11,_fifowe_ratio0_ch1_cs0)-(TRUNC(SUM(_fifowe_ratio1_ch1_cs0*2^22,_fifowe_ratio0_ch1_cs1*2^11,_fifowe_ratio0_ch1_cs0)/2^32)*2^32),8)</definedName>
    <definedName name="_emif1_ext_phy_ctrl_2_val_vayu" comment="Register_SOC-Vayu**********OFFSET: 0x00000208" hidden="1">DEC2HEX(SUM(_fifowe_ratio0_ch1_cs1*2^16,_fifowe_ratio0_ch1_cs0),8)</definedName>
    <definedName name="_emif1_ext_phy_ctrl_20_val_omap5" comment="Register_SOC-OMAP5*****OFFSET: 0x00000298*****INTERNAL ONLY" hidden="1">DEC2HEX(TRUNC(SUM(_fifowe_init3_ch1_cs1*2^22,_fifowe_init3_ch1_cs0*2^11,_fifowe_init2_ch1_cs1)/2^9)-(TRUNC(SUM(_fifowe_init3_ch1_cs1*2^22,_fifowe_init3_ch1_cs0*2^11,_fifowe_init2_ch1_cs1)/2^41)*2^32),8)</definedName>
    <definedName name="_emif1_ext_phy_ctrl_20_val_vayu" comment="Register_SOC-Vayu**********OFFSET: 0x00000298" hidden="1">DEC2HEX(SUM(_wrdqs_ratio3_ch1_cs1*2^16,_wrdqs_ratio3_ch1_cs0),8)</definedName>
    <definedName name="_emif1_ext_phy_ctrl_21_val_omap5" comment="Register_SOC-OMAP5*****OFFSET: 0x000002A0*****INTERNAL ONLY" hidden="1">DEC2HEX(SUM(_wrdqs_init1_ch1_cs1*2^30,_wrdqs_init1_ch1_cs0*2^20,_wrdqs_init0_ch1_cs1*2^10,_wrdqs_init0_ch1_cs0)-(TRUNC(SUM(_wrdqs_init1_ch1_cs1*2^30,_wrdqs_init1_ch1_cs0*2^20,_wrdqs_init0_ch1_cs1*2^10,_wrdqs_init0_ch1_cs0)/2^32)*2^32),8)</definedName>
    <definedName name="_emif1_ext_phy_ctrl_21_val_vayu" comment="Register_SOC-Vayu**********OFFSET: 0x000002A0" hidden="1">DEC2HEX(SUM(_wrdqs_ratio4_ch1_cs1*2^16,_wrdqs_ratio4_ch1_cs0),8)</definedName>
    <definedName name="_emif1_ext_phy_ctrl_22_val_omap5" comment="Register_SOC-OMAP5*****OFFSET: 0x000002A8*****INTERNAL ONLY" hidden="1">DEC2HEX(TRUNC(SUM(_wrdqs_init3_ch1_cs0*2^30,_wrdqs_init2_ch1_cs1*2^20,_wrdqs_init2_ch1_cs0*2^10,_wrdqs_init1_ch1_cs1)/2^2)-(TRUNC(SUM(_wrdqs_init3_ch1_cs0*2^30,_wrdqs_init2_ch1_cs1*2^20,_wrdqs_init2_ch1_cs0*2^10,_wrdqs_init1_ch1_cs1)/2^34)*2^32),8)</definedName>
    <definedName name="_emif1_ext_phy_ctrl_22_val_vayu" comment="Register_SOC-Vayu**********OFFSET: 0x000002A8" hidden="1">DEC2HEX(SUM(_phy_fifowe_delay*2^16,_phy_ctrl_delay),8)</definedName>
    <definedName name="_emif1_ext_phy_ctrl_23_val_omap5" comment="Register_SOC-OMAP5*****OFFSET: 0x000002B0*****INTERNAL ONLY" hidden="1">DEC2HEX(TRUNC(SUM(_wrdqs_init3_ch1_cs1*2^10,_wrdqs_init3_ch1_cs0)/2^4)-(TRUNC(SUM(_wrdqs_init3_ch1_cs1*2^10,_wrdqs_init3_ch1_cs0)/2^36)*2^32),8)</definedName>
    <definedName name="_emif1_ext_phy_ctrl_23_val_vayu" comment="Register_SOC-Vayu**********OFFSET: 0x000002B0" hidden="1">DEC2HEX(SUM(_phy_wrdqs_delay*2^16,_phy_rddqs_delay),8)</definedName>
    <definedName name="_emif1_ext_phy_ctrl_24_val_omap5" comment="Register_SOC-OMAP5*****OFFSET: 0x000002B8*****INTERNAL ONLY" hidden="1">DEC2HEX(SUM(_phy_wrlvl_num_dq0*2^4,_phy_gatelvl_num_dq0),8)</definedName>
    <definedName name="_emif1_ext_phy_ctrl_24_val_vayu" comment="Register_SOC-Vayu**********OFFSET: 0x000002B8" hidden="1">DEC2HEX(SUM(_phy_dq_offset4*2^24,_phy_gatelvl_init_mode*2^16,_phy_use_rank0_delays*2^12,_phy_wrdata_delay),8)</definedName>
    <definedName name="_emif1_ext_phy_ctrl_3_val_omap5" comment="Register_SOC-OMAP5*****OFFSET: 0x00000210*****INTERNAL ONLY" hidden="1">DEC2HEX(TRUNC(SUM(_fifowe_ratio2_ch1_cs1*2^33,_fifowe_ratio2_ch1_cs0*2^22,_fifowe_ratio1_ch1_cs1*2^11,_fifowe_ratio1_ch1_cs0)/2^10)-(TRUNC(SUM(_fifowe_ratio2_ch1_cs1*2^33,_fifowe_ratio2_ch1_cs0*2^22,_fifowe_ratio1_ch1_cs1*2^11,_fifowe_ratio1_ch1_cs0)/2^42)*2^32),8)</definedName>
    <definedName name="_emif1_ext_phy_ctrl_3_val_vayu" comment="Register_SOC-Vayu**********OFFSET: 0x00000210" hidden="1">DEC2HEX(SUM(_fifowe_ratio1_ch1_cs1*2^16,_fifowe_ratio1_ch1_cs0),8)</definedName>
    <definedName name="_emif1_ext_phy_ctrl_4_val_omap5" comment="Register_SOC-OMAP5*****OFFSET: 0x00000218*****INTERNAL ONLY" hidden="1">DEC2HEX(TRUNC(SUM(_fifowe_ratio3_ch1_cs1*2^22,_fifowe_ratio3_ch1_cs0*2^11,_fifowe_ratio2_ch1_cs1)/2^9)-(TRUNC(SUM(_fifowe_ratio3_ch1_cs1*2^22,_fifowe_ratio3_ch1_cs0*2^11,_fifowe_ratio2_ch1_cs1)/2^41)*2^32),8)</definedName>
    <definedName name="_emif1_ext_phy_ctrl_4_val_vayu" comment="Register_SOC-Vayu**********OFFSET: 0x00000218" hidden="1">DEC2HEX(SUM(_fifowe_ratio2_ch1_cs1*2^16,_fifowe_ratio2_ch1_cs0),8)</definedName>
    <definedName name="_emif1_ext_phy_ctrl_5_val_omap5" comment="Register_SOC-OMAP5*****OFFSET: 0x00000220*****INTERNAL ONLY" hidden="1">DEC2HEX(SUM(_rddqs_ratio1*2^30,_rddqs_ratio1*2^20,_rddqs_ratio0*2^10,_rddqs_ratio0)-(TRUNC(SUM(_rddqs_ratio1*2^30,_rddqs_ratio1*2^20,_rddqs_ratio0*2^10,_rddqs_ratio0)/2^32)*2^32),8)</definedName>
    <definedName name="_emif1_ext_phy_ctrl_5_val_vayu" comment="Register_SOC-Vayu**********OFFSET: 0x00000220" hidden="1">DEC2HEX(SUM(_fifowe_ratio3_ch1_cs1*2^16,_fifowe_ratio3_ch1_cs0),8)</definedName>
    <definedName name="_emif1_ext_phy_ctrl_6_val_omap5" comment="Register_SOC-OMAP5*****OFFSET: 0x00000228*****INTERNAL ONLY" hidden="1">DEC2HEX(TRUNC(SUM(_rddqs_ratio3*2^30,_rddqs_ratio2*2^20,_rddqs_ratio2*2^10,_rddqs_ratio1)/2^2)-(TRUNC(SUM(_rddqs_ratio3*2^30,_rddqs_ratio2*2^20,_rddqs_ratio2*2^10,_rddqs_ratio1)/2^34)*2^32),8)</definedName>
    <definedName name="_emif1_ext_phy_ctrl_6_val_vayu" comment="Register_SOC-Vayu**********OFFSET: 0x00000228" hidden="1">DEC2HEX(SUM(_fifowe_ratio4_ch1_cs1*2^16,_fifowe_ratio4_ch1_cs0),8)</definedName>
    <definedName name="_emif1_ext_phy_ctrl_7_val_omap5" comment="Register_SOC-OMAP5*****OFFSET: 0x00000230*****INTERNAL ONLY" hidden="1">DEC2HEX(TRUNC(SUM(_rddqs_ratio3*2^10,_rddqs_ratio3)/2^4)-(TRUNC(SUM(_rddqs_ratio3*2^10,_rddqs_ratio3)/2^36)*2^32),8)</definedName>
    <definedName name="_emif1_ext_phy_ctrl_7_val_vayu" comment="Register_SOC-Vayu**********OFFSET: 0x00000230" hidden="1">DEC2HEX(SUM(_rddqs_ratio0*2^16,_rddqs_ratio0),8)</definedName>
    <definedName name="_emif1_ext_phy_ctrl_8_val_omap5" comment="Register_SOC-OMAP5*****OFFSET: 0x00000238*****INTERNAL ONLY" hidden="1">DEC2HEX(SUM(_wrdata_ratio1_ch1_cs1*2^30,_wrdata_ratio1_ch1_cs0*2^20,_wrdata_ratio0_ch1_cs1*2^10,_wrdata_ratio0_ch1_cs0)-(TRUNC(SUM(_wrdata_ratio1_ch1_cs1*2^30,_wrdata_ratio1_ch1_cs0*2^20,_wrdata_ratio0_ch1_cs1*2^10,_wrdata_ratio0_ch1_cs0)/2^32)*2^32),8)</definedName>
    <definedName name="_emif1_ext_phy_ctrl_8_val_vayu" comment="Register_SOC-Vayu**********OFFSET: 0x00000238" hidden="1">DEC2HEX(SUM(_rddqs_ratio1*2^16,_rddqs_ratio1),8)</definedName>
    <definedName name="_emif1_ext_phy_ctrl_9_val_omap5" comment="Register_SOC-OMAP5*****OFFSET: 0x00000240*****INTERNAL ONLY" hidden="1">DEC2HEX(TRUNC(SUM(_wrdata_ratio3_ch1_cs0*2^30,_wrdata_ratio2_ch1_cs1*2^20,_wrdata_ratio2_ch1_cs0*2^10,_wrdata_ratio1_ch1_cs1)/2^2)-(TRUNC(SUM(_wrdata_ratio3_ch1_cs0*2^30,_wrdata_ratio2_ch1_cs1*2^20,_wrdata_ratio2_ch1_cs0*2^10,_wrdata_ratio1_ch1_cs1)/2^34)*2^32),8)</definedName>
    <definedName name="_emif1_ext_phy_ctrl_9_val_vayu" comment="Register_SOC-Vayu**********OFFSET: 0x00000240" hidden="1">DEC2HEX(SUM(_rddqs_ratio2*2^16,_rddqs_ratio2),8)</definedName>
    <definedName name="_EMIF2_EXT_PHY_CTRL_1_VAL" comment="Register*****OFFSET: 0x00000200*****OMAP5 has different PHY register def than AVATAR" hidden="1">CHOOSE(MATCH('Title-README'!_soc_name,'Title-README'!_soc_names,0),_emif2_ext_phy_ctrl_1_val_omap5,_emif2_ext_phy_ctrl_1_val_vayu,_emif2_ext_phy_ctrl_1_val_vayu,_emif2_ext_phy_ctrl_1_val_vayu)</definedName>
    <definedName name="_emif2_ext_phy_ctrl_1_val_omap5" comment="Register_SOC-OMAP5*****OFFSET: 0x00000200*****INTERNAL ONLY" hidden="1">DEC2HEX(SUM(_ctrl_ratio2*2^20,_ctrl_ratio1*2^10,_ctrl_ratio0),8)</definedName>
    <definedName name="_emif2_ext_phy_ctrl_1_val_vayu" comment="Register_SOC-Vayu**********OFFSET: 0x00000200" hidden="1">DEC2HEX(SUM(_ctrl_ratio2*2^20,_ctrl_ratio1*2^10,_ctrl_ratio0),8)</definedName>
    <definedName name="_EMIF2_EXT_PHY_CTRL_10_VAL" comment="Register*****OFFSET: 0x00000248*****OMAP5 has different PHY register def than AVATAR" hidden="1">CHOOSE(MATCH('Title-README'!_soc_name,'Title-README'!_soc_names,0),_emif2_ext_phy_ctrl_10_val_omap5,_emif2_ext_phy_ctrl_10_val_vayu,_emif2_ext_phy_ctrl_10_val_vayu,_emif2_ext_phy_ctrl_10_val_vayu)</definedName>
    <definedName name="_emif2_ext_phy_ctrl_10_val_omap5" comment="Register_SOC-OMAP5*****OFFSET: 0x00000248*****INTERNAL ONLY" hidden="1">DEC2HEX(TRUNC(SUM(_wrdata_ratio3_ch2_cs1*2^10,_wrdata_ratio3_ch2_cs0)/2^4)-(TRUNC(SUM(_wrdata_ratio3_ch2_cs1*2^10,_wrdata_ratio3_ch2_cs0)/2^36)*2^32),8)</definedName>
    <definedName name="_emif2_ext_phy_ctrl_10_val_vayu" comment="Register_SOC-Vayu**********OFFSET: 0x00000248" hidden="1">DEC2HEX(SUM(_rddqs_ratio3*2^16,_rddqs_ratio3),8)</definedName>
    <definedName name="_EMIF2_EXT_PHY_CTRL_11_VAL" comment="Register*****OFFSET: 0x00000250*****OMAP5 has different PHY register def than AVATAR" hidden="1">CHOOSE(MATCH('Title-README'!_soc_name,'Title-README'!_soc_names,0),_emif2_ext_phy_ctrl_11_val_omap5,_emif2_ext_phy_ctrl_11_val_vayu,_emif2_ext_phy_ctrl_11_val_vayu,_emif2_ext_phy_ctrl_11_val_vayu)</definedName>
    <definedName name="_emif2_ext_phy_ctrl_11_val_omap5" comment="Register_SOC-OMAP5*****OFFSET: 0x00000250*****INTERNAL ONLY" hidden="1">DEC2HEX(SUM(_wrdqs_ratio1_ch2_cs1*2^30,_wrdqs_ratio1_ch2_cs0*2^20,_wrdqs_ratio0_ch2_cs1*2^10,_wrdqs_ratio0_ch2_cs0)-(TRUNC(SUM(_wrdqs_ratio1_ch2_cs1*2^30,_wrdqs_ratio1_ch2_cs0*2^20,_wrdqs_ratio0_ch2_cs1*2^10,_wrdqs_ratio0_ch2_cs0)/2^32)*2^32),8)</definedName>
    <definedName name="_emif2_ext_phy_ctrl_11_val_vayu" comment="Register_SOC-Vayu**********OFFSET: 0x00000250" hidden="1">DEC2HEX(SUM(_rddqs_ratio4*2^16,_rddqs_ratio4),8)</definedName>
    <definedName name="_EMIF2_EXT_PHY_CTRL_12_VAL" comment="Register*****OFFSET: 0x00000258*****OMAP5 has different PHY register def than AVATAR" hidden="1">CHOOSE(MATCH('Title-README'!_soc_name,'Title-README'!_soc_names,0),_emif2_ext_phy_ctrl_12_val_omap5,_emif2_ext_phy_ctrl_12_val_vayu,_emif2_ext_phy_ctrl_12_val_vayu,_emif2_ext_phy_ctrl_12_val_vayu)</definedName>
    <definedName name="_emif2_ext_phy_ctrl_12_val_omap5" comment="Register_SOC-OMAP5*****OFFSET: 0x00000258*****INTERNAL ONLY" hidden="1">DEC2HEX(TRUNC(SUM(_wrdqs_ratio3_ch2_cs0*2^30,_wrdqs_ratio2_ch2_cs1*2^20,_wrdqs_ratio2_ch2_cs0*2^10,_wrdqs_ratio1_ch2_cs1)/2^2)-(TRUNC(SUM(_wrdqs_ratio3_ch2_cs0*2^30,_wrdqs_ratio2_ch2_cs1*2^20,_wrdqs_ratio2_ch2_cs0*2^10,_wrdqs_ratio1_ch2_cs1)/2^34)*2^32),8)</definedName>
    <definedName name="_emif2_ext_phy_ctrl_12_val_vayu" comment="Register_SOC-Vayu**********OFFSET: 0x00000258" hidden="1">DEC2HEX(SUM(_wrdata_ratio0_ch2_cs1*2^16,_wrdata_ratio0_ch2_cs0),8)</definedName>
    <definedName name="_EMIF2_EXT_PHY_CTRL_13_VAL" comment="Register*****OFFSET: 0x00000260*****OMAP5 has different PHY register def than AVATAR" hidden="1">CHOOSE(MATCH('Title-README'!_soc_name,'Title-README'!_soc_names,0),_emif2_ext_phy_ctrl_13_val_omap5,_emif2_ext_phy_ctrl_13_val_vayu,_emif2_ext_phy_ctrl_13_val_vayu,_emif2_ext_phy_ctrl_13_val_vayu)</definedName>
    <definedName name="_emif2_ext_phy_ctrl_13_val_omap5" comment="Register_SOC-OMAP5*****OFFSET: 0x00000260*****INTERNAL ONLY" hidden="1">DEC2HEX(TRUNC(SUM(_wrdqs_ratio3_ch2_cs1*2^10,_wrdqs_ratio3_ch2_cs0)/2^4)-(TRUNC(SUM(_wrdqs_ratio3_ch2_cs1*2^10,_wrdqs_ratio3_ch2_cs0)/2^36)*2^32),8)</definedName>
    <definedName name="_emif2_ext_phy_ctrl_13_val_vayu" comment="Register_SOC-Vayu**********OFFSET: 0x00000260" hidden="1">DEC2HEX(SUM(_wrdata_ratio1_ch2_cs1*2^16,_wrdata_ratio1_ch2_cs0),8)</definedName>
    <definedName name="_EMIF2_EXT_PHY_CTRL_14_VAL" comment="Register*****OFFSET: 0x00000268*****OMAP5 has different PHY register def than AVATAR" hidden="1">CHOOSE(MATCH('Title-README'!_soc_name,'Title-README'!_soc_names,0),_emif2_ext_phy_ctrl_14_val_omap5,_emif2_ext_phy_ctrl_14_val_vayu,_emif2_ext_phy_ctrl_14_val_vayu,_emif2_ext_phy_ctrl_14_val_vayu)</definedName>
    <definedName name="_emif2_ext_phy_ctrl_14_val_omap5" comment="Register_SOC-OMAP5*****OFFSET: 0x00000268*****INTERNAL ONLY" hidden="1">DEC2HEX(SUM(_phy_rddqs_delay*2^24,_phy_fifowe_delay*2^12,_phy_ctrl_delay)-(TRUNC(SUM(_phy_rddqs_delay*2^24,_phy_fifowe_delay*2^12,_phy_ctrl_delay)/2^32)*2^32),8)</definedName>
    <definedName name="_emif2_ext_phy_ctrl_14_val_vayu" comment="Register_SOC-Vayu**********OFFSET: 0x00000268" hidden="1">DEC2HEX(SUM(_wrdata_ratio2_ch2_cs1*2^16,_wrdata_ratio2_ch2_cs0),8)</definedName>
    <definedName name="_EMIF2_EXT_PHY_CTRL_15_VAL" comment="Register*****OFFSET: 0x00000270*****OMAP5 has different PHY register def than AVATAR" hidden="1">CHOOSE(MATCH('Title-README'!_soc_name,'Title-README'!_soc_names,0),_emif2_ext_phy_ctrl_15_val_omap5,_emif2_ext_phy_ctrl_15_val_vayu,_emif2_ext_phy_ctrl_15_val_vayu,_emif2_ext_phy_ctrl_15_val_vayu)</definedName>
    <definedName name="_emif2_ext_phy_ctrl_15_val_omap5" comment="Register_SOC-OMAP5*****OFFSET: 0x00000270*****INTERNAL ONLY" hidden="1">DEC2HEX(TRUNC(SUM(_phy_wrdata_delay*2^24,_phy_wrdqs_delay*2^12,_phy_rddqs_delay)/2^8),8)</definedName>
    <definedName name="_emif2_ext_phy_ctrl_15_val_vayu" comment="Register_SOC-Vayu**********OFFSET: 0x00000270" hidden="1">DEC2HEX(SUM(_wrdata_ratio3_ch2_cs1*2^16,_wrdata_ratio3_ch2_cs0),8)</definedName>
    <definedName name="_EMIF2_EXT_PHY_CTRL_16_VAL" comment="Register*****OFFSET: 0x00000278*****OMAP5 has different PHY register def than AVATAR" hidden="1">CHOOSE(MATCH('Title-README'!_soc_name,'Title-README'!_soc_names,0),_emif2_ext_phy_ctrl_16_val_omap5,_emif2_ext_phy_ctrl_16_val_vayu,_emif2_ext_phy_ctrl_16_val_vayu,_emif2_ext_phy_ctrl_16_val_vayu)</definedName>
    <definedName name="_emif2_ext_phy_ctrl_16_val_omap5" comment="Register_SOC-OMAP5*****OFFSET: 0x00000278*****INTERNAL ONLY" hidden="1">DEC2HEX(SUM(_phy_dq_offset3*2^21,_phy_dq_offset2*2^14,_phy_dq_offset1*2^7,_phy_dq_offset0),8)</definedName>
    <definedName name="_emif2_ext_phy_ctrl_16_val_vayu" comment="Register_SOC-Vayu**********OFFSET: 0x00000278" hidden="1">DEC2HEX(SUM(_wrdata_ratio4_ch2_cs1*2^16,_wrdata_ratio4_ch2_cs0),8)</definedName>
    <definedName name="_EMIF2_EXT_PHY_CTRL_17_VAL" comment="Register*****OFFSET: 0x00000280*****OMAP5 has different PHY register def than AVATAR" hidden="1">CHOOSE(MATCH('Title-README'!_soc_name,'Title-README'!_soc_names,0),_emif2_ext_phy_ctrl_17_val_omap5,_emif2_ext_phy_ctrl_17_val_vayu,_emif2_ext_phy_ctrl_17_val_vayu,_emif2_ext_phy_ctrl_17_val_vayu)</definedName>
    <definedName name="_emif2_ext_phy_ctrl_17_val_omap5" comment="Register_SOC-OMAP5*****OFFSET: 0x00000280*****INTERNAL ONLY" hidden="1">DEC2HEX(SUM(_phy_gatelvl_init_mode*2^1,_phy_use_rank0_delays),8)</definedName>
    <definedName name="_emif2_ext_phy_ctrl_17_val_vayu" comment="Register_SOC-Vayu**********OFFSET: 0x00000280" hidden="1">DEC2HEX(SUM(_wrdqs_ratio0_ch2_cs1*2^16,_wrdqs_ratio0_ch2_cs0),8)</definedName>
    <definedName name="_EMIF2_EXT_PHY_CTRL_18_VAL" comment="Register*****OFFSET: 0x00000288*****OMAP5 has different PHY register def than AVATAR" hidden="1">CHOOSE(MATCH('Title-README'!_soc_name,'Title-README'!_soc_names,0),_emif2_ext_phy_ctrl_18_val_omap5,_emif2_ext_phy_ctrl_18_val_vayu,_emif2_ext_phy_ctrl_18_val_vayu,_emif2_ext_phy_ctrl_18_val_vayu)</definedName>
    <definedName name="_emif2_ext_phy_ctrl_18_val_omap5" comment="Register_SOC-OMAP5*****OFFSET: 0x00000288*****INTERNAL ONLY" hidden="1">DEC2HEX(SUM(_fifowe_init1_ch2_cs0*2^22,_fifowe_init0_ch2_cs1*2^11,_fifowe_init0_ch2_cs0)-(TRUNC(SUM(_fifowe_init1_ch2_cs0*2^22,_fifowe_init0_ch2_cs1*2^11,_fifowe_init0_ch2_cs0)/2^32)*2^32),8)</definedName>
    <definedName name="_emif2_ext_phy_ctrl_18_val_vayu" comment="Register_SOC-Vayu**********OFFSET: 0x00000288" hidden="1">DEC2HEX(SUM(_wrdqs_ratio1_ch2_cs1*2^16,_wrdqs_ratio1_ch2_cs0),8)</definedName>
    <definedName name="_EMIF2_EXT_PHY_CTRL_19_VAL" comment="Register*****OFFSET: 0x00000290*****OMAP5 has different PHY register def than AVATAR" hidden="1">CHOOSE(MATCH('Title-README'!_soc_name,'Title-README'!_soc_names,0),_emif2_ext_phy_ctrl_19_val_omap5,_emif2_ext_phy_ctrl_19_val_vayu,_emif2_ext_phy_ctrl_19_val_vayu,_emif2_ext_phy_ctrl_19_val_vayu)</definedName>
    <definedName name="_emif2_ext_phy_ctrl_19_val_omap5" comment="Register_SOC-OMAP5*****OFFSET: 0x00000290*****INTERNAL ONLY" hidden="1">DEC2HEX(TRUNC(SUM(_fifowe_init2_ch2_cs1*2^33,_fifowe_init2_ch2_cs0*2^22,_fifowe_init1_ch2_cs1*2^11,_fifowe_init1_ch2_cs0)/2^10)-(TRUNC(SUM(_fifowe_init2_ch2_cs1*2^33,_fifowe_init2_ch2_cs0*2^22,_fifowe_init1_ch2_cs1*2^11,_fifowe_init1_ch2_cs0)/2^42)*2^32),8)</definedName>
    <definedName name="_emif2_ext_phy_ctrl_19_val_vayu" comment="Register_SOC-Vayu**********OFFSET: 0x00000290" hidden="1">DEC2HEX(SUM(_wrdqs_ratio2_ch2_cs1*2^16,_wrdqs_ratio2_ch2_cs0),8)</definedName>
    <definedName name="_EMIF2_EXT_PHY_CTRL_2_VAL" comment="Register*****OFFSET: 0x00000208*****OMAP5 has different PHY register def than AVATAR" hidden="1">CHOOSE(MATCH('Title-README'!_soc_name,'Title-README'!_soc_names,0),_emif2_ext_phy_ctrl_2_val_omap5,_emif2_ext_phy_ctrl_2_val_vayu,_emif2_ext_phy_ctrl_2_val_vayu,_emif2_ext_phy_ctrl_2_val_vayu)</definedName>
    <definedName name="_emif2_ext_phy_ctrl_2_val_omap5" comment="Register_SOC-OMAP5*****OFFSET: 0x00000208*****INTERNAL ONLY" hidden="1">DEC2HEX(SUM(_fifowe_ratio1_ch2_cs0*2^22,_fifowe_ratio0_ch2_cs1*2^11,_fifowe_ratio0_ch2_cs0)-(TRUNC(SUM(_fifowe_ratio1_ch2_cs0*2^22,_fifowe_ratio0_ch2_cs1*2^11,_fifowe_ratio0_ch2_cs0)/2^32)*2^32),8)</definedName>
    <definedName name="_emif2_ext_phy_ctrl_2_val_vayu" comment="Register_SOC-Vayu**********OFFSET: 0x00000208" hidden="1">DEC2HEX(SUM(_fifowe_ratio0_ch2_cs1*2^16,_fifowe_ratio0_ch2_cs0),8)</definedName>
    <definedName name="_EMIF2_EXT_PHY_CTRL_20_VAL" comment="Register*****OFFSET: 0x00000298*****OMAP5 has different PHY register def than AVATAR" hidden="1">CHOOSE(MATCH('Title-README'!_soc_name,'Title-README'!_soc_names,0),_emif2_ext_phy_ctrl_20_val_omap5,_emif2_ext_phy_ctrl_20_val_vayu,_emif2_ext_phy_ctrl_20_val_vayu,_emif2_ext_phy_ctrl_20_val_vayu)</definedName>
    <definedName name="_emif2_ext_phy_ctrl_20_val_omap5" comment="Register_SOC-OMAP5*****OFFSET: 0x00000298*****INTERNAL ONLY" hidden="1">DEC2HEX(TRUNC(SUM(_fifowe_init3_ch2_cs1*2^22,_fifowe_init3_ch2_cs0*2^11,_fifowe_init2_ch2_cs1)/2^9)-(TRUNC(SUM(_fifowe_init3_ch2_cs1*2^22,_fifowe_init3_ch2_cs0*2^11,_fifowe_init2_ch2_cs1)/2^41)*2^32),8)</definedName>
    <definedName name="_emif2_ext_phy_ctrl_20_val_vayu" comment="Register_SOC-Vayu**********OFFSET: 0x00000298" hidden="1">DEC2HEX(SUM(_wrdqs_ratio3_ch2_cs1*2^16,_wrdqs_ratio3_ch2_cs0),8)</definedName>
    <definedName name="_EMIF2_EXT_PHY_CTRL_21_VAL" comment="Register*****OFFSET: 0x000002A0*****OMAP5 has different PHY register def than AVATAR" hidden="1">CHOOSE(MATCH('Title-README'!_soc_name,'Title-README'!_soc_names,0),_emif2_ext_phy_ctrl_21_val_omap5,_emif2_ext_phy_ctrl_21_val_vayu,_emif2_ext_phy_ctrl_21_val_vayu,_emif2_ext_phy_ctrl_21_val_vayu)</definedName>
    <definedName name="_emif2_ext_phy_ctrl_21_val_omap5" comment="Register_SOC-OMAP5*****OFFSET: 0x000002A0*****INTERNAL ONLY" hidden="1">DEC2HEX(SUM(_wrdqs_init1_ch2_cs1*2^30,_wrdqs_init1_ch2_cs0*2^20,_wrdqs_init0_ch2_cs1*2^10,_wrdqs_init0_ch2_cs0)-(TRUNC(SUM(_wrdqs_init1_ch2_cs1*2^30,_wrdqs_init1_ch2_cs0*2^20,_wrdqs_init0_ch2_cs1*2^10,_wrdqs_init0_ch2_cs0)/2^32)*2^32),8)</definedName>
    <definedName name="_emif2_ext_phy_ctrl_21_val_vayu" comment="Register_SOC-Vayu**********OFFSET: 0x000002A0" hidden="1">DEC2HEX(SUM(_wrdqs_ratio4_ch2_cs1*2^16,_wrdqs_ratio4_ch2_cs0),8)</definedName>
    <definedName name="_EMIF2_EXT_PHY_CTRL_22_VAL" comment="Register*****OFFSET: 0x000002A8*****OMAP5 has different PHY register def than AVATAR" hidden="1">CHOOSE(MATCH('Title-README'!_soc_name,'Title-README'!_soc_names,0),_emif2_ext_phy_ctrl_22_val_omap5,_emif2_ext_phy_ctrl_22_val_vayu,_emif2_ext_phy_ctrl_22_val_vayu,_emif2_ext_phy_ctrl_22_val_vayu)</definedName>
    <definedName name="_emif2_ext_phy_ctrl_22_val_omap5" comment="Register_SOC-OMAP5*****OFFSET: 0x000002A8*****INTERNAL ONLY" hidden="1">DEC2HEX(TRUNC(SUM(_wrdqs_init3_ch2_cs0*2^30,_wrdqs_init2_ch2_cs1*2^20,_wrdqs_init2_ch2_cs0*2^10,_wrdqs_init1_ch2_cs1)/2^2)-(TRUNC(SUM(_wrdqs_init3_ch2_cs0*2^30,_wrdqs_init2_ch2_cs1*2^20,_wrdqs_init2_ch2_cs0*2^10,_wrdqs_init1_ch2_cs1)/2^34)*2^32),8)</definedName>
    <definedName name="_emif2_ext_phy_ctrl_22_val_vayu" comment="Register_SOC-Vayu**********OFFSET: 0x000002A8" hidden="1">DEC2HEX(SUM(_phy_fifowe_delay*2^16,_phy_ctrl_delay),8)</definedName>
    <definedName name="_EMIF2_EXT_PHY_CTRL_23_VAL" comment="Register*****OFFSET: 0x000002B0*****OMAP5 has different PHY register def than AVATAR" hidden="1">CHOOSE(MATCH('Title-README'!_soc_name,'Title-README'!_soc_names,0),_emif2_ext_phy_ctrl_23_val_omap5,_emif2_ext_phy_ctrl_23_val_vayu,_emif2_ext_phy_ctrl_23_val_vayu,_emif2_ext_phy_ctrl_23_val_vayu)</definedName>
    <definedName name="_emif2_ext_phy_ctrl_23_val_omap5" comment="Register_SOC-OMAP5*****OFFSET: 0x000002B0*****INTERNAL ONLY" hidden="1">DEC2HEX(TRUNC(SUM(_wrdqs_init3_ch2_cs1*2^10,_wrdqs_init3_ch2_cs0)/2^4)-(TRUNC(SUM(_wrdqs_init3_ch2_cs1*2^10,_wrdqs_init3_ch2_cs0)/2^36)*2^32),8)</definedName>
    <definedName name="_emif2_ext_phy_ctrl_23_val_vayu" comment="Register_SOC-Vayu**********OFFSET: 0x000002B0" hidden="1">DEC2HEX(SUM(_phy_wrdqs_delay*2^16,_phy_rddqs_delay),8)</definedName>
    <definedName name="_EMIF2_EXT_PHY_CTRL_24_VAL" comment="Register*****OFFSET: 0x000002B8*****OMAP5 has different PHY register def than AVATAR" hidden="1">CHOOSE(MATCH('Title-README'!_soc_name,'Title-README'!_soc_names,0),_emif2_ext_phy_ctrl_24_val_omap5,_emif2_ext_phy_ctrl_24_val_vayu,_emif2_ext_phy_ctrl_24_val_vayu,_emif2_ext_phy_ctrl_24_val_vayu)</definedName>
    <definedName name="_emif2_ext_phy_ctrl_24_val_omap5" comment="Register_SOC-OMAP5*****OFFSET: 0x000002B8*****INTERNAL ONLY" hidden="1">DEC2HEX(SUM(_phy_wrlvl_num_dq0*2^4,_phy_gatelvl_num_dq0),8)</definedName>
    <definedName name="_emif2_ext_phy_ctrl_24_val_vayu" comment="Register_SOC-Vayu**********OFFSET: 0x000002B8" hidden="1">DEC2HEX(SUM(_phy_dq_offset4*2^24,_phy_gatelvl_init_mode*2^16,_phy_use_rank0_delays*2^12,_phy_wrdata_delay),8)</definedName>
    <definedName name="_EMIF2_EXT_PHY_CTRL_25_VAL" comment="Register*****OFFSET: 0x000002C0*****AVATAR ONLY" hidden="1">DEC2HEX(SUM(_phy_dq_offset3*2^21,_phy_dq_offset2*2^14,_phy_dq_offset1*2^7,_phy_dq_offset0),8)</definedName>
    <definedName name="_EMIF2_EXT_PHY_CTRL_26_VAL" comment="Register*****OFFSET: 0x000002C8*****AVATAR ONLY" hidden="1">DEC2HEX(SUM(_fifowe_init0_ch2_cs1*2^16,_fifowe_init0_ch2_cs0),8)</definedName>
    <definedName name="_EMIF2_EXT_PHY_CTRL_27_VAL" comment="Register*****OFFSET: 0x000002D0*****AVATAR ONLY" hidden="1">DEC2HEX(SUM(_fifowe_init1_ch2_cs1*2^16,_fifowe_init1_ch2_cs0),8)</definedName>
    <definedName name="_EMIF2_EXT_PHY_CTRL_28_VAL" comment="Register*****OFFSET: 0x000002D8*****AVATAR ONLY" hidden="1">DEC2HEX(SUM(_fifowe_init2_ch2_cs1*2^16,_fifowe_init2_ch2_cs0),8)</definedName>
    <definedName name="_EMIF2_EXT_PHY_CTRL_29_VAL" comment="Register*****OFFSET: 0x000002E0*****AVATAR ONLY" hidden="1">DEC2HEX(SUM(_fifowe_init3_ch2_cs1*2^16,_fifowe_init3_ch2_cs0),8)</definedName>
    <definedName name="_EMIF2_EXT_PHY_CTRL_3_VAL" comment="Register*****OFFSET: 0x00000210*****OMAP5 has different PHY register def than AVATAR" hidden="1">CHOOSE(MATCH('Title-README'!_soc_name,'Title-README'!_soc_names,0),_emif2_ext_phy_ctrl_3_val_omap5,_emif2_ext_phy_ctrl_3_val_vayu,_emif2_ext_phy_ctrl_3_val_vayu,_emif2_ext_phy_ctrl_3_val_vayu)</definedName>
    <definedName name="_emif2_ext_phy_ctrl_3_val_omap5" comment="Register_SOC-OMAP5*****OFFSET: 0x00000210*****INTERNAL ONLY" hidden="1">DEC2HEX(TRUNC(SUM(_fifowe_ratio2_ch2_cs1*2^33,_fifowe_ratio2_ch2_cs0*2^22,_fifowe_ratio1_ch2_cs1*2^11,_fifowe_ratio1_ch2_cs0)/2^10)-(TRUNC(SUM(_fifowe_ratio2_ch2_cs1*2^33,_fifowe_ratio2_ch2_cs0*2^22,_fifowe_ratio1_ch2_cs1*2^11,_fifowe_ratio1_ch2_cs0)/2^42)*2^32),8)</definedName>
    <definedName name="_emif2_ext_phy_ctrl_3_val_vayu" comment="Register_SOC-Vayu**********OFFSET: 0x00000210" hidden="1">DEC2HEX(SUM(_fifowe_ratio1_ch2_cs1*2^16,_fifowe_ratio1_ch2_cs0),8)</definedName>
    <definedName name="_EMIF2_EXT_PHY_CTRL_30_VAL" comment="Register*****OFFSET: 0x000002E8*****AVATAR ONLY" hidden="1">DEC2HEX(SUM(_fifowe_init4_ch2_cs1*2^16,_fifowe_init4_ch2_cs0),8)</definedName>
    <definedName name="_EMIF2_EXT_PHY_CTRL_31_VAL" comment="Register*****OFFSET: 0x000002F0*****AVATAR ONLY" hidden="1">DEC2HEX(SUM(_wrdqs_init0_ch2_cs1*2^16,_wrdqs_init0_ch2_cs0),8)</definedName>
    <definedName name="_EMIF2_EXT_PHY_CTRL_32_VAL" comment="Register*****OFFSET: 0x000002F8*****AVATAR ONLY" hidden="1">DEC2HEX(SUM(_wrdqs_init1_ch2_cs1*2^16,_wrdqs_init1_ch2_cs0),8)</definedName>
    <definedName name="_EMIF2_EXT_PHY_CTRL_33_VAL" comment="Register*****OFFSET: 0x00000300*****AVATAR ONLY" hidden="1">DEC2HEX(SUM(_wrdqs_init2_ch2_cs1*2^16,_wrdqs_init2_ch2_cs0),8)</definedName>
    <definedName name="_EMIF2_EXT_PHY_CTRL_34_VAL" comment="Register*****OFFSET: 0x00000308*****AVATAR ONLY" hidden="1">DEC2HEX(SUM(_wrdqs_init3_ch2_cs1*2^16,_wrdqs_init3_ch2_cs0),8)</definedName>
    <definedName name="_EMIF2_EXT_PHY_CTRL_35_VAL" comment="Register*****OFFSET: 0x00000310*****AVATAR ONLY" hidden="1">DEC2HEX(SUM(_wrdqs_init4_ch2_cs1*2^16,_wrdqs_init4_ch2_cs0),8)</definedName>
    <definedName name="_EMIF2_EXT_PHY_CTRL_36_VAL" comment="Register*****OFFSET: 0x00000318*****AVATAR ONLY - Bits 10:8 not configured" hidden="1">DEC2HEX(SUM(_phy_wrlvl_num_dq0*2^4,_phy_gatelvl_num_dq0),8)</definedName>
    <definedName name="_EMIF2_EXT_PHY_CTRL_4_VAL" comment="Register*****OFFSET: 0x00000218*****OMAP5 has different PHY register def than AVATAR" hidden="1">CHOOSE(MATCH('Title-README'!_soc_name,'Title-README'!_soc_names,0),_emif2_ext_phy_ctrl_4_val_omap5,_emif2_ext_phy_ctrl_4_val_vayu,_emif2_ext_phy_ctrl_4_val_vayu,_emif2_ext_phy_ctrl_4_val_vayu)</definedName>
    <definedName name="_emif2_ext_phy_ctrl_4_val_omap5" comment="Register_SOC-OMAP5*****OFFSET: 0x00000218*****INTERNAL ONLY" hidden="1">DEC2HEX(TRUNC(SUM(_fifowe_ratio3_ch2_cs1*2^22,_fifowe_ratio3_ch2_cs0*2^11,_fifowe_ratio2_ch2_cs1)/2^9)-(TRUNC(SUM(_fifowe_ratio3_ch2_cs1*2^22,_fifowe_ratio3_ch2_cs0*2^11,_fifowe_ratio2_ch2_cs1)/2^41)*2^32),8)</definedName>
    <definedName name="_emif2_ext_phy_ctrl_4_val_vayu" comment="Register_SOC-Vayu**********OFFSET: 0x00000218" hidden="1">DEC2HEX(SUM(_fifowe_ratio2_ch2_cs1*2^16,_fifowe_ratio2_ch2_cs0),8)</definedName>
    <definedName name="_EMIF2_EXT_PHY_CTRL_5_VAL" comment="Register*****OFFSET: 0x00000220*****OMAP5 has different PHY register def than AVATAR" hidden="1">CHOOSE(MATCH('Title-README'!_soc_name,'Title-README'!_soc_names,0),_emif2_ext_phy_ctrl_5_val_omap5,_emif2_ext_phy_ctrl_5_val_vayu,_emif2_ext_phy_ctrl_5_val_vayu,_emif2_ext_phy_ctrl_5_val_vayu)</definedName>
    <definedName name="_emif2_ext_phy_ctrl_5_val_omap5" comment="Register_SOC-OMAP5*****OFFSET: 0x00000220*****INTERNAL ONLY" hidden="1">DEC2HEX(SUM(_rddqs_ratio1*2^30,_rddqs_ratio1*2^20,_rddqs_ratio0*2^10,_rddqs_ratio0)-(TRUNC(SUM(_rddqs_ratio1*2^30,_rddqs_ratio1*2^20,_rddqs_ratio0*2^10,_rddqs_ratio0)/2^32)*2^32),8)</definedName>
    <definedName name="_emif2_ext_phy_ctrl_5_val_vayu" comment="Register_SOC-Vayu**********OFFSET: 0x00000220" hidden="1">DEC2HEX(SUM(_fifowe_ratio3_ch2_cs1*2^16,_fifowe_ratio3_ch2_cs0),8)</definedName>
    <definedName name="_EMIF2_EXT_PHY_CTRL_6_VAL" comment="Register*****OFFSET: 0x00000228*****OMAP5 has different PHY register def than AVATAR" hidden="1">CHOOSE(MATCH('Title-README'!_soc_name,'Title-README'!_soc_names,0),_emif2_ext_phy_ctrl_6_val_omap5,_emif2_ext_phy_ctrl_6_val_vayu,_emif2_ext_phy_ctrl_6_val_vayu,_emif2_ext_phy_ctrl_6_val_vayu)</definedName>
    <definedName name="_emif2_ext_phy_ctrl_6_val_omap5" comment="Register_SOC-OMAP5*****OFFSET: 0x00000228*****INTERNAL ONLY" hidden="1">DEC2HEX(TRUNC(SUM(_rddqs_ratio3*2^30,_rddqs_ratio2*2^20,_rddqs_ratio2*2^10,_rddqs_ratio1)/2^2)-(TRUNC(SUM(_rddqs_ratio3*2^30,_rddqs_ratio2*2^20,_rddqs_ratio2*2^10,_rddqs_ratio1)/2^34)*2^32),8)</definedName>
    <definedName name="_emif2_ext_phy_ctrl_6_val_vayu" comment="Register_SOC-Vayu**********OFFSET: 0x00000228" hidden="1">DEC2HEX(SUM(_fifowe_ratio4_ch2_cs1*2^16,_fifowe_ratio4_ch2_cs0),8)</definedName>
    <definedName name="_EMIF2_EXT_PHY_CTRL_7_VAL" comment="Register*****OFFSET: 0x00000230*****OMAP5 has different PHY register def than AVATAR" hidden="1">CHOOSE(MATCH('Title-README'!_soc_name,'Title-README'!_soc_names,0),_emif2_ext_phy_ctrl_7_val_omap5,_emif2_ext_phy_ctrl_7_val_vayu,_emif2_ext_phy_ctrl_7_val_vayu,_emif2_ext_phy_ctrl_7_val_vayu)</definedName>
    <definedName name="_emif2_ext_phy_ctrl_7_val_omap5" comment="Register_SOC-OMAP5*****OFFSET: 0x00000230*****INTERNAL ONLY" hidden="1">DEC2HEX(TRUNC(SUM(_rddqs_ratio3*2^10,_rddqs_ratio3)/2^4)-(TRUNC(SUM(_rddqs_ratio3*2^10,_rddqs_ratio3)/2^36)*2^32),8)</definedName>
    <definedName name="_emif2_ext_phy_ctrl_7_val_vayu" comment="Register_SOC-Vayu**********OFFSET: 0x00000230" hidden="1">DEC2HEX(SUM(_rddqs_ratio0*2^16,_rddqs_ratio0),8)</definedName>
    <definedName name="_EMIF2_EXT_PHY_CTRL_8_VAL" comment="Register*****OFFSET: 0x00000238*****OMAP5 has different PHY register def than AVATAR" hidden="1">CHOOSE(MATCH('Title-README'!_soc_name,'Title-README'!_soc_names,0),_emif2_ext_phy_ctrl_8_val_omap5,_emif2_ext_phy_ctrl_8_val_vayu,_emif2_ext_phy_ctrl_8_val_vayu,_emif2_ext_phy_ctrl_8_val_vayu)</definedName>
    <definedName name="_emif2_ext_phy_ctrl_8_val_omap5" comment="Register_SOC-OMAP5*****OFFSET: 0x00000238*****INTERNAL ONLY" hidden="1">DEC2HEX(SUM(_wrdata_ratio1_ch2_cs1*2^30,_wrdata_ratio1_ch2_cs0*2^20,_wrdata_ratio0_ch2_cs1*2^10,_wrdata_ratio0_ch2_cs0)-(TRUNC(SUM(_wrdata_ratio1_ch2_cs1*2^30,_wrdata_ratio1_ch2_cs0*2^20,_wrdata_ratio0_ch2_cs1*2^10,_wrdata_ratio0_ch2_cs0)/2^32)*2^32),8)</definedName>
    <definedName name="_emif2_ext_phy_ctrl_8_val_vayu" comment="Register_SOC-Vayu**********OFFSET: 0x00000238" hidden="1">DEC2HEX(SUM(_rddqs_ratio1*2^16,_rddqs_ratio1),8)</definedName>
    <definedName name="_EMIF2_EXT_PHY_CTRL_9_VAL" comment="Register*****OFFSET: 0x00000240*****OMAP5 has different PHY register def than AVATAR" hidden="1">CHOOSE(MATCH('Title-README'!_soc_name,'Title-README'!_soc_names,0),_emif2_ext_phy_ctrl_9_val_omap5,_emif2_ext_phy_ctrl_9_val_vayu,_emif2_ext_phy_ctrl_9_val_vayu,_emif2_ext_phy_ctrl_9_val_vayu)</definedName>
    <definedName name="_emif2_ext_phy_ctrl_9_val_omap5" comment="Register_SOC-OMAP5*****OFFSET: 0x00000240*****INTERNAL ONLY" hidden="1">DEC2HEX(TRUNC(SUM(_wrdata_ratio3_ch2_cs0*2^30,_wrdata_ratio2_ch2_cs1*2^20,_wrdata_ratio2_ch2_cs0*2^10,_wrdata_ratio1_ch2_cs1)/2^2)-(TRUNC(SUM(_wrdata_ratio3_ch2_cs0*2^30,_wrdata_ratio2_ch2_cs1*2^20,_wrdata_ratio2_ch2_cs0*2^10,_wrdata_ratio1_ch2_cs1)/2^34)*2^32),8)</definedName>
    <definedName name="_emif2_ext_phy_ctrl_9_val_vayu" comment="Register_SOC-Vayu**********OFFSET: 0x00000240" hidden="1">DEC2HEX(SUM(_rddqs_ratio2*2^16,_rddqs_ratio2),8)</definedName>
    <definedName name="_enable_jedec" comment="XCEL_PARAM**********" hidden="1">0</definedName>
    <definedName name="_fifowe_init0_ch1_cs0" comment="Bit_Field_PHY_CTRL_EXT*****PHY_CONTROL_EXT[532:522]*****" hidden="1">_fifowe_ratio0_ch1_cs0 - ROUND((125000 / _ddr_pll_freq / _dll_res),0)</definedName>
    <definedName name="_fifowe_init0_ch1_cs1" comment="Bit_Field_PHY_CTRL_EXT*****PHY_CONTROL_EXT[543:533]*****" hidden="1">_fifowe_ratio0_ch1_cs1 - ROUND((125000 / _ddr_pll_freq / _dll_res),0)</definedName>
    <definedName name="_fifowe_init0_ch2_cs0" comment="Bit_Field_PHY_CTRL_EXT*****PHY_CONTROL_EXT[532:522]*****" hidden="1">_fifowe_ratio0_ch2_cs0 - ROUND((125000 / _ddr_pll_freq / _dll_res),0)</definedName>
    <definedName name="_fifowe_init0_ch2_cs1" comment="Bit_Field_PHY_CTRL_EXT*****PHY_CONTROL_EXT[543:533]*****" hidden="1">_fifowe_ratio0_ch2_cs1 - ROUND((125000 / _ddr_pll_freq / _dll_res),0)</definedName>
    <definedName name="_fifowe_init1_ch1_cs0" comment="Bit_Field_PHY_CTRL_EXT*****PHY_CONTROL_EXT[554:544]*****" hidden="1">_fifowe_ratio1_ch1_cs0 - ROUND((125000 / _ddr_pll_freq / _dll_res),0)</definedName>
    <definedName name="_fifowe_init1_ch1_cs1" comment="Bit_Field_PHY_CTRL_EXT*****PHY_CONTROL_EXT[565:555]*****" hidden="1">_fifowe_ratio1_ch1_cs1 - ROUND((125000 / _ddr_pll_freq / _dll_res),0)</definedName>
    <definedName name="_fifowe_init1_ch2_cs0" comment="Bit_Field_PHY_CTRL_EXT*****PHY_CONTROL_EXT[554:544]*****" hidden="1">_fifowe_ratio1_ch2_cs0 - ROUND((125000 / _ddr_pll_freq / _dll_res),0)</definedName>
    <definedName name="_fifowe_init1_ch2_cs1" comment="Bit_Field_PHY_CTRL_EXT*****PHY_CONTROL_EXT[565:555]*****" hidden="1">_fifowe_ratio1_ch2_cs1 - ROUND((125000 / _ddr_pll_freq / _dll_res),0)</definedName>
    <definedName name="_fifowe_init2_ch1_cs0" comment="Bit_Field_PHY_CTRL_EXT*****PHY_CONTROL_EXT[576:566]*****" hidden="1">_fifowe_ratio2_ch1_cs0 - ROUND((125000 / _ddr_pll_freq / _dll_res),0)</definedName>
    <definedName name="_fifowe_init2_ch1_cs1" comment="Bit_Field_PHY_CTRL_EXT*****PHY_CONTROL_EXT[587:577]*****" hidden="1">_fifowe_ratio2_ch1_cs1 - ROUND((125000 / _ddr_pll_freq / _dll_res),0)</definedName>
    <definedName name="_fifowe_init2_ch2_cs0" comment="Bit_Field_PHY_CTRL_EXT*****PHY_CONTROL_EXT[576:566]*****" hidden="1">_fifowe_ratio2_ch2_cs0 - ROUND((125000 / _ddr_pll_freq / _dll_res),0)</definedName>
    <definedName name="_fifowe_init2_ch2_cs1" comment="Bit_Field_PHY_CTRL_EXT*****PHY_CONTROL_EXT[587:577]*****" hidden="1">_fifowe_ratio2_ch2_cs1 - ROUND((125000 / _ddr_pll_freq / _dll_res),0)</definedName>
    <definedName name="_fifowe_init3_ch1_cs0" comment="Bit_Field_PHY_CTRL_EXT*****PHY_CONTROL_EXT[598:588]*****" hidden="1">_fifowe_ratio3_ch1_cs0 - ROUND((125000 / _ddr_pll_freq / _dll_res),0)</definedName>
    <definedName name="_fifowe_init3_ch1_cs1" comment="Bit_Field_PHY_CTRL_EXT*****PHY_CONTROL_EXT[609:599]*****" hidden="1">_fifowe_ratio3_ch1_cs1 - ROUND((125000 / _ddr_pll_freq / _dll_res),0)</definedName>
    <definedName name="_fifowe_init3_ch2_cs0" comment="Bit_Field_PHY_CTRL_EXT*****PHY_CONTROL_EXT[598:588]*****" hidden="1">_fifowe_ratio3_ch2_cs0 - ROUND((125000 / _ddr_pll_freq / _dll_res),0)</definedName>
    <definedName name="_fifowe_init3_ch2_cs1" comment="Bit_Field_PHY_CTRL_EXT*****PHY_CONTROL_EXT[609:599]*****" hidden="1">_fifowe_ratio3_ch2_cs1 - ROUND((125000 / _ddr_pll_freq / _dll_res),0)</definedName>
    <definedName name="_fifowe_init4_ch1_cs0" comment="Bit_Field_PHY_CTRL_EXT*****PHY_CONTROL_EXT[620:610]*****" hidden="1">_fifowe_ratio4_ch1_cs0 - ROUND((125000 / _ddr_pll_freq / _dll_res),0)</definedName>
    <definedName name="_fifowe_init4_ch1_cs1" comment="Bit_Field_PHY_CTRL_EXT*****PHY_CONTROL_EXT[631:621]*****" hidden="1">_fifowe_ratio4_ch1_cs1 - ROUND((125000 / _ddr_pll_freq / _dll_res),0)</definedName>
    <definedName name="_fifowe_init4_ch2_cs0" comment="Bit_Field_PHY_CTRL_EXT*****PHY_CONTROL_EXT[620:610]*****" hidden="1">_fifowe_ratio4_ch2_cs0 - ROUND((125000 / _ddr_pll_freq / _dll_res),0)</definedName>
    <definedName name="_fifowe_init4_ch2_cs1" comment="Bit_Field_PHY_CTRL_EXT*****PHY_CONTROL_EXT[631:621]*****" hidden="1">_fifowe_ratio4_ch2_cs1 - ROUND((125000 / _ddr_pll_freq / _dll_res),0)</definedName>
    <definedName name="_fifowe_ratio0_ch1_cs0" comment="Bit_Field_PHY_CTRL_EXT*****PHY_CONTROL_EXT[040:030]*****" hidden="1">ROUND(IF(_sdram_type="LPDDR2",4000/_dll_res,((_t_rdtrip_brddly_p0_ch1_cs0 + (333333 / _ddr_pll_freq) + (_phy_invert_clk * 500000 / _ddr_pll_freq)) / _dll_res)),0)</definedName>
    <definedName name="_fifowe_ratio0_ch1_cs1" comment="Bit_Field_PHY_CTRL_EXT*****PHY_CONTROL_EXT[051:041]*****" hidden="1">ROUND(IF(_sdram_type="LPDDR2",4000/_dll_res,((_t_rdtrip_brddly_p0_ch1_cs1 + (333333 / _ddr_pll_freq) + (_phy_invert_clk * 500000 / _ddr_pll_freq)) / _dll_res)),0)</definedName>
    <definedName name="_fifowe_ratio0_ch2_cs0" comment="Bit_Field_PHY_CTRL_EXT*****PHY_CONTROL_EXT[040:030]*****" hidden="1">ROUND(IF(_sdram_type="LPDDR2",4000/_dll_res,((_t_rdtrip_brddly_p0_ch2_cs0 + (333333 / _ddr_pll_freq) + (_phy_invert_clk * 500000 / _ddr_pll_freq)) / _dll_res)),0)</definedName>
    <definedName name="_fifowe_ratio0_ch2_cs1" comment="Bit_Field_PHY_CTRL_EXT*****PHY_CONTROL_EXT[051:041]*****" hidden="1">ROUND(IF(_sdram_type="LPDDR2",4000/_dll_res,((_t_rdtrip_brddly_p0_ch2_cs1 + (333333 / _ddr_pll_freq) + (_phy_invert_clk * 500000 / _ddr_pll_freq)) / _dll_res)),0)</definedName>
    <definedName name="_fifowe_ratio1_ch1_cs0" comment="Bit_Field_PHY_CTRL_EXT*****PHY_CONTROL_EXT[062:052]*****" hidden="1">ROUND(IF(_sdram_type="LPDDR2",4000/_dll_res,((_t_rdtrip_brddly_p1_ch1_cs0 + (333333 / _ddr_pll_freq) + (_phy_invert_clk * 500000 / _ddr_pll_freq)) / _dll_res)),0)</definedName>
    <definedName name="_fifowe_ratio1_ch1_cs1" comment="Bit_Field_PHY_CTRL_EXT*****PHY_CONTROL_EXT[073:063]*****" hidden="1">ROUND(IF(_sdram_type="LPDDR2",4000/_dll_res,((_t_rdtrip_brddly_p1_ch1_cs1 + (333333 / _ddr_pll_freq) + (_phy_invert_clk * 500000 / _ddr_pll_freq)) / _dll_res)),0)</definedName>
    <definedName name="_fifowe_ratio1_ch2_cs0" comment="Bit_Field_PHY_CTRL_EXT*****PHY_CONTROL_EXT[062:052]*****" hidden="1">ROUND(IF(_sdram_type="LPDDR2",4000/_dll_res,((_t_rdtrip_brddly_p1_ch2_cs0 + (333333 / _ddr_pll_freq) + (_phy_invert_clk * 500000 / _ddr_pll_freq)) / _dll_res)),0)</definedName>
    <definedName name="_fifowe_ratio1_ch2_cs1" comment="Bit_Field_PHY_CTRL_EXT*****PHY_CONTROL_EXT[073:063]*****" hidden="1">ROUND(IF(_sdram_type="LPDDR2",4000/_dll_res,((_t_rdtrip_brddly_p1_ch2_cs1 + (333333 / _ddr_pll_freq) + (_phy_invert_clk * 500000 / _ddr_pll_freq)) / _dll_res)),0)</definedName>
    <definedName name="_fifowe_ratio2_ch1_cs0" comment="Bit_Field_PHY_CTRL_EXT*****PHY_CONTROL_EXT[084:074]*****" hidden="1">ROUND(IF(_sdram_type="LPDDR2",4000/_dll_res,((_t_rdtrip_brddly_p2_ch1_cs0 + (333333 / _ddr_pll_freq) + (_phy_invert_clk * 500000 / _ddr_pll_freq)) / _dll_res)),0)</definedName>
    <definedName name="_fifowe_ratio2_ch1_cs1" comment="Bit_Field_PHY_CTRL_EXT*****PHY_CONTROL_EXT[095:085]*****" hidden="1">ROUND(IF(_sdram_type="LPDDR2",4000/_dll_res,((_t_rdtrip_brddly_p2_ch1_cs1 + (333333 / _ddr_pll_freq) + (_phy_invert_clk * 500000 / _ddr_pll_freq)) / _dll_res)),0)</definedName>
    <definedName name="_fifowe_ratio2_ch2_cs0" comment="Bit_Field_PHY_CTRL_EXT*****PHY_CONTROL_EXT[084:074]*****" hidden="1">ROUND(IF(_sdram_type="LPDDR2",4000/_dll_res,((_t_rdtrip_brddly_p2_ch2_cs0 + (333333 / _ddr_pll_freq) + (_phy_invert_clk * 500000 / _ddr_pll_freq)) / _dll_res)),0)</definedName>
    <definedName name="_fifowe_ratio2_ch2_cs1" comment="Bit_Field_PHY_CTRL_EXT*****PHY_CONTROL_EXT[095:085]*****" hidden="1">ROUND(IF(_sdram_type="LPDDR2",4000/_dll_res,((_t_rdtrip_brddly_p2_ch2_cs1 + (333333 / _ddr_pll_freq) + (_phy_invert_clk * 500000 / _ddr_pll_freq)) / _dll_res)),0)</definedName>
    <definedName name="_fifowe_ratio3_ch1_cs0" comment="Bit_Field_PHY_CTRL_EXT*****PHY_CONTROL_EXT[106:96]*****" hidden="1">ROUND(IF(_sdram_type="LPDDR2",4000/_dll_res,((_t_rdtrip_brddly_p3_ch1_cs0 + (333333 / _ddr_pll_freq) + (_phy_invert_clk * 500000 / _ddr_pll_freq)) / _dll_res)),0)</definedName>
    <definedName name="_fifowe_ratio3_ch1_cs1" comment="Bit_Field_PHY_CTRL_EXT*****PHY_CONTROL_EXT[117:107]*****" hidden="1">ROUND(IF(_sdram_type="LPDDR2",4000/_dll_res,((_t_rdtrip_brddly_p3_ch1_cs1 + (333333 / _ddr_pll_freq) + (_phy_invert_clk * 500000 / _ddr_pll_freq)) / _dll_res)),0)</definedName>
    <definedName name="_fifowe_ratio3_ch2_cs0" comment="Bit_Field_PHY_CTRL_EXT*****PHY_CONTROL_EXT[106:96]*****" hidden="1">ROUND(IF(_sdram_type="LPDDR2",4000/_dll_res,((_t_rdtrip_brddly_p3_ch2_cs0 + (333333 / _ddr_pll_freq) + (_phy_invert_clk * 500000 / _ddr_pll_freq)) / _dll_res)),0)</definedName>
    <definedName name="_fifowe_ratio3_ch2_cs1" comment="Bit_Field_PHY_CTRL_EXT*****PHY_CONTROL_EXT[117:107]*****" hidden="1">ROUND(IF(_sdram_type="LPDDR2",4000/_dll_res,((_t_rdtrip_brddly_p3_ch2_cs1 + (333333 / _ddr_pll_freq) + (_phy_invert_clk * 500000 / _ddr_pll_freq)) / _dll_res)),0)</definedName>
    <definedName name="_fifowe_ratio4_ch1_cs0" comment="Bit_Field_PHY_CTRL_EXT*****PHY_CONTROL_EXT[128:118]*****" hidden="1">ROUND(IF(_sdram_type="LPDDR2",4000/_dll_res,((_t_rdtrip_brddly_p4_ch1_cs0 + (333333 / _ddr_pll_freq) + (_phy_invert_clk * 500000 / _ddr_pll_freq)) / _dll_res)),0)</definedName>
    <definedName name="_fifowe_ratio4_ch1_cs1" comment="Bit_Field_PHY_CTRL_EXT*****PHY_CONTROL_EXT[139:129]*****" hidden="1">ROUND(IF(_sdram_type="LPDDR2",4000/_dll_res,((_t_rdtrip_brddly_p4_ch1_cs1 + (333333 / _ddr_pll_freq) + (_phy_invert_clk * 500000 / _ddr_pll_freq)) / _dll_res)),0)</definedName>
    <definedName name="_fifowe_ratio4_ch2_cs0" comment="Bit_Field_PHY_CTRL_EXT*****PHY_CONTROL_EXT[128:118]*****" hidden="1">ROUND(IF(_sdram_type="LPDDR2",4000/_dll_res,((_t_rdtrip_brddly_p4_ch2_cs0 + (333333 / _ddr_pll_freq) + (_phy_invert_clk * 500000 / _ddr_pll_freq)) / _dll_res)),0)</definedName>
    <definedName name="_fifowe_ratio4_ch2_cs1" comment="Bit_Field_PHY_CTRL_EXT*****PHY_CONTROL_EXT[139:129]*****" hidden="1">ROUND(IF(_sdram_type="LPDDR2",4000/_dll_res,((_t_rdtrip_brddly_p4_ch2_cs1 + (333333 / _ddr_pll_freq) + (_phy_invert_clk * 500000 / _ddr_pll_freq)) / _dll_res)),0)</definedName>
    <definedName name="_is_ma_present" comment="**********" hidden="1">IF('Title-README'!_soc_name="adaslow",0,1)</definedName>
    <definedName name="_j6_evm_rdtrip_delay_emif1" comment="**********Temp fix" hidden="1">1000</definedName>
    <definedName name="_j6_evm_rdtrip_delay_emif2" comment="**********Temp fix" hidden="1">700</definedName>
    <definedName name="_j6e_evm_rdtrip_delay_emif1" comment="**********" hidden="1">0</definedName>
    <definedName name="_lpddr2_cl" comment="**********" hidden="1">{"NA"}</definedName>
    <definedName name="_lpddr2_densities" comment="JEDEC_LPDDR2_SPEC**********Not including 6 Gb (doesn't appear to be sold at Micron or ISSI)" localSheetId="0" hidden="1">{0.25;0.5;1;2;4;8}</definedName>
    <definedName name="_lpddr2_densities" hidden="1">{0.25;0.5;1;2;4;8}</definedName>
    <definedName name="_lpddr2_drive_imp" comment="**********" localSheetId="0" hidden="1">{34.3;40;48;60;68.6;80;120}</definedName>
    <definedName name="_lpddr2_drive_imp" hidden="1">{34.3;40;48;60;68.6;80;120}</definedName>
    <definedName name="_lpddr2_ecc" comment="**********" localSheetId="0" hidden="1">{"No"}</definedName>
    <definedName name="_lpddr2_ecc" hidden="1">{"No"}</definedName>
    <definedName name="_lpddr2_rtt" comment="**********" localSheetId="0" hidden="1">{"NA"}</definedName>
    <definedName name="_lpddr2_rtt" hidden="1">{"NA"}</definedName>
    <definedName name="_lpddr2_rttwr" comment="**********" localSheetId="0" hidden="1">{"NA"}</definedName>
    <definedName name="_lpddr2_rttwr" hidden="1">{"NA"}</definedName>
    <definedName name="_lpddr2_sb_1074_ck" comment="JEDEC_LPDDR2_SPEC**********INTERNAL ONLY" localSheetId="0" hidden="1">{1.875}</definedName>
    <definedName name="_lpddr2_sb_1074_ck" hidden="1">{1.875}</definedName>
    <definedName name="_lpddr2_sb_1074_cl" comment="JEDEC_LPDDR2_SPEC**********INTERNAL ONLY" localSheetId="0" hidden="1">{8}</definedName>
    <definedName name="_lpddr2_sb_1074_cl" hidden="1">{8}</definedName>
    <definedName name="_lpddr2_sb_336_ck" comment="JEDEC_LPDDR2_SPEC**********INTERNAL ONLY" localSheetId="0" hidden="1">{6}</definedName>
    <definedName name="_lpddr2_sb_336_ck" hidden="1">{6}</definedName>
    <definedName name="_lpddr2_sb_336_cl" comment="JEDEC_LPDDR2_SPEC**********INTERNAL ONLY" localSheetId="0" hidden="1">{3}</definedName>
    <definedName name="_lpddr2_sb_336_cl" hidden="1">{3}</definedName>
    <definedName name="_lpddr2_sb_403_ck" comment="JEDEC_LPDDR2_SPEC**********INTERNAL ONLY" localSheetId="0" hidden="1">{5}</definedName>
    <definedName name="_lpddr2_sb_403_ck" hidden="1">{5}</definedName>
    <definedName name="_lpddr2_sb_403_cl" comment="JEDEC_LPDDR2_SPEC**********INTERNAL ONLY" localSheetId="0" hidden="1">{3}</definedName>
    <definedName name="_lpddr2_sb_403_cl" hidden="1">{3}</definedName>
    <definedName name="_lpddr2_sb_537_ck" comment="JEDEC_LPDDR2_SPEC**********INTERNAL ONLY" localSheetId="0" hidden="1">{3.75}</definedName>
    <definedName name="_lpddr2_sb_537_ck" hidden="1">{3.75}</definedName>
    <definedName name="_lpddr2_sb_537_cl" comment="JEDEC_LPDDR2_SPEC**********INTERNAL ONLY" localSheetId="0" hidden="1">{4}</definedName>
    <definedName name="_lpddr2_sb_537_cl" hidden="1">{4}</definedName>
    <definedName name="_lpddr2_sb_672_ck" comment="JEDEC_LPDDR2_SPEC**********INTERNAL ONLY" localSheetId="0" hidden="1">{3}</definedName>
    <definedName name="_lpddr2_sb_672_ck" hidden="1">{3}</definedName>
    <definedName name="_lpddr2_sb_672_cl" comment="JEDEC_LPDDR2_SPEC**********INTERNAL ONLY" localSheetId="0" hidden="1">{5}</definedName>
    <definedName name="_lpddr2_sb_672_cl" hidden="1">{5}</definedName>
    <definedName name="_lpddr2_sb_806_ck" comment="JEDEC_LPDDR2_SPEC**********INTERNAL ONLY" localSheetId="0" hidden="1">{2.5}</definedName>
    <definedName name="_lpddr2_sb_806_ck" hidden="1">{2.5}</definedName>
    <definedName name="_lpddr2_sb_806_cl" comment="JEDEC_LPDDR2_SPEC**********INTERNAL ONLY" localSheetId="0" hidden="1">{6}</definedName>
    <definedName name="_lpddr2_sb_806_cl" hidden="1">{6}</definedName>
    <definedName name="_lpddr2_sb_940_ck" comment="JEDEC_LPDDR2_SPEC*****Updated from 2.15 to 2.14 (1000/466.5 = 2.1436…)*****INTERNAL ONLY" localSheetId="0" hidden="1">{2.14}</definedName>
    <definedName name="_lpddr2_sb_940_ck" hidden="1">{2.14}</definedName>
    <definedName name="_lpddr2_sb_940_cl" comment="JEDEC_LPDDR2_SPEC**********INTERNAL ONLY" localSheetId="0" hidden="1">{7}</definedName>
    <definedName name="_lpddr2_sb_940_cl" hidden="1">{7}</definedName>
    <definedName name="_lpddr2_sb_data" comment="JEDEC_LPDDR2_SPEC**********Not including 466, 266, or 200 as only supported by NVM" localSheetId="0" hidden="1">{333;400;533;667;800;933;1066}</definedName>
    <definedName name="_lpddr2_sb_data" hidden="1">{333;400;533;667;800;933;1066}</definedName>
    <definedName name="_lpddr2_sb_lookup" comment="JEDEC_LPDDR2_SPEC**********" localSheetId="0" hidden="1">{336;403;537;672;806;940;1074}</definedName>
    <definedName name="_lpddr2_sb_lookup" hidden="1">{336;403;537;672;806;940;1074}</definedName>
    <definedName name="_lpddr2_sb_wtr" comment="JEDEC_LPDDR2_SPEC**********" localSheetId="0" hidden="1">{10;10;7.5;7.5;7.5;7.5;7.5}</definedName>
    <definedName name="_lpddr2_sb_wtr" hidden="1">{10;10;7.5;7.5;7.5;7.5;7.5}</definedName>
    <definedName name="_phy_clk_stall_level" comment="Bit_Field_DDR_PHY_CTRL_1_VAL*****DDR_PHY_CTRL_1[20]*****" hidden="1">0</definedName>
    <definedName name="_phy_ctrl_delay" comment="Bit_Field_PHY_CTRL_EXT*****PHY_CONTROL_EXT[448:440]*****" hidden="1">128</definedName>
    <definedName name="_phy_dis_calib_rst" comment="Bit_Field_DDR_PHY_CTRL_1_VAL*****DDR_PHY_CTRL_1[19]*****" hidden="1">0</definedName>
    <definedName name="_phy_dll_lock_diff" comment="Bit_Field_DDR_PHY_CTRL_1_VAL*****DDR_PHY_CTRL_1[17:10]*****" hidden="1">16</definedName>
    <definedName name="_phy_dq_offset0" comment="Bit_Field_PHY_CTRL_EXT*****PHY_CONTROL_EXT[491:485]*****" hidden="1">64</definedName>
    <definedName name="_phy_dq_offset1" comment="Bit_Field_PHY_CTRL_EXT*****PHY_CONTROL_EXT[498:492]*****" hidden="1">64</definedName>
    <definedName name="_phy_dq_offset2" comment="Bit_Field_PHY_CTRL_EXT*****PHY_CONTROL_EXT[505:499]*****" hidden="1">64</definedName>
    <definedName name="_phy_dq_offset3" comment="Bit_Field_PHY_CTRL_EXT*****PHY_CONTROL_EXT[512:506]*****" hidden="1">64</definedName>
    <definedName name="_phy_dq_offset4" comment="Bit_Field_PHY_CTRL_EXT*****PHY_CONTROL_EXT[519:513]*****" hidden="1">64</definedName>
    <definedName name="_phy_fast_dll_lock" comment="Bit_Field_DDR_PHY_CTRL_1_VAL*****DDR_PHY_CTRL_1[09]*****" hidden="1">0</definedName>
    <definedName name="_phy_fifowe_delay" comment="Bit_Field_PHY_CTRL_EXT*****PHY_CONTROL_EXT[457:449]*****" hidden="1">128</definedName>
    <definedName name="_phy_fifowe_mis_clr" comment="Bit_Field_PHY_CTRL_EXT*****PHY_CONTROL_EXT[740]*****NOT USED" hidden="1">0</definedName>
    <definedName name="_phy_gatelvl_init_mode" comment="Bit_Field_PHY_CTRL_EXT*****PHY_CONTROL_EXT[521]*****" hidden="1">1</definedName>
    <definedName name="_phy_gatelvl_num_dq0" comment="Bit_Field_PHY_CTRL_EXT*****PHY_CONTROL_EXT[735:732]*****" hidden="1">7</definedName>
    <definedName name="_phy_half_delay" comment="Bit_Field_DDR_PHY_CTRL_1_VAL*****DDR_PHY_CTRL_1[21]*****" hidden="1">IF(_sdram_type="LPDDR2",0,1)</definedName>
    <definedName name="_phy_invert_clk" comment="Bit_Field_DDR_PHY_CTRL_1_VAL*****DDR_PHY_CTRL_1[18]*****" hidden="1">IF(_sdram_type="DDR3/L",1,0)</definedName>
    <definedName name="_phy_mdll_unlock_clr" comment="Bit_Field_PHY_CTRL_EXT*****PHY_CONTROL_EXT[741]*****NOT USED" hidden="1">0</definedName>
    <definedName name="_phy_rd_rl_delay" comment="Bit_Field_DDR_PHY_CTRL_1_VAL*****DDR_PHY_CTRL_1[04:00]*****Read Latency - Needs update" hidden="1">MAX(MIN(IF(_ddr_pll_freq &gt; 533, _t_cl_user + 5, _t_cl_user + 4),2^5-1),0)</definedName>
    <definedName name="_phy_rdc_fifo_rst_err_cnt_clr" comment="Bit_Field_PHY_CTRL_EXT*****PHY_CONTROL_EXT[742]*****NOT USED" hidden="1">0</definedName>
    <definedName name="_phy_rddqs_delay" comment="Bit_Field_PHY_CTRL_EXT*****PHY_CONTROL_EXT[466:458]*****" hidden="1">128</definedName>
    <definedName name="_phy_rdlvl_mask" comment="Bit_Field_DDR_PHY_CTRL_1_VAL*****DDR_PHY_CTRL_1[27]*****Disable feature on Avatar, or just J6Eco?" hidden="1">IF('Title-README'!_soc_name="j6eco",1,IF(_user_lvl_tech="H/W",0,1))</definedName>
    <definedName name="_phy_rdlvlgate_mask" comment="Bit_Field_DDR_PHY_CTRL_1_VAL*****DDR_PHY_CTRL_1[26]*****" hidden="1">IF(_user_lvl_tech="H/W",0,1)</definedName>
    <definedName name="_phy_rdlvlgateinc_int" comment="Bit_Field_EMIF_RDWR_LVL_CTRL_VAL*****RDWR_LVL_CTRL[15:08]*****NOT USED; Incremental leveling not supported by TI" hidden="1">0</definedName>
    <definedName name="_phy_rdlvlgateinc_rmp_int" comment="Bit_Field_EMIF_RDWR_LVL_RMP_CTRL_VAL*****RDWR_LVL_RMP_CTRL[15:08]*****NOT USED; Incremental leveling not supported by TI" hidden="1">0</definedName>
    <definedName name="_phy_rdlvlinc_int" comment="Bit_Field_EMIF_RDWR_LVL_CTRL_VAL*****RDWR_LVL_CTRL[23:16]*****NOT USED; Incremental leveling not supported by TI" hidden="1">0</definedName>
    <definedName name="_phy_rdlvlinc_rmp_int" comment="Bit_Field_EMIF_RDWR_LVL_RMP_CTRL_VAL*****RDWR_LVL_RMP_CTRL[23:16]*****NOT USED; Incremental leveling not supported by TI" hidden="1">0</definedName>
    <definedName name="_phy_rdwrlvl_en" comment="Bit_Field_EMIF_RDWR_LVL_RMP_CTRL_VAL*****RDWR_LVL_RMP_CTRL[31]*****" hidden="1">IF(_user_lvl_tech="H/W",1,0)</definedName>
    <definedName name="_phy_rdwrlvlfull_start" comment="Bit_Field_EMIF_RDWR_LVL_CTRL_VAL*****RDWR_LVL_CTRL[31]*****Always set to 0, controlled in configuration sequence" hidden="1">0</definedName>
    <definedName name="_phy_rdwrlvlinc_pre" comment="Bit_Field_EMIF_RDWR_LVL_CTRL_VAL*****RDWR_LVL_CTRL[30:24]*****NOT USED; Incremental leveling not supported by TI" hidden="1">0</definedName>
    <definedName name="_phy_rdwrlvlinc_rmp_pre" comment="Bit_Field_EMIF_RDWR_LVL_RMP_CTRL_VAL*****RDWR_LVL_RMP_CTRL[30:24]*****NOT USED; Incremental leveling not supported by TI" hidden="1">0</definedName>
    <definedName name="_phy_use_rank0_delays" comment="Bit_Field_PHY_CTRL_EXT*****PHY_CONTROL_EXT[520]*****" hidden="1">0</definedName>
    <definedName name="_phy_wrdata_delay" comment="Bit_Field_PHY_CTRL_EXT*****PHY_CONTROL_EXT[484:476]*****" hidden="1">128</definedName>
    <definedName name="_phy_wrdqs_delay" comment="Bit_Field_PHY_CTRL_EXT*****PHY_CONTROL_EXT[475:467]*****" hidden="1">128</definedName>
    <definedName name="_phy_wrlvl_mask" comment="Bit_Field_DDR_PHY_CTRL_1_VAL*****DDR_PHY_CTRL_1[25]*****" hidden="1">IF(_user_lvl_tech="H/W",0,1)</definedName>
    <definedName name="_phy_wrlvl_num_dq0" comment="Bit_Field_PHY_CTRL_EXT*****PHY_CONTROL_EXT[739:736]*****" hidden="1">7</definedName>
    <definedName name="_phy_wrlvlinc_int" comment="Bit_Field_EMIF_RDWR_LVL_CTRL_VAL*****RDWR_LVL_CTRL[07:00]*****NOT USED; Incremental leveling not supported by TI" hidden="1">0</definedName>
    <definedName name="_phy_wrlvlinc_rmp_int" comment="Bit_Field_EMIF_RDWR_LVL_RMP_CTRL_VAL*****RDWR_LVL_RMP_CTRL[07:00]*****NOT USED; Incremental leveling not supported by TI" hidden="1">0</definedName>
    <definedName name="_prop_vel_microstrip" comment="Constant**********" hidden="1">136</definedName>
    <definedName name="_prop_vel_stripline" comment="Constant**********" hidden="1">170</definedName>
    <definedName name="_rddqs_ratio0" comment="Bit_Field_PHY_CTRL_EXT*****PHY_CONTROL_EXT[149:140]*****OMAP5: 56; Vayu: 50; J6Eco: 47" hidden="1">CHOOSE(MATCH('Title-README'!_soc_name,'Title-README'!_soc_names,0),56,50,47,52)</definedName>
    <definedName name="_rddqs_ratio1" comment="Bit_Field_PHY_CTRL_EXT*****PHY_CONTROL_EXT[169:160]*****OMAP5: 56; Vayu: 50; J6Eco: 47" hidden="1">_rddqs_ratio0</definedName>
    <definedName name="_rddqs_ratio2" comment="Bit_Field_PHY_CTRL_EXT*****PHY_CONTROL_EXT[189:180]*****OMAP5: 56; Vayu: 50; J6Eco: 47" hidden="1">_rddqs_ratio0</definedName>
    <definedName name="_rddqs_ratio3" comment="Bit_Field_PHY_CTRL_EXT*****PHY_CONTROL_EXT[209:200]*****OMAP5: 56; Vayu: 50; J6Eco: 47" hidden="1">_rddqs_ratio0</definedName>
    <definedName name="_rddqs_ratio4" comment="Bit_Field_PHY_CTRL_EXT*****PHY_CONTROL_EXT[229:220]*****OMAP5: 56; Vayu: 50; J6Eco: 47" hidden="1">_rddqs_ratio0</definedName>
    <definedName name="_sdram_asr" comment="Bit_Field_EMIF_SDRAM_REF_CTRL_VAL*****EMIF_SDRAM_REF_CTRL[28]*****" hidden="1">0</definedName>
    <definedName name="_sdram_bw" comment="User_Input**********" hidden="1">'[1]Step1-SystemDetails'!$F$23</definedName>
    <definedName name="_sdram_cl" comment="**********" localSheetId="0" hidden="1">INDEX('Title-README'!_sdram_sb_cl,SMALL(IF(1000/_ddr_pll_freq&gt;='Title-README'!_sdram_sb_ck,ROW(INDIRECT(CONCATENATE("1:",ROWS('Title-README'!_sdram_sb_ck)))),""),ROW(INDIRECT("1:1"))))</definedName>
    <definedName name="_sdram_cl" hidden="1">INDEX(_sdram_sb_cl,SMALL(IF(1000/_ddr_pll_freq&gt;=_sdram_sb_ck,ROW(INDIRECT(CONCATENATE("1:",ROWS(_sdram_sb_ck)))),""),ROW(INDIRECT("1:1"))))</definedName>
    <definedName name="_sdram_cl_max" hidden="1">'[1]Step1-SystemDetails'!$F$34</definedName>
    <definedName name="_sdram_cl_val" comment="Bit_Field_EMIF_SDRAM_CONFIG_VAL*****EMIF_SDRAM_CONFIG[13:10] - CAS Latency. The value of this field defines the CAS latency to be used when accessing connected SDRAM devices. Value of 2, 3, 5, and 6 (CAS latency of 2, 3, 1.5, and 2.5) are supported for DD" hidden="1">MAX(MIN(IF(_sdram_type="DDR3/L",2 * (_t_cl_user - 4),_t_cl_user),2^4-1),0)</definedName>
    <definedName name="_sdram_col_bits" comment="Formula-JEDEC**********" localSheetId="0" hidden="1">IF(_sdram_type="DDR3/L",'Title-README'!_sdram_col_bits_ddr3,IF(_sdram_type="DDR2",'Title-README'!_sdram_col_bits_ddr2,'Title-README'!_sdram_col_bits_lpddr2))</definedName>
    <definedName name="_sdram_col_bits" hidden="1">IF(_sdram_type="DDR3/L",_sdram_col_bits_ddr3,IF(_sdram_type="DDR2",_sdram_col_bits_ddr2,_sdram_col_bits_lpddr2))</definedName>
    <definedName name="_sdram_col_bits_ddr2" comment="Formula-JEDEC**********JESD79-2F; 256Mb[x4:11; x8:10; x16:9]; Others[x4:11; x8/x16:10]; Not supporting 128 Mb; Adding special case for ISSI 512Mb x32 DDR2" localSheetId="0" hidden="1">IF(_sdram_width=32,9,IF(AND(_sdram_density=0.25,_sdram_width=16),9,IF(_sdram_width=4,11,10)))</definedName>
    <definedName name="_sdram_col_bits_ddr2" hidden="1">IF(_sdram_width=32,9,IF(AND(_sdram_density=0.25,_sdram_width=16),9,IF(_sdram_width=4,11,10)))</definedName>
    <definedName name="_sdram_col_bits_ddr3" comment="Formula-JEDEC**********JESD79-3F; 8Gb[x4:12; x8:11; x16:10]; Others[x4:11; x8/x16:10]" localSheetId="0" hidden="1">IF(AND(_sdram_density=8,_sdram_width=4),12,IF(OR(AND(_sdram_density=8,_sdram_width=8),_sdram_width=4),11,10))</definedName>
    <definedName name="_sdram_col_bits_ddr3" hidden="1">IF(AND(_sdram_density=8,_sdram_width=4),12,IF(OR(AND(_sdram_density=8,_sdram_width=8),_sdram_width=4),11,10))</definedName>
    <definedName name="_sdram_col_bits_lpddr2" comment="Formula-JEDEC**********Supporting LPDDR2-S4" localSheetId="0" hidden="1">IF(_sdram_density&lt;0.5,IF(_sdram_width=32,8,IF(_sdram_width=16,9,10)),IF(_sdram_density&gt;2,IF(_sdram_width=32,10,IF(_sdram_width=16,11,12)),IF(_sdram_width=32,9,IF(_sdram_width=16,10,11))))</definedName>
    <definedName name="_sdram_col_bits_lpddr2" hidden="1">IF(_sdram_density&lt;0.5,IF(_sdram_width=32,8,IF(_sdram_width=16,9,10)),IF(_sdram_density&gt;2,IF(_sdram_width=32,10,IF(_sdram_width=16,11,12)),IF(_sdram_width=32,9,IF(_sdram_width=16,10,11))))</definedName>
    <definedName name="_sdram_config_ddr2_dqs" comment="Bit_Field_EMIF_SDRAM_CONFIG_VAL*****EMIF_SDRAM_CONFIG[23] - DDR2 and LPDDR2 differential DQS enable. Set to 0 for single ended DQS. Set to 1 for differential DQS.*****From TRM: NOT SUPPORTED, Set to 1 for compatibility" hidden="1">1</definedName>
    <definedName name="_sdram_config_dll_dis" comment="Bit_Field_EMIF_SDRAM_CONFIG_VAL*****EMIF_SDRAM_CONFIG[20] - Disable DLL select. Set to 1 to disable DLL inside SDRAM.*****" hidden="1">0</definedName>
    <definedName name="_sdram_config_drive_imp" comment="Bit_Field_EMIF_SDRAM_CONFIG_VAL*****EMIF_SDRAM_CONFIG[19:18] - SDRAM drive strength. For DDR1/DDR2, set to 0 for normal, and set to 1 for weak drive strength. For DDR3, set to 0 for RZQ/6 and set to 1 for RZQ/7. For LPDDR1, set to 0 for full, set to 1 for" hidden="1">MAX(MIN(IF(_sdram_type="DDR3/L",MATCH(_sdram_drive_imp,'Title-README'!_ddr3_drive_imp,0)-1,IF(_sdram_type="DDR2",MATCH(_sdram_drive_imp,'Title-README'!_ddr2_drive_imp,0)-1,0)),2^2-1),0)</definedName>
    <definedName name="_sdram_config_dyn_rtt" comment="Bit_Field_EMIF_SDRAM_CONFIG_VAL*****EMIF_SDRAM_CONFIG[22:21] - DDR3 Dynamic ODT. Set to 0 to turn off dynamic ODT. Set to 1 for RZQ/4 and set to 2 for RZQ/2. All other values are reserved.*****From TRM: NOT SUPPORTED, Set to 0 to turn off" hidden="1">MAX(MIN(IF(_sdram_type="DDR3/L",MATCH(_sdram_rttwr,'Title-README'!_ddr3_rttwr,0)-1,0),2^2-1),0)</definedName>
    <definedName name="_sdram_config_ebank" comment="Bit_Field_EMIF_SDRAM_CONFIG_VAL*****EMIF_SDRAM_CONFIG[03] - External chip select setup. Defines whether SDRAM accesses will use 1 or 2 chip select lines. Set to 0 to use pad_cs_o_n[0] only. Set to 1 to use pad_cs_o_n[1:0]. This bit will automaticlly be se" hidden="1">MAX(MIN(_sdram_ebank-1,1),0)</definedName>
    <definedName name="_sdram_config_ibank" comment="JEDEC_Lookup**********" localSheetId="0" hidden="1">IF(_sdram_type="DDR3/L",_sdram_config_ibank_ddr3,IF(_sdram_type="DDR2",'Title-README'!_sdram_config_ibank_ddr2,'Title-README'!_sdram_config_ibank_lpddr2))</definedName>
    <definedName name="_sdram_config_ibank" hidden="1">IF(_sdram_type="DDR3/L",_sdram_config_ibank_ddr3,IF(_sdram_type="DDR2",_sdram_config_ibank_ddr2,_sdram_config_ibank_lpddr2))</definedName>
    <definedName name="_sdram_config_ibank_ddr2" comment="JEDEC_Lookup**********" localSheetId="0" hidden="1">IF(_sdram_density&lt;1,4,8)</definedName>
    <definedName name="_sdram_config_ibank_ddr2" hidden="1">IF(_sdram_density&lt;1,4,8)</definedName>
    <definedName name="_sdram_config_ibank_ddr3" hidden="1">8</definedName>
    <definedName name="_sdram_config_ibank_lpddr2" comment="JEDEC_Lookup**********Supporting LPDDR2-S4" localSheetId="0" hidden="1">IF(_sdram_density&lt;1,4,8)</definedName>
    <definedName name="_sdram_config_ibank_lpddr2" hidden="1">IF(_sdram_density&lt;1,4,8)</definedName>
    <definedName name="_sdram_config_ibank_pos" comment="Bit_Field_EMIF_SDRAM_CONFIG_VAL*****EMIF_SDRAM_CONFIG[28:27] - Internal bank position. Set to 0 to assign internal bank address bits from lower OCP address bits as shown in tables. Set to 1, 2, or 3 to assign internal bank address bits from higher OCP add" hidden="1">0</definedName>
    <definedName name="_sdram_config_narrow_mode" comment="Bit_Field_EMIF_SDRAM_CONFIG_VAL*****EMIF_SDRAM_CONFIG[15:14] - SDRAM data bus width. Set to 0 for 32-bit and set to 1 for 16-bit. All other values are reserved.*****Also used for CTRL_WKUP_EMIF*_SDRAM_CONFIG_EXT" hidden="1">MAX(MIN(IF(_sdram_bw=16,1,0),2^2-1),0)</definedName>
    <definedName name="_sdram_config_pagesize" comment="Bit_Field_EMIF_SDRAM_CONFIG_VAL*****EMIF_SDRAM_CONFIG[02:00] - Page Size. Defines the internal page size of connected SDRAM devices. Set to 0 for 256-word page (8 column bits), set to 1 for 512-word page (9 column bits), set to 2 for 1024-word page (10 co" hidden="1">MAX(MIN('Title-README'!_sdram_col_bits - 8,2^3-1),0)</definedName>
    <definedName name="_sdram_config_rowsize" comment="Bit_Field_EMIF_SDRAM_CONFIG_VAL*****EMIF_SDRAM_CONFIG[09:07] - Row Size. Defines the number of row address bits of connected SDRAM devices. Set to 0 for 9 row bits, set to 1 for 10 row bits, set to 2 for 11 row bits, set to 3 for 12 row bits, set to 4 for" hidden="1">MAX(MIN(_sdram_row_bits - 9,2^3-1),0)</definedName>
    <definedName name="_sdram_config_rtt" comment="Bit_Field_EMIF_SDRAM_CONFIG_VAL*****EMIF_SDRAM_CONFIG[26:24] - DDR2 and DDR3 termination resistor value. Set to 0 to disable termination. For DDR2, set to 1 for 75 ohm, set to 2 for 150 ohm, and set to 3 for 50 ohm. For DDR3, set to 1 for RZQ/4, set to 2 " hidden="1">MAX(MIN(IF(_sdram_type="DDR3/L",MATCH(_sdram_rtt,'Title-README'!_ddr3_rtt,0)-1,IF(_sdram_type="DDR2",MATCH(_sdram_rtt,'Title-README'!_ddr2_rtt,0)-1,0)),2^3-1),0)</definedName>
    <definedName name="_sdram_config_type" comment="Bit_Field_EMIF_SDRAM_CONFIG_VAL*****EMIF_SDRAM_CONFIG[31:29] - SDRAM Type selection. Set to 0 for DDR1, set to 1 for LPDDR1, set to 2 for DDR2, set to 3 for DDR3, and set to 4 for LPDDR2. All other values are reserved.*****" hidden="1">MAX(MIN(MATCH(_sdram_type,_sdram_types,0)-1,2^3-1),0)</definedName>
    <definedName name="_sdram_cs1nvmen" comment="Bit_Field_EMIF_SDRAM_CONFIG_2_VAL*****EMIF_SDRAM_CONFIG2[30]*****LPDDR2-NVM" hidden="1">0</definedName>
    <definedName name="_sdram_cwl" comment="**********" localSheetId="0" hidden="1">IF(_sdram_type="DDR3/L",INDEX('Title-README'!_sdram_sb_cwl,SMALL(IF(1000/_ddr_pll_freq&gt;='Title-README'!_sdram_sb_ck,ROW(INDIRECT(CONCATENATE("1:",ROWS('Title-README'!_sdram_sb_ck)))),""),ROW(INDIRECT("1:1")))),0)</definedName>
    <definedName name="_sdram_cwl" hidden="1">IF(_sdram_type="DDR3/L",INDEX(_sdram_sb_cwl,SMALL(IF(1000/_ddr_pll_freq&gt;=_sdram_sb_ck,ROW(INDIRECT(CONCATENATE("1:",ROWS(_sdram_sb_ck)))),""),ROW(INDIRECT("1:1")))),0)</definedName>
    <definedName name="_sdram_cwl_val" comment="Bit_Field_EMIF_SDRAM_CONFIG_VAL*****EMIF_SDRAM_CONFIG[17:16] - DDR3 CAS Write latency. Value of 0, 1, 2, and 3 (CAS write latency of 5, 6, 7, and 8) are supported. Use the lowest value supported for best performance. All other values are reserved.*****" hidden="1">MAX(MIN(_t_cwl_user - 5,2^2-1),0)</definedName>
    <definedName name="_sdram_data_rate" hidden="1">'[1]Step1-SystemDetails'!$F$31</definedName>
    <definedName name="_sdram_density" hidden="1">'[1]Step1-SystemDetails'!$F$32</definedName>
    <definedName name="_sdram_density_mult" comment="JEDEC_Lookup**********Add LPDDR2" hidden="1">IF(_sdram_type="DDR2",MATCH(_sdram_density,'Title-README'!_ddr2_densities,0)+27,IF(_sdram_type="DDR3/L",MATCH(_sdram_density,'Title-README'!_ddr3_densities,0)+28,MATCH(_sdram_density,'Title-README'!_lpddr2_densities,0)+27))</definedName>
    <definedName name="_sdram_drive_imp" hidden="1">'[1]Step1-SystemDetails'!$F$41</definedName>
    <definedName name="_sdram_ebank" hidden="1">'[1]Step1-SystemDetails'!$F$24</definedName>
    <definedName name="_sdram_ebank_pos" comment="Bit_Field_EMIF_SDRAM_CONFIG_2_VAL*****EMIF_SDRAM_CONFIG2[27]*****Set to 0x0 to interleave across banks. Only recommended to set to 0x1 with partial array self-refresh, where performance can be traded off for power savings. Update for flexibility in v2.x?" hidden="1">0</definedName>
    <definedName name="_sdram_ibank_val" comment="Bit_Field_EMIF_SDRAM_CONFIG_VAL*****EMIF_SDRAM_CONFIG[06:04] - Internal Bank setup. Defines number of banks inside connected SDRAM devices. Set to 0 for 1 bank, set to 1 for 2 banks, set to 2 for 4 banks, and set to 3 for 8 banks. All other values are res" hidden="1">MAX(MIN(LOG('Title-README'!_sdram_config_ibank,2),2^3-1),0)</definedName>
    <definedName name="_sdram_initref_dis" comment="Bit_Field_EMIF_SDRAM_REF_CTRL_VAL*****EMIF_SDRAM_REF_CTRL[31]*****" hidden="1">0</definedName>
    <definedName name="_sdram_pagesize" comment="**********" localSheetId="0" hidden="1">2^'Title-README'!_sdram_col_bits * _sdram_width / 8</definedName>
    <definedName name="_sdram_pagesize" hidden="1">2^_sdram_col_bits * _sdram_width / 8</definedName>
    <definedName name="_sdram_pagesize_list" comment="**********" hidden="1">{256;512;1024;2048}</definedName>
    <definedName name="_sdram_pasr" comment="Bit_Field_EMIF_SDRAM_REF_CTRL_VAL*****EMIF_SDRAM_REF_CTRL[26:24]*****" hidden="1">0</definedName>
    <definedName name="_sdram_rdbnum" comment="Bit_Field_EMIF_SDRAM_CONFIG_2_VAL*****EMIF_SDRAM_CONFIG2[05:04]*****LPDDR2-NVM" hidden="1">0</definedName>
    <definedName name="_sdram_rdbsize" comment="Bit_Field_EMIF_SDRAM_CONFIG_2_VAL*****EMIF_SDRAM_CONFIG2[02:00]*****LPDDR2-NVM" hidden="1">0</definedName>
    <definedName name="_sdram_row_bits" comment="Math**********" hidden="1">LOG(2^_sdram_density_mult/_sdram_width/'Title-README'!_sdram_config_ibank/2^'Title-README'!_sdram_col_bits,2)</definedName>
    <definedName name="_sdram_rtt" hidden="1">'[1]Step1-SystemDetails'!$F$39</definedName>
    <definedName name="_sdram_rttwr" hidden="1">'[1]Step1-SystemDetails'!$F$40</definedName>
    <definedName name="_sdram_sb" comment="**********" localSheetId="0" hidden="1">MATCH(_sdram_data_rate + _sdram_cl_max,'Title-README'!_sdram_sb_lookup,0)</definedName>
    <definedName name="_sdram_sb" hidden="1">MATCH(_sdram_data_rate + _sdram_cl_max,_sdram_sb_lookup,0)</definedName>
    <definedName name="_sdram_sb_ck" comment="**********" localSheetId="0" hidden="1">IF(_sdram_type="DDR2",CHOOSE('Title-README'!_sdram_sb,'Title-README'!_ddr2_sb_403_ck,'Title-README'!_ddr2_sb_404_ck,'Title-README'!_ddr2_sb_536_ck,'Title-README'!_ddr2_sb_537_ck,'Title-README'!_ddr2_sb_671_ck,'Title-README'!_ddr2_sb_672_ck,'Title-README'!_ddr2_sb_804_ck,'Title-README'!_ddr2_sb_805_ck,'Title-README'!_ddr2_sb_806_ck),IF(_sdram_type="DDR3/L",CHOOSE('Title-README'!_sdram_sb,'Title-README'!_ddr3_sb_805_ck,'Title-README'!_ddr3_sb_806_ck,'Title-README'!_ddr3_sb_1072_ck,'Title-README'!_ddr3_sb_1073_ck,'Title-README'!_ddr3_sb_1074_ck,'Title-README'!_ddr3_sb_1340_ck,'Title-README'!_ddr3_sb_1341_ck,'Title-README'!_ddr3_sb_1342_ck,'Title-README'!_ddr3_sb_1343_ck,'Title-README'!_ddr3_sb_1608_ck,'Title-README'!_ddr3_sb_1609_ck,'Title-README'!_ddr3_sb_1610_ck,'Title-README'!_ddr3_sb_1611_ck,'Title-README'!_ddr3_sb_1876_ck,'Title-README'!_ddr3_sb_1877_ck,'Title-README'!_ddr3_sb_1878_ck,'Title-README'!_ddr3_sb_1879_ck,'Title-README'!_ddr3_sb_2144_ck,'Title-README'!_ddr3_sb_2145_ck,'Title-README'!_ddr3_sb_2146_ck,'Title-README'!_ddr3_sb_2147_ck),CHOOSE('Title-README'!_sdram_sb,'Title-README'!_lpddr2_sb_336_ck,'Title-README'!_lpddr2_sb_403_ck,'Title-README'!_lpddr2_sb_537_ck,'Title-README'!_lpddr2_sb_672_ck,'Title-README'!_lpddr2_sb_806_ck,'Title-README'!_lpddr2_sb_940_ck,'Title-README'!_lpddr2_sb_1074_ck)))</definedName>
    <definedName name="_sdram_sb_ck" hidden="1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name="_sdram_sb_cl" comment="**********" localSheetId="0" hidden="1">IF(_sdram_type="DDR2",CHOOSE('Title-README'!_sdram_sb,'Title-README'!_ddr2_sb_403_cl,'Title-README'!_ddr2_sb_404_cl,'Title-README'!_ddr2_sb_536_cl,'Title-README'!_ddr2_sb_537_cl,'Title-README'!_ddr2_sb_671_cl,'Title-README'!_ddr2_sb_672_cl,'Title-README'!_ddr2_sb_804_cl,'Title-README'!_ddr2_sb_805_cl,'Title-README'!_ddr2_sb_806_cl),IF(_sdram_type="DDR3/L",CHOOSE('Title-README'!_sdram_sb,'Title-README'!_ddr3_sb_805_cl,'Title-README'!_ddr3_sb_806_cl,'Title-README'!_ddr3_sb_1072_cl,'Title-README'!_ddr3_sb_1073_cl,'Title-README'!_ddr3_sb_1074_cl,'Title-README'!_ddr3_sb_1340_cl,'Title-README'!_ddr3_sb_1341_cl,'Title-README'!_ddr3_sb_1342_cl,'Title-README'!_ddr3_sb_1343_cl,'Title-README'!_ddr3_sb_1608_cl,'Title-README'!_ddr3_sb_1609_cl,'Title-README'!_ddr3_sb_1610_cl,'Title-README'!_ddr3_sb_1611_cl,'Title-README'!_ddr3_sb_1876_cl,'Title-README'!_ddr3_sb_1877_cl,'Title-README'!_ddr3_sb_1878_cl,'Title-README'!_ddr3_sb_1879_cl,'Title-README'!_ddr3_sb_2144_cl,'Title-README'!_ddr3_sb_2145_cl,'Title-README'!_ddr3_sb_2146_cl,'Title-README'!_ddr3_sb_2147_cl),CHOOSE('Title-README'!_sdram_sb,'Title-README'!_lpddr2_sb_336_cl,'Title-README'!_lpddr2_sb_403_cl,'Title-README'!_lpddr2_sb_537_cl,'Title-README'!_lpddr2_sb_672_cl,'Title-README'!_lpddr2_sb_806_cl,'Title-README'!_lpddr2_sb_940_cl,'Title-README'!_lpddr2_sb_1074_cl)))</definedName>
    <definedName name="_sdram_sb_cl" hidden="1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name="_sdram_sb_cwl" comment="**********" localSheetId="0" hidden="1">CHOOSE('Title-README'!_sdram_sb,'Title-README'!_ddr3_sb_805_cwl,'Title-README'!_ddr3_sb_806_cwl,'Title-README'!_ddr3_sb_1072_cwl,'Title-README'!_ddr3_sb_1073_cwl,'Title-README'!_ddr3_sb_1074_cwl,'Title-README'!_ddr3_sb_1340_cwl,'Title-README'!_ddr3_sb_1341_cwl,'Title-README'!_ddr3_sb_1342_cwl,'Title-README'!_ddr3_sb_1343_cwl,'Title-README'!_ddr3_sb_1608_cwl,'Title-README'!_ddr3_sb_1609_cwl,'Title-README'!_ddr3_sb_1610_cwl,'Title-README'!_ddr3_sb_1611_cwl,'Title-README'!_ddr3_sb_1876_cwl,'Title-README'!_ddr3_sb_1877_cwl,'Title-README'!_ddr3_sb_1878_cwl,'Title-README'!_ddr3_sb_1879_cwl,'Title-README'!_ddr3_sb_2144_cwl,'Title-README'!_ddr3_sb_2145_cwl,'Title-README'!_ddr3_sb_2146_cwl,'Title-README'!_ddr3_sb_2147_cwl)</definedName>
    <definedName name="_sdram_sb_cwl" hidden="1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name="_sdram_sb_list" comment="**********" hidden="1">IF(IF('Title-README'!_sdram_sb_lookup-_sdram_data_rate&gt;100,1,0)+IF('Title-README'!_sdram_sb_lookup-_sdram_data_rate&lt;0,1,0)=0,ROW(INDIRECT(CONCATENATE("1:",ROWS('Title-README'!_sdram_sb_lookup)))),"")</definedName>
    <definedName name="_sdram_sb_lookup" comment="**********" localSheetId="0" hidden="1">IF(_sdram_type="DDR2",'Title-README'!_ddr2_sb_lookup,IF(_sdram_type="DDR3/L",'Title-README'!_ddr3_sb_lookup,'Title-README'!_lpddr2_sb_lookup))</definedName>
    <definedName name="_sdram_sb_lookup" hidden="1">IF(_sdram_type="DDR2",_ddr2_sb_lookup,IF(_sdram_type="DDR3/L",_ddr3_sb_lookup,_lpddr2_sb_lookup))</definedName>
    <definedName name="_sdram_srt" comment="Bit_Field_EMIF_SDRAM_REF_CTRL_VAL*****EMIF_SDRAM_REF_CTRL[29]*****" hidden="1">0</definedName>
    <definedName name="_sdram_type" hidden="1">'[1]Step1-SystemDetails'!$F$21</definedName>
    <definedName name="_sdram_types" comment="EMIF4D**********" hidden="1">{"DDR1";"LPDDR1";"DDR2";"DDR3/L";"LPDDR2"}</definedName>
    <definedName name="_sdram_width" hidden="1">'[1]Step1-SystemDetails'!$F$33</definedName>
    <definedName name="_sival_rdtrip_delay" comment="**********" hidden="1">1000</definedName>
    <definedName name="_soc_cs_j6eco" comment="SOC_DETAILS**********De-scoped from datasheet" localSheetId="0" hidden="1">{1}</definedName>
    <definedName name="_soc_cs_j6eco" hidden="1">{1}</definedName>
    <definedName name="_soc_cs_vayu" comment="SOC_DETAILS**********" localSheetId="0" hidden="1">{1}</definedName>
    <definedName name="_soc_cs_vayu" hidden="1">{1}</definedName>
    <definedName name="_soc_emif_io_dr_acc_adaslow" comment="**********" hidden="1">IF(_sdram_type="DDR3/L",40,48)</definedName>
    <definedName name="_soc_emif_io_dr_acc_j6eco" comment="**********" hidden="1">40</definedName>
    <definedName name="_soc_emif_io_dr_acc_vayu" comment="**********" hidden="1">34</definedName>
    <definedName name="_soc_emif_io_dr_ds_adaslow" comment="**********" hidden="1">IF(_sdram_type="LPDDR2 - Discrete",60,48)</definedName>
    <definedName name="_soc_emif_io_dr_ds_j6eco" comment="**********" hidden="1">48</definedName>
    <definedName name="_soc_emif_io_dr_ds_vayu" comment="**********" hidden="1">48</definedName>
    <definedName name="_soc_emif_io_sr_acc_adaslow" comment="**********" hidden="1">IF(_sdram_type="DDR3/L","Fastest: SR[2:0] = 0b000","SR[2:0] = 0b010")</definedName>
    <definedName name="_soc_emif_io_sr_ds_adaslow" comment="**********" hidden="1">"SR[2:0] = 0b010"</definedName>
    <definedName name="_soc_emif_io_sr_j6eco" comment="**********" hidden="1">"Fastest: SR[2:0] = 0b000"</definedName>
    <definedName name="_soc_emif_io_sr_vayu" comment="**********" hidden="1">"Fastest: SR[2:0] = 0b000"</definedName>
    <definedName name="_soc_emifs_j6eco" comment="SOC_DETAILS**********" hidden="1">{1}</definedName>
    <definedName name="_soc_emifs_vayu" comment="SOC_DETAILS**********" hidden="1">{1;2}</definedName>
    <definedName name="_soc_freqmax_adaslow" comment="SOC_DETAILS**********Assumes LPDDR2 PoP; discrete only spec'd to 333 MHz" hidden="1">IF(_sdram_type="DDR3/L",533,400)</definedName>
    <definedName name="_soc_freqmax_j6eco" comment="SOC_DETAILS**********" hidden="1">667</definedName>
    <definedName name="_soc_freqmax_vayu" comment="SOC_DETAILS**********" hidden="1">IF(_sdram_type="DDR2",400,533)</definedName>
    <definedName name="_soc_freqmin_adaslow" comment="SOC_DETAILS**********" hidden="1">IF(_sdram_type="DDR3/L",303,IF(_sdram_type="DDR2",125,10))</definedName>
    <definedName name="_soc_freqmin_j6eco" comment="SOC_DETAILS**********" hidden="1">303</definedName>
    <definedName name="_soc_freqmin_vayu" comment="SOC_DETAILS**********" hidden="1">IF(_sdram_type="DDR2",125,303)</definedName>
    <definedName name="_soc_io_i_part0_vayu" comment="SOC_DETAILS**********" hidden="1">4</definedName>
    <definedName name="_soc_memtype_adaslow" comment="SOC_DETAILS**********" localSheetId="0" hidden="1">{"DDR3/L"}</definedName>
    <definedName name="_soc_memtype_adaslow" hidden="1">{"DDR3/L"}</definedName>
    <definedName name="_soc_memtype_j6eco" comment="SOC_DETAILS**********" localSheetId="0" hidden="1">{"DDR3/L"}</definedName>
    <definedName name="_soc_memtype_j6eco" hidden="1">{"DDR3/L"}</definedName>
    <definedName name="_soc_memtype_vayu" comment="SOC_DETAILS**********" localSheetId="0" hidden="1">{"DDR2";"DDR3/L"}</definedName>
    <definedName name="_soc_memtype_vayu" hidden="1">{"DDR2";"DDR3/L"}</definedName>
    <definedName name="_soc_name" comment="SOC_DETAILS**********" localSheetId="0" hidden="1">CHOOSE(MATCH(_user_soc,'Title-README'!_soc_partnum_list,0),"j6eco","vayu","j6eco","vayu","vayu","j6eco","vayu","adaslow")</definedName>
    <definedName name="_soc_name" hidden="1">CHOOSE(MATCH(_user_soc,_soc_partnum_list,0),"j6eco","vayu","j6eco","vayu","vayu","j6eco","vayu","adaslow")</definedName>
    <definedName name="_soc_names" comment="SOC_DETAILS**********" localSheetId="0" hidden="1">{"omap5";"vayu";"j6eco";"adaslow"}</definedName>
    <definedName name="_soc_names" hidden="1">{"omap5";"vayu";"j6eco";"adaslow"}</definedName>
    <definedName name="_soc_partnum_list" comment="SOC_DETAILS**********" localSheetId="0" hidden="1">{"AM571x";"AM572x";"DRA72x";"DRA74x";"DRA75x";"TDA2Ex";"TDA2x";"TDA3x"}</definedName>
    <definedName name="_soc_partnum_list" hidden="1">{"AM571x";"AM572x";"DRA72x";"DRA74x";"DRA75x";"TDA2Ex";"TDA2x";"TDA3x"}</definedName>
    <definedName name="_soc_register_name" comment="**********" hidden="1">INDIRECT(ADDRESS(ROW(),COLUMN()+1))</definedName>
    <definedName name="_soc_register_name_ctrl_vayu" comment="SOC_DETAILS**********" hidden="1">{"CTRL_CORE_CONTROL_DDRCACH1_0_VAL";"CTRL_CORE_CONTROL_DDRCACH2_0_VAL";"CTRL_CORE_CONTROL_DDRCH1_0_VAL";"CTRL_CORE_CONTROL_DDRCH1_1_VAL";"CTRL_CORE_CONTROL_DDRCH2_0_VAL";"CTRL_CORE_CONTROL_DDRCH2_1_VAL";"CTRL_CORE_CONTROL_DDRCH1_2_VAL";"CTRL_WKUP_EMIF1_SDRAM_CONFIG_EXT";"CTRL_WKUP_EMIF2_SDRAM_CONFIG_EXT"}</definedName>
    <definedName name="_soc_register_name_ddrphy_list" comment="SOC_DETAILS**********" hidden="1">CHOOSE(MATCH('Title-README'!_soc_name,'Title-README'!_soc_names,0),_soc_register_name_ddrphy_omap5_list,_soc_register_name_ddrphy_vayu_list,_soc_register_name_ddrphy_vayu_list,_soc_register_name_ddrphy_vayu_list)</definedName>
    <definedName name="_soc_register_name_ddrphy_omap5_list" comment="SOC_DETAILS**********" hidden="1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}</definedName>
    <definedName name="_soc_register_name_ddrphy_vayu_list" comment="SOC_DETAILS**********" hidden="1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;"EXT_PHY_CTRL_25";"EXT_PHY_CTRL_26";"EXT_PHY_CTRL_27";"EXT_PHY_CTRL_28";"EXT_PHY_CTRL_29";"EXT_PHY_CTRL_30";"EXT_PHY_CTRL_31";"EXT_PHY_CTRL_32";"EXT_PHY_CTRL_33";"EXT_PHY_CTRL_34";"EXT_PHY_CTRL_35";"EXT_PHY_CTRL_36"}</definedName>
    <definedName name="_soc_register_name_ddrphy1" comment="SOC_DETAILS**********" hidden="1">IFERROR(CONCATENATE("// EMIF1_",INDEX(_soc_register_name_ddrphy_list,ROW()-ROW(_soc_register_name_ddrphy1_start)+1)),"")</definedName>
    <definedName name="_soc_register_name_ddrphy1_start" comment="Constant_CellLoc**********" hidden="1">'[1]Register Values'!$C$83</definedName>
    <definedName name="_soc_register_name_ddrphy2" comment="SOC_DETAILS**********" hidden="1">IFERROR(CONCATENATE("// EMIF2_",INDEX(_soc_register_name_ddrphy_list,ROW()-ROW(_soc_register_name_ddrphy2_start)+1)),"")</definedName>
    <definedName name="_soc_register_name_ddrphy2_start" comment="Constant_CellLoc**********" hidden="1">'[1]Register Values'!$C$122</definedName>
    <definedName name="_soc_register_name_dmm" comment="SOC_DETAILS**********" hidden="1">{"DMM_LISA_MAP_0_VAL";"DMM_LISA_MAP_1_VAL"}</definedName>
    <definedName name="_soc_register_name_emif" comment="SOC_DETAILS**********" hidden="1">{"EMIF_SDRAM_CONFIG_VAL";"EMIF_SDRAM_CONFIG_2_VAL";"EMIF_SDRAM_REF_CTRL_VAL";"EMIF_SDRAM_TIM_1_VAL";"EMIF_SDRAM_TIM_2_VAL";"EMIF_SDRAM_TIM_3_VAL";"EMIF_SDRAM_ZQ_CONFIG_VAL";"EMIF_RDWR_LVL_RMP_CTRL_VAL";"EMIF_RDWR_LVL_CTRL_VAL";"EMIF_DDR_PHY_CTRL_1_VAL"}</definedName>
    <definedName name="_soc_register_value" comment="**********" hidden="1">IFERROR(CONCATENATE("0x",Eval(CONCATENATE(REPLACE(_soc_register_name,1,3,"_"),"_VAL"))),"")</definedName>
    <definedName name="_sysclk1" comment="PLL_Info**********" hidden="1">'[1]Step1-SystemDetails'!$F$19</definedName>
    <definedName name="_sysclk1_mult" comment="PLL_Info**********" hidden="1">IF((_sysclk1-ROUND(_sysclk1,0))&gt;0,ROUND(1/(_sysclk1-ROUND(_sysclk1,0)),0),1)</definedName>
    <definedName name="_t_case" hidden="1">85</definedName>
    <definedName name="_t_cke" comment="Bit_Field_EMIF_SDRAM_TIM_2_VAL*****EMIF_SDRAM_TIM2[02:00] - Minimum number of DDR clock cycles between pad_cke_o changes, minus one.*****" hidden="1">IF(_enable_jedec=1,'Title-README'!_t_cke_jedec,_t_cke_user)</definedName>
    <definedName name="_t_cke_ck_user" comment="User_Input**********" hidden="1">'[1]Step3-DDRTimings'!$F$38</definedName>
    <definedName name="_t_cke_jedec" comment="Bit_Field_Conversion_SDRAM_TIM2**********INTERNAL ONLY" localSheetId="0" hidden="1">IFERROR(ROUNDUP('Title-README'!_t_cke_ns*_ddr_pll_freq/1000,0)-1,0)</definedName>
    <definedName name="_t_cke_jedec" hidden="1">IFERROR(ROUNDUP(_t_cke_ns*_ddr_pll_freq/1000,0)-1,0)</definedName>
    <definedName name="_t_cke_ns" comment="JEDEC_Lookup**********" localSheetId="0" hidden="1">IF(_sdram_type="LPDDR2",3*1000/_ddr_pll_freq,IF(_sdram_type="DDR2",3*1000/_ddr_pll_freq,MAX(3*1000/_ddr_pll_freq,INDEX('Title-README'!_ddr3_sb_cke,'Title-README'!_sdram_sb))))</definedName>
    <definedName name="_t_cke_ns" hidden="1">IF(_sdram_type="LPDDR2",3*1000/_ddr_pll_freq,IF(_sdram_type="DDR2",3*1000/_ddr_pll_freq,MAX(3*1000/_ddr_pll_freq,INDEX(_ddr3_sb_cke,_sdram_sb))))</definedName>
    <definedName name="_t_cke_ns_user" comment="User_Input**********" hidden="1">'[1]Step3-DDRTimings'!$G$38</definedName>
    <definedName name="_t_cke_user" comment="Bit_Field_Conversion_SDRAM_TIM2**********" hidden="1">MAX(MIN(ROUNDUP(MAX(_t_cke_ck_user, _t_cke_ns_user*_ddr_pll_freq/1000),0)-1,2^3-1),0)</definedName>
    <definedName name="_t_ckesr" comment="Bit_Field_EMIF_SDRAM_TIM_3_VAL*****EMIF_SDRAM_TIM3[23:21] - Minimum number of DDR clock cycles for which SDRAM must remain in Self Refresh, minus one.*****" hidden="1">IF(_enable_jedec=1,'Title-README'!_t_ckesr_jedec,_t_ckesr_user)</definedName>
    <definedName name="_t_ckesr_ck_user" comment="User_Input**********" hidden="1">'[1]Step3-DDRTimings'!$F$39</definedName>
    <definedName name="_t_ckesr_jedec" comment="Bit_Field_Conversion_SDRAM_TIM3**********INTERNAL ONLY" localSheetId="0" hidden="1">IF(_sdram_type="LPDDR2",IFERROR(ROUNDUP('Title-README'!_t_ckesr_ns*_ddr_pll_freq/1000,0)-1,0),'Title-README'!_t_cke_jedec+1)</definedName>
    <definedName name="_t_ckesr_jedec" hidden="1">IF(_sdram_type="LPDDR2",IFERROR(ROUNDUP(_t_ckesr_ns*_ddr_pll_freq/1000,0)-1,0),_t_cke_jedec+1)</definedName>
    <definedName name="_t_ckesr_ns" comment="JEDEC_Lookup**********LPDDR2 only" localSheetId="0" hidden="1">MAX(3*1000/_ddr_pll_freq,15)</definedName>
    <definedName name="_t_ckesr_ns" hidden="1">MAX(3*1000/_ddr_pll_freq,15)</definedName>
    <definedName name="_t_ckesr_ns_user" comment="User_Input**********" hidden="1">'[1]Step3-DDRTimings'!$G$39</definedName>
    <definedName name="_t_ckesr_user" comment="Bit_Field_Conversion_SDRAM_TIM3**********" hidden="1">MAX(MIN(ROUNDUP(MAX(_t_ckesr_ck_user, _t_ckesr_ns_user*_ddr_pll_freq/1000),0)-1,2^3-1),0)</definedName>
    <definedName name="_t_cl_ck_user" comment="User_Input**********" hidden="1">'[1]Step3-DDRTimings'!$F$25</definedName>
    <definedName name="_t_cl_user" comment="**********" hidden="1">MAX(MIN(_t_cl_ck_user,MAX('Title-README'!_sdram_sb_cl)),INDEX('Title-README'!_sdram_sb_cl,ROW(INDIRECT("1:1"))))</definedName>
    <definedName name="_t_cl_user_max" comment="**********" hidden="1">MAX('Title-README'!_sdram_sb_cl)</definedName>
    <definedName name="_t_cl_user_min" comment="**********" hidden="1">MIN('Title-README'!_sdram_sb_cl)</definedName>
    <definedName name="_t_csta" comment="Bit_Field_EMIF_SDRAM_TIM_3_VAL*****EMIF_SDRAM_TIM3[27:24] - Minimum number of DDR clock cycles between write-to-write or read-to-read data phases to different chip selects, minus one.*****Based on discussion with Ritesh, this needs to be programmed as the" hidden="1">IF(_sdram_config_ebank=1,6-1,0)</definedName>
    <definedName name="_t_cwl_ck_user" comment="User_Input**********" hidden="1">'[1]Step3-DDRTimings'!$F$26</definedName>
    <definedName name="_t_cwl_user" comment="**********" hidden="1">MAX(MIN(_t_cwl_ck_user,8),5)</definedName>
    <definedName name="_t_dllk_ns" comment="**********" localSheetId="0" hidden="1">512*1000/_ddr_pll_freq</definedName>
    <definedName name="_t_dllk_ns" hidden="1">512*1000/_ddr_pll_freq</definedName>
    <definedName name="_t_dqsck_max" comment="Bit_Field_EMIF_SDRAM_TIM_3_VAL*****EMIF_SDRAM_TIM3[14:13] - Number of DDR clock cycles that satisfies tDQSCKmax for LPDDR2, minus one.*****Currently hard-coded to 6000 ps for LPDDR2" hidden="1">IF(_sdram_type="LPDDR2",MAX(MIN(ROUNDUP(_t_dqsck_max_ps*_ddr_pll_freq/1000000,0)-1,2^2-1),0),0)</definedName>
    <definedName name="_t_dqsck_max_ps" comment="JEDEC_Lookup**********For LPDDR2 only; update for user input?; using de-rated value" hidden="1">6000</definedName>
    <definedName name="_t_dqss_brdskew_p0_ch1_cs0" comment="Formula-PCB_DELAY**********" hidden="1">((_tl_clk_p0_mi_ch1_cs0*_prop_vel_microstrip) + (_tl_clk_p0_st_ch1_cs0*_prop_vel_stripline) - (_tl_dqs0_mi_ch1_cs0*_prop_vel_microstrip) - (_tl_dqs0_st_ch1_cs0*_prop_vel_stripline))/1000</definedName>
    <definedName name="_t_dqss_brdskew_p0_ch1_cs1" comment="Formula-PCB_DELAY**********" hidden="1">((_tl_clk_p0_mi_ch1_cs1*_prop_vel_microstrip) + (_tl_clk_p0_st_ch1_cs1*_prop_vel_stripline) - (_tl_dqs0_mi_ch1_cs1*_prop_vel_microstrip) - (_tl_dqs0_st_ch1_cs1*_prop_vel_stripline))/1000</definedName>
    <definedName name="_t_dqss_brdskew_p0_ch2_cs0" comment="Formula-PCB_DELAY**********" hidden="1">((_tl_clk_p0_mi_ch2_cs0*_prop_vel_microstrip) + (_tl_clk_p0_st_ch2_cs0*_prop_vel_stripline) - (_tl_dqs0_mi_ch2_cs0*_prop_vel_microstrip) - (_tl_dqs0_st_ch2_cs0*_prop_vel_stripline))/1000</definedName>
    <definedName name="_t_dqss_brdskew_p0_ch2_cs1" comment="Formula-PCB_DELAY**********" hidden="1">((_tl_clk_p0_mi_ch2_cs1*_prop_vel_microstrip) + (_tl_clk_p0_st_ch2_cs1*_prop_vel_stripline) - (_tl_dqs0_mi_ch2_cs1*_prop_vel_microstrip) - (_tl_dqs0_st_ch2_cs1*_prop_vel_stripline))/1000</definedName>
    <definedName name="_t_dqss_brdskew_p1_ch1_cs0" comment="Formula-PCB_DELAY**********" hidden="1">((_tl_clk_p1_mi_ch1_cs0*_prop_vel_microstrip) + (_tl_clk_p1_st_ch1_cs0*_prop_vel_stripline) - (_tl_dqs1_mi_ch1_cs0*_prop_vel_microstrip) - (_tl_dqs1_st_ch1_cs0*_prop_vel_stripline))/1000</definedName>
    <definedName name="_t_dqss_brdskew_p1_ch1_cs1" comment="Formula-PCB_DELAY**********" hidden="1">((_tl_clk_p1_mi_ch1_cs1*_prop_vel_microstrip) + (_tl_clk_p1_st_ch1_cs1*_prop_vel_stripline) - (_tl_dqs1_mi_ch1_cs1*_prop_vel_microstrip) - (_tl_dqs1_st_ch1_cs1*_prop_vel_stripline))/1000</definedName>
    <definedName name="_t_dqss_brdskew_p1_ch2_cs0" comment="Formula-PCB_DELAY**********" hidden="1">((_tl_clk_p1_mi_ch2_cs0*_prop_vel_microstrip) + (_tl_clk_p1_st_ch2_cs0*_prop_vel_stripline) - (_tl_dqs1_mi_ch2_cs0*_prop_vel_microstrip) - (_tl_dqs1_st_ch2_cs0*_prop_vel_stripline))/1000</definedName>
    <definedName name="_t_dqss_brdskew_p1_ch2_cs1" comment="Formula-PCB_DELAY**********" hidden="1">((_tl_clk_p1_mi_ch2_cs1*_prop_vel_microstrip) + (_tl_clk_p1_st_ch2_cs1*_prop_vel_stripline) - (_tl_dqs1_mi_ch2_cs1*_prop_vel_microstrip) - (_tl_dqs1_st_ch2_cs1*_prop_vel_stripline))/1000</definedName>
    <definedName name="_t_dqss_brdskew_p2_ch1_cs0" comment="Formula-PCB_DELAY**********" hidden="1">((_tl_clk_p2_mi_ch1_cs0*_prop_vel_microstrip) + (_tl_clk_p2_st_ch1_cs0*_prop_vel_stripline) - (_tl_dqs2_mi_ch1_cs0*_prop_vel_microstrip) - (_tl_dqs2_st_ch1_cs0*_prop_vel_stripline))/1000</definedName>
    <definedName name="_t_dqss_brdskew_p2_ch1_cs1" comment="Formula-PCB_DELAY**********" hidden="1">((_tl_clk_p2_mi_ch1_cs1*_prop_vel_microstrip) + (_tl_clk_p2_st_ch1_cs1*_prop_vel_stripline) - (_tl_dqs2_mi_ch1_cs1*_prop_vel_microstrip) - (_tl_dqs2_st_ch1_cs1*_prop_vel_stripline))/1000</definedName>
    <definedName name="_t_dqss_brdskew_p2_ch2_cs0" comment="Formula-PCB_DELAY**********" hidden="1">((_tl_clk_p2_mi_ch2_cs0*_prop_vel_microstrip) + (_tl_clk_p2_st_ch2_cs0*_prop_vel_stripline) - (_tl_dqs2_mi_ch2_cs0*_prop_vel_microstrip) - (_tl_dqs2_st_ch2_cs0*_prop_vel_stripline))/1000</definedName>
    <definedName name="_t_dqss_brdskew_p2_ch2_cs1" comment="Formula-PCB_DELAY**********" hidden="1">((_tl_clk_p2_mi_ch2_cs1*_prop_vel_microstrip) + (_tl_clk_p2_st_ch2_cs1*_prop_vel_stripline) - (_tl_dqs2_mi_ch2_cs1*_prop_vel_microstrip) - (_tl_dqs2_st_ch2_cs1*_prop_vel_stripline))/1000</definedName>
    <definedName name="_t_dqss_brdskew_p3_ch1_cs0" comment="Formula-PCB_DELAY**********" hidden="1">((_tl_clk_p3_mi_ch1_cs0*_prop_vel_microstrip) + (_tl_clk_p3_st_ch1_cs0*_prop_vel_stripline) - (_tl_dqs3_mi_ch1_cs0*_prop_vel_microstrip) - (_tl_dqs3_st_ch1_cs0*_prop_vel_stripline))/1000</definedName>
    <definedName name="_t_dqss_brdskew_p3_ch1_cs1" comment="Formula-PCB_DELAY**********" hidden="1">((_tl_clk_p3_mi_ch1_cs1*_prop_vel_microstrip) + (_tl_clk_p3_st_ch1_cs1*_prop_vel_stripline) - (_tl_dqs3_mi_ch1_cs1*_prop_vel_microstrip) - (_tl_dqs3_st_ch1_cs1*_prop_vel_stripline))/1000</definedName>
    <definedName name="_t_dqss_brdskew_p3_ch2_cs0" comment="Formula-PCB_DELAY**********" hidden="1">((_tl_clk_p3_mi_ch2_cs0*_prop_vel_microstrip) + (_tl_clk_p3_st_ch2_cs0*_prop_vel_stripline) - (_tl_dqs3_mi_ch2_cs0*_prop_vel_microstrip) - (_tl_dqs3_st_ch2_cs0*_prop_vel_stripline))/1000</definedName>
    <definedName name="_t_dqss_brdskew_p3_ch2_cs1" comment="Formula-PCB_DELAY**********" hidden="1">((_tl_clk_p3_mi_ch2_cs1*_prop_vel_microstrip) + (_tl_clk_p3_st_ch2_cs1*_prop_vel_stripline) - (_tl_dqs3_mi_ch2_cs1*_prop_vel_microstrip) - (_tl_dqs3_st_ch2_cs1*_prop_vel_stripline))/1000</definedName>
    <definedName name="_t_dqss_brdskew_p4_ch1_cs0" comment="Formula-PCB_DELAY**********" hidden="1">((_tl_clk_p4_mi_ch1_cs0*_prop_vel_microstrip) + (_tl_clk_p4_st_ch1_cs0*_prop_vel_stripline) - (_tl_dqs4_mi_ch1_cs0*_prop_vel_microstrip) - (_tl_dqs4_st_ch1_cs0*_prop_vel_stripline))/1000</definedName>
    <definedName name="_t_dqss_brdskew_p4_ch1_cs1" comment="Formula-PCB_DELAY**********" hidden="1">((_tl_clk_p4_mi_ch1_cs1*_prop_vel_microstrip) + (_tl_clk_p4_st_ch1_cs1*_prop_vel_stripline) - (_tl_dqs4_mi_ch1_cs1*_prop_vel_microstrip) - (_tl_dqs4_st_ch1_cs1*_prop_vel_stripline))/1000</definedName>
    <definedName name="_t_dqss_brdskew_p4_ch2_cs0" comment="Formula-PCB_DELAY**********" hidden="1">((_tl_clk_p4_mi_ch2_cs0*_prop_vel_microstrip) + (_tl_clk_p4_st_ch2_cs0*_prop_vel_stripline) - (_tl_dqs4_mi_ch2_cs0*_prop_vel_microstrip) - (_tl_dqs4_st_ch2_cs0*_prop_vel_stripline))/1000</definedName>
    <definedName name="_t_dqss_brdskew_p4_ch2_cs1" comment="Formula-PCB_DELAY**********" hidden="1">((_tl_clk_p4_mi_ch2_cs1*_prop_vel_microstrip) + (_tl_clk_p4_st_ch2_cs1*_prop_vel_stripline) - (_tl_dqs4_mi_ch2_cs1*_prop_vel_microstrip) - (_tl_dqs4_st_ch2_cs1*_prop_vel_stripline))/1000</definedName>
    <definedName name="_t_faw_ck_user" comment="User_Input**********" hidden="1">'[1]Step3-DDRTimings'!$F$44</definedName>
    <definedName name="_t_faw_jedec" comment="Bit_Field_Conversion_SDRAM_TIM1**********" localSheetId="0" hidden="1">IFERROR(ROUNDUP('Title-README'!_t_faw_ns*_ddr_pll_freq/4000,0)-1,0)</definedName>
    <definedName name="_t_faw_jedec" hidden="1">IFERROR(ROUNDUP(_t_faw_ns*_ddr_pll_freq/4000,0)-1,0)</definedName>
    <definedName name="_t_faw_ns" comment="JEDEC_Lookup**********" localSheetId="0" hidden="1">IF(_sdram_type="DDR2",IF('Title-README'!_sdram_pagesize=2048,INDEX('Title-README'!_ddr2_sb_faw_2k,'Title-README'!_sdram_sb),INDEX('Title-README'!_ddr2_sb_faw_1k,'Title-README'!_sdram_sb)),IF('Title-README'!_sdram_pagesize=2048,INDEX('Title-README'!_ddr3_sb_faw_2k,'Title-README'!_sdram_sb),INDEX('Title-README'!_ddr3_sb_faw_1k,'Title-README'!_sdram_sb)))</definedName>
    <definedName name="_t_faw_ns" hidden="1">IF(_sdram_type="DDR2",IF(_sdram_pagesize=2048,INDEX(_ddr2_sb_faw_2k,_sdram_sb),INDEX(_ddr2_sb_faw_1k,_sdram_sb)),IF(_sdram_pagesize=2048,INDEX(_ddr3_sb_faw_2k,_sdram_sb),INDEX(_ddr3_sb_faw_1k,_sdram_sb)))</definedName>
    <definedName name="_t_faw_ns_user" comment="User_Input**********" hidden="1">'[1]Step3-DDRTimings'!$G$44</definedName>
    <definedName name="_t_faw_user" comment="Bit_Field_Conversion_SDRAM_TIM1**********" hidden="1">ROUNDUP(MAX(_t_faw_ck_user, _t_faw_ns_user*_ddr_pll_freq/1000)/4,0)-1</definedName>
    <definedName name="_t_odt" comment="Bit_Field_EMIF_SDRAM_TIM_2_VAL*****EMIF_SDRAM_TIM2[27:25] - Minimum number of DDR clock cycles from ODT enable to write data driven for DDR2 and DDR3. reg_t_odt must be equal to tAOND.*****NOT USED" hidden="1">0</definedName>
    <definedName name="_t_odt_jedec" comment="Bit_Field_Conversion**********" hidden="1">IFERROR(ROUNDUP(_t_odt_ns*_ddr_pll_freq/1000,0)-1,0)</definedName>
    <definedName name="_t_odt_ns" comment="JEDEC_Lookup**********" hidden="1">IF(_sdram_type="DDR2",2000/_ddr_pll_freq,2)</definedName>
    <definedName name="_t_pdll_ul" comment="Bit_Field_EMIF_SDRAM_TIM_3_VAL*****EMIF_SDRAM_TIM3[31:28] - Minimum number of DDR clock cycles for PHY DLL to unlock. A value of N will be equal to N x 128 clocks.*****Used when exiting self-refresh. Set to 0x4 to stay consistent with latest GELs." hidden="1">4</definedName>
    <definedName name="_t_ras" comment="Bit_Field_EMIF_SDRAM_TIM_1_VAL*****EMIF_SDRAM_TIM1[16:12] - Minimum number of DDR clock cycles from Activate to Pre-charge, minus one. reg_t_ras &gt;= reg_t_rcd.*****" hidden="1">IF(_enable_jedec=1,'Title-README'!_t_ras_jedec,_t_ras_user)</definedName>
    <definedName name="_t_ras_ck_user" comment="User_Input**********" hidden="1">'[1]Step3-DDRTimings'!$F$30</definedName>
    <definedName name="_t_ras_jedec" comment="Bit_Field_Conversion_SDRAM_TIM1**********INTERNAL ONLY" localSheetId="0" hidden="1">IFERROR(ROUNDUP('Title-README'!_t_ras_ns*_ddr_pll_freq/1000,0)-1,0)</definedName>
    <definedName name="_t_ras_jedec" hidden="1">IFERROR(ROUNDUP(_t_ras_ns*_ddr_pll_freq/1000,0)-1,0)</definedName>
    <definedName name="_t_ras_max" comment="Bit_Field_EMIF_SDRAM_TIM_3_VAL*****EMIF_SDRAM_TIM3[03:00] - Maximum number of reg_refresh_rate intervals from Activate to Precharge command. This field must be equal to ((tRASmax / tREFI)-1) rounded down to the next lower integer.*****" hidden="1">IF(_enable_jedec=1,'Title-README'!_t_ras_max_jedec,_t_ras_max_user)</definedName>
    <definedName name="_t_ras_max_jedec" comment="Bit_Field_Conversion_SDRAM_TIM3**********INTERNAL ONLY" localSheetId="0" hidden="1">IFERROR(ROUNDDOWN('Title-README'!_t_ras_max_ns/'Title-README'!_t_refi_ns,0)-1,0)</definedName>
    <definedName name="_t_ras_max_jedec" hidden="1">IFERROR(ROUNDDOWN(_t_ras_max_ns/_t_refi_ns,0)-1,0)</definedName>
    <definedName name="_t_ras_max_ns" comment="JEDEC_Lookup**********" localSheetId="0" hidden="1">IF(_sdram_type="LPDDR2",70000,IF(_sdram_type="DDR2",70000,9*'Title-README'!_t_refi_ns))</definedName>
    <definedName name="_t_ras_max_ns" hidden="1">IF(_sdram_type="LPDDR2",70000,IF(_sdram_type="DDR2",70000,9*_t_refi_ns))</definedName>
    <definedName name="_t_ras_max_ns_user" comment="User_Input**********" hidden="1">'[1]Step3-DDRTimings'!$G$42</definedName>
    <definedName name="_t_ras_max_user" comment="Bit_Field_Conversion_SDRAM_TIM3**********" hidden="1">MAX(MIN(ROUNDDOWN(_t_ras_max_ns_user/_t_refi_ns_user,0)-1,2^4-1),0)</definedName>
    <definedName name="_t_ras_ns" comment="JEDEC_Lookup**********" localSheetId="0" hidden="1">IF(_sdram_type="LPDDR2",MAX(3*1000/_ddr_pll_freq,42),IF(_sdram_type="DDR2",INDEX('Title-README'!_ddr2_sb_ras_min,'Title-README'!_sdram_sb),INDEX('Title-README'!_ddr3_sb_ras_min,'Title-README'!_sdram_sb)))</definedName>
    <definedName name="_t_ras_ns" hidden="1">IF(_sdram_type="LPDDR2",MAX(3*1000/_ddr_pll_freq,42),IF(_sdram_type="DDR2",INDEX(_ddr2_sb_ras_min,_sdram_sb),INDEX(_ddr3_sb_ras_min,_sdram_sb)))</definedName>
    <definedName name="_t_ras_ns_user" comment="User_Input**********" hidden="1">'[1]Step3-DDRTimings'!$G$30</definedName>
    <definedName name="_t_ras_user" comment="Bit_Field_Conversion_SDRAM_TIM1**********" hidden="1">MAX(MIN(ROUNDUP(MAX(_t_ras_ck_user, _t_ras_ns_user*_ddr_pll_freq/1000),0)-1,2^5-1),_t_rcd_user)</definedName>
    <definedName name="_t_rc" comment="Bit_Field_EMIF_SDRAM_TIM_1_VAL*****EMIF_SDRAM_TIM1[11:06] - Minimum number of DDR clock cycles from Activate to Activate, minus one.*****" hidden="1">IF(_enable_jedec=1,'Title-README'!_t_rc_jedec,_t_rc_user)</definedName>
    <definedName name="_t_rc_ck_user" comment="User_Input**********" hidden="1">'[1]Step3-DDRTimings'!$F$31</definedName>
    <definedName name="_t_rc_jedec" comment="Bit_Field_Conversion_SDRAM_TIM1**********INTERNAL ONLY" localSheetId="0" hidden="1">IFERROR(ROUNDUP('Title-README'!_t_rc_ns*_ddr_pll_freq/1000,0)-1,0)</definedName>
    <definedName name="_t_rc_jedec" hidden="1">IFERROR(ROUNDUP(_t_rc_ns*_ddr_pll_freq/1000,0)-1,0)</definedName>
    <definedName name="_t_rc_ns" comment="JEDEC_Lookup**********" localSheetId="0" hidden="1">IF(_sdram_type="LPDDR2",'Title-README'!_t_ras_ns+'Title-README'!_t_rp_ns,IF(_sdram_type="DDR2",INDEX('Title-README'!_ddr2_sb_rc,'Title-README'!_sdram_sb),INDEX('Title-README'!_ddr3_sb_rc,'Title-README'!_sdram_sb)))</definedName>
    <definedName name="_t_rc_ns" hidden="1">IF(_sdram_type="LPDDR2",_t_ras_ns+_t_rp_ns,IF(_sdram_type="DDR2",INDEX(_ddr2_sb_rc,_sdram_sb),INDEX(_ddr3_sb_rc,_sdram_sb)))</definedName>
    <definedName name="_t_rc_ns_user" comment="User_Input**********" hidden="1">'[1]Step3-DDRTimings'!$G$31</definedName>
    <definedName name="_t_rc_user" comment="Bit_Field_Conversion_SDRAM_TIM1**********" hidden="1">MAX(MIN(ROUNDUP(MAX(_t_rc_ck_user, _t_rc_ns_user*_ddr_pll_freq/1000),0)-1,2^6-1),0)</definedName>
    <definedName name="_t_rcd" comment="Bit_Field_EMIF_SDRAM_TIM_1_VAL*****EMIF_SDRAM_TIM1[24:21] - Minimum number of DDR clock cycles from Activate to Read or Write, minus one.*****" hidden="1">IF(_enable_jedec=1,'Title-README'!_t_rcd_jedec,_t_rcd_user)</definedName>
    <definedName name="_t_rcd_ck_user" comment="User_Input**********" hidden="1">'[1]Step3-DDRTimings'!$F$28</definedName>
    <definedName name="_t_rcd_jedec" comment="Bit_Field_Conversion_SDRAM_TIM1**********INTERNAL ONLY" localSheetId="0" hidden="1">IFERROR(ROUNDUP('Title-README'!_t_rcd_ns*_ddr_pll_freq/1000,0)-1,0)</definedName>
    <definedName name="_t_rcd_jedec" hidden="1">IFERROR(ROUNDUP(_t_rcd_ns*_ddr_pll_freq/1000,0)-1,0)</definedName>
    <definedName name="_t_rcd_ns" comment="JEDEC_Lookup**********Using TYPICAL for LPDDR2" localSheetId="0" hidden="1">IF(_sdram_type="LPDDR2",MAX(3*1000/_ddr_pll_freq,18),IF(_sdram_type="DDR2",INDEX('Title-README'!_ddr2_sb_rcd,'Title-README'!_sdram_sb),INDEX('Title-README'!_ddr3_sb_rcd,'Title-README'!_sdram_sb)))</definedName>
    <definedName name="_t_rcd_ns" hidden="1">IF(_sdram_type="LPDDR2",MAX(3*1000/_ddr_pll_freq,18),IF(_sdram_type="DDR2",INDEX(_ddr2_sb_rcd,_sdram_sb),INDEX(_ddr3_sb_rcd,_sdram_sb)))</definedName>
    <definedName name="_t_rcd_ns_user" comment="User_Input**********" hidden="1">'[1]Step3-DDRTimings'!$G$28</definedName>
    <definedName name="_t_rcd_user" comment="Bit_Field_Conversion_SDRAM_TIM1**********" hidden="1">MAX(MIN(ROUNDUP(MAX(_t_rcd_ck_user, _t_rcd_ns_user*_ddr_pll_freq/1000),0)-1,2^4-1),0)</definedName>
    <definedName name="_t_rdtrip_brddly_p0_ch1_cs0" comment="Formula-PCB_DELAY**********" hidden="1">((_tl_clk_p0_mi_ch1_cs0*_prop_vel_microstrip) + (_tl_clk_p0_st_ch1_cs0*_prop_vel_stripline) + (_tl_dqs0_mi_ch1_cs0*_prop_vel_microstrip) + (_tl_dqs0_st_ch1_cs0*_prop_vel_stripline))/1000</definedName>
    <definedName name="_t_rdtrip_brddly_p0_ch1_cs1" comment="Formula-PCB_DELAY**********" hidden="1">((_tl_clk_p0_mi_ch1_cs1*_prop_vel_microstrip) + (_tl_clk_p0_st_ch1_cs1*_prop_vel_stripline) + (_tl_dqs0_mi_ch1_cs1*_prop_vel_microstrip) + (_tl_dqs0_st_ch1_cs1*_prop_vel_stripline))/1000</definedName>
    <definedName name="_t_rdtrip_brddly_p0_ch2_cs0" comment="Formula-PCB_DELAY**********" hidden="1">((_tl_clk_p0_mi_ch2_cs0*_prop_vel_microstrip) + (_tl_clk_p0_st_ch2_cs0*_prop_vel_stripline) + (_tl_dqs0_mi_ch2_cs0*_prop_vel_microstrip) + (_tl_dqs0_st_ch2_cs0*_prop_vel_stripline))/1000</definedName>
    <definedName name="_t_rdtrip_brddly_p0_ch2_cs1" comment="Formula-PCB_DELAY**********" hidden="1">((_tl_clk_p0_mi_ch2_cs1*_prop_vel_microstrip) + (_tl_clk_p0_st_ch2_cs1*_prop_vel_stripline) + (_tl_dqs0_mi_ch2_cs1*_prop_vel_microstrip) + (_tl_dqs0_st_ch2_cs1*_prop_vel_stripline))/1000</definedName>
    <definedName name="_t_rdtrip_brddly_p1_ch1_cs0" comment="Formula-PCB_DELAY**********" hidden="1">((_tl_clk_p1_mi_ch1_cs0*_prop_vel_microstrip) + (_tl_clk_p1_st_ch1_cs0*_prop_vel_stripline) + (_tl_dqs1_mi_ch1_cs0*_prop_vel_microstrip) + (_tl_dqs1_st_ch1_cs0*_prop_vel_stripline))/1000</definedName>
    <definedName name="_t_rdtrip_brddly_p1_ch1_cs1" comment="Formula-PCB_DELAY**********" hidden="1">((_tl_clk_p1_mi_ch1_cs1*_prop_vel_microstrip) + (_tl_clk_p1_st_ch1_cs1*_prop_vel_stripline) + (_tl_dqs1_mi_ch1_cs1*_prop_vel_microstrip) + (_tl_dqs1_st_ch1_cs1*_prop_vel_stripline))/1000</definedName>
    <definedName name="_t_rdtrip_brddly_p1_ch2_cs0" comment="Formula-PCB_DELAY**********" hidden="1">((_tl_clk_p1_mi_ch2_cs0*_prop_vel_microstrip) + (_tl_clk_p1_st_ch2_cs0*_prop_vel_stripline) + (_tl_dqs1_mi_ch2_cs0*_prop_vel_microstrip) + (_tl_dqs1_st_ch2_cs0*_prop_vel_stripline))/1000</definedName>
    <definedName name="_t_rdtrip_brddly_p1_ch2_cs1" comment="Formula-PCB_DELAY**********" hidden="1">((_tl_clk_p1_mi_ch2_cs1*_prop_vel_microstrip) + (_tl_clk_p1_st_ch2_cs1*_prop_vel_stripline) + (_tl_dqs1_mi_ch2_cs1*_prop_vel_microstrip) + (_tl_dqs1_st_ch2_cs1*_prop_vel_stripline))/1000</definedName>
    <definedName name="_t_rdtrip_brddly_p2_ch1_cs0" comment="Formula-PCB_DELAY**********" hidden="1">((_tl_clk_p2_mi_ch1_cs0*_prop_vel_microstrip) + (_tl_clk_p2_st_ch1_cs0*_prop_vel_stripline) + (_tl_dqs2_mi_ch1_cs0*_prop_vel_microstrip) + (_tl_dqs2_st_ch1_cs0*_prop_vel_stripline))/1000</definedName>
    <definedName name="_t_rdtrip_brddly_p2_ch1_cs1" comment="Formula-PCB_DELAY**********" hidden="1">((_tl_clk_p2_mi_ch1_cs1*_prop_vel_microstrip) + (_tl_clk_p2_st_ch1_cs1*_prop_vel_stripline) + (_tl_dqs2_mi_ch1_cs1*_prop_vel_microstrip) + (_tl_dqs2_st_ch1_cs1*_prop_vel_stripline))/1000</definedName>
    <definedName name="_t_rdtrip_brddly_p2_ch2_cs0" comment="Formula-PCB_DELAY**********" hidden="1">((_tl_clk_p2_mi_ch2_cs0*_prop_vel_microstrip) + (_tl_clk_p2_st_ch2_cs0*_prop_vel_stripline) + (_tl_dqs2_mi_ch2_cs0*_prop_vel_microstrip) + (_tl_dqs2_st_ch2_cs0*_prop_vel_stripline))/1000</definedName>
    <definedName name="_t_rdtrip_brddly_p2_ch2_cs1" comment="Formula-PCB_DELAY**********" hidden="1">((_tl_clk_p2_mi_ch2_cs1*_prop_vel_microstrip) + (_tl_clk_p2_st_ch2_cs1*_prop_vel_stripline) + (_tl_dqs2_mi_ch2_cs1*_prop_vel_microstrip) + (_tl_dqs2_st_ch2_cs1*_prop_vel_stripline))/1000</definedName>
    <definedName name="_t_rdtrip_brddly_p3_ch1_cs0" comment="Formula-PCB_DELAY**********" hidden="1">((_tl_clk_p3_mi_ch1_cs0*_prop_vel_microstrip) + (_tl_clk_p3_st_ch1_cs0*_prop_vel_stripline) + (_tl_dqs3_mi_ch1_cs0*_prop_vel_microstrip) + (_tl_dqs3_st_ch1_cs0*_prop_vel_stripline))/1000</definedName>
    <definedName name="_t_rdtrip_brddly_p3_ch1_cs1" comment="Formula-PCB_DELAY**********" hidden="1">((_tl_clk_p3_mi_ch1_cs1*_prop_vel_microstrip) + (_tl_clk_p3_st_ch1_cs1*_prop_vel_stripline) + (_tl_dqs3_mi_ch1_cs1*_prop_vel_microstrip) + (_tl_dqs3_st_ch1_cs1*_prop_vel_stripline))/1000</definedName>
    <definedName name="_t_rdtrip_brddly_p3_ch2_cs0" comment="Formula-PCB_DELAY**********" hidden="1">((_tl_clk_p3_mi_ch2_cs0*_prop_vel_microstrip) + (_tl_clk_p3_st_ch2_cs0*_prop_vel_stripline) + (_tl_dqs3_mi_ch2_cs0*_prop_vel_microstrip) + (_tl_dqs3_st_ch2_cs0*_prop_vel_stripline))/1000</definedName>
    <definedName name="_t_rdtrip_brddly_p3_ch2_cs1" comment="Formula-PCB_DELAY**********" hidden="1">((_tl_clk_p3_mi_ch2_cs1*_prop_vel_microstrip) + (_tl_clk_p3_st_ch2_cs1*_prop_vel_stripline) + (_tl_dqs3_mi_ch2_cs1*_prop_vel_microstrip) + (_tl_dqs3_st_ch2_cs1*_prop_vel_stripline))/1000</definedName>
    <definedName name="_t_rdtrip_brddly_p4_ch1_cs0" comment="Formula-PCB_DELAY**********" hidden="1">((_tl_clk_p4_mi_ch1_cs0*_prop_vel_microstrip) + (_tl_clk_p4_st_ch1_cs0*_prop_vel_stripline) + (_tl_dqs4_mi_ch1_cs0*_prop_vel_microstrip) + (_tl_dqs4_st_ch1_cs0*_prop_vel_stripline))/1000</definedName>
    <definedName name="_t_rdtrip_brddly_p4_ch1_cs1" comment="Formula-PCB_DELAY**********" hidden="1">((_tl_clk_p4_mi_ch1_cs1*_prop_vel_microstrip) + (_tl_clk_p4_st_ch1_cs1*_prop_vel_stripline) + (_tl_dqs4_mi_ch1_cs1*_prop_vel_microstrip) + (_tl_dqs4_st_ch1_cs1*_prop_vel_stripline))/1000</definedName>
    <definedName name="_t_rdtrip_brddly_p4_ch2_cs0" comment="Formula-PCB_DELAY**********" hidden="1">((_tl_clk_p4_mi_ch2_cs0*_prop_vel_microstrip) + (_tl_clk_p4_st_ch2_cs0*_prop_vel_stripline) + (_tl_dqs4_mi_ch2_cs0*_prop_vel_microstrip) + (_tl_dqs4_st_ch2_cs0*_prop_vel_stripline))/1000</definedName>
    <definedName name="_t_rdtrip_brddly_p4_ch2_cs1" comment="Formula-PCB_DELAY**********" hidden="1">((_tl_clk_p4_mi_ch2_cs1*_prop_vel_microstrip) + (_tl_clk_p4_st_ch2_cs1*_prop_vel_stripline) + (_tl_dqs4_mi_ch2_cs1*_prop_vel_microstrip) + (_tl_dqs4_st_ch2_cs1*_prop_vel_stripline))/1000</definedName>
    <definedName name="_t_refi" comment="Bit_Field_EMIF_SDRAM_REF_CTRL_VAL*****EMIF_SDRAM_REF_CTRL[15:00]*****" hidden="1">IF(_enable_jedec=1,'Title-README'!_t_refi_jedec,_t_refi_user)</definedName>
    <definedName name="_t_refi_init" comment="Bit_Field_EMIF_SDRAM_REF_CTRL_INIT_VAL*****EMIF_SDRAM_REF_CTRL[15:00]*****" hidden="1">MAX(MIN(ROUNDUP( _t_refi_ns_init*_ddr_pll_freq/1000,0),2^16-1),6*_t_rfc_user)</definedName>
    <definedName name="_t_refi_jedec" comment="Bit_Field_Conversion_SDRAM_REF_CTRL**********" localSheetId="0" hidden="1">IFERROR(ROUNDDOWN('Title-README'!_t_refi_ns*_ddr_pll_freq/1000,0),0)</definedName>
    <definedName name="_t_refi_jedec" hidden="1">IFERROR(ROUNDDOWN(_t_refi_ns*_ddr_pll_freq/1000,0),0)</definedName>
    <definedName name="_t_refi_ns" comment="JEDEC_Lookup**********" localSheetId="0" hidden="1">IF(_t_case=95,3900,7800)</definedName>
    <definedName name="_t_refi_ns" hidden="1">IF(_t_case=95,3900,7800)</definedName>
    <definedName name="_t_refi_ns_init" comment="JEDEC_Lookup**********DDR2 must satisfy 200 us; DDR3 must satisfy 500 us; LPDDR2 must satisfy 100 ns and 5 tCK (normal user input sufficient)" hidden="1">IF(_sdram_type="DDR3/L",31250,12500)</definedName>
    <definedName name="_t_refi_ns_user" comment="User_Input**********" hidden="1">'[1]Step3-DDRTimings'!$G$43</definedName>
    <definedName name="_t_refi_user" comment="Bit_Field_Conversion_SDRAM_REF_CTRL**********" hidden="1">MAX(MIN(ROUNDDOWN( _t_refi_ns_user*_ddr_pll_freq/1000,0),2^16-1),6*_t_rfc_user)</definedName>
    <definedName name="_t_rfc" comment="Bit_Field_EMIF_SDRAM_TIM_3_VAL*****EMIF_SDRAM_TIM3[12:04] - Minimum number of DDR clock cycles from Refresh or Load Mode to Refresh or Activate, minus one.*****" hidden="1">IF(_enable_jedec=1,'Title-README'!_t_rfc_jedec,_t_rfc_user)</definedName>
    <definedName name="_t_rfc_ck_user" comment="User_Input**********" hidden="1">'[1]Step3-DDRTimings'!$F$41</definedName>
    <definedName name="_t_rfc_ddr2" comment="JEDEC_DDR2_SPEC**********" localSheetId="0" hidden="1">{75;105;127.5;195;327.5}</definedName>
    <definedName name="_t_rfc_ddr2" hidden="1">{75;105;127.5;195;327.5}</definedName>
    <definedName name="_t_rfc_ddr3" comment="JEDEC_DDR3_SPEC**********" localSheetId="0" hidden="1">{90;110;160;260;350}</definedName>
    <definedName name="_t_rfc_ddr3" hidden="1">{90;110;160;260;350}</definedName>
    <definedName name="_t_rfc_jedec" comment="Bit_Field_Conversion_SDRAM_TIM3**********INTERNAL ONLY" localSheetId="0" hidden="1">IFERROR(ROUNDUP('Title-README'!_t_rfc_ns*_ddr_pll_freq/1000,0)-1,0)</definedName>
    <definedName name="_t_rfc_jedec" hidden="1">IFERROR(ROUNDUP(_t_rfc_ns*_ddr_pll_freq/1000,0)-1,0)</definedName>
    <definedName name="_t_rfc_lpddr2" comment="JEDEC_LPDDR2_SPEC**********" localSheetId="0" hidden="1">{90;90;130;130;130;210}</definedName>
    <definedName name="_t_rfc_lpddr2" hidden="1">{90;90;130;130;130;210}</definedName>
    <definedName name="_t_rfc_ns" comment="JEDEC_Lookup**********" localSheetId="0" hidden="1">IF(_sdram_type="LPDDR2",INDEX('Title-README'!_t_rfc_lpddr2,MATCH(_sdram_density,'Title-README'!_lpddr2_densities,0)),IF(_sdram_type="DDR2",INDEX('Title-README'!_t_rfc_ddr2,MATCH(_sdram_density,'Title-README'!_ddr2_densities,0)),INDEX('Title-README'!_t_rfc_ddr3,MATCH(_sdram_density,'Title-README'!_ddr3_densities,0))))</definedName>
    <definedName name="_t_rfc_ns" hidden="1">IF(_sdram_type="LPDDR2",INDEX(_t_rfc_lpddr2,MATCH(_sdram_density,_lpddr2_densities,0)),IF(_sdram_type="DDR2",INDEX(_t_rfc_ddr2,MATCH(_sdram_density,_ddr2_densities,0)),INDEX(_t_rfc_ddr3,MATCH(_sdram_density,_ddr3_densities,0))))</definedName>
    <definedName name="_t_rfc_ns_user" comment="User_Input**********" hidden="1">'[1]Step3-DDRTimings'!$G$41</definedName>
    <definedName name="_t_rfc_user" comment="Bit_Field_Conversion_SDRAM_TIM3**********" hidden="1">MAX(MIN(ROUNDUP(MAX(_t_rfc_ck_user, _t_rfc_ns_user*_ddr_pll_freq/1000),0)-1,2^9-1),0)</definedName>
    <definedName name="_t_rp" comment="Bit_Field_EMIF_SDRAM_TIM_1_VAL*****EMIF_SDRAM_TIM1[28:25] - Minimum number of DDR clock cycles from Precharge to Activate or Refresh, minus one.*****" hidden="1">IF(_enable_jedec=1,'Title-README'!_t_rp_jedec,_t_rp_user)</definedName>
    <definedName name="_t_rp_ck_user" comment="User_Input**********" hidden="1">'[1]Step3-DDRTimings'!$F$27</definedName>
    <definedName name="_t_rp_jedec" comment="Bit_Field_Conversion_SDRAM_TIM1**********INTERNAL ONLY" localSheetId="0" hidden="1">IFERROR(ROUNDUP('Title-README'!_t_rp_ns*_ddr_pll_freq/1000,0)-1,0)</definedName>
    <definedName name="_t_rp_jedec" hidden="1">IFERROR(ROUNDUP(_t_rp_ns*_ddr_pll_freq/1000,0)-1,0)</definedName>
    <definedName name="_t_rp_ns" comment="JEDEC_Lookup**********Using TYPICAL for LPDDR2; using all banks" localSheetId="0" hidden="1">IF(_sdram_type="LPDDR2",MAX(3*1000/_ddr_pll_freq,IF('Title-README'!_sdram_config_ibank=4,18,21)),IF(_sdram_type="DDR2",INDEX('Title-README'!_ddr2_sb_rp,'Title-README'!_sdram_sb),INDEX('Title-README'!_ddr3_sb_rp,'Title-README'!_sdram_sb)))</definedName>
    <definedName name="_t_rp_ns" hidden="1">IF(_sdram_type="LPDDR2",MAX(3*1000/_ddr_pll_freq,IF(_sdram_config_ibank=4,18,21)),IF(_sdram_type="DDR2",INDEX(_ddr2_sb_rp,_sdram_sb),INDEX(_ddr3_sb_rp,_sdram_sb)))</definedName>
    <definedName name="_t_rp_ns_user" comment="User_Input**********" hidden="1">'[1]Step3-DDRTimings'!$G$27</definedName>
    <definedName name="_t_rp_user" comment="Bit_Field_Conversion_SDRAM_TIM1**********" hidden="1">MAX(MIN(ROUNDUP(MAX(_t_rp_ck_user, _t_rp_ns_user*_ddr_pll_freq/1000),0)-1,2^4-1),0)</definedName>
    <definedName name="_t_rrd" comment="Bit_Field_EMIF_SDRAM_TIM_1_VAL*****EMIF_SDRAM_TIM1[05:03] - Minimum number of DDR clock cycles from Activate to Activate for a different bank, minus one. For an 8-bank DDR2, this field must be equal to ((((4*tRRD)+(2*tCK))/(4*tCK))-1).*****" hidden="1">IF(_enable_jedec=1,'Title-README'!_t_rrd_jedec,_t_rrd_user)</definedName>
    <definedName name="_t_rrd_ck_user" comment="User_Input**********" hidden="1">'[1]Step3-DDRTimings'!$F$32</definedName>
    <definedName name="_t_rrd_jedec" comment="Bit_Field_Conversion_SDRAM_TIM1**********INTERNAL ONLY" localSheetId="0" hidden="1">IFERROR(ROUNDUP('Title-README'!_t_rrd_ns*_ddr_pll_freq/1000,0)-1,0)</definedName>
    <definedName name="_t_rrd_jedec" hidden="1">IFERROR(ROUNDUP(_t_rrd_ns*_ddr_pll_freq/1000,0)-1,0)</definedName>
    <definedName name="_t_rrd_ns" comment="JEDEC_Lookup**********" localSheetId="0" hidden="1">IF(_sdram_type="LPDDR2",MAX(2*1000/_ddr_pll_freq,10),IF(_sdram_type="DDR2",IF('Title-README'!_sdram_pagesize=2048,10,7.5),IF('Title-README'!_sdram_pagesize=2048,MAX(4*1000/_ddr_pll_freq,INDEX('Title-README'!_ddr3_sb_rrd_2k,'Title-README'!_sdram_sb)),MAX(4*1000/_ddr_pll_freq,INDEX('Title-README'!_ddr3_sb_rrd_1k,'Title-README'!_sdram_sb)))))</definedName>
    <definedName name="_t_rrd_ns" hidden="1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name="_t_rrd_ns_user" comment="User_Input**********" hidden="1">'[1]Step3-DDRTimings'!$G$32</definedName>
    <definedName name="_t_rrd_user" comment="Bit_Field_Conversion_SDRAM_TIM1**********" hidden="1">MAX(MIN(MAX(_t_faw_user,ROUNDUP(IF(AND(_sdram_type="DDR2",'Title-README'!_sdram_config_ibank=8),((4*MAX(_t_rrd_ck_user,_t_rrd_ns_user*_ddr_pll_freq/1000))+2)/4,MAX(_t_rrd_ck_user,_t_rrd_ns_user*_ddr_pll_freq/1000)),0)-1),2^3-1),0)</definedName>
    <definedName name="_t_rtp" comment="Bit_Field_EMIF_SDRAM_TIM_2_VAL*****EMIF_SDRAM_TIM2[05:03] - Minimum number of DDR clock cycles from the last Read command to a Pre-charge command for DDR2, minus one.*****" hidden="1">IF(_enable_jedec=1,'Title-README'!_t_rtp_jedec,_t_rtp_user)</definedName>
    <definedName name="_t_rtp_ck_user" comment="User_Input**********" hidden="1">'[1]Step3-DDRTimings'!$F$37</definedName>
    <definedName name="_t_rtp_jedec" comment="Bit_Field_Conversion_SDRAM_TIM2**********INTERNAL ONLY" localSheetId="0" hidden="1">IFERROR(ROUNDUP('Title-README'!_t_rtp_ns*_ddr_pll_freq/1000,0)-1,0)</definedName>
    <definedName name="_t_rtp_jedec" hidden="1">IFERROR(ROUNDUP(_t_rtp_ns*_ddr_pll_freq/1000,0)-1,0)</definedName>
    <definedName name="_t_rtp_ns" comment="JEDEC_Lookup**********" localSheetId="0" hidden="1">IF(_sdram_type="LPDDR2",MAX(2*1000/_ddr_pll_freq,7.5),IF(_sdram_type="DDR2",7.5,MAX(4*1000/_ddr_pll_freq,7.5)))</definedName>
    <definedName name="_t_rtp_ns" hidden="1">IF(_sdram_type="LPDDR2",MAX(2*1000/_ddr_pll_freq,7.5),IF(_sdram_type="DDR2",7.5,MAX(4*1000/_ddr_pll_freq,7.5)))</definedName>
    <definedName name="_t_rtp_ns_user" comment="User_Input**********" hidden="1">'[1]Step3-DDRTimings'!$G$37</definedName>
    <definedName name="_t_rtp_user" comment="Bit_Field_Conversion_SDRAM_TIM2**********" hidden="1">MAX(MIN(ROUNDUP(MAX(_t_rtp_ck_user, _t_rtp_ns_user*_ddr_pll_freq/1000),0)-1,2^3-1),0)</definedName>
    <definedName name="_t_rtw" comment="Bit_Field_EMIF_SDRAM_TIM_1_VAL*****EMIF_SDRAM_TIM1[31:29]*****" hidden="1">ROUNDUP(((((MAX(_t_rdtrip_brddly_p0_ch1_cs0, _t_rdtrip_brddly_p0_ch1_cs1, _t_rdtrip_brddly_p0_ch2_cs0, _t_rdtrip_brddly_p0_ch2_cs1, _t_rdtrip_brddly_p1_ch1_cs0, _t_rdtrip_brddly_p1_ch1_cs1, _t_rdtrip_brddly_p1_ch2_cs0, _t_rdtrip_brddly_p1_ch2_cs1, _t_rdtrip_brddly_p2_ch1_cs0, _t_rdtrip_brddly_p2_ch1_cs1, _t_rdtrip_brddly_p2_ch2_cs0, _t_rdtrip_brddly_p2_ch2_cs1, _t_rdtrip_brddly_p3_ch1_cs0, _t_rdtrip_brddly_p3_ch1_cs1, _t_rdtrip_brddly_p3_ch2_cs0, _t_rdtrip_brddly_p3_ch2_cs1, _t_rdtrip_brddly_p4_ch1_cs0, _t_rdtrip_brddly_p4_ch1_cs1, _t_rdtrip_brddly_p4_ch2_cs0, _t_rdtrip_brddly_p4_ch2_cs1)+400)*_ddr_pll_freq)/1000000)+(_phy_invert_clk*0.5)),0)</definedName>
    <definedName name="_t_rtw_gel" comment="Bit_Field_EMIF_SDRAM_TIM_1_VAL*****EMIF_SDRAM_TIM1[31:29] - Minimum number of DDR clock cycles between Read to Write data phases, minus one. *****Configured to match GEL" hidden="1">6</definedName>
    <definedName name="_t_rtw_jedec" comment="**********" hidden="1">0</definedName>
    <definedName name="_t_wr" comment="Bit_Field_EMIF_SDRAM_TIM_1_VAL*****EMIF_SDRAM_TIM1[20:17] - Minimum number of DDR clock cycles from last Write transfer to Pre-charge, minus one. The SDRAM initialization sequence will be started when the value of this field is changed from the previous v" hidden="1">IF(_enable_jedec=1,'Title-README'!_t_wr_jedec,_t_wr_user)</definedName>
    <definedName name="_t_wr_ck_user" comment="User_Input**********" hidden="1">'[1]Step3-DDRTimings'!$F$29</definedName>
    <definedName name="_t_wr_jedec" comment="Bit_Field_Conversion_SDRAM_TIM1**********INTERNAL ONLY" localSheetId="0" hidden="1">IFERROR(ROUNDUP('Title-README'!_t_wr_ns*_ddr_pll_freq/1000,0)-1,0)</definedName>
    <definedName name="_t_wr_jedec" hidden="1">IFERROR(ROUNDUP(_t_wr_ns*_ddr_pll_freq/1000,0)-1,0)</definedName>
    <definedName name="_t_wr_ns" comment="JEDEC_Lookup**********" localSheetId="0" hidden="1">IF(_sdram_type="LPDDR2",MAX(3*1000/_ddr_pll_freq,15),15)</definedName>
    <definedName name="_t_wr_ns" hidden="1">IF(_sdram_type="LPDDR2",MAX(3*1000/_ddr_pll_freq,15),15)</definedName>
    <definedName name="_t_wr_ns_user" comment="User_Input**********" hidden="1">'[1]Step3-DDRTimings'!$G$29</definedName>
    <definedName name="_t_wr_user" comment="Bit_Field_Conversion_SDRAM_TIM1**********" hidden="1">MAX(MIN(ROUNDUP(MAX(_t_wr_ck_user, _t_wr_ns_user*_ddr_pll_freq/1000),0)-1,2^4-1),0)</definedName>
    <definedName name="_t_wtr" comment="Bit_Field_EMIF_SDRAM_TIM_1_VAL*****EMIF_SDRAM_TIM1[02:00] - Minimum number of DDR clock cycles from last Write to Read, minus one.*****" hidden="1">IF(_enable_jedec=1,'Title-README'!_t_wtr_jedec,_t_wtr_user)</definedName>
    <definedName name="_t_wtr_ck_user" comment="User_Input**********" hidden="1">'[1]Step3-DDRTimings'!$F$33</definedName>
    <definedName name="_t_wtr_jedec" comment="Bit_Field_Conversion_SDRAM_TIM1**********INTERNAL ONLY" localSheetId="0" hidden="1">IFERROR(ROUNDUP('Title-README'!_t_wtr_ns*_ddr_pll_freq/1000,0)-1,0)</definedName>
    <definedName name="_t_wtr_jedec" hidden="1">IFERROR(ROUNDUP(_t_wtr_ns*_ddr_pll_freq/1000,0)-1,0)</definedName>
    <definedName name="_t_wtr_ns" comment="JEDEC_Lookup**********" localSheetId="0" hidden="1">IF(_sdram_type="LPDDR2",MAX(2*1000/_ddr_pll_freq,INDEX('Title-README'!_lpddr2_sb_wtr,'Title-README'!_sdram_sb)),IF(_sdram_type="DDR2",INDEX('Title-README'!_ddr2_sb_wtr,'Title-README'!_sdram_sb),MAX(4*1000/_ddr_pll_freq,7.5)))</definedName>
    <definedName name="_t_wtr_ns" hidden="1">IF(_sdram_type="LPDDR2",MAX(2*1000/_ddr_pll_freq,INDEX(_lpddr2_sb_wtr,_sdram_sb)),IF(_sdram_type="DDR2",INDEX(_ddr2_sb_wtr,_sdram_sb),MAX(4*1000/_ddr_pll_freq,7.5)))</definedName>
    <definedName name="_t_wtr_ns_user" comment="User_Input**********" hidden="1">'[1]Step3-DDRTimings'!$G$33</definedName>
    <definedName name="_t_wtr_user" comment="Bit_Field_Conversion_SDRAM_TIM1**********" hidden="1">MAX(MIN(ROUNDUP(MAX(_t_wtr_ck_user, _t_wtr_ns_user*_ddr_pll_freq/1000),0)-1,2^3-1),0)</definedName>
    <definedName name="_t_xp" comment="Bit_Field_EMIF_SDRAM_TIM_2_VAL*****EMIF_SDRAM_TIM2[30:28] - Minimum number of DDR clock cycles from Powerdown exit to any command other than a Read command, minus one. For DDR2 and LPDDR1, this field must satisfy greater of tXP or tCKE.*****" hidden="1">IF(_enable_jedec=1,'Title-README'!_t_xp_jedec,IF(_sdram_type="DDR2",MAX(_t_xp_user,_t_cke_user),_t_xp_user))</definedName>
    <definedName name="_t_xp_ck_user" comment="User_Input**********" hidden="1">'[1]Step3-DDRTimings'!$F$34</definedName>
    <definedName name="_t_xp_jedec" comment="Bit_Field_Conversion_SDRAM_TIM2**********INTERNAL ONLY" localSheetId="0" hidden="1">IFERROR(ROUNDUP('Title-README'!_t_xp_ns*_ddr_pll_freq/1000,0)-1,0)</definedName>
    <definedName name="_t_xp_jedec" hidden="1">IFERROR(ROUNDUP(_t_xp_ns*_ddr_pll_freq/1000,0)-1,0)</definedName>
    <definedName name="_t_xp_ns" comment="JEDEC_Lookup**********" localSheetId="0" hidden="1">IF(_sdram_type="LPDDR2",MAX(2*1000/_ddr_pll_freq,7.5),IF(_sdram_type="DDR2",2*1000/_ddr_pll_freq,MAX(3*1000/_ddr_pll_freq,INDEX('Title-README'!_ddr3_sb_xp,'Title-README'!_sdram_sb))))</definedName>
    <definedName name="_t_xp_ns" hidden="1">IF(_sdram_type="LPDDR2",MAX(2*1000/_ddr_pll_freq,7.5),IF(_sdram_type="DDR2",2*1000/_ddr_pll_freq,MAX(3*1000/_ddr_pll_freq,INDEX(_ddr3_sb_xp,_sdram_sb))))</definedName>
    <definedName name="_t_xp_ns_user" comment="User_Input**********" hidden="1">'[1]Step3-DDRTimings'!$G$34</definedName>
    <definedName name="_t_xp_user" comment="Bit_Field_Conversion_SDRAM_TIM2**********" hidden="1">MAX(MIN(ROUNDUP(MAX(_t_xp_ck_user, _t_xp_ns_user*_ddr_pll_freq/1000),0)-1,2^3-1),0)</definedName>
    <definedName name="_t_xsnr" comment="Bit_Field_EMIF_SDRAM_TIM_2_VAL*****EMIF_SDRAM_TIM2[24:16] - Minimum number of DDR clock cycles from Self-Refresh exit to any command other than a Read command, minus one.*****" hidden="1">IF(_enable_jedec=1,'Title-README'!_t_xsnr_jedec,_t_xsnr_user)</definedName>
    <definedName name="_t_xsnr_ck_user" comment="User_Input**********" hidden="1">'[1]Step3-DDRTimings'!$F$35</definedName>
    <definedName name="_t_xsnr_jedec" comment="Bit_Field_Conversion_SDRAM_TIM2**********INTERNAL ONLY" localSheetId="0" hidden="1">IFERROR(ROUNDUP('Title-README'!_t_xsnr_ns*_ddr_pll_freq/1000,0)-1,0)</definedName>
    <definedName name="_t_xsnr_jedec" hidden="1">IFERROR(ROUNDUP(_t_xsnr_ns*_ddr_pll_freq/1000,0)-1,0)</definedName>
    <definedName name="_t_xsnr_ns" comment="JEDEC_Lookup**********" localSheetId="0" hidden="1">IF(_sdram_type="LPDDR2",MAX(2*1000/_ddr_pll_freq,'Title-README'!_t_rfc_ns+10),IF(_sdram_type="DDR2",'Title-README'!_t_rfc_ns+10,MAX(5*1000/_ddr_pll_freq,'Title-README'!_t_rfc_ns+10)))</definedName>
    <definedName name="_t_xsnr_ns" hidden="1">IF(_sdram_type="LPDDR2",MAX(2*1000/_ddr_pll_freq,_t_rfc_ns+10),IF(_sdram_type="DDR2",_t_rfc_ns+10,MAX(5*1000/_ddr_pll_freq,_t_rfc_ns+10)))</definedName>
    <definedName name="_t_xsnr_ns_user" comment="User_Input**********" hidden="1">'[1]Step3-DDRTimings'!$G$35</definedName>
    <definedName name="_t_xsnr_user" comment="Bit_Field_Conversion_SDRAM_TIM2**********" hidden="1">MAX(MIN(ROUNDUP(MAX(_t_xsnr_ck_user, _t_xsnr_ns_user*_ddr_pll_freq/1000),0)-1,2^9-1),0)</definedName>
    <definedName name="_t_xsrd" comment="Bit_Field_EMIF_SDRAM_TIM_2_VAL*****EMIF_SDRAM_TIM2[15:06] - Minimum number of DDR clock cycles from Self-Refresh exit to a Read command, minus one.*****" hidden="1">IF(_enable_jedec=1,'Title-README'!_t_xsrd_jedec,_t_xsrd_user)</definedName>
    <definedName name="_t_xsrd_ck_user" comment="User_Input**********" hidden="1">'[1]Step3-DDRTimings'!$F$36</definedName>
    <definedName name="_t_xsrd_jedec" comment="Bit_Field_Conversion_SDRAM_TIM2**********INTERNAL ONLY" localSheetId="0" hidden="1">IFERROR(ROUNDUP('Title-README'!_t_xsrd_ns*_ddr_pll_freq/1000,0)-1,0)</definedName>
    <definedName name="_t_xsrd_jedec" hidden="1">IFERROR(ROUNDUP(_t_xsrd_ns*_ddr_pll_freq/1000,0)-1,0)</definedName>
    <definedName name="_t_xsrd_ns" comment="JEDEC_Lookup**********" localSheetId="0" hidden="1">IF(_sdram_type="LPDDR2",'Title-README'!_t_xsnr_ns,IF(_sdram_type="DDR2",200*1000/_ddr_pll_freq,'Title-README'!_t_dllk_ns))</definedName>
    <definedName name="_t_xsrd_ns" hidden="1">IF(_sdram_type="LPDDR2",_t_xsnr_ns,IF(_sdram_type="DDR2",200*1000/_ddr_pll_freq,_t_dllk_ns))</definedName>
    <definedName name="_t_xsrd_ns_user" comment="User_Input**********" hidden="1">'[1]Step3-DDRTimings'!$G$36</definedName>
    <definedName name="_t_xsrd_user" comment="Bit_Field_Conversion_SDRAM_TIM2**********" hidden="1">MAX(MIN(ROUNDUP(MAX(_t_xsrd_ck_user, _t_xsrd_ns_user*_ddr_pll_freq/1000),0)-1,2^10-1),0)</definedName>
    <definedName name="_t_zqcs" comment="Bit_Field_EMIF_SDRAM_TIM_3_VAL*****EMIF_SDRAM_TIM3[20:15] - Number of DDR clock cycles for a ZQCS command, minus one.*****" hidden="1">IF(_enable_jedec=1,'Title-README'!_t_zqcs_jedec,_t_zqcs_user)</definedName>
    <definedName name="_t_zqcs_ck_user" comment="User_Input**********" hidden="1">'[1]Step3-DDRTimings'!$F$40</definedName>
    <definedName name="_t_zqcs_jedec" comment="Bit_Field_Conversion_SDRAM_TIM3**********INTERNAL ONLY" localSheetId="0" hidden="1">IFERROR(ROUNDUP('Title-README'!_t_zqcs_ns*_ddr_pll_freq/1000,0)-1,0)</definedName>
    <definedName name="_t_zqcs_jedec" hidden="1">IFERROR(ROUNDUP(_t_zqcs_ns*_ddr_pll_freq/1000,0)-1,0)</definedName>
    <definedName name="_t_zqcs_ns" comment="JEDEC_Lookup**********" localSheetId="0" hidden="1">IF(_sdram_type="LPDDR2",MAX(6*1000/_ddr_pll_freq,90),MAX(64*1000/_ddr_pll_freq,80))</definedName>
    <definedName name="_t_zqcs_ns" hidden="1">IF(_sdram_type="LPDDR2",MAX(6*1000/_ddr_pll_freq,90),MAX(64*1000/_ddr_pll_freq,80))</definedName>
    <definedName name="_t_zqcs_ns_user" comment="User_Input**********" hidden="1">'[1]Step3-DDRTimings'!$G$40</definedName>
    <definedName name="_t_zqcs_user" comment="Bit_Field_Conversion_SDRAM_TIM3**********" hidden="1">MAX(MIN(ROUNDUP(MAX(_t_zqcs_ck_user, _t_zqcs_ns_user*_ddr_pll_freq/1000),0)-1,2^6-1),0)</definedName>
    <definedName name="_tda3x_evm_rdtrip_delay_emif1" comment="**********" hidden="1">0</definedName>
    <definedName name="_ti_supported_socs" hidden="1">CONCATENATE([1]DynamicUserOptions!$V$6,[1]DynamicUserOptions!$V$7,[1]DynamicUserOptions!$V$8,[1]DynamicUserOptions!$V$9,[1]DynamicUserOptions!$V$10,[1]DynamicUserOptions!$V$11,[1]DynamicUserOptions!$V$12,[1]DynamicUserOptions!$V$13,[1]DynamicUserOptions!$V$14,[1]DynamicUserOptions!$V$15,[1]DynamicUserOptions!$V$16,[1]DynamicUserOptions!$V$17,[1]DynamicUserOptions!$V$18,[1]DynamicUserOptions!$V$19)</definedName>
    <definedName name="_tl_clk_p0_mi_ch1_cs0" comment="User_Input**********" hidden="1">'[1]Step2-BoardDetails'!$E$28</definedName>
    <definedName name="_tl_clk_p0_mi_ch1_cs1" comment="User_Input**********" hidden="1">'[1]Step2-BoardDetails'!$E$38</definedName>
    <definedName name="_tl_clk_p0_mi_ch2_cs0" comment="User_Input**********" hidden="1">'[1]Step2-BoardDetails'!$E$48</definedName>
    <definedName name="_tl_clk_p0_mi_ch2_cs1" comment="User_Input**********" hidden="1">'[1]Step2-BoardDetails'!$E$58</definedName>
    <definedName name="_tl_clk_p0_st_ch1_cs0" comment="User_Input**********" hidden="1">'[1]Step2-BoardDetails'!$F$28</definedName>
    <definedName name="_tl_clk_p0_st_ch1_cs1" comment="User_Input**********" hidden="1">'[1]Step2-BoardDetails'!$F$38</definedName>
    <definedName name="_tl_clk_p0_st_ch2_cs0" comment="User_Input**********" hidden="1">'[1]Step2-BoardDetails'!$F$48</definedName>
    <definedName name="_tl_clk_p0_st_ch2_cs1" comment="User_Input**********" hidden="1">'[1]Step2-BoardDetails'!$F$58</definedName>
    <definedName name="_tl_clk_p1_mi_ch1_cs0" comment="User_Input**********" hidden="1">'[1]Step2-BoardDetails'!$G$28</definedName>
    <definedName name="_tl_clk_p1_mi_ch1_cs1" comment="User_Input**********" hidden="1">'[1]Step2-BoardDetails'!$G$38</definedName>
    <definedName name="_tl_clk_p1_mi_ch2_cs0" comment="User_Input**********" hidden="1">'[1]Step2-BoardDetails'!$G$48</definedName>
    <definedName name="_tl_clk_p1_mi_ch2_cs1" comment="User_Input**********" hidden="1">'[1]Step2-BoardDetails'!$G$58</definedName>
    <definedName name="_tl_clk_p1_st_ch1_cs0" comment="User_Input**********" hidden="1">'[1]Step2-BoardDetails'!$H$28</definedName>
    <definedName name="_tl_clk_p1_st_ch1_cs1" comment="User_Input**********" hidden="1">'[1]Step2-BoardDetails'!$H$38</definedName>
    <definedName name="_tl_clk_p1_st_ch2_cs0" comment="User_Input**********" hidden="1">'[1]Step2-BoardDetails'!$H$48</definedName>
    <definedName name="_tl_clk_p1_st_ch2_cs1" comment="User_Input**********" hidden="1">'[1]Step2-BoardDetails'!$H$58</definedName>
    <definedName name="_tl_clk_p2_mi_ch1_cs0" comment="User_Input**********" hidden="1">'[1]Step2-BoardDetails'!$I$28</definedName>
    <definedName name="_tl_clk_p2_mi_ch1_cs1" comment="User_Input**********" hidden="1">'[1]Step2-BoardDetails'!$I$38</definedName>
    <definedName name="_tl_clk_p2_mi_ch2_cs0" comment="User_Input**********" hidden="1">'[1]Step2-BoardDetails'!$I$48</definedName>
    <definedName name="_tl_clk_p2_mi_ch2_cs1" comment="User_Input**********" hidden="1">'[1]Step2-BoardDetails'!$I$58</definedName>
    <definedName name="_tl_clk_p2_st_ch1_cs0" comment="User_Input**********" hidden="1">'[1]Step2-BoardDetails'!$J$28</definedName>
    <definedName name="_tl_clk_p2_st_ch1_cs1" comment="User_Input**********" hidden="1">'[1]Step2-BoardDetails'!$J$38</definedName>
    <definedName name="_tl_clk_p2_st_ch2_cs0" comment="User_Input**********" hidden="1">'[1]Step2-BoardDetails'!$J$48</definedName>
    <definedName name="_tl_clk_p2_st_ch2_cs1" comment="User_Input**********" hidden="1">'[1]Step2-BoardDetails'!$J$58</definedName>
    <definedName name="_tl_clk_p3_mi_ch1_cs0" comment="User_Input**********" hidden="1">'[1]Step2-BoardDetails'!$K$28</definedName>
    <definedName name="_tl_clk_p3_mi_ch1_cs1" comment="User_Input**********" hidden="1">'[1]Step2-BoardDetails'!$K$38</definedName>
    <definedName name="_tl_clk_p3_mi_ch2_cs0" comment="User_Input**********" hidden="1">'[1]Step2-BoardDetails'!$K$48</definedName>
    <definedName name="_tl_clk_p3_mi_ch2_cs1" comment="User_Input**********" hidden="1">'[1]Step2-BoardDetails'!$K$58</definedName>
    <definedName name="_tl_clk_p3_st_ch1_cs0" comment="User_Input**********" hidden="1">'[1]Step2-BoardDetails'!$L$28</definedName>
    <definedName name="_tl_clk_p3_st_ch1_cs1" comment="User_Input**********" hidden="1">'[1]Step2-BoardDetails'!$L$38</definedName>
    <definedName name="_tl_clk_p3_st_ch2_cs0" comment="User_Input**********" hidden="1">'[1]Step2-BoardDetails'!$L$48</definedName>
    <definedName name="_tl_clk_p3_st_ch2_cs1" comment="User_Input**********" hidden="1">'[1]Step2-BoardDetails'!$L$58</definedName>
    <definedName name="_tl_clk_p4_mi_ch1_cs0" comment="User_Input**********" hidden="1">'[1]Step2-BoardDetails'!$M$28</definedName>
    <definedName name="_tl_clk_p4_mi_ch1_cs1" comment="User_Input**********" hidden="1">'[1]Step2-BoardDetails'!$M$38</definedName>
    <definedName name="_tl_clk_p4_mi_ch2_cs0" comment="User_Input**********" hidden="1">'[1]Step2-BoardDetails'!$M$48</definedName>
    <definedName name="_tl_clk_p4_mi_ch2_cs1" comment="User_Input**********" hidden="1">'[1]Step2-BoardDetails'!$M$58</definedName>
    <definedName name="_tl_clk_p4_st_ch1_cs0" comment="User_Input**********" hidden="1">'[1]Step2-BoardDetails'!$N$28</definedName>
    <definedName name="_tl_clk_p4_st_ch1_cs1" comment="User_Input**********" hidden="1">'[1]Step2-BoardDetails'!$N$38</definedName>
    <definedName name="_tl_clk_p4_st_ch2_cs0" comment="User_Input**********" hidden="1">'[1]Step2-BoardDetails'!$N$48</definedName>
    <definedName name="_tl_clk_p4_st_ch2_cs1" comment="User_Input**********" hidden="1">'[1]Step2-BoardDetails'!$N$58</definedName>
    <definedName name="_tl_dqs0_mi_ch1_cs0" comment="User_Input**********" hidden="1">'[1]Step2-BoardDetails'!$E$29</definedName>
    <definedName name="_tl_dqs0_mi_ch1_cs1" comment="User_Input**********" hidden="1">'[1]Step2-BoardDetails'!$E$39</definedName>
    <definedName name="_tl_dqs0_mi_ch2_cs0" comment="User_Input**********" hidden="1">'[1]Step2-BoardDetails'!$E$49</definedName>
    <definedName name="_tl_dqs0_mi_ch2_cs1" comment="User_Input**********" hidden="1">'[1]Step2-BoardDetails'!$E$59</definedName>
    <definedName name="_tl_dqs0_st_ch1_cs0" comment="User_Input**********" hidden="1">'[1]Step2-BoardDetails'!$F$29</definedName>
    <definedName name="_tl_dqs0_st_ch1_cs1" comment="User_Input**********" hidden="1">'[1]Step2-BoardDetails'!$F$39</definedName>
    <definedName name="_tl_dqs0_st_ch2_cs0" comment="User_Input**********" hidden="1">'[1]Step2-BoardDetails'!$F$49</definedName>
    <definedName name="_tl_dqs0_st_ch2_cs1" comment="User_Input**********" hidden="1">'[1]Step2-BoardDetails'!$F$59</definedName>
    <definedName name="_tl_dqs1_mi_ch1_cs0" comment="User_Input**********" hidden="1">'[1]Step2-BoardDetails'!$G$29</definedName>
    <definedName name="_tl_dqs1_mi_ch1_cs1" comment="User_Input**********" hidden="1">'[1]Step2-BoardDetails'!$G$39</definedName>
    <definedName name="_tl_dqs1_mi_ch2_cs0" comment="User_Input**********" hidden="1">'[1]Step2-BoardDetails'!$G$49</definedName>
    <definedName name="_tl_dqs1_mi_ch2_cs1" comment="User_Input**********" hidden="1">'[1]Step2-BoardDetails'!$G$59</definedName>
    <definedName name="_tl_dqs1_st_ch1_cs0" comment="User_Input**********" hidden="1">'[1]Step2-BoardDetails'!$H$29</definedName>
    <definedName name="_tl_dqs1_st_ch1_cs1" comment="User_Input**********" hidden="1">'[1]Step2-BoardDetails'!$H$39</definedName>
    <definedName name="_tl_dqs1_st_ch2_cs0" comment="User_Input**********" hidden="1">'[1]Step2-BoardDetails'!$H$49</definedName>
    <definedName name="_tl_dqs1_st_ch2_cs1" comment="User_Input**********" hidden="1">'[1]Step2-BoardDetails'!$H$59</definedName>
    <definedName name="_tl_dqs2_mi_ch1_cs0" comment="User_Input**********" hidden="1">'[1]Step2-BoardDetails'!$I$29</definedName>
    <definedName name="_tl_dqs2_mi_ch1_cs1" comment="User_Input**********" hidden="1">'[1]Step2-BoardDetails'!$I$39</definedName>
    <definedName name="_tl_dqs2_mi_ch2_cs0" comment="User_Input**********" hidden="1">'[1]Step2-BoardDetails'!$I$49</definedName>
    <definedName name="_tl_dqs2_mi_ch2_cs1" comment="User_Input**********" hidden="1">'[1]Step2-BoardDetails'!$I$59</definedName>
    <definedName name="_tl_dqs2_st_ch1_cs0" comment="User_Input**********" hidden="1">'[1]Step2-BoardDetails'!$J$29</definedName>
    <definedName name="_tl_dqs2_st_ch1_cs1" comment="User_Input**********" hidden="1">'[1]Step2-BoardDetails'!$J$39</definedName>
    <definedName name="_tl_dqs2_st_ch2_cs0" comment="User_Input**********" hidden="1">'[1]Step2-BoardDetails'!$J$49</definedName>
    <definedName name="_tl_dqs2_st_ch2_cs1" comment="User_Input**********" hidden="1">'[1]Step2-BoardDetails'!$J$59</definedName>
    <definedName name="_tl_dqs3_mi_ch1_cs0" comment="User_Input**********" hidden="1">'[1]Step2-BoardDetails'!$K$29</definedName>
    <definedName name="_tl_dqs3_mi_ch1_cs1" comment="User_Input**********" hidden="1">'[1]Step2-BoardDetails'!$K$39</definedName>
    <definedName name="_tl_dqs3_mi_ch2_cs0" comment="User_Input**********" hidden="1">'[1]Step2-BoardDetails'!$K$49</definedName>
    <definedName name="_tl_dqs3_mi_ch2_cs1" comment="User_Input**********" hidden="1">'[1]Step2-BoardDetails'!$K$59</definedName>
    <definedName name="_tl_dqs3_st_ch1_cs0" comment="User_Input**********" hidden="1">'[1]Step2-BoardDetails'!$L$29</definedName>
    <definedName name="_tl_dqs3_st_ch1_cs1" comment="User_Input**********" hidden="1">'[1]Step2-BoardDetails'!$L$39</definedName>
    <definedName name="_tl_dqs3_st_ch2_cs0" comment="User_Input**********" hidden="1">'[1]Step2-BoardDetails'!$L$49</definedName>
    <definedName name="_tl_dqs3_st_ch2_cs1" comment="User_Input**********" hidden="1">'[1]Step2-BoardDetails'!$L$59</definedName>
    <definedName name="_tl_dqs4_mi_ch1_cs0" comment="User_Input**********" hidden="1">'[1]Step2-BoardDetails'!$M$29</definedName>
    <definedName name="_tl_dqs4_mi_ch1_cs1" comment="User_Input**********" hidden="1">'[1]Step2-BoardDetails'!$M$39</definedName>
    <definedName name="_tl_dqs4_mi_ch2_cs0" comment="User_Input**********" hidden="1">'[1]Step2-BoardDetails'!$M$49</definedName>
    <definedName name="_tl_dqs4_mi_ch2_cs1" comment="User_Input**********" hidden="1">'[1]Step2-BoardDetails'!$M$59</definedName>
    <definedName name="_tl_dqs4_st_ch1_cs0" comment="User_Input**********" hidden="1">'[1]Step2-BoardDetails'!$N$29</definedName>
    <definedName name="_tl_dqs4_st_ch1_cs1" comment="User_Input**********" hidden="1">'[1]Step2-BoardDetails'!$N$39</definedName>
    <definedName name="_tl_dqs4_st_ch2_cs0" comment="User_Input**********" hidden="1">'[1]Step2-BoardDetails'!$N$49</definedName>
    <definedName name="_tl_dqs4_st_ch2_cs1" comment="User_Input**********" hidden="1">'[1]Step2-BoardDetails'!$N$59</definedName>
    <definedName name="_user_config" comment="**********" hidden="1">'Title-README'!#REF!</definedName>
    <definedName name="_user_ecc" hidden="1">'[1]Step1-SystemDetails'!$F$26</definedName>
    <definedName name="_user_emifs" comment="User_Input**********" hidden="1">'[1]Step1-SystemDetails'!$F$20</definedName>
    <definedName name="_user_lvl_tech" hidden="1">'[1]Step1-SystemDetails'!$F$25</definedName>
    <definedName name="_user_soc" hidden="1">'[1]Step1-SystemDetails'!$F$18</definedName>
    <definedName name="_wrdata_ratio0_ch1_cs0" comment="Bit_Field_PHY_CTRL_EXT*****PHY_CONTROL_EXT[249:240]*****" hidden="1">_wrdqs_ratio0_ch1_cs0 + ROUND((250000 / _ddr_pll_freq / _dll_res),0)</definedName>
    <definedName name="_wrdata_ratio0_ch1_cs1" comment="Bit_Field_PHY_CTRL_EXT*****PHY_CONTROL_EXT[259:250]*****" hidden="1">_wrdqs_ratio0_ch1_cs1 + ROUND((250000 / _ddr_pll_freq / _dll_res),0)</definedName>
    <definedName name="_wrdata_ratio0_ch2_cs0" comment="Bit_Field_PHY_CTRL_EXT*****PHY_CONTROL_EXT[249:240]*****" hidden="1">_wrdqs_ratio0_ch2_cs0 + ROUND((250000 / _ddr_pll_freq / _dll_res),0)</definedName>
    <definedName name="_wrdata_ratio0_ch2_cs1" comment="Bit_Field_PHY_CTRL_EXT*****PHY_CONTROL_EXT[259:250]*****" hidden="1">_wrdqs_ratio0_ch2_cs1 + ROUND((250000 / _ddr_pll_freq / _dll_res),0)</definedName>
    <definedName name="_wrdata_ratio1_ch1_cs0" comment="Bit_Field_PHY_CTRL_EXT*****PHY_CONTROL_EXT[269:260]*****" hidden="1">_wrdqs_ratio1_ch1_cs0 + ROUND((250000 / _ddr_pll_freq / _dll_res),0)</definedName>
    <definedName name="_wrdata_ratio1_ch1_cs1" comment="Bit_Field_PHY_CTRL_EXT*****PHY_CONTROL_EXT[279:270]*****" hidden="1">_wrdqs_ratio1_ch1_cs1 + ROUND((250000 / _ddr_pll_freq / _dll_res),0)</definedName>
    <definedName name="_wrdata_ratio1_ch2_cs0" comment="Bit_Field_PHY_CTRL_EXT*****PHY_CONTROL_EXT[269:260]*****" hidden="1">_wrdqs_ratio1_ch2_cs0 + ROUND((250000 / _ddr_pll_freq / _dll_res),0)</definedName>
    <definedName name="_wrdata_ratio1_ch2_cs1" comment="Bit_Field_PHY_CTRL_EXT*****PHY_CONTROL_EXT[279:270]*****" hidden="1">_wrdqs_ratio1_ch2_cs1 + ROUND((250000 / _ddr_pll_freq / _dll_res),0)</definedName>
    <definedName name="_wrdata_ratio2_ch1_cs0" comment="Bit_Field_PHY_CTRL_EXT*****PHY_CONTROL_EXT[289:280]*****" hidden="1">_wrdqs_ratio2_ch1_cs0 + ROUND((250000 / _ddr_pll_freq / _dll_res),0)</definedName>
    <definedName name="_wrdata_ratio2_ch1_cs1" comment="Bit_Field_PHY_CTRL_EXT*****PHY_CONTROL_EXT[299:290]*****" hidden="1">_wrdqs_ratio2_ch1_cs1 + ROUND((250000 / _ddr_pll_freq / _dll_res),0)</definedName>
    <definedName name="_wrdata_ratio2_ch2_cs0" comment="Bit_Field_PHY_CTRL_EXT*****PHY_CONTROL_EXT[289:280]*****" hidden="1">_wrdqs_ratio2_ch2_cs0 + ROUND((250000 / _ddr_pll_freq / _dll_res),0)</definedName>
    <definedName name="_wrdata_ratio2_ch2_cs1" comment="Bit_Field_PHY_CTRL_EXT*****PHY_CONTROL_EXT[299:290]*****" hidden="1">_wrdqs_ratio2_ch2_cs1 + ROUND((250000 / _ddr_pll_freq / _dll_res),0)</definedName>
    <definedName name="_wrdata_ratio3_ch1_cs0" comment="Bit_Field_PHY_CTRL_EXT*****PHY_CONTROL_EXT[309:300]*****" hidden="1">_wrdqs_ratio3_ch1_cs0 + ROUND((250000 / _ddr_pll_freq / _dll_res),0)</definedName>
    <definedName name="_wrdata_ratio3_ch1_cs1" comment="Bit_Field_PHY_CTRL_EXT*****PHY_CONTROL_EXT[319:310]*****" hidden="1">_wrdqs_ratio3_ch1_cs1 + ROUND((250000 / _ddr_pll_freq / _dll_res),0)</definedName>
    <definedName name="_wrdata_ratio3_ch2_cs0" comment="Bit_Field_PHY_CTRL_EXT*****PHY_CONTROL_EXT[309:300]*****" hidden="1">_wrdqs_ratio3_ch2_cs0 + ROUND((250000 / _ddr_pll_freq / _dll_res),0)</definedName>
    <definedName name="_wrdata_ratio3_ch2_cs1" comment="Bit_Field_PHY_CTRL_EXT*****PHY_CONTROL_EXT[319:310]*****" hidden="1">_wrdqs_ratio3_ch2_cs1 + ROUND((250000 / _ddr_pll_freq / _dll_res),0)</definedName>
    <definedName name="_wrdata_ratio4_ch1_cs0" comment="Bit_Field_PHY_CTRL_EXT*****PHY_CONTROL_EXT[329:320]*****" hidden="1">_wrdqs_ratio4_ch1_cs0 + ROUND((250000 / _ddr_pll_freq / _dll_res),0)</definedName>
    <definedName name="_wrdata_ratio4_ch1_cs1" comment="Bit_Field_PHY_CTRL_EXT*****PHY_CONTROL_EXT[339:330]*****" hidden="1">_wrdqs_ratio4_ch1_cs1 + ROUND((250000 / _ddr_pll_freq / _dll_res),0)</definedName>
    <definedName name="_wrdata_ratio4_ch2_cs0" comment="Bit_Field_PHY_CTRL_EXT*****PHY_CONTROL_EXT[329:320]*****" hidden="1">_wrdqs_ratio4_ch2_cs0 + ROUND((250000 / _ddr_pll_freq / _dll_res),0)</definedName>
    <definedName name="_wrdata_ratio4_ch2_cs1" comment="Bit_Field_PHY_CTRL_EXT*****PHY_CONTROL_EXT[339:330]*****" hidden="1">_wrdqs_ratio4_ch2_cs1 + ROUND((250000 / _ddr_pll_freq / _dll_res),0)</definedName>
    <definedName name="_wrdqs_init0_ch1_cs0" comment="Bit_Field_PHY_CTRL_EXT*****PHY_CONTROL_EXT[641:632]*****" hidden="1">MAX(_wrdqs_ratio0_ch1_cs0 - ROUND((125000 / _ddr_pll_freq / _dll_res),0),0)</definedName>
    <definedName name="_wrdqs_init0_ch1_cs1" comment="Bit_Field_PHY_CTRL_EXT*****PHY_CONTROL_EXT[651:642]*****" hidden="1">MAX(_wrdqs_ratio0_ch1_cs1 - ROUND((125000 / _ddr_pll_freq / _dll_res),0),0)</definedName>
    <definedName name="_wrdqs_init0_ch2_cs0" comment="Bit_Field_PHY_CTRL_EXT*****PHY_CONTROL_EXT[641:632]*****" hidden="1">MAX(_wrdqs_ratio0_ch2_cs0 - ROUND((125000 / _ddr_pll_freq / _dll_res),0),0)</definedName>
    <definedName name="_wrdqs_init0_ch2_cs1" comment="Bit_Field_PHY_CTRL_EXT*****PHY_CONTROL_EXT[651:642]*****" hidden="1">MAX(_wrdqs_ratio0_ch2_cs1 - ROUND((125000 / _ddr_pll_freq / _dll_res),0),0)</definedName>
    <definedName name="_wrdqs_init1_ch1_cs0" comment="Bit_Field_PHY_CTRL_EXT*****PHY_CONTROL_EXT[661:652]*****" hidden="1">MAX(_wrdqs_ratio1_ch1_cs0 - ROUND((125000 / _ddr_pll_freq / _dll_res),0),0)</definedName>
    <definedName name="_wrdqs_init1_ch1_cs1" comment="Bit_Field_PHY_CTRL_EXT*****PHY_CONTROL_EXT[671:662]*****" hidden="1">MAX(_wrdqs_ratio1_ch1_cs1 - ROUND((125000 / _ddr_pll_freq / _dll_res),0),0)</definedName>
    <definedName name="_wrdqs_init1_ch2_cs0" comment="Bit_Field_PHY_CTRL_EXT*****PHY_CONTROL_EXT[661:652]*****" hidden="1">MAX(_wrdqs_ratio1_ch2_cs0 - ROUND((125000 / _ddr_pll_freq / _dll_res),0),0)</definedName>
    <definedName name="_wrdqs_init1_ch2_cs1" comment="Bit_Field_PHY_CTRL_EXT*****PHY_CONTROL_EXT[671:662]*****" hidden="1">MAX(_wrdqs_ratio1_ch2_cs1 - ROUND((125000 / _ddr_pll_freq / _dll_res),0),0)</definedName>
    <definedName name="_wrdqs_init2_ch1_cs0" comment="Bit_Field_PHY_CTRL_EXT*****PHY_CONTROL_EXT[681:672]*****" hidden="1">MAX(_wrdqs_ratio2_ch1_cs0 - ROUND((125000 / _ddr_pll_freq / _dll_res),0),0)</definedName>
    <definedName name="_wrdqs_init2_ch1_cs1" comment="Bit_Field_PHY_CTRL_EXT*****PHY_CONTROL_EXT[691:682]*****" hidden="1">MAX(_wrdqs_ratio2_ch1_cs1 - ROUND((125000 / _ddr_pll_freq / _dll_res),0),0)</definedName>
    <definedName name="_wrdqs_init2_ch2_cs0" comment="Bit_Field_PHY_CTRL_EXT*****PHY_CONTROL_EXT[681:672]*****" hidden="1">MAX(_wrdqs_ratio2_ch2_cs0 - ROUND((125000 / _ddr_pll_freq / _dll_res),0),0)</definedName>
    <definedName name="_wrdqs_init2_ch2_cs1" comment="Bit_Field_PHY_CTRL_EXT*****PHY_CONTROL_EXT[691:682]*****" hidden="1">MAX(_wrdqs_ratio2_ch2_cs1 - ROUND((125000 / _ddr_pll_freq / _dll_res),0),0)</definedName>
    <definedName name="_wrdqs_init3_ch1_cs0" comment="Bit_Field_PHY_CTRL_EXT*****PHY_CONTROL_EXT[701:692]*****" hidden="1">MAX(_wrdqs_ratio3_ch1_cs0 - ROUND((125000 / _ddr_pll_freq / _dll_res),0),0)</definedName>
    <definedName name="_wrdqs_init3_ch1_cs1" comment="Bit_Field_PHY_CTRL_EXT*****PHY_CONTROL_EXT[711:702]*****" hidden="1">MAX(_wrdqs_ratio3_ch1_cs1 - ROUND((125000 / _ddr_pll_freq / _dll_res),0),0)</definedName>
    <definedName name="_wrdqs_init3_ch2_cs0" comment="Bit_Field_PHY_CTRL_EXT*****PHY_CONTROL_EXT[701:692]*****" hidden="1">MAX(_wrdqs_ratio3_ch2_cs0 - ROUND((125000 / _ddr_pll_freq / _dll_res),0),0)</definedName>
    <definedName name="_wrdqs_init3_ch2_cs1" comment="Bit_Field_PHY_CTRL_EXT*****PHY_CONTROL_EXT[711:702]*****" hidden="1">MAX(_wrdqs_ratio3_ch2_cs1 - ROUND((125000 / _ddr_pll_freq / _dll_res),0),0)</definedName>
    <definedName name="_wrdqs_init4_ch1_cs0" comment="Bit_Field_PHY_CTRL_EXT*****PHY_CONTROL_EXT[721:712]*****" hidden="1">MAX(_wrdqs_ratio4_ch1_cs0 - ROUND((125000 / _ddr_pll_freq / _dll_res),0),0)</definedName>
    <definedName name="_wrdqs_init4_ch1_cs1" comment="Bit_Field_PHY_CTRL_EXT*****PHY_CONTROL_EXT[731:722]*****" hidden="1">MAX(_wrdqs_ratio4_ch1_cs1 - ROUND((125000 / _ddr_pll_freq / _dll_res),0),0)</definedName>
    <definedName name="_wrdqs_init4_ch2_cs0" comment="Bit_Field_PHY_CTRL_EXT*****PHY_CONTROL_EXT[721:712]*****" hidden="1">MAX(_wrdqs_ratio4_ch2_cs0 - ROUND((125000 / _ddr_pll_freq / _dll_res),0),0)</definedName>
    <definedName name="_wrdqs_init4_ch2_cs1" comment="Bit_Field_PHY_CTRL_EXT*****PHY_CONTROL_EXT[731:722]*****" hidden="1">MAX(_wrdqs_ratio4_ch2_cs1 - ROUND((125000 / _ddr_pll_freq / _dll_res),0),0)</definedName>
    <definedName name="_wrdqs_ratio0_ch1_cs0" comment="Bit_Field_PHY_CTRL_EXT*****PHY_CONTROL_EXT[349:340]*****" hidden="1">ROUND(((_t_dqss_brdskew_p0_ch1_cs0 + (_phy_invert_clk * 500000 / _ddr_pll_freq)) / _dll_res),0)</definedName>
    <definedName name="_wrdqs_ratio0_ch1_cs1" comment="Bit_Field_PHY_CTRL_EXT*****PHY_CONTROL_EXT[359:350]*****" hidden="1">ROUND(((_t_dqss_brdskew_p0_ch1_cs1 + (_phy_invert_clk * 500000 / _ddr_pll_freq)) / _dll_res),0)</definedName>
    <definedName name="_wrdqs_ratio0_ch2_cs0" comment="Bit_Field_PHY_CTRL_EXT*****PHY_CONTROL_EXT[349:340]*****" hidden="1">ROUND(((_t_dqss_brdskew_p0_ch2_cs0 + (_phy_invert_clk * 500000 / _ddr_pll_freq)) / _dll_res),0)</definedName>
    <definedName name="_wrdqs_ratio0_ch2_cs1" comment="Bit_Field_PHY_CTRL_EXT*****PHY_CONTROL_EXT[359:350]*****" hidden="1">ROUND(((_t_dqss_brdskew_p0_ch2_cs1 + (_phy_invert_clk * 500000 / _ddr_pll_freq)) / _dll_res),0)</definedName>
    <definedName name="_wrdqs_ratio1_ch1_cs0" comment="Bit_Field_PHY_CTRL_EXT*****PHY_CONTROL_EXT[369:360]*****" hidden="1">ROUND(((_t_dqss_brdskew_p1_ch1_cs0 + (_phy_invert_clk * 500000 / _ddr_pll_freq)) / _dll_res),0)</definedName>
    <definedName name="_wrdqs_ratio1_ch1_cs1" comment="Bit_Field_PHY_CTRL_EXT*****PHY_CONTROL_EXT[379:370]*****" hidden="1">ROUND(((_t_dqss_brdskew_p1_ch1_cs1 + (_phy_invert_clk * 500000 / _ddr_pll_freq)) / _dll_res),0)</definedName>
    <definedName name="_wrdqs_ratio1_ch2_cs0" comment="Bit_Field_PHY_CTRL_EXT*****PHY_CONTROL_EXT[369:360]*****" hidden="1">ROUND(((_t_dqss_brdskew_p1_ch2_cs0 + (_phy_invert_clk * 500000 / _ddr_pll_freq)) / _dll_res),0)</definedName>
    <definedName name="_wrdqs_ratio1_ch2_cs1" comment="Bit_Field_PHY_CTRL_EXT*****PHY_CONTROL_EXT[379:370]*****" hidden="1">ROUND(((_t_dqss_brdskew_p1_ch2_cs1 + (_phy_invert_clk * 500000 / _ddr_pll_freq)) / _dll_res),0)</definedName>
    <definedName name="_wrdqs_ratio2_ch1_cs0" comment="Bit_Field_PHY_CTRL_EXT*****PHY_CONTROL_EXT[389:380]*****" hidden="1">ROUND(((_t_dqss_brdskew_p2_ch1_cs0 + (_phy_invert_clk * 500000 / _ddr_pll_freq)) / _dll_res),0)</definedName>
    <definedName name="_wrdqs_ratio2_ch1_cs1" comment="Bit_Field_PHY_CTRL_EXT*****PHY_CONTROL_EXT[399:390]*****" hidden="1">ROUND(((_t_dqss_brdskew_p2_ch1_cs1 + (_phy_invert_clk * 500000 / _ddr_pll_freq)) / _dll_res),0)</definedName>
    <definedName name="_wrdqs_ratio2_ch2_cs0" comment="Bit_Field_PHY_CTRL_EXT*****PHY_CONTROL_EXT[389:380]*****" hidden="1">ROUND(((_t_dqss_brdskew_p2_ch2_cs0 + (_phy_invert_clk * 500000 / _ddr_pll_freq)) / _dll_res),0)</definedName>
    <definedName name="_wrdqs_ratio2_ch2_cs1" comment="Bit_Field_PHY_CTRL_EXT*****PHY_CONTROL_EXT[399:390]*****" hidden="1">ROUND(((_t_dqss_brdskew_p2_ch2_cs1 + (_phy_invert_clk * 500000 / _ddr_pll_freq)) / _dll_res),0)</definedName>
    <definedName name="_wrdqs_ratio3_ch1_cs0" comment="Bit_Field_PHY_CTRL_EXT*****PHY_CONTROL_EXT[409:400]*****" hidden="1">ROUND(((_t_dqss_brdskew_p3_ch1_cs0 + (_phy_invert_clk * 500000 / _ddr_pll_freq)) / _dll_res),0)</definedName>
    <definedName name="_wrdqs_ratio3_ch1_cs1" comment="Bit_Field_PHY_CTRL_EXT*****PHY_CONTROL_EXT[419:410]*****" hidden="1">ROUND(((_t_dqss_brdskew_p3_ch1_cs1 + (_phy_invert_clk * 500000 / _ddr_pll_freq)) / _dll_res),0)</definedName>
    <definedName name="_wrdqs_ratio3_ch2_cs0" comment="Bit_Field_PHY_CTRL_EXT*****PHY_CONTROL_EXT[409:400]*****" hidden="1">ROUND(((_t_dqss_brdskew_p3_ch2_cs0 + (_phy_invert_clk * 500000 / _ddr_pll_freq)) / _dll_res),0)</definedName>
    <definedName name="_wrdqs_ratio3_ch2_cs1" comment="Bit_Field_PHY_CTRL_EXT*****PHY_CONTROL_EXT[419:410]*****" hidden="1">ROUND(((_t_dqss_brdskew_p3_ch2_cs1 + (_phy_invert_clk * 500000 / _ddr_pll_freq)) / _dll_res),0)</definedName>
    <definedName name="_wrdqs_ratio4_ch1_cs0" comment="Bit_Field_PHY_CTRL_EXT*****PHY_CONTROL_EXT[429:420]*****" hidden="1">ROUND(((_t_dqss_brdskew_p4_ch1_cs0 + (_phy_invert_clk * 500000 / _ddr_pll_freq)) / _dll_res),0)</definedName>
    <definedName name="_wrdqs_ratio4_ch1_cs1" comment="Bit_Field_PHY_CTRL_EXT*****PHY_CONTROL_EXT[439:430]*****" hidden="1">ROUND(((_t_dqss_brdskew_p4_ch1_cs1 + (_phy_invert_clk * 500000 / _ddr_pll_freq)) / _dll_res),0)</definedName>
    <definedName name="_wrdqs_ratio4_ch2_cs0" comment="Bit_Field_PHY_CTRL_EXT*****PHY_CONTROL_EXT[429:420]*****" hidden="1">ROUND(((_t_dqss_brdskew_p4_ch2_cs0 + (_phy_invert_clk * 500000 / _ddr_pll_freq)) / _dll_res),0)</definedName>
    <definedName name="_wrdqs_ratio4_ch2_cs1" comment="Bit_Field_PHY_CTRL_EXT*****PHY_CONTROL_EXT[439:430]*****" hidden="1">ROUND(((_t_dqss_brdskew_p4_ch2_cs1 + (_phy_invert_clk * 500000 / _ddr_pll_freq)) / _dll_res),0)</definedName>
    <definedName name="_zq_cs0en" comment="Bit_Field_EMIF_ZQ_CONFIG_VAL*****EMIF_SDRAM_ZQ_CONFIG[30]*****" hidden="1">1</definedName>
    <definedName name="_zq_cs1en" comment="Bit_Field_EMIF_ZQ_CONFIG_VAL*****EMIF_SDRAM_ZQ_CONFIG[31]*****" hidden="1">_sdram_ebank - 1</definedName>
    <definedName name="_zq_dualcalen" comment="Bit_Field_EMIF_ZQ_CONFIG_VAL*****EMIF_SDRAM_ZQ_CONFIG[29]*****" hidden="1">0</definedName>
    <definedName name="_zq_refinterval" comment="Bit_Field_EMIF_ZQ_CONFIG_VAL*****EMIF_SDRAM_ZQ_CONFIG[15:00]*****" hidden="1">6411</definedName>
    <definedName name="_zq_sfexiten" comment="Bit_Field_EMIF_ZQ_CONFIG_VAL*****EMIF_SDRAM_ZQ_CONFIG[28]*****" hidden="1">1</definedName>
    <definedName name="_zq_zqcl_mult" comment="Bit_Field_EMIF_ZQ_CONFIG_VAL*****EMIF_SDRAM_ZQ_CONFIG[17:16]*****" hidden="1">3</definedName>
    <definedName name="_zq_zqinit_mult" comment="Bit_Field_EMIF_ZQ_CONFIG_VAL*****EMIF_SDRAM_ZQ_CONFIG[19:18]*****" hidden="1">1</definedName>
    <definedName name="CL_1066">'Step1-System Details'!$F$117:$F$119</definedName>
    <definedName name="CL_1333">'Step1-System Details'!$G$117:$G$120</definedName>
    <definedName name="CL_1600">'Step1-System Details'!$H$117:$H$120</definedName>
    <definedName name="CL_1866">'Step1-System Details'!$I$117:$I$120</definedName>
    <definedName name="CL_2133">'Step1-System Details'!$J$117:$J$120</definedName>
    <definedName name="CL_800">'Step1-System Details'!$E$117:$E$118</definedName>
    <definedName name="CLK_PERIOD">'Invert Clock'!$C$16</definedName>
    <definedName name="DDR_Type">'Step1-System Details'!$B$92</definedName>
    <definedName name="DDR3_1600_CL">'Step2-DDR Timings'!$E$253:$E$254</definedName>
    <definedName name="DDR3_1866_CL">'Step2-DDR Timings'!$E$258:$E$259</definedName>
    <definedName name="DDR3_2133_CL">'Step2-DDR Timings'!$E$259</definedName>
    <definedName name="DDR3_Addr">'Step1-System Details'!$D$117</definedName>
    <definedName name="DDR3_CL">'Step2-DDR Timings'!$E$253:$E$254</definedName>
    <definedName name="DDR3_CL_Max">'Step2-DDR Timings'!$D$253</definedName>
    <definedName name="DDR3_CL_Min">'Step2-DDR Timings'!$C$253</definedName>
    <definedName name="DDR3_CS">'Step1-System Details'!$D$105</definedName>
    <definedName name="DDR3_CWL">'Step2-DDR Timings'!$I$254</definedName>
    <definedName name="DDR3_Data">'Step1-System Details'!$D$124</definedName>
    <definedName name="DDR3_DQS">'Step1-System Details'!$C$105</definedName>
    <definedName name="DDR3_DYN_ODT">'Step1-System Details'!$G$92:$G$94</definedName>
    <definedName name="DDR3_L">'Step1-System Details'!$C$91:$C$95</definedName>
    <definedName name="DDR3_Max">'Step1-System Details'!$D$99</definedName>
    <definedName name="DDR3_Min">'Step1-System Details'!$C$99</definedName>
    <definedName name="DDR3_NVM_RDB">'Step1-System Details'!$E$105</definedName>
    <definedName name="DDR3_NVM_RDB_Size">'Step1-System Details'!$F$105</definedName>
    <definedName name="DDR3_Refresh">'Step1-System Details'!$D$111</definedName>
    <definedName name="DDR3_Width">'Step1-System Details'!$E$92:$E$93</definedName>
    <definedName name="DDR3_ZQ_Tsens_Max">'Step1-System Details'!$O$98</definedName>
    <definedName name="DDR3_ZQ_Tsens_Min">'Step1-System Details'!$N$98</definedName>
    <definedName name="DDR3_ZQ_Vsens_Max">'Step1-System Details'!$O$103</definedName>
    <definedName name="DDR3_ZQ_Vsens_Min">'Step1-System Details'!$N$103</definedName>
    <definedName name="INVERT_CLK">'Invert Clock'!$C$17</definedName>
    <definedName name="LPDDR2">'Step1-System Details'!$B$98:$B$102</definedName>
    <definedName name="LPDDR2_1066_CL">'Step2-DDR Timings'!$H$258</definedName>
    <definedName name="LPDDR2_533_CL">'Step2-DDR Timings'!$H$254</definedName>
    <definedName name="LPDDR2_667_CL">'Step2-DDR Timings'!$H$255</definedName>
    <definedName name="LPDDR2_800_CL">'Step2-DDR Timings'!$H$256</definedName>
    <definedName name="LPDDR2_933_CL">'Step2-DDR Timings'!$H$257</definedName>
    <definedName name="LPDDR2_Addr">'Step1-System Details'!$D$118:$D$120</definedName>
    <definedName name="LPDDR2_CL_Max">'Step2-DDR Timings'!$D$254</definedName>
    <definedName name="LPDDR2_CL_Min">'Step2-DDR Timings'!$C$254</definedName>
    <definedName name="LPDDR2_CS">'Step1-System Details'!$D$106:$D$107</definedName>
    <definedName name="LPDDR2_CWL">'Step2-DDR Timings'!$I$253</definedName>
    <definedName name="LPDDR2_Data">'Step1-System Details'!$D$125:$D$127</definedName>
    <definedName name="LPDDR2_DQS">'Step1-System Details'!$C$106:$C$107</definedName>
    <definedName name="LPDDR2_DYN_ODT">'Step1-System Details'!$G$91</definedName>
    <definedName name="LPDDR2_Max">'Step1-System Details'!$D$100</definedName>
    <definedName name="LPDDR2_Min">'Step1-System Details'!$C$100</definedName>
    <definedName name="LPDDR2_NVM_RDB">'Step1-System Details'!$E$106:$E$109</definedName>
    <definedName name="LPDDR2_NVM_RDB_Size">'Step1-System Details'!$F$106:$F$113</definedName>
    <definedName name="LPDDR2_Refresh">'Step1-System Details'!$D$112:$D$113</definedName>
    <definedName name="LPDDR2_Width">'Step1-System Details'!$E$93:$E$94</definedName>
    <definedName name="LPDDR2_ZQ_Tsens_Max">'Step1-System Details'!$O$99</definedName>
    <definedName name="LPDDR2_ZQ_Tsens_Min">'Step1-System Details'!$N$99</definedName>
    <definedName name="LPDDR2_ZQ_Vsens_Max">'Step1-System Details'!$O$104</definedName>
    <definedName name="LPDDR2_ZQ_Vsens_Min">'Step1-System Details'!$N$104</definedName>
    <definedName name="NA">'Step1-System Details'!$K$117</definedName>
    <definedName name="Speed_Bin_CL">'Step1-System Details'!$E$40</definedName>
    <definedName name="Speed_Bin_CL_DDR3">'Step1-System Details'!$E$40</definedName>
  </definedNames>
  <calcPr calcId="145621"/>
</workbook>
</file>

<file path=xl/calcChain.xml><?xml version="1.0" encoding="utf-8"?>
<calcChain xmlns="http://schemas.openxmlformats.org/spreadsheetml/2006/main">
  <c r="C65" i="26" l="1"/>
  <c r="D52" i="26"/>
  <c r="D51" i="26"/>
  <c r="D43" i="26"/>
  <c r="D33" i="26"/>
  <c r="D55" i="26" s="1"/>
  <c r="D24" i="26"/>
  <c r="D54" i="26" s="1"/>
  <c r="D17" i="26"/>
  <c r="D53" i="26" s="1"/>
  <c r="D99" i="22"/>
  <c r="D98" i="22"/>
  <c r="D95" i="22"/>
  <c r="D94" i="22"/>
  <c r="D91" i="22"/>
  <c r="D90" i="22"/>
  <c r="D87" i="22"/>
  <c r="D86" i="22"/>
  <c r="D28" i="22"/>
  <c r="I87" i="18"/>
  <c r="H87" i="18"/>
  <c r="G87" i="18"/>
  <c r="E87" i="18"/>
  <c r="D87" i="18"/>
  <c r="C87" i="18"/>
  <c r="K86" i="18"/>
  <c r="K87" i="18" s="1"/>
  <c r="J86" i="18"/>
  <c r="J87" i="18" s="1"/>
  <c r="F86" i="18"/>
  <c r="F87" i="18" s="1"/>
  <c r="C86" i="18"/>
  <c r="K80" i="18"/>
  <c r="I80" i="18"/>
  <c r="H80" i="18"/>
  <c r="F80" i="18"/>
  <c r="E80" i="18"/>
  <c r="D80" i="18"/>
  <c r="J79" i="18"/>
  <c r="J80" i="18" s="1"/>
  <c r="G79" i="18"/>
  <c r="G80" i="18" s="1"/>
  <c r="E79" i="18"/>
  <c r="C79" i="18"/>
  <c r="I73" i="18"/>
  <c r="H73" i="18"/>
  <c r="G73" i="18"/>
  <c r="F73" i="18"/>
  <c r="E73" i="18"/>
  <c r="C73" i="18"/>
  <c r="M72" i="18"/>
  <c r="M73" i="18" s="1"/>
  <c r="L72" i="18"/>
  <c r="L73" i="18" s="1"/>
  <c r="K72" i="18"/>
  <c r="K73" i="18" s="1"/>
  <c r="J72" i="18"/>
  <c r="J73" i="18" s="1"/>
  <c r="D72" i="18"/>
  <c r="D73" i="18" s="1"/>
  <c r="H66" i="18"/>
  <c r="E66" i="18"/>
  <c r="H65" i="18"/>
  <c r="G65" i="18"/>
  <c r="G66" i="18" s="1"/>
  <c r="F65" i="18"/>
  <c r="F66" i="18" s="1"/>
  <c r="E65" i="18"/>
  <c r="C60" i="18"/>
  <c r="D27" i="22" s="1"/>
  <c r="G59" i="18"/>
  <c r="F59" i="18"/>
  <c r="E59" i="18"/>
  <c r="H58" i="18"/>
  <c r="H59" i="18" s="1"/>
  <c r="D58" i="18"/>
  <c r="D59" i="18" s="1"/>
  <c r="C58" i="18"/>
  <c r="C59" i="18" s="1"/>
  <c r="I52" i="18"/>
  <c r="H52" i="18"/>
  <c r="G52" i="18"/>
  <c r="F52" i="18"/>
  <c r="E52" i="18"/>
  <c r="D52" i="18"/>
  <c r="C52" i="18"/>
  <c r="W47" i="18"/>
  <c r="D45" i="18"/>
  <c r="C45" i="18"/>
  <c r="R64" i="18" s="1"/>
  <c r="W40" i="18"/>
  <c r="W48" i="18" s="1"/>
  <c r="P38" i="18"/>
  <c r="O38" i="18"/>
  <c r="K38" i="18"/>
  <c r="H38" i="18"/>
  <c r="G38" i="18"/>
  <c r="D38" i="18"/>
  <c r="P37" i="18"/>
  <c r="O37" i="18"/>
  <c r="N37" i="18"/>
  <c r="N38" i="18" s="1"/>
  <c r="M37" i="18"/>
  <c r="M38" i="18" s="1"/>
  <c r="K37" i="18"/>
  <c r="I37" i="18"/>
  <c r="I38" i="18" s="1"/>
  <c r="G37" i="18"/>
  <c r="F37" i="18"/>
  <c r="F38" i="18" s="1"/>
  <c r="E37" i="18"/>
  <c r="E38" i="18" s="1"/>
  <c r="C37" i="18"/>
  <c r="C38" i="18" s="1"/>
  <c r="W35" i="18"/>
  <c r="W33" i="18"/>
  <c r="W31" i="18"/>
  <c r="F31" i="18"/>
  <c r="D31" i="18"/>
  <c r="C31" i="18"/>
  <c r="W30" i="18"/>
  <c r="H30" i="18"/>
  <c r="H31" i="18" s="1"/>
  <c r="C30" i="18"/>
  <c r="W29" i="18"/>
  <c r="F29" i="18"/>
  <c r="W28" i="18"/>
  <c r="W36" i="18" s="1"/>
  <c r="E24" i="18"/>
  <c r="W21" i="18"/>
  <c r="W19" i="18"/>
  <c r="W17" i="18"/>
  <c r="W22" i="18" s="1"/>
  <c r="C17" i="18"/>
  <c r="E25" i="16"/>
  <c r="C25" i="16"/>
  <c r="C24" i="16"/>
  <c r="E23" i="16"/>
  <c r="C23" i="16"/>
  <c r="O22" i="16"/>
  <c r="E22" i="16"/>
  <c r="C22" i="16"/>
  <c r="C15" i="16"/>
  <c r="C16" i="16" s="1"/>
  <c r="C14" i="16"/>
  <c r="C13" i="16"/>
  <c r="F22" i="16" s="1"/>
  <c r="F42" i="19"/>
  <c r="D58" i="22" s="1"/>
  <c r="F32" i="19"/>
  <c r="J19" i="19"/>
  <c r="C256" i="21"/>
  <c r="J252" i="21"/>
  <c r="I252" i="21"/>
  <c r="G252" i="21"/>
  <c r="E252" i="21"/>
  <c r="D252" i="21"/>
  <c r="C252" i="21"/>
  <c r="I246" i="21"/>
  <c r="H246" i="21"/>
  <c r="G246" i="21"/>
  <c r="F246" i="21"/>
  <c r="E246" i="21"/>
  <c r="D246" i="21"/>
  <c r="E245" i="21"/>
  <c r="G238" i="21"/>
  <c r="I237" i="21"/>
  <c r="H237" i="21"/>
  <c r="G237" i="21"/>
  <c r="F237" i="21"/>
  <c r="E237" i="21"/>
  <c r="D237" i="21"/>
  <c r="H236" i="21"/>
  <c r="N233" i="21"/>
  <c r="D231" i="21"/>
  <c r="D232" i="21" s="1"/>
  <c r="J229" i="21"/>
  <c r="E228" i="21"/>
  <c r="K226" i="21"/>
  <c r="A223" i="21"/>
  <c r="N247" i="21" s="1"/>
  <c r="N246" i="21" s="1"/>
  <c r="I50" i="21"/>
  <c r="I48" i="21"/>
  <c r="G48" i="21"/>
  <c r="G42" i="21"/>
  <c r="H23" i="18" s="1"/>
  <c r="H24" i="18" s="1"/>
  <c r="I41" i="21"/>
  <c r="G41" i="21"/>
  <c r="G23" i="18" s="1"/>
  <c r="G24" i="18" s="1"/>
  <c r="F40" i="21"/>
  <c r="G40" i="21" s="1"/>
  <c r="F23" i="18" s="1"/>
  <c r="F24" i="18" s="1"/>
  <c r="G39" i="21"/>
  <c r="G32" i="21"/>
  <c r="F16" i="18" s="1"/>
  <c r="F17" i="18" s="1"/>
  <c r="G29" i="21"/>
  <c r="G28" i="21"/>
  <c r="J37" i="18" s="1"/>
  <c r="J38" i="18" s="1"/>
  <c r="G27" i="21"/>
  <c r="L37" i="18" s="1"/>
  <c r="L38" i="18" s="1"/>
  <c r="I25" i="21"/>
  <c r="D123" i="20"/>
  <c r="D116" i="20"/>
  <c r="F115" i="20"/>
  <c r="E115" i="20"/>
  <c r="D110" i="20"/>
  <c r="F104" i="20"/>
  <c r="E104" i="20"/>
  <c r="D104" i="20"/>
  <c r="C104" i="20"/>
  <c r="P102" i="20"/>
  <c r="O102" i="20"/>
  <c r="N102" i="20"/>
  <c r="L102" i="20"/>
  <c r="K102" i="20"/>
  <c r="J102" i="20"/>
  <c r="I102" i="20"/>
  <c r="H102" i="20"/>
  <c r="G102" i="20"/>
  <c r="F102" i="20"/>
  <c r="E102" i="20"/>
  <c r="D102" i="20"/>
  <c r="C102" i="20"/>
  <c r="D98" i="20"/>
  <c r="C98" i="20"/>
  <c r="P97" i="20"/>
  <c r="O97" i="20"/>
  <c r="N97" i="20"/>
  <c r="E91" i="20"/>
  <c r="G90" i="20"/>
  <c r="C85" i="20"/>
  <c r="G69" i="20"/>
  <c r="G68" i="20"/>
  <c r="G67" i="20"/>
  <c r="G57" i="20"/>
  <c r="G56" i="20"/>
  <c r="G49" i="20"/>
  <c r="G48" i="20"/>
  <c r="G47" i="20"/>
  <c r="D40" i="20"/>
  <c r="B14" i="24"/>
  <c r="B9" i="24"/>
  <c r="D226" i="21" l="1"/>
  <c r="H227" i="21"/>
  <c r="M228" i="21"/>
  <c r="G230" i="21"/>
  <c r="L231" i="21"/>
  <c r="F233" i="21"/>
  <c r="I37" i="21" s="1"/>
  <c r="K234" i="21"/>
  <c r="D239" i="21"/>
  <c r="D242" i="21" s="1"/>
  <c r="F243" i="21"/>
  <c r="I47" i="21" s="1"/>
  <c r="L247" i="21"/>
  <c r="L246" i="21" s="1"/>
  <c r="H247" i="21"/>
  <c r="D247" i="21"/>
  <c r="N245" i="21"/>
  <c r="J245" i="21"/>
  <c r="F245" i="21"/>
  <c r="I49" i="21" s="1"/>
  <c r="M243" i="21"/>
  <c r="I243" i="21"/>
  <c r="E243" i="21"/>
  <c r="L242" i="21"/>
  <c r="M247" i="21"/>
  <c r="M246" i="21" s="1"/>
  <c r="G247" i="21"/>
  <c r="I245" i="21"/>
  <c r="D245" i="21"/>
  <c r="J243" i="21"/>
  <c r="D243" i="21"/>
  <c r="J242" i="21"/>
  <c r="G239" i="21"/>
  <c r="G242" i="21" s="1"/>
  <c r="N238" i="21"/>
  <c r="J238" i="21"/>
  <c r="F238" i="21"/>
  <c r="I42" i="21" s="1"/>
  <c r="K236" i="21"/>
  <c r="G236" i="21"/>
  <c r="N234" i="21"/>
  <c r="J234" i="21"/>
  <c r="F234" i="21"/>
  <c r="I38" i="21" s="1"/>
  <c r="M233" i="21"/>
  <c r="I233" i="21"/>
  <c r="E233" i="21"/>
  <c r="L232" i="21"/>
  <c r="K231" i="21"/>
  <c r="G231" i="21"/>
  <c r="G232" i="21" s="1"/>
  <c r="N230" i="21"/>
  <c r="J230" i="21"/>
  <c r="F230" i="21"/>
  <c r="I34" i="21" s="1"/>
  <c r="M229" i="21"/>
  <c r="I229" i="21"/>
  <c r="E229" i="21"/>
  <c r="L228" i="21"/>
  <c r="H228" i="21"/>
  <c r="D228" i="21"/>
  <c r="K227" i="21"/>
  <c r="G227" i="21"/>
  <c r="N226" i="21"/>
  <c r="J226" i="21"/>
  <c r="F226" i="21"/>
  <c r="I30" i="21" s="1"/>
  <c r="G49" i="21"/>
  <c r="G30" i="18" s="1"/>
  <c r="G31" i="18" s="1"/>
  <c r="G47" i="21"/>
  <c r="E30" i="18" s="1"/>
  <c r="E31" i="18" s="1"/>
  <c r="G43" i="21"/>
  <c r="I23" i="18" s="1"/>
  <c r="I24" i="18" s="1"/>
  <c r="G37" i="21"/>
  <c r="J16" i="18" s="1"/>
  <c r="J17" i="18" s="1"/>
  <c r="G35" i="21"/>
  <c r="G36" i="21" s="1"/>
  <c r="I16" i="18" s="1"/>
  <c r="I17" i="18" s="1"/>
  <c r="G33" i="21"/>
  <c r="G16" i="18" s="1"/>
  <c r="G17" i="18" s="1"/>
  <c r="G31" i="21"/>
  <c r="E16" i="18" s="1"/>
  <c r="E17" i="18" s="1"/>
  <c r="R17" i="18" s="1"/>
  <c r="L245" i="21"/>
  <c r="G245" i="21"/>
  <c r="L243" i="21"/>
  <c r="G243" i="21"/>
  <c r="M242" i="21"/>
  <c r="I239" i="21"/>
  <c r="I242" i="21" s="1"/>
  <c r="L238" i="21"/>
  <c r="H238" i="21"/>
  <c r="I236" i="21"/>
  <c r="L234" i="21"/>
  <c r="H234" i="21"/>
  <c r="K233" i="21"/>
  <c r="N232" i="21"/>
  <c r="E231" i="21"/>
  <c r="E232" i="21" s="1"/>
  <c r="H230" i="21"/>
  <c r="J228" i="21"/>
  <c r="M227" i="21"/>
  <c r="E227" i="21"/>
  <c r="H226" i="21"/>
  <c r="K247" i="21"/>
  <c r="K246" i="21" s="1"/>
  <c r="F247" i="21"/>
  <c r="I51" i="21" s="1"/>
  <c r="M245" i="21"/>
  <c r="H245" i="21"/>
  <c r="N243" i="21"/>
  <c r="H243" i="21"/>
  <c r="N242" i="21"/>
  <c r="F239" i="21"/>
  <c r="M238" i="21"/>
  <c r="I238" i="21"/>
  <c r="E238" i="21"/>
  <c r="N236" i="21"/>
  <c r="J236" i="21"/>
  <c r="F236" i="21"/>
  <c r="I40" i="21" s="1"/>
  <c r="M234" i="21"/>
  <c r="I234" i="21"/>
  <c r="E234" i="21"/>
  <c r="L233" i="21"/>
  <c r="H233" i="21"/>
  <c r="D233" i="21"/>
  <c r="K232" i="21"/>
  <c r="N231" i="21"/>
  <c r="J231" i="21"/>
  <c r="F231" i="21"/>
  <c r="M230" i="21"/>
  <c r="I230" i="21"/>
  <c r="E230" i="21"/>
  <c r="L229" i="21"/>
  <c r="H229" i="21"/>
  <c r="D229" i="21"/>
  <c r="K228" i="21"/>
  <c r="G228" i="21"/>
  <c r="N227" i="21"/>
  <c r="J227" i="21"/>
  <c r="F227" i="21"/>
  <c r="I31" i="21" s="1"/>
  <c r="M226" i="21"/>
  <c r="I226" i="21"/>
  <c r="E226" i="21"/>
  <c r="G51" i="21"/>
  <c r="J247" i="21"/>
  <c r="J246" i="21" s="1"/>
  <c r="E247" i="21"/>
  <c r="E239" i="21"/>
  <c r="E242" i="21" s="1"/>
  <c r="D238" i="21"/>
  <c r="M236" i="21"/>
  <c r="E236" i="21"/>
  <c r="D234" i="21"/>
  <c r="G233" i="21"/>
  <c r="J232" i="21"/>
  <c r="M231" i="21"/>
  <c r="I231" i="21"/>
  <c r="I232" i="21" s="1"/>
  <c r="L230" i="21"/>
  <c r="D230" i="21"/>
  <c r="K229" i="21"/>
  <c r="G229" i="21"/>
  <c r="N228" i="21"/>
  <c r="F228" i="21"/>
  <c r="I32" i="21" s="1"/>
  <c r="I227" i="21"/>
  <c r="L226" i="21"/>
  <c r="D227" i="21"/>
  <c r="I228" i="21"/>
  <c r="N229" i="21"/>
  <c r="H231" i="21"/>
  <c r="H232" i="21" s="1"/>
  <c r="M232" i="21"/>
  <c r="G234" i="21"/>
  <c r="L236" i="21"/>
  <c r="K238" i="21"/>
  <c r="K242" i="21"/>
  <c r="K245" i="21"/>
  <c r="I247" i="21"/>
  <c r="G30" i="21"/>
  <c r="D16" i="18" s="1"/>
  <c r="D17" i="18" s="1"/>
  <c r="G34" i="21"/>
  <c r="H16" i="18" s="1"/>
  <c r="H17" i="18" s="1"/>
  <c r="G38" i="21"/>
  <c r="D23" i="18" s="1"/>
  <c r="D24" i="18" s="1"/>
  <c r="G46" i="21"/>
  <c r="G226" i="21"/>
  <c r="L227" i="21"/>
  <c r="F229" i="21"/>
  <c r="I33" i="21" s="1"/>
  <c r="K230" i="21"/>
  <c r="J233" i="21"/>
  <c r="D236" i="21"/>
  <c r="H239" i="21"/>
  <c r="H242" i="21" s="1"/>
  <c r="K243" i="21"/>
  <c r="G495" i="16"/>
  <c r="G494" i="16"/>
  <c r="F24" i="16"/>
  <c r="H24" i="16" s="1"/>
  <c r="E24" i="16"/>
  <c r="R53" i="18"/>
  <c r="F23" i="16"/>
  <c r="H22" i="16" s="1"/>
  <c r="E18" i="16" s="1"/>
  <c r="F25" i="16"/>
  <c r="R71" i="18"/>
  <c r="R67" i="18"/>
  <c r="R70" i="18"/>
  <c r="R72" i="18"/>
  <c r="R69" i="18"/>
  <c r="R66" i="18"/>
  <c r="R68" i="18"/>
  <c r="R65" i="18"/>
  <c r="R97" i="18"/>
  <c r="R119" i="18"/>
  <c r="R40" i="18"/>
  <c r="R86" i="18"/>
  <c r="W42" i="18"/>
  <c r="W44" i="18"/>
  <c r="W45" i="18"/>
  <c r="W25" i="18"/>
  <c r="D47" i="22"/>
  <c r="W23" i="18"/>
  <c r="W24" i="18"/>
  <c r="W41" i="18"/>
  <c r="W43" i="18"/>
  <c r="W18" i="18"/>
  <c r="W20" i="18"/>
  <c r="W32" i="18"/>
  <c r="W34" i="18"/>
  <c r="W46" i="18"/>
  <c r="F49" i="19" l="1"/>
  <c r="D36" i="19"/>
  <c r="D43" i="22"/>
  <c r="E28" i="26" s="1"/>
  <c r="L79" i="18"/>
  <c r="I24" i="16"/>
  <c r="G24" i="16" s="1"/>
  <c r="D46" i="22"/>
  <c r="E30" i="26" s="1"/>
  <c r="D40" i="22"/>
  <c r="E38" i="19"/>
  <c r="D38" i="19"/>
  <c r="F43" i="19" s="1"/>
  <c r="I22" i="16"/>
  <c r="E36" i="19"/>
  <c r="R22" i="18"/>
  <c r="R20" i="18"/>
  <c r="R18" i="18"/>
  <c r="R25" i="18"/>
  <c r="R21" i="18"/>
  <c r="R19" i="18"/>
  <c r="R23" i="18"/>
  <c r="R24" i="18"/>
  <c r="R93" i="18"/>
  <c r="R89" i="18"/>
  <c r="R92" i="18"/>
  <c r="R88" i="18"/>
  <c r="R91" i="18"/>
  <c r="R94" i="18"/>
  <c r="R90" i="18"/>
  <c r="R87" i="18"/>
  <c r="R45" i="18"/>
  <c r="R44" i="18"/>
  <c r="R42" i="18"/>
  <c r="R48" i="18"/>
  <c r="R46" i="18"/>
  <c r="R43" i="18"/>
  <c r="R41" i="18"/>
  <c r="R47" i="18"/>
  <c r="F242" i="21"/>
  <c r="I46" i="21" s="1"/>
  <c r="I43" i="21"/>
  <c r="E18" i="26"/>
  <c r="H21" i="25"/>
  <c r="R127" i="18"/>
  <c r="R123" i="18"/>
  <c r="R126" i="18"/>
  <c r="R122" i="18"/>
  <c r="R125" i="18"/>
  <c r="R121" i="18"/>
  <c r="R124" i="18"/>
  <c r="R120" i="18"/>
  <c r="K51" i="18"/>
  <c r="K52" i="18" s="1"/>
  <c r="J51" i="18"/>
  <c r="J52" i="18" s="1"/>
  <c r="R75" i="18" s="1"/>
  <c r="R103" i="18"/>
  <c r="R99" i="18"/>
  <c r="R102" i="18"/>
  <c r="R98" i="18"/>
  <c r="R105" i="18"/>
  <c r="R101" i="18"/>
  <c r="R104" i="18"/>
  <c r="R100" i="18"/>
  <c r="C46" i="18"/>
  <c r="D22" i="22" s="1"/>
  <c r="R28" i="18"/>
  <c r="R59" i="18"/>
  <c r="R56" i="18"/>
  <c r="R61" i="18"/>
  <c r="R55" i="18"/>
  <c r="R60" i="18"/>
  <c r="R54" i="18"/>
  <c r="C39" i="18" s="1"/>
  <c r="D21" i="22" s="1"/>
  <c r="R58" i="18"/>
  <c r="R57" i="18"/>
  <c r="F232" i="21"/>
  <c r="I36" i="21" s="1"/>
  <c r="I35" i="21"/>
  <c r="E34" i="26" l="1"/>
  <c r="H36" i="25"/>
  <c r="C74" i="18"/>
  <c r="R81" i="18"/>
  <c r="R79" i="18"/>
  <c r="R76" i="18"/>
  <c r="C53" i="18" s="1"/>
  <c r="R83" i="18"/>
  <c r="R80" i="18"/>
  <c r="R78" i="18"/>
  <c r="R82" i="18"/>
  <c r="R77" i="18"/>
  <c r="H31" i="25"/>
  <c r="L80" i="18"/>
  <c r="R108" i="18" s="1"/>
  <c r="R31" i="18"/>
  <c r="R30" i="18"/>
  <c r="R36" i="18"/>
  <c r="R34" i="18"/>
  <c r="R32" i="18"/>
  <c r="R29" i="18"/>
  <c r="R35" i="18"/>
  <c r="R33" i="18"/>
  <c r="C88" i="18"/>
  <c r="D26" i="22" s="1"/>
  <c r="C67" i="18"/>
  <c r="E26" i="26"/>
  <c r="H19" i="25"/>
  <c r="D64" i="22"/>
  <c r="D53" i="22"/>
  <c r="C32" i="18"/>
  <c r="C18" i="18"/>
  <c r="F19" i="16"/>
  <c r="F18" i="16"/>
  <c r="G22" i="16"/>
  <c r="F44" i="19"/>
  <c r="D44" i="22"/>
  <c r="E29" i="26" s="1"/>
  <c r="D38" i="22"/>
  <c r="D41" i="22"/>
  <c r="E27" i="26" s="1"/>
  <c r="D20" i="22" l="1"/>
  <c r="D19" i="22"/>
  <c r="E25" i="26"/>
  <c r="H18" i="25"/>
  <c r="E20" i="26"/>
  <c r="H22" i="25"/>
  <c r="D77" i="22"/>
  <c r="E46" i="26" s="1"/>
  <c r="D76" i="22"/>
  <c r="E45" i="26" s="1"/>
  <c r="D75" i="22"/>
  <c r="C25" i="18"/>
  <c r="D79" i="22"/>
  <c r="E48" i="26" s="1"/>
  <c r="D78" i="22"/>
  <c r="E47" i="26" s="1"/>
  <c r="D24" i="22"/>
  <c r="D23" i="22"/>
  <c r="H38" i="25"/>
  <c r="E39" i="26"/>
  <c r="D59" i="22"/>
  <c r="D48" i="22"/>
  <c r="F45" i="19"/>
  <c r="D16" i="22"/>
  <c r="D15" i="22"/>
  <c r="R113" i="18"/>
  <c r="R109" i="18"/>
  <c r="R116" i="18"/>
  <c r="R112" i="18"/>
  <c r="R115" i="18"/>
  <c r="R111" i="18"/>
  <c r="R114" i="18"/>
  <c r="R110" i="18"/>
  <c r="C81" i="18" l="1"/>
  <c r="D66" i="22"/>
  <c r="D55" i="22"/>
  <c r="E38" i="26"/>
  <c r="H34" i="25"/>
  <c r="E19" i="26"/>
  <c r="H23" i="25"/>
  <c r="E35" i="26"/>
  <c r="H37" i="25"/>
  <c r="D18" i="22"/>
  <c r="D17" i="22"/>
  <c r="E36" i="26"/>
  <c r="H32" i="25"/>
  <c r="E44" i="26"/>
  <c r="H26" i="25"/>
  <c r="H33" i="25" l="1"/>
  <c r="E37" i="26"/>
  <c r="H24" i="25"/>
  <c r="E21" i="26"/>
  <c r="D34" i="22"/>
  <c r="D33" i="22"/>
  <c r="E40" i="26" s="1"/>
</calcChain>
</file>

<file path=xl/comments1.xml><?xml version="1.0" encoding="utf-8"?>
<comments xmlns="http://schemas.openxmlformats.org/spreadsheetml/2006/main">
  <authors>
    <author>Srinivasan, SenthilKumar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Frequency Range:
DDR3 - 303MHz to 400MHz</t>
        </r>
      </text>
    </comment>
  </commentList>
</comments>
</file>

<file path=xl/comments2.xml><?xml version="1.0" encoding="utf-8"?>
<comments xmlns="http://schemas.openxmlformats.org/spreadsheetml/2006/main">
  <authors>
    <author>Srinivasan, SenthilKumar</author>
    <author>a0875190</author>
  </authors>
  <commentList>
    <comment ref="F50" authorId="0">
      <text>
        <r>
          <rPr>
            <b/>
            <sz val="9"/>
            <color indexed="81"/>
            <rFont val="Tahoma"/>
            <family val="2"/>
          </rPr>
          <t xml:space="preserve">9*tREFI
</t>
        </r>
      </text>
    </comment>
    <comment ref="J241" authorId="1">
      <text>
        <r>
          <rPr>
            <b/>
            <sz val="9"/>
            <color indexed="81"/>
            <rFont val="Tahoma"/>
            <family val="2"/>
          </rPr>
          <t>a0875190:</t>
        </r>
        <r>
          <rPr>
            <sz val="9"/>
            <color indexed="81"/>
            <rFont val="Tahoma"/>
            <family val="2"/>
          </rPr>
          <t xml:space="preserve">
Check with Ritesh regarding LPDDR2
</t>
        </r>
      </text>
    </comment>
  </commentList>
</comments>
</file>

<file path=xl/sharedStrings.xml><?xml version="1.0" encoding="utf-8"?>
<sst xmlns="http://schemas.openxmlformats.org/spreadsheetml/2006/main" count="864" uniqueCount="593">
  <si>
    <t>MHz</t>
  </si>
  <si>
    <t>DQS0</t>
  </si>
  <si>
    <t>DQS1</t>
  </si>
  <si>
    <t>ps</t>
  </si>
  <si>
    <t>DDR Clock Frequency</t>
  </si>
  <si>
    <t>CK_0 (A1+A2)</t>
  </si>
  <si>
    <t>CK_1 (A1+A2+A3)</t>
  </si>
  <si>
    <t>MT/s</t>
  </si>
  <si>
    <t>DDR Data Rate</t>
  </si>
  <si>
    <t>DDR3-800</t>
  </si>
  <si>
    <t>DDR3-1066</t>
  </si>
  <si>
    <t>DDR3-1333</t>
  </si>
  <si>
    <t>DDR3-1600</t>
  </si>
  <si>
    <t>DDR3 Data Rate</t>
  </si>
  <si>
    <t>tWLH</t>
  </si>
  <si>
    <t>Clock</t>
  </si>
  <si>
    <t>Clock Period</t>
  </si>
  <si>
    <t>Copyright (C) 2016 Texas Instruments Incorporated</t>
  </si>
  <si>
    <t>Byte 0</t>
  </si>
  <si>
    <t>Byte 1</t>
  </si>
  <si>
    <t>Internal Clock Skew (ps)</t>
  </si>
  <si>
    <t>Board Delay (ps)</t>
  </si>
  <si>
    <t>tWLS Margin 
(ps)</t>
  </si>
  <si>
    <t>tWLH Margin (ps)</t>
  </si>
  <si>
    <t>tWLS</t>
  </si>
  <si>
    <t>Signal Name</t>
  </si>
  <si>
    <t>tCK</t>
  </si>
  <si>
    <t>ns</t>
  </si>
  <si>
    <t>tRP</t>
  </si>
  <si>
    <t>tRCD</t>
  </si>
  <si>
    <t>tWR</t>
  </si>
  <si>
    <t>tRC</t>
  </si>
  <si>
    <t>tRRD</t>
  </si>
  <si>
    <t>tWTR</t>
  </si>
  <si>
    <t>tXP</t>
  </si>
  <si>
    <t>tRTP</t>
  </si>
  <si>
    <t>tCKE</t>
  </si>
  <si>
    <t>tZQCS</t>
  </si>
  <si>
    <t>tRFC</t>
  </si>
  <si>
    <t>tREFI</t>
  </si>
  <si>
    <t>Bit field values (hex)</t>
  </si>
  <si>
    <t>SDRAM_TIM_1 optimized</t>
  </si>
  <si>
    <t>SDRAM_TIM_1 relaxed</t>
  </si>
  <si>
    <t>Bit field values (binary)</t>
  </si>
  <si>
    <t>Register value (hex) optimized</t>
  </si>
  <si>
    <t>SDRAM_TIM_2 optimized</t>
  </si>
  <si>
    <t>SDRAM_TIM_2 relaxed</t>
  </si>
  <si>
    <t>SDRAM_TIM_3 optimized</t>
  </si>
  <si>
    <t>SDRAM_TIM_3 relaxed</t>
  </si>
  <si>
    <t>T_RP[28:25]</t>
  </si>
  <si>
    <t>T_RCD[24:21]</t>
  </si>
  <si>
    <t>T_WR[20:17]</t>
  </si>
  <si>
    <t>T_RAS[16:12]</t>
  </si>
  <si>
    <t>T_RC[11:6]</t>
  </si>
  <si>
    <t>T_RRD[5:3]</t>
  </si>
  <si>
    <t>T_WTR[2:0]</t>
  </si>
  <si>
    <t>T_XP[30:28]</t>
  </si>
  <si>
    <t>T_XSNR[24:16]</t>
  </si>
  <si>
    <t>T_RTP[5:3]</t>
  </si>
  <si>
    <t>T_CKE[2:0]</t>
  </si>
  <si>
    <t>T_PDLL_UL[31:28]</t>
  </si>
  <si>
    <t>ZQ_ZQCS[20:15]</t>
  </si>
  <si>
    <t>T_RFC[12:4]</t>
  </si>
  <si>
    <t>T_RAS_MAX[3:0]</t>
  </si>
  <si>
    <t>Invert Clock</t>
  </si>
  <si>
    <t>DDR Memory Type</t>
  </si>
  <si>
    <t>-</t>
  </si>
  <si>
    <t>DDR Memory Frequency</t>
  </si>
  <si>
    <t>DDR Data Bus Width Per EMIF</t>
  </si>
  <si>
    <t>Bits</t>
  </si>
  <si>
    <t>Detail</t>
  </si>
  <si>
    <t>Description</t>
  </si>
  <si>
    <t>Value</t>
  </si>
  <si>
    <t>Units</t>
  </si>
  <si>
    <t>1A) System application details:</t>
  </si>
  <si>
    <t>1B) DDR memory specifications:</t>
  </si>
  <si>
    <t>Speed Bin: Data Rate</t>
  </si>
  <si>
    <t>1C) DDR memory I/O settings (termination / output driver impedance):</t>
  </si>
  <si>
    <t xml:space="preserve">TI Recommendation** </t>
  </si>
  <si>
    <t>ODT / Rtt_Nom</t>
  </si>
  <si>
    <t>RZQ/4</t>
  </si>
  <si>
    <t>Ohms</t>
  </si>
  <si>
    <t>Dynamic ODT / Rtt_Wr</t>
  </si>
  <si>
    <t>Disabled</t>
  </si>
  <si>
    <t>Output Driver Impedance</t>
  </si>
  <si>
    <t>RZQ/7</t>
  </si>
  <si>
    <t>** NOTE: Users should check for recommendations provided by their DDR manufacturer.</t>
  </si>
  <si>
    <t>TI Recommendation</t>
  </si>
  <si>
    <t>ODT</t>
  </si>
  <si>
    <t>Slew Rate: Data/Strobe</t>
  </si>
  <si>
    <t>2A)</t>
  </si>
  <si>
    <t>Signal</t>
  </si>
  <si>
    <t>CLK</t>
  </si>
  <si>
    <t>DQSn</t>
  </si>
  <si>
    <t>PCB Trace Length in inches</t>
  </si>
  <si>
    <t xml:space="preserve">Enter the trace lengths for the DDR signals </t>
  </si>
  <si>
    <t>Enter the PCB delay per inch</t>
  </si>
  <si>
    <t>DRAMs Connected to EMIF</t>
  </si>
  <si>
    <t>Delay</t>
  </si>
  <si>
    <t>3A)</t>
  </si>
  <si>
    <t>Enter Values Here!</t>
  </si>
  <si>
    <t>Parameter</t>
  </si>
  <si>
    <t>Datasheet Values</t>
  </si>
  <si>
    <t>Final Bit Field Values</t>
  </si>
  <si>
    <t>CAS Latency</t>
  </si>
  <si>
    <t>Delay between internal READ command and data ready</t>
  </si>
  <si>
    <t>CWL Latency</t>
  </si>
  <si>
    <t>Delay between internal WRITE command and data ready</t>
  </si>
  <si>
    <t>Precharge command period</t>
  </si>
  <si>
    <t>Active to read or write delay</t>
  </si>
  <si>
    <t>Write recovery time</t>
  </si>
  <si>
    <t>tRAS</t>
  </si>
  <si>
    <t>Active to Precharge command period</t>
  </si>
  <si>
    <t>Active to Active/Refresh command period</t>
  </si>
  <si>
    <t>Active Bank to Active Bank command period</t>
  </si>
  <si>
    <t>Internal Write to Read command delay</t>
  </si>
  <si>
    <t>Exit power down mode to first valid command</t>
  </si>
  <si>
    <t>tXSNR/tXS</t>
  </si>
  <si>
    <t>Exit self refresh to commands not requiring a locked DLL</t>
  </si>
  <si>
    <t>tXSRD/tXSDLL</t>
  </si>
  <si>
    <t>Exit self refresh to commands requiring a locked DLL</t>
  </si>
  <si>
    <t>Internal Read to Precharge command delay</t>
  </si>
  <si>
    <t>CKE minimum pulse width</t>
  </si>
  <si>
    <t>tCKESR</t>
  </si>
  <si>
    <t>Minimum CKE low width for Self Refresh entry to exit</t>
  </si>
  <si>
    <t>ZQ short calibration time</t>
  </si>
  <si>
    <t>Refresh to Active/Refresh command period</t>
  </si>
  <si>
    <t>tRAS (max)</t>
  </si>
  <si>
    <t>Active to Precharge command period (Max Value)</t>
  </si>
  <si>
    <t>tREFI intervals</t>
  </si>
  <si>
    <t>Average periodic refresh interval</t>
  </si>
  <si>
    <t>3B)</t>
  </si>
  <si>
    <t>Enter the numerical values listed in your DDR datasheet into columns E and F for each timing entry.</t>
  </si>
  <si>
    <t>Number of Rows</t>
  </si>
  <si>
    <t>Number of Columns</t>
  </si>
  <si>
    <t>Number of Banks</t>
  </si>
  <si>
    <t>RZQ/6</t>
  </si>
  <si>
    <t>Fastest: SR[4:3] = 0b00</t>
  </si>
  <si>
    <t>Fast: SR[4:3] = 0b10</t>
  </si>
  <si>
    <t>Slow: SR[4:3] = 0b01</t>
  </si>
  <si>
    <t>Slowest: SR[4:3] = 0b11</t>
  </si>
  <si>
    <t>RZQ/2</t>
  </si>
  <si>
    <t>RZQ/8</t>
  </si>
  <si>
    <t>RZQ/12</t>
  </si>
  <si>
    <t>Full Thevenin</t>
  </si>
  <si>
    <t>Half Thevenin</t>
  </si>
  <si>
    <t>T_XSRD[15:6]</t>
  </si>
  <si>
    <t>tODT</t>
  </si>
  <si>
    <t xml:space="preserve">ODT enable to write data </t>
  </si>
  <si>
    <t>tCSTA</t>
  </si>
  <si>
    <t>Turnaround time</t>
  </si>
  <si>
    <t>tRTW</t>
  </si>
  <si>
    <t>Read to write</t>
  </si>
  <si>
    <t>Board Length
(Inches)</t>
  </si>
  <si>
    <t>EMIF4D_SDRAM_CONFIG</t>
  </si>
  <si>
    <t>SDRAM_CONFIG optimized</t>
  </si>
  <si>
    <t>Register</t>
  </si>
  <si>
    <t>EMIF Registers</t>
  </si>
  <si>
    <t>Reserved[31]</t>
  </si>
  <si>
    <t>IO_CONFIG_SR_CLK [9:8]</t>
  </si>
  <si>
    <t>IO_CONFIG_I_CLK [7:5]</t>
  </si>
  <si>
    <t>IO_CONFIG_SR[4:3]</t>
  </si>
  <si>
    <t>IO_CONFIG_I [2:0]</t>
  </si>
  <si>
    <t>ADDRCTRL_IOCTRL optimized</t>
  </si>
  <si>
    <t>Reserved[31:30]</t>
  </si>
  <si>
    <t>IO_CONFIG_WD1_DQS [29]</t>
  </si>
  <si>
    <t>IO_CONFIG_WD1_DM[28]</t>
  </si>
  <si>
    <t>IO_CONFIG_WD1_DQ [27:20]</t>
  </si>
  <si>
    <t>IO_CONFIG_WD0_DQS[19]</t>
  </si>
  <si>
    <t>IO_CONFIG_WD0_DM [18]</t>
  </si>
  <si>
    <t>IO_CONFIG_WD0_DQ[17:10]</t>
  </si>
  <si>
    <t>IO_CONFIG_SR_CLK[9:8]</t>
  </si>
  <si>
    <t>IO_CONFIG_SR [4:3]</t>
  </si>
  <si>
    <t>IO_CONFIG_I[2:0]</t>
  </si>
  <si>
    <t>CTRL_DDR_DATAx_IOCTRL</t>
  </si>
  <si>
    <t xml:space="preserve">DATAx_IOCTRL optimized </t>
  </si>
  <si>
    <t>EMIF4D_DDR_PHY_CTRL_1</t>
  </si>
  <si>
    <t>IO Control Registers</t>
  </si>
  <si>
    <t>DDR PHY CTRL Register</t>
  </si>
  <si>
    <t>EMIF4D_SDRAM_REFRESH_CTRL</t>
  </si>
  <si>
    <t>INITREF_DIS[31]</t>
  </si>
  <si>
    <t>SRT[29]</t>
  </si>
  <si>
    <t>RESERVED[30]</t>
  </si>
  <si>
    <t>ASR[28]</t>
  </si>
  <si>
    <t>RESERVED[27]</t>
  </si>
  <si>
    <t>PASR[26:24]</t>
  </si>
  <si>
    <t>RESERVED[23:16]</t>
  </si>
  <si>
    <t>REFRESH_RATE [15:8]</t>
  </si>
  <si>
    <t>REFRESH_RATE [7:0]</t>
  </si>
  <si>
    <t>SDRAM_TYPE[31:29]</t>
  </si>
  <si>
    <t>IBANK_POS[28:27]</t>
  </si>
  <si>
    <t>DDR_TERM[26:24]</t>
  </si>
  <si>
    <t>DYN_ODT[22:21]</t>
  </si>
  <si>
    <t>DDR_DISABLE_DLL[20]</t>
  </si>
  <si>
    <t>SDRAM_DRIVE[19:18]</t>
  </si>
  <si>
    <t>CWL[17:16]</t>
  </si>
  <si>
    <t>NARROW_MODE[15:14]</t>
  </si>
  <si>
    <t>CL[13:10]</t>
  </si>
  <si>
    <t>ROWSIZE[9:7]</t>
  </si>
  <si>
    <t>IBANK[6:4]</t>
  </si>
  <si>
    <t>EBANK[3]</t>
  </si>
  <si>
    <t>PAGESIZE[2:0]</t>
  </si>
  <si>
    <t>Gb</t>
  </si>
  <si>
    <t>Directions</t>
  </si>
  <si>
    <t>1)</t>
  </si>
  <si>
    <r>
      <rPr>
        <b/>
        <u/>
        <sz val="10"/>
        <color rgb="FFFF0000"/>
        <rFont val="Times New Roman"/>
        <family val="1"/>
      </rPr>
      <t>Note</t>
    </r>
    <r>
      <rPr>
        <b/>
        <sz val="10"/>
        <color rgb="FFFF0000"/>
        <rFont val="Times New Roman"/>
        <family val="1"/>
      </rPr>
      <t>: Values shown in red must be changed!</t>
    </r>
  </si>
  <si>
    <t>2)</t>
  </si>
  <si>
    <t>Notes:</t>
  </si>
  <si>
    <r>
      <t>The "</t>
    </r>
    <r>
      <rPr>
        <i/>
        <sz val="10"/>
        <color rgb="FFFF0000"/>
        <rFont val="Times New Roman"/>
        <family val="1"/>
      </rPr>
      <t>Final Bit Field Values</t>
    </r>
    <r>
      <rPr>
        <sz val="10"/>
        <color rgb="FFFF0000"/>
        <rFont val="Times New Roman"/>
        <family val="1"/>
      </rPr>
      <t>" are used to calculate the register values. These are auto-populated based off of the user provided "</t>
    </r>
    <r>
      <rPr>
        <i/>
        <sz val="10"/>
        <color rgb="FFFF0000"/>
        <rFont val="Times New Roman"/>
        <family val="1"/>
      </rPr>
      <t>Datasheet Values</t>
    </r>
    <r>
      <rPr>
        <sz val="10"/>
        <color rgb="FFFF0000"/>
        <rFont val="Times New Roman"/>
        <family val="1"/>
      </rPr>
      <t>"</t>
    </r>
  </si>
  <si>
    <r>
      <t>The "</t>
    </r>
    <r>
      <rPr>
        <i/>
        <sz val="10"/>
        <color rgb="FFFF0000"/>
        <rFont val="Times New Roman"/>
        <family val="1"/>
      </rPr>
      <t>JEDEC Bit Field Values</t>
    </r>
    <r>
      <rPr>
        <sz val="10"/>
        <color rgb="FFFF0000"/>
        <rFont val="Times New Roman"/>
        <family val="1"/>
      </rPr>
      <t>" are dynamically populated based off of the user provided DDR speed grade and frequency operation specified in worksheet '</t>
    </r>
    <r>
      <rPr>
        <i/>
        <sz val="10"/>
        <color rgb="FFFF0000"/>
        <rFont val="Times New Roman"/>
        <family val="1"/>
      </rPr>
      <t>Step1-SystemDetails</t>
    </r>
    <r>
      <rPr>
        <sz val="10"/>
        <color rgb="FFFF0000"/>
        <rFont val="Times New Roman"/>
        <family val="1"/>
      </rPr>
      <t>'.</t>
    </r>
  </si>
  <si>
    <t>3)</t>
  </si>
  <si>
    <r>
      <t>The "</t>
    </r>
    <r>
      <rPr>
        <i/>
        <sz val="10"/>
        <color rgb="FFFF0000"/>
        <rFont val="Times New Roman"/>
        <family val="1"/>
      </rPr>
      <t>Final Bit Field Values</t>
    </r>
    <r>
      <rPr>
        <sz val="10"/>
        <color rgb="FFFF0000"/>
        <rFont val="Times New Roman"/>
        <family val="1"/>
      </rPr>
      <t>" and "</t>
    </r>
    <r>
      <rPr>
        <i/>
        <sz val="10"/>
        <color rgb="FFFF0000"/>
        <rFont val="Times New Roman"/>
        <family val="1"/>
      </rPr>
      <t>JEDEC Bit Field Values</t>
    </r>
    <r>
      <rPr>
        <sz val="10"/>
        <color rgb="FFFF0000"/>
        <rFont val="Times New Roman"/>
        <family val="1"/>
      </rPr>
      <t>" are provided to allow the user to perform a quick sanity check (Example: check for data possibly entered incorrectly)</t>
    </r>
  </si>
  <si>
    <t>4)</t>
  </si>
  <si>
    <r>
      <t>The user is responsible to ensure that the "</t>
    </r>
    <r>
      <rPr>
        <i/>
        <sz val="10"/>
        <color rgb="FFFF0000"/>
        <rFont val="Times New Roman"/>
        <family val="1"/>
      </rPr>
      <t>Datasheet Values</t>
    </r>
    <r>
      <rPr>
        <sz val="10"/>
        <color rgb="FFFF0000"/>
        <rFont val="Times New Roman"/>
        <family val="1"/>
      </rPr>
      <t>" adhere to their DDR device datasheet.</t>
    </r>
  </si>
  <si>
    <r>
      <t>Compare the "</t>
    </r>
    <r>
      <rPr>
        <i/>
        <sz val="10"/>
        <color theme="0"/>
        <rFont val="Times New Roman"/>
        <family val="1"/>
      </rPr>
      <t>Final Bit Field Values</t>
    </r>
    <r>
      <rPr>
        <sz val="10"/>
        <color theme="0"/>
        <rFont val="Times New Roman"/>
        <family val="1"/>
      </rPr>
      <t>" to the "</t>
    </r>
    <r>
      <rPr>
        <i/>
        <sz val="10"/>
        <color theme="0"/>
        <rFont val="Times New Roman"/>
        <family val="1"/>
      </rPr>
      <t>JEDEC Bit Field Values</t>
    </r>
    <r>
      <rPr>
        <sz val="10"/>
        <color theme="0"/>
        <rFont val="Times New Roman"/>
        <family val="1"/>
      </rPr>
      <t>". For more details, please review the notes listed below.</t>
    </r>
  </si>
  <si>
    <t>For each byte lane, the clock trace length should be equal to the routing length from the SOC to the DDR memory associated with the DQSn signal.</t>
  </si>
  <si>
    <t>Calculates the configuration and timing registers based on the user inputs in steps 1, 2 and 3.</t>
  </si>
  <si>
    <t>TEXAS INSTRUMENTS</t>
  </si>
  <si>
    <t>Pre-defined Configurations</t>
  </si>
  <si>
    <t>Click push buttons to auto-populate worksheets per TI EVMs:</t>
  </si>
  <si>
    <r>
      <t>Workbook Supported Configurations</t>
    </r>
    <r>
      <rPr>
        <vertAlign val="superscript"/>
        <sz val="10"/>
        <color theme="0"/>
        <rFont val="Times New Roman"/>
        <family val="1"/>
      </rPr>
      <t>1</t>
    </r>
  </si>
  <si>
    <t>TI Part Numbers:</t>
  </si>
  <si>
    <t>DDR Types:</t>
  </si>
  <si>
    <t>Workbook Usage Notes</t>
  </si>
  <si>
    <t>LPDDR2</t>
  </si>
  <si>
    <t>Revision</t>
  </si>
  <si>
    <t>Revision History</t>
  </si>
  <si>
    <t>Initial Release</t>
  </si>
  <si>
    <t>NA</t>
  </si>
  <si>
    <t>Single Ended</t>
  </si>
  <si>
    <t>Differential</t>
  </si>
  <si>
    <t>DDR3_L-1600</t>
  </si>
  <si>
    <t>DDR3_L-1333</t>
  </si>
  <si>
    <t>DDR3_L-1066</t>
  </si>
  <si>
    <t>DDR3_L-800</t>
  </si>
  <si>
    <t>EMIF4D_SDRAM_CONFIG_2</t>
  </si>
  <si>
    <t>EBANK_POS[27]</t>
  </si>
  <si>
    <t>LPDDR2 NVM Row Buffer</t>
  </si>
  <si>
    <t>LPDDR2 NVM Row Buffer Size</t>
  </si>
  <si>
    <t>Bytes</t>
  </si>
  <si>
    <t>SDRAM_CONFIG_2 optimized</t>
  </si>
  <si>
    <t xml:space="preserve">                                  </t>
  </si>
  <si>
    <t>DDR3_L-2133</t>
  </si>
  <si>
    <t>DDR3_L-1866</t>
  </si>
  <si>
    <t>LPDDR2_1066</t>
  </si>
  <si>
    <t>LPDDR2_933</t>
  </si>
  <si>
    <t>LPDDR2_800</t>
  </si>
  <si>
    <t>LPDDR2_667</t>
  </si>
  <si>
    <t>LPDDR2_533</t>
  </si>
  <si>
    <t>LPDDR2_CL</t>
  </si>
  <si>
    <t>Figure 1: DDR3 Write Leveling DQS_dly Similar to CLK_dly</t>
  </si>
  <si>
    <t>Figure 3: DDR3 Timing Diagram of Write Level ling Sequence (Ref: JESD79-3F)</t>
  </si>
  <si>
    <t>Figure 2: DDR3 Write Leveling invert_clkout set to ‘1’</t>
  </si>
  <si>
    <t>Gives the register values to be modified in gel file and uboot DDR configuration. Keep all other registers as default.</t>
  </si>
  <si>
    <t>Disable</t>
  </si>
  <si>
    <t>Normal</t>
  </si>
  <si>
    <t>Calculates if invert clock (DDR3 only) is required or not based on the board details.</t>
  </si>
  <si>
    <t>EMIF4D_LPDDR2_MODE_REG_CONFIG</t>
  </si>
  <si>
    <t>CS[31]</t>
  </si>
  <si>
    <t>REFRESH_EN[30]</t>
  </si>
  <si>
    <t>Reserved[29:20]</t>
  </si>
  <si>
    <t>Reserved[19:10]</t>
  </si>
  <si>
    <t>Reserved[9:8]</t>
  </si>
  <si>
    <t>ADDR[7:0]</t>
  </si>
  <si>
    <t>LPDDR2 Refresh Enable</t>
  </si>
  <si>
    <t>LPDDR2 Mode Register Address</t>
  </si>
  <si>
    <t>MR1</t>
  </si>
  <si>
    <t>MR2</t>
  </si>
  <si>
    <t>MR10</t>
  </si>
  <si>
    <t>LPDDR2 Mode Register Data</t>
  </si>
  <si>
    <t>EMIF4D_LPDDR2_MODE_REG_DATA</t>
  </si>
  <si>
    <t>tDQSCKmax</t>
  </si>
  <si>
    <t>Maximum time interval between clock and DQS (For LPDDR2)</t>
  </si>
  <si>
    <t>tPDLL_UL</t>
  </si>
  <si>
    <t>PHY_DLL_LOCK_DIFF</t>
  </si>
  <si>
    <t>PHY_DLL_LOCK_DIFF_VALUE</t>
  </si>
  <si>
    <t>User Config</t>
  </si>
  <si>
    <t>Default</t>
  </si>
  <si>
    <t>Address</t>
  </si>
  <si>
    <t>0x4C000018</t>
  </si>
  <si>
    <t>0x4C00001C</t>
  </si>
  <si>
    <t>0x4C000020</t>
  </si>
  <si>
    <t>0x4C000014</t>
  </si>
  <si>
    <t>0x4C000024</t>
  </si>
  <si>
    <t>0x4C000028</t>
  </si>
  <si>
    <t>0x4C00002C</t>
  </si>
  <si>
    <t>0x4C000008</t>
  </si>
  <si>
    <t>0x4C00000C</t>
  </si>
  <si>
    <t>0x4C000010</t>
  </si>
  <si>
    <t>0x4C0000C8</t>
  </si>
  <si>
    <t>0x4C000050</t>
  </si>
  <si>
    <t>0x4C000040</t>
  </si>
  <si>
    <t>0x4C0000E4</t>
  </si>
  <si>
    <t>0x4C0000E8</t>
  </si>
  <si>
    <t>EMIF4D_TEMPERATURE_ALERT_CONFIG</t>
  </si>
  <si>
    <t>EMIF4D_READ_WRITE_LEVELING_RAMP_WINDOW</t>
  </si>
  <si>
    <t>DDR3</t>
  </si>
  <si>
    <t>0x44E11404</t>
  </si>
  <si>
    <t>0x44E11408</t>
  </si>
  <si>
    <t>0x44E1140C</t>
  </si>
  <si>
    <t>0x44E11440</t>
  </si>
  <si>
    <t>0x44E11444</t>
  </si>
  <si>
    <t>0x4C0000CC</t>
  </si>
  <si>
    <t>0x4C0000D4</t>
  </si>
  <si>
    <t>0x4C0000D8</t>
  </si>
  <si>
    <t>0x4C0000DC</t>
  </si>
  <si>
    <t>0x00000000</t>
  </si>
  <si>
    <t>ZQCS1EN[31]</t>
  </si>
  <si>
    <t>ZQCS0EN[30]</t>
  </si>
  <si>
    <t>ZQ_DUALCALEN[29]</t>
  </si>
  <si>
    <t>ZQ_SFEXITEN[28]</t>
  </si>
  <si>
    <t>Reserved[27:20]</t>
  </si>
  <si>
    <t>ZQ_ZQINIT_MULT[19:18]</t>
  </si>
  <si>
    <t>ZQ_ZQCL_MULT[17:16]</t>
  </si>
  <si>
    <t>1E) EMIF controller I/O settings (termination / output driver impedance / and slew rate):</t>
  </si>
  <si>
    <t>1D) ZQ Calibration settings:</t>
  </si>
  <si>
    <t>ZQCL on Self Refresh</t>
  </si>
  <si>
    <t>Temperature Sensitivity</t>
  </si>
  <si>
    <t>Voltage Sensitivity</t>
  </si>
  <si>
    <r>
      <t>%/</t>
    </r>
    <r>
      <rPr>
        <sz val="10"/>
        <rFont val="Calibri"/>
        <family val="2"/>
      </rPr>
      <t>⁰</t>
    </r>
    <r>
      <rPr>
        <sz val="10"/>
        <rFont val="Arial"/>
        <family val="2"/>
      </rPr>
      <t>C</t>
    </r>
  </si>
  <si>
    <t>%/mV</t>
  </si>
  <si>
    <t>⁰C/Sec</t>
  </si>
  <si>
    <t>mV/Sec</t>
  </si>
  <si>
    <t>Temperature Drift Rate</t>
  </si>
  <si>
    <t>Voltage Drift Rate</t>
  </si>
  <si>
    <t>0 to 15</t>
  </si>
  <si>
    <t>ZQ_REFINTERVAL[15:8]</t>
  </si>
  <si>
    <t>ZQ_REFINTERVAL[7:0]</t>
  </si>
  <si>
    <t xml:space="preserve">ZQ_CONFIG optimized </t>
  </si>
  <si>
    <t>Single Rank</t>
  </si>
  <si>
    <t>Dual Rank</t>
  </si>
  <si>
    <t>DDR Rank</t>
  </si>
  <si>
    <t>DDR DQS</t>
  </si>
  <si>
    <t>LPDDR2 Mode Registers</t>
  </si>
  <si>
    <t>0x0000000A</t>
  </si>
  <si>
    <t>0x00000056</t>
  </si>
  <si>
    <t>0x00000001</t>
  </si>
  <si>
    <t>0x00000043</t>
  </si>
  <si>
    <t>0x00000002</t>
  </si>
  <si>
    <t>0x40000002</t>
  </si>
  <si>
    <t xml:space="preserve">         3. For single rank device, skip the "Not Required" rows.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</si>
  <si>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1. LPDDR2 mode registers are only applicable for LPDDR2. 
       </t>
    </r>
  </si>
  <si>
    <t xml:space="preserve">         2. Write the registers value sequentially. </t>
  </si>
  <si>
    <t>Average Periodic Refresh Interval</t>
  </si>
  <si>
    <t>tFAW</t>
  </si>
  <si>
    <t>Four Activate Window</t>
  </si>
  <si>
    <t>Not Applicable</t>
  </si>
  <si>
    <t>ntCK</t>
  </si>
  <si>
    <t>TI Recommendation**</t>
  </si>
  <si>
    <t>0x44E1131C</t>
  </si>
  <si>
    <t>AM335x EMIF Tool: Register Configuration - Step 1, System Details</t>
  </si>
  <si>
    <t>Note: only DDR3 supported in this tool</t>
  </si>
  <si>
    <t>Note: only 16bits supported in this tool</t>
  </si>
  <si>
    <t>Width (per device)</t>
  </si>
  <si>
    <t>Density (per device)</t>
  </si>
  <si>
    <t>3D)</t>
  </si>
  <si>
    <t>Intermediate values (per byte lane)</t>
  </si>
  <si>
    <t>WR DQS</t>
  </si>
  <si>
    <t>RD DQS</t>
  </si>
  <si>
    <t>RD DQS GATE</t>
  </si>
  <si>
    <t>3E)</t>
  </si>
  <si>
    <t>Seed values used in CCS code</t>
  </si>
  <si>
    <t>DATAx_PHY_RD DQS_SLAVE_RATIO</t>
  </si>
  <si>
    <t>DATAx_PHY_FIFO_WE_SLAVE_RATIO</t>
  </si>
  <si>
    <t>DATAx_PHY_WR DQS_SLAVE_RATIO</t>
  </si>
  <si>
    <t>3F)</t>
  </si>
  <si>
    <t>Register value</t>
  </si>
  <si>
    <t>CMDx_PHY_CTRL_SLAVE_RATIO</t>
  </si>
  <si>
    <t>AM335x EMIF Tool: Register Configuration - Step 3, Board Details</t>
  </si>
  <si>
    <t>AM335x EMIF Tool: Register Configuration - Step 2, DDR Timings</t>
  </si>
  <si>
    <t>AM335x EMIF Tool: Register Configuration - Invert Clock Calculation</t>
  </si>
  <si>
    <t>AM335x EMIF Tool: Register Configuration - Configuration and Timing Registers</t>
  </si>
  <si>
    <t>AM335x EMIF Tool: Register Configuration - Registers</t>
  </si>
  <si>
    <t>Delay per inch</t>
  </si>
  <si>
    <t>EMIF4D_SDRAM_TIM_1</t>
  </si>
  <si>
    <t>EMIF4D_SDRAM_TIM_2</t>
  </si>
  <si>
    <t>EMIF4D_SDRAM_TIM_3</t>
  </si>
  <si>
    <t>Reserved[31:29]</t>
  </si>
  <si>
    <t>Reserved[27:21]</t>
  </si>
  <si>
    <t>CTRL_DDR_CMD0_IOCTRL</t>
  </si>
  <si>
    <t>Reserved[20:10]</t>
  </si>
  <si>
    <t>Reserved[31:21]</t>
  </si>
  <si>
    <t>00000000000</t>
  </si>
  <si>
    <t>Slew Rate: Addr/Ctrl</t>
  </si>
  <si>
    <t>Slew Rate: Clk</t>
  </si>
  <si>
    <t>Output Driver Impedance: Clk</t>
  </si>
  <si>
    <t>Output Driver Impedance: Addr/Ctrl</t>
  </si>
  <si>
    <t>Output Driver Impedance: DQS</t>
  </si>
  <si>
    <t>Output Driver Impedance: Data</t>
  </si>
  <si>
    <t>DDR_CMD0_IOCTRL</t>
  </si>
  <si>
    <t>DDR_CMD1_IOCTRL</t>
  </si>
  <si>
    <t>DDR_CMD2_IOCTRL</t>
  </si>
  <si>
    <t>DDR_DATA0_IOCTRL</t>
  </si>
  <si>
    <t>DDR_DATA1_IOCTRL</t>
  </si>
  <si>
    <t>DDR_CKE_CTRL</t>
  </si>
  <si>
    <t>SDRAM_TIM_1</t>
  </si>
  <si>
    <t>SDRAM_TIM_1_SHDW</t>
  </si>
  <si>
    <t>SDRAM_TIM_2</t>
  </si>
  <si>
    <t>SDRAM_TIM_2_SHDW</t>
  </si>
  <si>
    <t>SDRAM_TIM_3</t>
  </si>
  <si>
    <t>SDRAM_TIM_3_SHDW</t>
  </si>
  <si>
    <t>SDRAM_CONFIG</t>
  </si>
  <si>
    <t>SDRAM_CONFIG_2</t>
  </si>
  <si>
    <t>SDRAM_REF_CTRL</t>
  </si>
  <si>
    <t>SDRAM_REF_CTRL_SHDW</t>
  </si>
  <si>
    <t>ZQ_CONFIG</t>
  </si>
  <si>
    <t>EMIF4D_READ_WRITE_LEVELING_RAMP_CONTROL</t>
  </si>
  <si>
    <t>EMIF4D_READ_WRITE_LEVELING_CONTROL</t>
  </si>
  <si>
    <t>DATA0_REG_PHY_GATELVL_INIT_RATIO_0</t>
  </si>
  <si>
    <t xml:space="preserve">DATA0_REG_PHY_GATELVL_INIT_MODE_0 </t>
  </si>
  <si>
    <t>CMD0_REG_PHY_CTRL_SLAVE_RATIO_0</t>
  </si>
  <si>
    <t>CMD0_REG_PHY_DLL_LOCK_DIFF_0</t>
  </si>
  <si>
    <t>CMD0_REG_PHY_INVERT_CLKOUT_0</t>
  </si>
  <si>
    <t>CMD1_REG_PHY_CTRL_SLAVE_RATIO_0</t>
  </si>
  <si>
    <t>CMD1_REG_PHY_DLL_LOCK_DIFF_0</t>
  </si>
  <si>
    <t>CMD1_REG_PHY_INVERT_CLKOUT_0</t>
  </si>
  <si>
    <t>CMD2_REG_PHY_CTRL_SLAVE_RATIO_0</t>
  </si>
  <si>
    <t>CMD2_REG_PHY_DLL_LOCK_DIFF_0</t>
  </si>
  <si>
    <t>CMD2_REG_PHY_INVERT_CLKOUT_0</t>
  </si>
  <si>
    <t>DATA0_REG_PHY_RD_DQS_SLAVE_RATIO_0</t>
  </si>
  <si>
    <t>DATA0_REG_PHY_WR_DQS_SLAVE_RATIO_0</t>
  </si>
  <si>
    <t>DATA0_REG_PHY_WRLVL_INIT_RATIO_0</t>
  </si>
  <si>
    <t>DATA0_REG_PHY_WRLVL_INIT_MODE_0</t>
  </si>
  <si>
    <t>0x44E1201C</t>
  </si>
  <si>
    <t>0x44E12028</t>
  </si>
  <si>
    <t>0x44E1202C</t>
  </si>
  <si>
    <t>0x44E12050</t>
  </si>
  <si>
    <t>0x44E1205C</t>
  </si>
  <si>
    <t>0x44E12060</t>
  </si>
  <si>
    <t>0x44E12084</t>
  </si>
  <si>
    <t>0x44E12090</t>
  </si>
  <si>
    <t>0x44E12094</t>
  </si>
  <si>
    <t>0x44E120C8</t>
  </si>
  <si>
    <t>0x44E120DC</t>
  </si>
  <si>
    <t>0x44E120F0</t>
  </si>
  <si>
    <t>0x44E120F8</t>
  </si>
  <si>
    <t>0x44E120FC</t>
  </si>
  <si>
    <t>0x44E12104</t>
  </si>
  <si>
    <t>DATA0_REG_PHY_DLL_LOCK_DIFF_0</t>
  </si>
  <si>
    <t>DATA0_REG_PHY_FIFO_WE_SLAVE_RATIO_0</t>
  </si>
  <si>
    <t>DATA0_REG_PHY_DQ_OFFSET_0</t>
  </si>
  <si>
    <t>DATA0_REG_PHY_WR_DATA_SLAVE_RATIO_0</t>
  </si>
  <si>
    <t>DATA0_REG_PHY_USE_RANK0_DELAYS</t>
  </si>
  <si>
    <t>0x44E12108</t>
  </si>
  <si>
    <t>0x44E1211C</t>
  </si>
  <si>
    <t>0x44E12120</t>
  </si>
  <si>
    <t>0x44E12134</t>
  </si>
  <si>
    <t>0x44E12138</t>
  </si>
  <si>
    <t>DATA1_REG_PHY_WR_DQS_SLAVE_RATIO_0</t>
  </si>
  <si>
    <t>DATA1_REG_PHY_WRLVL_INIT_RATIO_0</t>
  </si>
  <si>
    <t>DATA1_REG_PHY_WRLVL_INIT_MODE_0</t>
  </si>
  <si>
    <t>DATA1_REG_PHY_GATELVL_INIT_RATIO_0</t>
  </si>
  <si>
    <t xml:space="preserve">DATA1_REG_PHY_GATELVL_INIT_MODE_0 </t>
  </si>
  <si>
    <t>DATA1_REG_PHY_FIFO_WE_SLAVE_RATIO_0</t>
  </si>
  <si>
    <t>DATA1_REG_PHY_DQ_OFFSET_0</t>
  </si>
  <si>
    <t>DATA1_REG_PHY_WR_DATA_SLAVE_RATIO_0</t>
  </si>
  <si>
    <t>DATA1_REG_PHY_USE_RANK0_DELAYS</t>
  </si>
  <si>
    <t>DATA1_REG_PHY_DLL_LOCK_DIFF_0</t>
  </si>
  <si>
    <t>DATA1_REG_PHY_RD_DQS_SLAVE_RATIO_0</t>
  </si>
  <si>
    <t>0x44E1216C</t>
  </si>
  <si>
    <t>0x44E12180</t>
  </si>
  <si>
    <t>0x44E12194</t>
  </si>
  <si>
    <t>0x44E1219C</t>
  </si>
  <si>
    <t>0x44E121A0</t>
  </si>
  <si>
    <t>0x44E121A8</t>
  </si>
  <si>
    <t>0x44E121AC</t>
  </si>
  <si>
    <t>0x44E121C0</t>
  </si>
  <si>
    <t>0x44E121C4</t>
  </si>
  <si>
    <t>0x44E121D8</t>
  </si>
  <si>
    <t>0x44E121DC</t>
  </si>
  <si>
    <t>DATAx_PHY_WR_DATA_SLAVE_RATIO</t>
  </si>
  <si>
    <t>DDR_IO_CTRL</t>
  </si>
  <si>
    <t>0x44E10E04</t>
  </si>
  <si>
    <t>read_latency[4:0]</t>
  </si>
  <si>
    <t>Reserved[7:5]</t>
  </si>
  <si>
    <t>phy_rd_local_odt [9:8]</t>
  </si>
  <si>
    <t>phy_wr_local_odt[11:10]</t>
  </si>
  <si>
    <t>phy_idle_local_odt[13:12]</t>
  </si>
  <si>
    <t>Reserved[14]</t>
  </si>
  <si>
    <t>phy_rst_n[15]</t>
  </si>
  <si>
    <t>Reserved[19:16]</t>
  </si>
  <si>
    <t>SDRAM_REF_CTRL optimized</t>
  </si>
  <si>
    <t>DDR_PHY_CTRL_1</t>
  </si>
  <si>
    <t xml:space="preserve">DDR_PHY_CTRL_1 optimized </t>
  </si>
  <si>
    <t>phy_enable_dynamic_pwrdn[20]</t>
  </si>
  <si>
    <t>EMIF4D_DDR_PHY_CTRL_1_SHDW</t>
  </si>
  <si>
    <t>3C)</t>
  </si>
  <si>
    <t>Invert Clkout</t>
  </si>
  <si>
    <t>CMDx_REG_PHY_INVERT_CLKOUT_0</t>
  </si>
  <si>
    <t>Only change values in yellow.  Values in white are fixed or automatically calculated</t>
  </si>
  <si>
    <t>Enter in your specific system application details for all values. Recommended values are provided for steps 1C through 1E.</t>
  </si>
  <si>
    <t>PWR_MGMT_CTRL</t>
  </si>
  <si>
    <t>0x4C000038</t>
  </si>
  <si>
    <t>0x000002A0</t>
  </si>
  <si>
    <t xml:space="preserve">//******************************************************************* </t>
  </si>
  <si>
    <t>//DDR3 PHY parameters</t>
  </si>
  <si>
    <t>//*******************************************************************</t>
  </si>
  <si>
    <t>//******************************************************************</t>
  </si>
  <si>
    <t>//EMIF parameters</t>
  </si>
  <si>
    <t xml:space="preserve">#define  DATA_PHY_RD_DQS_SLAVE_RATIO </t>
  </si>
  <si>
    <t>#define  DATA_PHY_FIFO_WE_SLAVE_RATIO</t>
  </si>
  <si>
    <t>#define  DATA_PHY_WR_DQS_SLAVE_RATIO</t>
  </si>
  <si>
    <t>#define  DATA_PHY_WR_DATA_SLAVE_RATIO</t>
  </si>
  <si>
    <t>#define  CMD_PHY_CTRL_SLAVE_RATIO</t>
  </si>
  <si>
    <t>#define  CMD_PHY_INVERT_CLKOUT</t>
  </si>
  <si>
    <t>#define  DDR_IOCTRL_VALUE</t>
  </si>
  <si>
    <t>#define ALLOPP_DDR3_READ_LATENCY</t>
  </si>
  <si>
    <t>#define ALLOPP_DDR3_SDRAM_TIMING1</t>
  </si>
  <si>
    <t>#define ALLOPP_DDR3_SDRAM_TIMING2</t>
  </si>
  <si>
    <t>#define ALLOPP_DDR3_SDRAM_TIMING3</t>
  </si>
  <si>
    <t>#define ALLOPP_DDR3_SDRAM_CONFIG</t>
  </si>
  <si>
    <t>#define ALLOPP_DDR3_REF_CTRL</t>
  </si>
  <si>
    <t>#define ALLOPP_DDR3_ZQ_CONFIG</t>
  </si>
  <si>
    <t>tXS</t>
  </si>
  <si>
    <t>tXSDLL</t>
  </si>
  <si>
    <t>};</t>
  </si>
  <si>
    <t>,</t>
  </si>
  <si>
    <t xml:space="preserve">.datawrsratio0 = </t>
  </si>
  <si>
    <t>.datafwsratio0 =</t>
  </si>
  <si>
    <t>.datawdsratio0 =</t>
  </si>
  <si>
    <t>.datardsratio0 =</t>
  </si>
  <si>
    <t xml:space="preserve">.cmd0csratio = </t>
  </si>
  <si>
    <t xml:space="preserve">.cmd0iclkout = </t>
  </si>
  <si>
    <t xml:space="preserve">.cmd1csratio = </t>
  </si>
  <si>
    <t xml:space="preserve">.cmd1iclkout = </t>
  </si>
  <si>
    <t xml:space="preserve">.cmd2csratio = </t>
  </si>
  <si>
    <t xml:space="preserve">.cmd2iclkout = </t>
  </si>
  <si>
    <t xml:space="preserve">.sdram_config = </t>
  </si>
  <si>
    <t xml:space="preserve">.ref_ctrl = </t>
  </si>
  <si>
    <t xml:space="preserve">.sdram_tim1 = </t>
  </si>
  <si>
    <t xml:space="preserve">.sdram_tim3 = </t>
  </si>
  <si>
    <t xml:space="preserve">.sdram_tim2 = </t>
  </si>
  <si>
    <t xml:space="preserve">.zq_config = </t>
  </si>
  <si>
    <t xml:space="preserve">.emif_ddr_phy_ctlr_1 = </t>
  </si>
  <si>
    <t>.cm0ioctl =</t>
  </si>
  <si>
    <t>.cm1ioctl =</t>
  </si>
  <si>
    <t>.cm2ioctl =</t>
  </si>
  <si>
    <t>.dt0ioctl =</t>
  </si>
  <si>
    <t>.dt1ioctl =</t>
  </si>
  <si>
    <t>Reserved[27:25]</t>
  </si>
  <si>
    <t>DDR2_DDQS[23]</t>
  </si>
  <si>
    <t>RESERVED[31:28]</t>
  </si>
  <si>
    <t>RESERVED[26:0]</t>
  </si>
  <si>
    <t>000000000000000000000000000</t>
  </si>
  <si>
    <t>Fill in the board delay and trace lengths for the associated clock and data strobe signals.  Lengths should be measured in inches.</t>
  </si>
  <si>
    <t>AM335x EMIF Tool: Register Configuration - GEL file</t>
  </si>
  <si>
    <t>Use this output to replace the portion of the GEL file for DDR configuration</t>
  </si>
  <si>
    <t>AM335x EMIF Tool: Register Configuration - u-boot structures</t>
  </si>
  <si>
    <r>
      <t>Review the DDR datasheet and provide the "</t>
    </r>
    <r>
      <rPr>
        <i/>
        <sz val="10"/>
        <color theme="0"/>
        <rFont val="Times New Roman"/>
        <family val="1"/>
      </rPr>
      <t>Datasheet Values</t>
    </r>
    <r>
      <rPr>
        <sz val="10"/>
        <color theme="0"/>
        <rFont val="Times New Roman"/>
        <family val="1"/>
      </rPr>
      <t>" for the corresponding parameters listed in the table in Step 2A.  Fill in cells in yellow only.  White/Gray cells are blank or fixed calculations</t>
    </r>
  </si>
  <si>
    <t>Board Name</t>
  </si>
  <si>
    <t>Note: used in u-boot tab</t>
  </si>
  <si>
    <t>static const struct ddr_data</t>
  </si>
  <si>
    <t>= {</t>
  </si>
  <si>
    <t xml:space="preserve">static const struct cmd_control </t>
  </si>
  <si>
    <t xml:space="preserve">static struct emif_regs </t>
  </si>
  <si>
    <t xml:space="preserve">const struct ctrl_ioregs </t>
  </si>
  <si>
    <t>Note: Input the max rated data rate of the device, 
    not the operating speed.  Value is used to 
    determine the "JEDEC" values defined in 
    worksheet "Step2-DDR Timings".</t>
  </si>
  <si>
    <t xml:space="preserve">Note: Enter CAS Latency at the max rated speed of the device, not 
    the operating speed.  The value not correspond to the actual 
    CAS latency programmed to the EMIF. </t>
  </si>
  <si>
    <t>0 to 1.2</t>
  </si>
  <si>
    <t>config_ddr(</t>
  </si>
  <si>
    <t>);</t>
  </si>
  <si>
    <t>AM335xSKEVM</t>
  </si>
  <si>
    <t>DDR3, DDR3L</t>
  </si>
  <si>
    <t>AM335x EMIF Tool:  Register Configuration</t>
  </si>
  <si>
    <t>AM335x, AMIC110</t>
  </si>
  <si>
    <t>const struct dpll_params *get_dpll_ddr_params(void)</t>
  </si>
  <si>
    <t>{</t>
  </si>
  <si>
    <t>}</t>
  </si>
  <si>
    <t>PLL configuration</t>
  </si>
  <si>
    <t>        int ind = get_sys_clk_index();</t>
  </si>
  <si>
    <t>        if (board_is_evm_sk())</t>
  </si>
  <si>
    <t>                return &amp;dpll_ddr3_303MHz[ind];</t>
  </si>
  <si>
    <t>        else if (board_is_bone_lt() || board_is_icev2())</t>
  </si>
  <si>
    <t>                return &amp;dpll_ddr3_400MHz[ind];</t>
  </si>
  <si>
    <t>        else if (board_is_evm_15_or_later())</t>
  </si>
  <si>
    <t>        else</t>
  </si>
  <si>
    <t>                return &amp;dpll_ddr2_266MHz[ind];</t>
  </si>
  <si>
    <t>const struct dpll_params dpll_ddr3_303MHz[NUM_CRYSTAL_FREQ] = {</t>
  </si>
  <si>
    <t>                {505, 15, 2, -1, -1, -1, -1}, /*19.2*/</t>
  </si>
  <si>
    <t>                {101, 3, 2, -1, -1, -1, -1}, /* 24 MHz */</t>
  </si>
  <si>
    <t>                {303, 24, 1, -1, -1, -1, -1}, /* 25 MHz */</t>
  </si>
  <si>
    <t>                {303, 12, 2, -1, -1, -1, -1}  /* 26 MHz */</t>
  </si>
  <si>
    <t>const struct dpll_params dpll_ddr3_400MHz[NUM_CRYSTAL_FREQ] = {</t>
  </si>
  <si>
    <t>                {125, 5, 1, -1, -1, -1, -1}, /*19.2*/</t>
  </si>
  <si>
    <t>                {50, 2, 1, -1, -1, -1, -1}, /* 24 MHz */</t>
  </si>
  <si>
    <t>                {16, 0, 1, -1, -1, -1, -1}, /* 25 MHz */</t>
  </si>
  <si>
    <t>                {200, 12, 1, -1, -1, -1, -1}  /* 26 MHz */</t>
  </si>
  <si>
    <t>in arch/arm/mach-omap2/am33xx/clock_am33xx.c</t>
  </si>
  <si>
    <t>in board/ti/am335x/board.c</t>
  </si>
  <si>
    <t>DDR configuration structures</t>
  </si>
  <si>
    <t xml:space="preserve">Below are the structures and function call to add in u-boot to properly configure the DDR controller and PHY </t>
  </si>
  <si>
    <t>Use this output to replace the appropriate structures in u-boot board file</t>
  </si>
  <si>
    <r>
      <t xml:space="preserve">Below is the code associated with DDR PLL configuration in u-boot.  Add code similar to the code </t>
    </r>
    <r>
      <rPr>
        <b/>
        <sz val="11"/>
        <color rgb="FF00B050"/>
        <rFont val="Arial"/>
        <family val="2"/>
      </rPr>
      <t>in green</t>
    </r>
    <r>
      <rPr>
        <sz val="11"/>
        <rFont val="Arial"/>
        <family val="2"/>
      </rPr>
      <t xml:space="preserve"> and remove the code </t>
    </r>
    <r>
      <rPr>
        <b/>
        <sz val="11"/>
        <color rgb="FFFF0000"/>
        <rFont val="Arial"/>
        <family val="2"/>
      </rPr>
      <t>in red</t>
    </r>
    <r>
      <rPr>
        <sz val="11"/>
        <rFont val="Arial"/>
        <family val="2"/>
      </rPr>
      <t xml:space="preserve"> to ensure correct DDR PLL configuration for your board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</si>
</sst>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"/>
    <numFmt numFmtId="177" formatCode="0_);[Red]\(0\)"/>
    <numFmt numFmtId="178" formatCode="0&quot;ps&quot;"/>
    <numFmt numFmtId="179" formatCode="0.0"/>
    <numFmt numFmtId="180" formatCode="00000000"/>
  </numFmts>
  <fonts count="46" x14ac:knownFonts="1">
    <font>
      <sz val="10"/>
      <name val="Arial"/>
    </font>
    <font>
      <sz val="11"/>
      <color theme="1"/>
      <name val="ＭＳ Ｐゴシック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ＭＳ Ｐゴシック"/>
      <family val="2"/>
      <scheme val="minor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u/>
      <sz val="10"/>
      <color rgb="FFFF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20"/>
      <name val="Times New Roman"/>
      <family val="1"/>
    </font>
    <font>
      <b/>
      <sz val="20"/>
      <color rgb="FFFF0000"/>
      <name val="Times New Roman"/>
      <family val="1"/>
    </font>
    <font>
      <b/>
      <u/>
      <sz val="1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rgb="FFFF0000"/>
      <name val="Times New Roman"/>
      <family val="1"/>
    </font>
    <font>
      <b/>
      <u/>
      <sz val="10"/>
      <color rgb="FFFF0000"/>
      <name val="Times New Roman"/>
      <family val="1"/>
    </font>
    <font>
      <i/>
      <sz val="10"/>
      <color theme="0"/>
      <name val="Times New Roman"/>
      <family val="1"/>
    </font>
    <font>
      <b/>
      <sz val="16"/>
      <color theme="0"/>
      <name val="Times New Roman"/>
      <family val="1"/>
    </font>
    <font>
      <sz val="10"/>
      <color rgb="FFFF0000"/>
      <name val="Times New Roman"/>
      <family val="1"/>
    </font>
    <font>
      <u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b/>
      <u/>
      <sz val="36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b/>
      <u/>
      <sz val="10"/>
      <color theme="0"/>
      <name val="Times New Roman"/>
      <family val="1"/>
    </font>
    <font>
      <b/>
      <u/>
      <sz val="10"/>
      <name val="Times New Roman"/>
      <family val="1"/>
    </font>
    <font>
      <vertAlign val="superscript"/>
      <sz val="10"/>
      <color theme="0"/>
      <name val="Times New Roman"/>
      <family val="1"/>
    </font>
    <font>
      <b/>
      <sz val="20"/>
      <color rgb="FFFF0000"/>
      <name val="Arial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auto="1"/>
      </bottom>
      <diagonal/>
    </border>
    <border>
      <left/>
      <right style="thin">
        <color theme="0"/>
      </right>
      <top style="thin">
        <color theme="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theme="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theme="0"/>
      </left>
      <right style="thick">
        <color auto="1"/>
      </right>
      <top style="thin">
        <color theme="0"/>
      </top>
      <bottom style="thin">
        <color theme="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572">
    <xf numFmtId="0" fontId="0" fillId="0" borderId="0" xfId="0"/>
    <xf numFmtId="0" fontId="3" fillId="2" borderId="0" xfId="0" applyFont="1" applyFill="1" applyProtection="1"/>
    <xf numFmtId="0" fontId="4" fillId="2" borderId="0" xfId="0" applyFont="1" applyFill="1" applyProtection="1"/>
    <xf numFmtId="1" fontId="4" fillId="2" borderId="0" xfId="0" applyNumberFormat="1" applyFont="1" applyFill="1" applyProtection="1"/>
    <xf numFmtId="0" fontId="4" fillId="2" borderId="0" xfId="0" applyFont="1" applyFill="1" applyAlignment="1" applyProtection="1">
      <alignment wrapText="1"/>
    </xf>
    <xf numFmtId="176" fontId="4" fillId="2" borderId="0" xfId="0" applyNumberFormat="1" applyFont="1" applyFill="1" applyAlignment="1" applyProtection="1">
      <alignment wrapText="1"/>
    </xf>
    <xf numFmtId="176" fontId="4" fillId="2" borderId="0" xfId="0" applyNumberFormat="1" applyFont="1" applyFill="1" applyProtection="1"/>
    <xf numFmtId="0" fontId="5" fillId="2" borderId="0" xfId="1" applyFont="1" applyFill="1" applyAlignment="1" applyProtection="1">
      <alignment horizontal="left"/>
    </xf>
    <xf numFmtId="0" fontId="4" fillId="2" borderId="3" xfId="0" applyFont="1" applyFill="1" applyBorder="1" applyProtection="1"/>
    <xf numFmtId="0" fontId="4" fillId="2" borderId="0" xfId="0" applyFont="1" applyFill="1" applyBorder="1" applyProtection="1"/>
    <xf numFmtId="0" fontId="4" fillId="2" borderId="4" xfId="0" applyFont="1" applyFill="1" applyBorder="1" applyProtection="1"/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4" fillId="2" borderId="8" xfId="0" applyFont="1" applyFill="1" applyBorder="1" applyProtection="1"/>
    <xf numFmtId="0" fontId="4" fillId="2" borderId="9" xfId="0" applyFont="1" applyFill="1" applyBorder="1" applyProtection="1"/>
    <xf numFmtId="0" fontId="3" fillId="2" borderId="9" xfId="0" applyFont="1" applyFill="1" applyBorder="1" applyProtection="1"/>
    <xf numFmtId="176" fontId="4" fillId="0" borderId="9" xfId="0" applyNumberFormat="1" applyFont="1" applyFill="1" applyBorder="1" applyAlignment="1" applyProtection="1">
      <alignment horizontal="center"/>
    </xf>
    <xf numFmtId="1" fontId="4" fillId="2" borderId="9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left"/>
    </xf>
    <xf numFmtId="178" fontId="4" fillId="2" borderId="0" xfId="0" applyNumberFormat="1" applyFont="1" applyFill="1" applyAlignment="1" applyProtection="1">
      <alignment horizontal="left"/>
    </xf>
    <xf numFmtId="0" fontId="7" fillId="2" borderId="0" xfId="0" applyFont="1" applyFill="1" applyAlignment="1" applyProtection="1"/>
    <xf numFmtId="0" fontId="4" fillId="2" borderId="1" xfId="0" applyFont="1" applyFill="1" applyBorder="1" applyProtection="1"/>
    <xf numFmtId="0" fontId="4" fillId="2" borderId="2" xfId="0" applyFont="1" applyFill="1" applyBorder="1" applyProtection="1"/>
    <xf numFmtId="0" fontId="4" fillId="2" borderId="7" xfId="0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2" applyFill="1"/>
    <xf numFmtId="0" fontId="4" fillId="2" borderId="0" xfId="2" applyFill="1" applyAlignment="1">
      <alignment wrapText="1"/>
    </xf>
    <xf numFmtId="0" fontId="4" fillId="2" borderId="0" xfId="2" applyFill="1" applyBorder="1" applyAlignment="1">
      <alignment wrapText="1"/>
    </xf>
    <xf numFmtId="0" fontId="3" fillId="2" borderId="0" xfId="0" applyFont="1" applyFill="1" applyBorder="1" applyProtection="1"/>
    <xf numFmtId="0" fontId="4" fillId="0" borderId="9" xfId="0" applyFont="1" applyFill="1" applyBorder="1" applyAlignment="1" applyProtection="1">
      <alignment horizontal="center"/>
    </xf>
    <xf numFmtId="1" fontId="4" fillId="0" borderId="0" xfId="0" applyNumberFormat="1" applyFont="1" applyFill="1" applyAlignment="1" applyProtection="1">
      <alignment horizontal="center"/>
    </xf>
    <xf numFmtId="0" fontId="0" fillId="2" borderId="0" xfId="0" applyFill="1" applyProtection="1"/>
    <xf numFmtId="177" fontId="4" fillId="2" borderId="9" xfId="0" applyNumberFormat="1" applyFont="1" applyFill="1" applyBorder="1" applyAlignment="1" applyProtection="1">
      <alignment horizontal="center"/>
    </xf>
    <xf numFmtId="0" fontId="0" fillId="2" borderId="0" xfId="0" applyFill="1"/>
    <xf numFmtId="0" fontId="0" fillId="2" borderId="0" xfId="0" applyFill="1" applyBorder="1" applyProtection="1"/>
    <xf numFmtId="0" fontId="8" fillId="2" borderId="0" xfId="2" applyFont="1" applyFill="1"/>
    <xf numFmtId="0" fontId="3" fillId="2" borderId="0" xfId="2" applyFont="1" applyFill="1" applyBorder="1" applyAlignment="1">
      <alignment horizontal="centerContinuous"/>
    </xf>
    <xf numFmtId="0" fontId="4" fillId="2" borderId="0" xfId="2" applyFill="1" applyBorder="1" applyAlignment="1">
      <alignment horizontal="centerContinuous"/>
    </xf>
    <xf numFmtId="0" fontId="3" fillId="2" borderId="19" xfId="2" applyFont="1" applyFill="1" applyBorder="1"/>
    <xf numFmtId="0" fontId="3" fillId="2" borderId="11" xfId="2" applyFont="1" applyFill="1" applyBorder="1"/>
    <xf numFmtId="0" fontId="3" fillId="2" borderId="20" xfId="2" applyFont="1" applyFill="1" applyBorder="1"/>
    <xf numFmtId="0" fontId="4" fillId="2" borderId="13" xfId="2" applyFill="1" applyBorder="1" applyAlignment="1">
      <alignment horizontal="right"/>
    </xf>
    <xf numFmtId="0" fontId="4" fillId="2" borderId="9" xfId="2" applyFill="1" applyBorder="1" applyAlignment="1">
      <alignment horizontal="right"/>
    </xf>
    <xf numFmtId="0" fontId="4" fillId="2" borderId="15" xfId="2" applyFill="1" applyBorder="1" applyAlignment="1">
      <alignment horizontal="right"/>
    </xf>
    <xf numFmtId="0" fontId="4" fillId="2" borderId="21" xfId="2" applyFill="1" applyBorder="1" applyAlignment="1">
      <alignment horizontal="right"/>
    </xf>
    <xf numFmtId="0" fontId="4" fillId="2" borderId="14" xfId="2" applyFill="1" applyBorder="1" applyAlignment="1">
      <alignment horizontal="right"/>
    </xf>
    <xf numFmtId="0" fontId="4" fillId="2" borderId="12" xfId="2" applyFill="1" applyBorder="1" applyAlignment="1">
      <alignment horizontal="right"/>
    </xf>
    <xf numFmtId="0" fontId="4" fillId="2" borderId="0" xfId="2" applyFill="1" applyBorder="1" applyAlignment="1"/>
    <xf numFmtId="0" fontId="4" fillId="2" borderId="5" xfId="2" applyFill="1" applyBorder="1" applyAlignment="1">
      <alignment horizontal="center" wrapText="1"/>
    </xf>
    <xf numFmtId="0" fontId="3" fillId="2" borderId="0" xfId="2" applyFont="1" applyFill="1" applyBorder="1"/>
    <xf numFmtId="0" fontId="4" fillId="2" borderId="0" xfId="2" applyFill="1" applyBorder="1" applyAlignment="1">
      <alignment horizontal="right"/>
    </xf>
    <xf numFmtId="0" fontId="3" fillId="2" borderId="3" xfId="2" applyFont="1" applyFill="1" applyBorder="1" applyAlignment="1">
      <alignment horizontal="left"/>
    </xf>
    <xf numFmtId="0" fontId="3" fillId="2" borderId="19" xfId="2" applyFont="1" applyFill="1" applyBorder="1" applyAlignment="1"/>
    <xf numFmtId="0" fontId="3" fillId="2" borderId="11" xfId="2" applyFont="1" applyFill="1" applyBorder="1" applyAlignment="1"/>
    <xf numFmtId="0" fontId="3" fillId="2" borderId="20" xfId="2" applyFont="1" applyFill="1" applyBorder="1" applyAlignment="1"/>
    <xf numFmtId="0" fontId="3" fillId="2" borderId="3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2" borderId="0" xfId="2" applyFont="1" applyFill="1" applyBorder="1" applyAlignment="1"/>
    <xf numFmtId="0" fontId="4" fillId="2" borderId="0" xfId="2" applyFill="1" applyBorder="1"/>
    <xf numFmtId="0" fontId="3" fillId="2" borderId="9" xfId="2" applyFont="1" applyFill="1" applyBorder="1"/>
    <xf numFmtId="0" fontId="4" fillId="2" borderId="16" xfId="2" applyFill="1" applyBorder="1" applyAlignment="1">
      <alignment horizontal="right"/>
    </xf>
    <xf numFmtId="0" fontId="4" fillId="2" borderId="22" xfId="2" applyFill="1" applyBorder="1" applyAlignment="1">
      <alignment vertical="center" wrapText="1"/>
    </xf>
    <xf numFmtId="0" fontId="4" fillId="4" borderId="22" xfId="2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3" fillId="2" borderId="23" xfId="0" applyFont="1" applyFill="1" applyBorder="1" applyProtection="1"/>
    <xf numFmtId="0" fontId="4" fillId="2" borderId="54" xfId="0" applyFont="1" applyFill="1" applyBorder="1" applyProtection="1"/>
    <xf numFmtId="0" fontId="4" fillId="0" borderId="10" xfId="0" applyFont="1" applyFill="1" applyBorder="1" applyAlignment="1" applyProtection="1">
      <alignment horizont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0" fillId="8" borderId="38" xfId="0" applyFill="1" applyBorder="1" applyAlignment="1" applyProtection="1">
      <alignment horizontal="center"/>
      <protection locked="0"/>
    </xf>
    <xf numFmtId="0" fontId="0" fillId="8" borderId="2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4" fillId="8" borderId="9" xfId="0" applyFont="1" applyFill="1" applyBorder="1" applyAlignment="1" applyProtection="1">
      <alignment horizontal="center"/>
      <protection locked="0"/>
    </xf>
    <xf numFmtId="0" fontId="4" fillId="8" borderId="24" xfId="0" applyFont="1" applyFill="1" applyBorder="1" applyAlignment="1" applyProtection="1">
      <alignment horizontal="center"/>
      <protection locked="0"/>
    </xf>
    <xf numFmtId="0" fontId="0" fillId="8" borderId="50" xfId="0" applyFill="1" applyBorder="1" applyAlignment="1" applyProtection="1">
      <alignment horizontal="center"/>
      <protection locked="0"/>
    </xf>
    <xf numFmtId="0" fontId="4" fillId="8" borderId="49" xfId="0" applyFont="1" applyFill="1" applyBorder="1" applyAlignment="1" applyProtection="1">
      <alignment horizontal="center"/>
      <protection locked="0"/>
    </xf>
    <xf numFmtId="176" fontId="4" fillId="8" borderId="38" xfId="0" applyNumberFormat="1" applyFont="1" applyFill="1" applyBorder="1" applyAlignment="1" applyProtection="1">
      <alignment horizontal="center"/>
      <protection locked="0"/>
    </xf>
    <xf numFmtId="176" fontId="4" fillId="8" borderId="39" xfId="0" applyNumberFormat="1" applyFont="1" applyFill="1" applyBorder="1" applyAlignment="1" applyProtection="1">
      <alignment horizontal="center"/>
      <protection locked="0"/>
    </xf>
    <xf numFmtId="176" fontId="4" fillId="8" borderId="26" xfId="0" applyNumberFormat="1" applyFont="1" applyFill="1" applyBorder="1" applyAlignment="1" applyProtection="1">
      <alignment horizontal="center"/>
      <protection locked="0"/>
    </xf>
    <xf numFmtId="176" fontId="4" fillId="8" borderId="27" xfId="0" applyNumberFormat="1" applyFont="1" applyFill="1" applyBorder="1" applyAlignment="1" applyProtection="1">
      <alignment horizontal="center"/>
      <protection locked="0"/>
    </xf>
    <xf numFmtId="0" fontId="4" fillId="3" borderId="17" xfId="2" applyFill="1" applyBorder="1"/>
    <xf numFmtId="0" fontId="3" fillId="3" borderId="17" xfId="2" applyFont="1" applyFill="1" applyBorder="1" applyAlignment="1">
      <alignment horizontal="left"/>
    </xf>
    <xf numFmtId="0" fontId="3" fillId="3" borderId="18" xfId="2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13" xfId="0" applyFill="1" applyBorder="1"/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8" xfId="0" applyFill="1" applyBorder="1"/>
    <xf numFmtId="0" fontId="0" fillId="2" borderId="89" xfId="0" applyFill="1" applyBorder="1" applyAlignment="1">
      <alignment horizontal="center"/>
    </xf>
    <xf numFmtId="0" fontId="3" fillId="3" borderId="92" xfId="0" applyFont="1" applyFill="1" applyBorder="1" applyAlignment="1">
      <alignment horizontal="center"/>
    </xf>
    <xf numFmtId="0" fontId="3" fillId="3" borderId="93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54" xfId="2" applyFill="1" applyBorder="1" applyAlignment="1">
      <alignment horizontal="right"/>
    </xf>
    <xf numFmtId="0" fontId="4" fillId="2" borderId="94" xfId="2" applyFill="1" applyBorder="1"/>
    <xf numFmtId="0" fontId="4" fillId="2" borderId="95" xfId="2" applyFill="1" applyBorder="1"/>
    <xf numFmtId="0" fontId="4" fillId="2" borderId="96" xfId="2" applyFill="1" applyBorder="1"/>
    <xf numFmtId="0" fontId="3" fillId="3" borderId="1" xfId="2" applyFont="1" applyFill="1" applyBorder="1" applyAlignment="1">
      <alignment horizontal="left"/>
    </xf>
    <xf numFmtId="0" fontId="4" fillId="2" borderId="97" xfId="2" applyFill="1" applyBorder="1"/>
    <xf numFmtId="0" fontId="4" fillId="2" borderId="98" xfId="2" applyFill="1" applyBorder="1"/>
    <xf numFmtId="0" fontId="3" fillId="0" borderId="54" xfId="0" applyFont="1" applyFill="1" applyBorder="1" applyAlignment="1">
      <alignment vertical="center"/>
    </xf>
    <xf numFmtId="0" fontId="0" fillId="0" borderId="36" xfId="0" applyBorder="1" applyProtection="1"/>
    <xf numFmtId="0" fontId="10" fillId="6" borderId="28" xfId="0" applyFont="1" applyFill="1" applyBorder="1" applyAlignment="1" applyProtection="1">
      <alignment horizontal="center"/>
    </xf>
    <xf numFmtId="0" fontId="10" fillId="6" borderId="29" xfId="0" applyFont="1" applyFill="1" applyBorder="1" applyAlignment="1" applyProtection="1">
      <alignment horizontal="center"/>
    </xf>
    <xf numFmtId="0" fontId="10" fillId="6" borderId="30" xfId="0" applyFont="1" applyFill="1" applyBorder="1" applyAlignment="1" applyProtection="1">
      <alignment horizontal="center"/>
    </xf>
    <xf numFmtId="0" fontId="0" fillId="0" borderId="37" xfId="0" applyBorder="1" applyProtection="1"/>
    <xf numFmtId="0" fontId="0" fillId="5" borderId="38" xfId="0" applyFill="1" applyBorder="1" applyAlignment="1" applyProtection="1">
      <alignment horizontal="center"/>
    </xf>
    <xf numFmtId="0" fontId="4" fillId="5" borderId="39" xfId="0" applyFont="1" applyFill="1" applyBorder="1" applyProtection="1"/>
    <xf numFmtId="0" fontId="4" fillId="5" borderId="39" xfId="0" applyFont="1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4" fillId="5" borderId="25" xfId="0" applyFont="1" applyFill="1" applyBorder="1" applyProtection="1"/>
    <xf numFmtId="0" fontId="4" fillId="5" borderId="25" xfId="0" applyFont="1" applyFill="1" applyBorder="1" applyAlignment="1" applyProtection="1">
      <alignment horizontal="center"/>
    </xf>
    <xf numFmtId="0" fontId="0" fillId="5" borderId="26" xfId="0" applyFill="1" applyBorder="1" applyAlignment="1" applyProtection="1">
      <alignment horizontal="center"/>
    </xf>
    <xf numFmtId="0" fontId="4" fillId="5" borderId="27" xfId="0" applyFont="1" applyFill="1" applyBorder="1" applyProtection="1"/>
    <xf numFmtId="0" fontId="4" fillId="5" borderId="27" xfId="0" applyFont="1" applyFill="1" applyBorder="1" applyAlignment="1" applyProtection="1">
      <alignment horizontal="center"/>
    </xf>
    <xf numFmtId="0" fontId="10" fillId="6" borderId="40" xfId="0" applyFont="1" applyFill="1" applyBorder="1" applyAlignment="1" applyProtection="1">
      <alignment horizontal="center"/>
    </xf>
    <xf numFmtId="0" fontId="0" fillId="7" borderId="41" xfId="0" applyFill="1" applyBorder="1" applyAlignment="1" applyProtection="1">
      <alignment horizontal="center"/>
    </xf>
    <xf numFmtId="0" fontId="0" fillId="7" borderId="42" xfId="0" applyFill="1" applyBorder="1" applyAlignment="1" applyProtection="1">
      <alignment horizontal="center"/>
    </xf>
    <xf numFmtId="0" fontId="11" fillId="0" borderId="44" xfId="0" applyFont="1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5" borderId="39" xfId="0" applyFill="1" applyBorder="1" applyProtection="1"/>
    <xf numFmtId="0" fontId="4" fillId="7" borderId="46" xfId="0" applyFont="1" applyFill="1" applyBorder="1" applyAlignment="1" applyProtection="1">
      <alignment horizontal="center"/>
    </xf>
    <xf numFmtId="0" fontId="4" fillId="7" borderId="42" xfId="0" applyFont="1" applyFill="1" applyBorder="1" applyAlignment="1" applyProtection="1">
      <alignment horizontal="center"/>
    </xf>
    <xf numFmtId="0" fontId="4" fillId="7" borderId="43" xfId="0" applyFont="1" applyFill="1" applyBorder="1" applyAlignment="1" applyProtection="1">
      <alignment horizontal="center"/>
    </xf>
    <xf numFmtId="0" fontId="0" fillId="0" borderId="45" xfId="0" applyFill="1" applyBorder="1" applyProtection="1"/>
    <xf numFmtId="0" fontId="0" fillId="0" borderId="33" xfId="0" applyFill="1" applyBorder="1" applyProtection="1"/>
    <xf numFmtId="0" fontId="0" fillId="0" borderId="73" xfId="0" applyFill="1" applyBorder="1" applyProtection="1"/>
    <xf numFmtId="0" fontId="0" fillId="0" borderId="36" xfId="0" applyFill="1" applyBorder="1" applyProtection="1"/>
    <xf numFmtId="0" fontId="10" fillId="6" borderId="50" xfId="0" applyFont="1" applyFill="1" applyBorder="1" applyAlignment="1" applyProtection="1">
      <alignment horizontal="center"/>
    </xf>
    <xf numFmtId="0" fontId="10" fillId="6" borderId="27" xfId="0" applyFont="1" applyFill="1" applyBorder="1" applyAlignment="1" applyProtection="1">
      <alignment horizontal="center"/>
    </xf>
    <xf numFmtId="0" fontId="4" fillId="5" borderId="79" xfId="0" applyFont="1" applyFill="1" applyBorder="1" applyAlignment="1" applyProtection="1">
      <alignment horizontal="left" vertical="center"/>
    </xf>
    <xf numFmtId="0" fontId="4" fillId="5" borderId="80" xfId="0" applyFont="1" applyFill="1" applyBorder="1" applyAlignment="1" applyProtection="1">
      <alignment horizontal="left" vertical="center"/>
    </xf>
    <xf numFmtId="0" fontId="4" fillId="5" borderId="11" xfId="0" applyFont="1" applyFill="1" applyBorder="1" applyAlignment="1" applyProtection="1">
      <alignment horizontal="center"/>
    </xf>
    <xf numFmtId="0" fontId="4" fillId="5" borderId="80" xfId="0" applyFont="1" applyFill="1" applyBorder="1" applyAlignment="1" applyProtection="1">
      <alignment horizontal="center"/>
    </xf>
    <xf numFmtId="0" fontId="4" fillId="5" borderId="24" xfId="0" applyFont="1" applyFill="1" applyBorder="1" applyAlignment="1" applyProtection="1">
      <alignment horizontal="left" vertical="center"/>
    </xf>
    <xf numFmtId="0" fontId="4" fillId="5" borderId="25" xfId="0" applyFont="1" applyFill="1" applyBorder="1" applyAlignment="1" applyProtection="1">
      <alignment horizontal="left" vertical="center"/>
    </xf>
    <xf numFmtId="0" fontId="4" fillId="5" borderId="9" xfId="0" applyFont="1" applyFill="1" applyBorder="1" applyAlignment="1" applyProtection="1">
      <alignment horizontal="center"/>
    </xf>
    <xf numFmtId="0" fontId="4" fillId="5" borderId="24" xfId="0" applyFont="1" applyFill="1" applyBorder="1" applyProtection="1"/>
    <xf numFmtId="0" fontId="4" fillId="5" borderId="24" xfId="0" applyFont="1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4" fillId="5" borderId="25" xfId="0" applyFont="1" applyFill="1" applyBorder="1" applyAlignment="1" applyProtection="1">
      <alignment wrapText="1"/>
    </xf>
    <xf numFmtId="0" fontId="4" fillId="5" borderId="53" xfId="0" applyFont="1" applyFill="1" applyBorder="1" applyProtection="1"/>
    <xf numFmtId="0" fontId="4" fillId="5" borderId="78" xfId="0" applyFont="1" applyFill="1" applyBorder="1" applyProtection="1"/>
    <xf numFmtId="0" fontId="0" fillId="0" borderId="74" xfId="0" applyFill="1" applyBorder="1" applyProtection="1"/>
    <xf numFmtId="0" fontId="4" fillId="5" borderId="26" xfId="0" applyFont="1" applyFill="1" applyBorder="1" applyProtection="1"/>
    <xf numFmtId="0" fontId="0" fillId="5" borderId="50" xfId="0" applyFill="1" applyBorder="1" applyAlignment="1" applyProtection="1">
      <alignment horizontal="center"/>
    </xf>
    <xf numFmtId="0" fontId="4" fillId="8" borderId="79" xfId="0" applyFont="1" applyFill="1" applyBorder="1" applyAlignment="1" applyProtection="1">
      <alignment horizontal="center"/>
      <protection locked="0"/>
    </xf>
    <xf numFmtId="0" fontId="9" fillId="2" borderId="66" xfId="0" applyFont="1" applyFill="1" applyBorder="1" applyAlignment="1" applyProtection="1">
      <alignment vertical="center"/>
    </xf>
    <xf numFmtId="0" fontId="9" fillId="2" borderId="67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72" xfId="0" applyFont="1" applyFill="1" applyBorder="1" applyAlignment="1" applyProtection="1">
      <alignment vertical="center"/>
    </xf>
    <xf numFmtId="0" fontId="4" fillId="0" borderId="51" xfId="0" applyFont="1" applyBorder="1" applyAlignment="1" applyProtection="1">
      <alignment horizontal="center"/>
    </xf>
    <xf numFmtId="0" fontId="4" fillId="0" borderId="52" xfId="0" applyFont="1" applyBorder="1" applyAlignment="1" applyProtection="1">
      <alignment horizontal="center"/>
    </xf>
    <xf numFmtId="0" fontId="3" fillId="7" borderId="42" xfId="0" applyFont="1" applyFill="1" applyBorder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/>
    </xf>
    <xf numFmtId="0" fontId="3" fillId="2" borderId="11" xfId="2" applyFont="1" applyFill="1" applyBorder="1" applyAlignment="1">
      <alignment wrapText="1"/>
    </xf>
    <xf numFmtId="0" fontId="4" fillId="2" borderId="13" xfId="0" applyFont="1" applyFill="1" applyBorder="1"/>
    <xf numFmtId="0" fontId="3" fillId="3" borderId="100" xfId="0" applyFont="1" applyFill="1" applyBorder="1" applyAlignment="1">
      <alignment horizontal="center"/>
    </xf>
    <xf numFmtId="0" fontId="3" fillId="3" borderId="101" xfId="0" applyFont="1" applyFill="1" applyBorder="1" applyAlignment="1">
      <alignment horizontal="center"/>
    </xf>
    <xf numFmtId="0" fontId="4" fillId="2" borderId="0" xfId="2" applyFill="1" applyAlignment="1">
      <alignment horizontal="left"/>
    </xf>
    <xf numFmtId="2" fontId="0" fillId="2" borderId="0" xfId="0" applyNumberFormat="1" applyFill="1" applyProtection="1"/>
    <xf numFmtId="0" fontId="4" fillId="5" borderId="25" xfId="0" applyFont="1" applyFill="1" applyBorder="1" applyAlignment="1" applyProtection="1">
      <alignment horizontal="center"/>
      <protection hidden="1"/>
    </xf>
    <xf numFmtId="0" fontId="4" fillId="5" borderId="25" xfId="0" quotePrefix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right"/>
    </xf>
    <xf numFmtId="0" fontId="14" fillId="0" borderId="36" xfId="0" applyFont="1" applyBorder="1" applyProtection="1">
      <protection hidden="1"/>
    </xf>
    <xf numFmtId="0" fontId="14" fillId="0" borderId="45" xfId="0" applyFont="1" applyBorder="1" applyProtection="1">
      <protection hidden="1"/>
    </xf>
    <xf numFmtId="0" fontId="14" fillId="0" borderId="45" xfId="0" applyFont="1" applyBorder="1" applyAlignment="1" applyProtection="1">
      <alignment horizontal="center"/>
      <protection hidden="1"/>
    </xf>
    <xf numFmtId="0" fontId="17" fillId="0" borderId="45" xfId="0" applyFont="1" applyFill="1" applyBorder="1" applyAlignment="1" applyProtection="1">
      <alignment vertical="center"/>
      <protection hidden="1"/>
    </xf>
    <xf numFmtId="0" fontId="17" fillId="0" borderId="37" xfId="0" applyFont="1" applyFill="1" applyBorder="1" applyAlignment="1" applyProtection="1">
      <alignment vertical="center"/>
      <protection hidden="1"/>
    </xf>
    <xf numFmtId="0" fontId="19" fillId="6" borderId="108" xfId="0" applyFont="1" applyFill="1" applyBorder="1" applyAlignment="1" applyProtection="1">
      <alignment horizontal="right"/>
      <protection hidden="1"/>
    </xf>
    <xf numFmtId="0" fontId="19" fillId="6" borderId="9" xfId="0" applyFont="1" applyFill="1" applyBorder="1" applyAlignment="1" applyProtection="1">
      <alignment horizontal="left"/>
      <protection hidden="1"/>
    </xf>
    <xf numFmtId="0" fontId="19" fillId="6" borderId="9" xfId="0" applyFont="1" applyFill="1" applyBorder="1" applyProtection="1">
      <protection hidden="1"/>
    </xf>
    <xf numFmtId="0" fontId="19" fillId="6" borderId="9" xfId="0" applyFont="1" applyFill="1" applyBorder="1" applyAlignment="1" applyProtection="1">
      <alignment horizontal="center"/>
      <protection hidden="1"/>
    </xf>
    <xf numFmtId="0" fontId="19" fillId="6" borderId="109" xfId="0" applyFont="1" applyFill="1" applyBorder="1" applyProtection="1">
      <protection hidden="1"/>
    </xf>
    <xf numFmtId="0" fontId="14" fillId="0" borderId="37" xfId="0" applyFont="1" applyBorder="1" applyProtection="1">
      <protection hidden="1"/>
    </xf>
    <xf numFmtId="0" fontId="14" fillId="0" borderId="74" xfId="0" applyFont="1" applyBorder="1" applyProtection="1">
      <protection hidden="1"/>
    </xf>
    <xf numFmtId="0" fontId="19" fillId="6" borderId="110" xfId="0" applyFont="1" applyFill="1" applyBorder="1" applyAlignment="1" applyProtection="1">
      <alignment horizontal="right"/>
      <protection hidden="1"/>
    </xf>
    <xf numFmtId="0" fontId="20" fillId="6" borderId="10" xfId="0" applyFont="1" applyFill="1" applyBorder="1" applyAlignment="1" applyProtection="1">
      <alignment horizontal="left"/>
      <protection hidden="1"/>
    </xf>
    <xf numFmtId="0" fontId="19" fillId="6" borderId="10" xfId="0" applyFont="1" applyFill="1" applyBorder="1" applyAlignment="1" applyProtection="1">
      <alignment horizontal="left"/>
      <protection hidden="1"/>
    </xf>
    <xf numFmtId="0" fontId="19" fillId="6" borderId="10" xfId="0" applyFont="1" applyFill="1" applyBorder="1" applyProtection="1">
      <protection hidden="1"/>
    </xf>
    <xf numFmtId="0" fontId="19" fillId="6" borderId="10" xfId="0" applyFont="1" applyFill="1" applyBorder="1" applyAlignment="1" applyProtection="1">
      <alignment horizontal="center"/>
      <protection hidden="1"/>
    </xf>
    <xf numFmtId="0" fontId="19" fillId="6" borderId="111" xfId="0" applyFont="1" applyFill="1" applyBorder="1" applyProtection="1">
      <protection hidden="1"/>
    </xf>
    <xf numFmtId="0" fontId="19" fillId="6" borderId="112" xfId="0" applyFont="1" applyFill="1" applyBorder="1" applyProtection="1">
      <protection hidden="1"/>
    </xf>
    <xf numFmtId="0" fontId="19" fillId="6" borderId="113" xfId="0" applyFont="1" applyFill="1" applyBorder="1" applyAlignment="1" applyProtection="1">
      <alignment horizontal="right"/>
      <protection hidden="1"/>
    </xf>
    <xf numFmtId="0" fontId="19" fillId="6" borderId="113" xfId="0" applyFont="1" applyFill="1" applyBorder="1" applyAlignment="1" applyProtection="1">
      <alignment horizontal="left"/>
      <protection hidden="1"/>
    </xf>
    <xf numFmtId="0" fontId="19" fillId="6" borderId="113" xfId="0" applyFont="1" applyFill="1" applyBorder="1" applyProtection="1">
      <protection hidden="1"/>
    </xf>
    <xf numFmtId="0" fontId="19" fillId="6" borderId="113" xfId="0" applyFont="1" applyFill="1" applyBorder="1" applyAlignment="1" applyProtection="1">
      <alignment horizontal="center"/>
      <protection hidden="1"/>
    </xf>
    <xf numFmtId="0" fontId="19" fillId="6" borderId="114" xfId="0" applyFont="1" applyFill="1" applyBorder="1" applyProtection="1">
      <protection hidden="1"/>
    </xf>
    <xf numFmtId="0" fontId="14" fillId="0" borderId="44" xfId="0" applyFont="1" applyBorder="1" applyProtection="1">
      <protection hidden="1"/>
    </xf>
    <xf numFmtId="0" fontId="14" fillId="0" borderId="44" xfId="0" applyFont="1" applyBorder="1" applyAlignment="1" applyProtection="1">
      <alignment horizontal="center"/>
      <protection hidden="1"/>
    </xf>
    <xf numFmtId="0" fontId="19" fillId="6" borderId="9" xfId="0" applyFont="1" applyFill="1" applyBorder="1" applyAlignment="1" applyProtection="1">
      <alignment vertical="center"/>
      <protection hidden="1"/>
    </xf>
    <xf numFmtId="0" fontId="23" fillId="6" borderId="9" xfId="0" applyFont="1" applyFill="1" applyBorder="1" applyAlignment="1" applyProtection="1">
      <alignment vertical="center"/>
      <protection hidden="1"/>
    </xf>
    <xf numFmtId="0" fontId="23" fillId="6" borderId="109" xfId="0" applyFont="1" applyFill="1" applyBorder="1" applyAlignment="1" applyProtection="1">
      <alignment vertical="center"/>
      <protection hidden="1"/>
    </xf>
    <xf numFmtId="0" fontId="24" fillId="6" borderId="9" xfId="0" applyFont="1" applyFill="1" applyBorder="1" applyAlignment="1" applyProtection="1">
      <alignment horizontal="left"/>
      <protection hidden="1"/>
    </xf>
    <xf numFmtId="0" fontId="24" fillId="6" borderId="9" xfId="0" applyFont="1" applyFill="1" applyBorder="1" applyAlignment="1" applyProtection="1">
      <alignment vertical="top" wrapText="1"/>
      <protection hidden="1"/>
    </xf>
    <xf numFmtId="0" fontId="14" fillId="6" borderId="109" xfId="0" applyFont="1" applyFill="1" applyBorder="1" applyProtection="1">
      <protection hidden="1"/>
    </xf>
    <xf numFmtId="0" fontId="14" fillId="6" borderId="108" xfId="0" applyFont="1" applyFill="1" applyBorder="1" applyProtection="1">
      <protection hidden="1"/>
    </xf>
    <xf numFmtId="0" fontId="14" fillId="6" borderId="9" xfId="0" applyFont="1" applyFill="1" applyBorder="1" applyProtection="1">
      <protection hidden="1"/>
    </xf>
    <xf numFmtId="0" fontId="24" fillId="6" borderId="9" xfId="0" applyFont="1" applyFill="1" applyBorder="1" applyAlignment="1" applyProtection="1">
      <alignment horizontal="right"/>
      <protection hidden="1"/>
    </xf>
    <xf numFmtId="0" fontId="25" fillId="6" borderId="9" xfId="0" applyFont="1" applyFill="1" applyBorder="1" applyProtection="1">
      <protection hidden="1"/>
    </xf>
    <xf numFmtId="0" fontId="24" fillId="6" borderId="9" xfId="0" applyFont="1" applyFill="1" applyBorder="1" applyAlignment="1" applyProtection="1">
      <alignment vertical="top"/>
      <protection hidden="1"/>
    </xf>
    <xf numFmtId="0" fontId="14" fillId="6" borderId="110" xfId="0" applyFont="1" applyFill="1" applyBorder="1" applyProtection="1">
      <protection hidden="1"/>
    </xf>
    <xf numFmtId="0" fontId="24" fillId="6" borderId="10" xfId="0" applyFont="1" applyFill="1" applyBorder="1" applyAlignment="1" applyProtection="1">
      <alignment horizontal="left"/>
      <protection hidden="1"/>
    </xf>
    <xf numFmtId="0" fontId="24" fillId="6" borderId="10" xfId="0" applyFont="1" applyFill="1" applyBorder="1" applyAlignment="1" applyProtection="1">
      <alignment vertical="top" wrapText="1"/>
      <protection hidden="1"/>
    </xf>
    <xf numFmtId="0" fontId="14" fillId="6" borderId="111" xfId="0" applyFont="1" applyFill="1" applyBorder="1" applyProtection="1">
      <protection hidden="1"/>
    </xf>
    <xf numFmtId="0" fontId="14" fillId="6" borderId="112" xfId="0" applyFont="1" applyFill="1" applyBorder="1" applyProtection="1">
      <protection hidden="1"/>
    </xf>
    <xf numFmtId="0" fontId="14" fillId="6" borderId="113" xfId="0" applyFont="1" applyFill="1" applyBorder="1" applyProtection="1">
      <protection hidden="1"/>
    </xf>
    <xf numFmtId="0" fontId="14" fillId="6" borderId="113" xfId="0" applyFont="1" applyFill="1" applyBorder="1" applyAlignment="1" applyProtection="1">
      <alignment horizontal="center"/>
      <protection hidden="1"/>
    </xf>
    <xf numFmtId="0" fontId="14" fillId="6" borderId="114" xfId="0" applyFont="1" applyFill="1" applyBorder="1" applyProtection="1">
      <protection hidden="1"/>
    </xf>
    <xf numFmtId="0" fontId="19" fillId="6" borderId="108" xfId="0" applyFont="1" applyFill="1" applyBorder="1" applyAlignment="1" applyProtection="1">
      <alignment horizontal="right" vertical="center"/>
      <protection hidden="1"/>
    </xf>
    <xf numFmtId="0" fontId="19" fillId="6" borderId="9" xfId="0" applyFont="1" applyFill="1" applyBorder="1" applyAlignment="1" applyProtection="1">
      <alignment horizontal="left" vertical="center"/>
      <protection hidden="1"/>
    </xf>
    <xf numFmtId="0" fontId="18" fillId="6" borderId="9" xfId="0" applyFont="1" applyFill="1" applyBorder="1" applyAlignment="1" applyProtection="1">
      <alignment horizontal="center" vertical="center"/>
      <protection hidden="1"/>
    </xf>
    <xf numFmtId="0" fontId="18" fillId="6" borderId="109" xfId="0" applyFont="1" applyFill="1" applyBorder="1" applyAlignment="1" applyProtection="1">
      <alignment horizontal="center" vertical="center"/>
      <protection hidden="1"/>
    </xf>
    <xf numFmtId="0" fontId="23" fillId="6" borderId="9" xfId="0" applyFont="1" applyFill="1" applyBorder="1" applyAlignment="1" applyProtection="1">
      <alignment horizontal="left" vertical="center"/>
      <protection hidden="1"/>
    </xf>
    <xf numFmtId="0" fontId="25" fillId="6" borderId="9" xfId="0" applyFont="1" applyFill="1" applyBorder="1" applyAlignment="1" applyProtection="1">
      <alignment horizontal="left" vertical="center"/>
      <protection hidden="1"/>
    </xf>
    <xf numFmtId="0" fontId="24" fillId="6" borderId="9" xfId="0" quotePrefix="1" applyFont="1" applyFill="1" applyBorder="1" applyAlignment="1" applyProtection="1">
      <alignment horizontal="left" vertical="center"/>
      <protection hidden="1"/>
    </xf>
    <xf numFmtId="0" fontId="24" fillId="6" borderId="9" xfId="0" applyFont="1" applyFill="1" applyBorder="1" applyAlignment="1" applyProtection="1">
      <alignment horizontal="right" vertical="center"/>
      <protection hidden="1"/>
    </xf>
    <xf numFmtId="0" fontId="24" fillId="6" borderId="9" xfId="0" applyFont="1" applyFill="1" applyBorder="1" applyAlignment="1" applyProtection="1">
      <alignment horizontal="left" vertical="center"/>
      <protection hidden="1"/>
    </xf>
    <xf numFmtId="0" fontId="14" fillId="0" borderId="44" xfId="0" applyFont="1" applyFill="1" applyBorder="1" applyProtection="1">
      <protection hidden="1"/>
    </xf>
    <xf numFmtId="0" fontId="14" fillId="0" borderId="44" xfId="0" applyFont="1" applyFill="1" applyBorder="1" applyAlignment="1" applyProtection="1">
      <alignment horizontal="center"/>
      <protection hidden="1"/>
    </xf>
    <xf numFmtId="0" fontId="0" fillId="0" borderId="45" xfId="0" applyBorder="1" applyProtection="1">
      <protection hidden="1"/>
    </xf>
    <xf numFmtId="0" fontId="0" fillId="0" borderId="37" xfId="0" applyBorder="1" applyProtection="1">
      <protection hidden="1"/>
    </xf>
    <xf numFmtId="0" fontId="25" fillId="6" borderId="109" xfId="0" applyFont="1" applyFill="1" applyBorder="1" applyAlignment="1" applyProtection="1">
      <alignment horizontal="left" vertical="center"/>
      <protection hidden="1"/>
    </xf>
    <xf numFmtId="0" fontId="24" fillId="6" borderId="109" xfId="0" applyFont="1" applyFill="1" applyBorder="1" applyAlignment="1" applyProtection="1">
      <alignment horizontal="center" vertical="center"/>
      <protection hidden="1"/>
    </xf>
    <xf numFmtId="0" fontId="24" fillId="6" borderId="109" xfId="0" applyFont="1" applyFill="1" applyBorder="1" applyAlignment="1" applyProtection="1">
      <alignment horizontal="left" vertical="center"/>
      <protection hidden="1"/>
    </xf>
    <xf numFmtId="0" fontId="18" fillId="6" borderId="23" xfId="0" applyFont="1" applyFill="1" applyBorder="1" applyAlignment="1" applyProtection="1">
      <alignment horizontal="center" vertical="center"/>
      <protection hidden="1"/>
    </xf>
    <xf numFmtId="0" fontId="14" fillId="6" borderId="23" xfId="0" applyFont="1" applyFill="1" applyBorder="1" applyProtection="1">
      <protection hidden="1"/>
    </xf>
    <xf numFmtId="0" fontId="14" fillId="6" borderId="118" xfId="0" applyFont="1" applyFill="1" applyBorder="1" applyProtection="1">
      <protection hidden="1"/>
    </xf>
    <xf numFmtId="0" fontId="19" fillId="6" borderId="54" xfId="0" applyFont="1" applyFill="1" applyBorder="1" applyAlignment="1" applyProtection="1">
      <alignment horizontal="right" vertical="center"/>
      <protection hidden="1"/>
    </xf>
    <xf numFmtId="0" fontId="14" fillId="6" borderId="54" xfId="0" applyFont="1" applyFill="1" applyBorder="1" applyProtection="1">
      <protection hidden="1"/>
    </xf>
    <xf numFmtId="0" fontId="14" fillId="6" borderId="119" xfId="0" applyFont="1" applyFill="1" applyBorder="1" applyProtection="1">
      <protection hidden="1"/>
    </xf>
    <xf numFmtId="0" fontId="14" fillId="2" borderId="0" xfId="0" applyFont="1" applyFill="1" applyBorder="1" applyProtection="1"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19" fillId="6" borderId="109" xfId="0" applyFont="1" applyFill="1" applyBorder="1" applyAlignment="1" applyProtection="1">
      <alignment horizontal="center"/>
      <protection hidden="1"/>
    </xf>
    <xf numFmtId="0" fontId="19" fillId="6" borderId="114" xfId="0" applyFont="1" applyFill="1" applyBorder="1" applyAlignment="1" applyProtection="1">
      <alignment horizontal="center"/>
      <protection hidden="1"/>
    </xf>
    <xf numFmtId="0" fontId="19" fillId="6" borderId="23" xfId="0" applyFont="1" applyFill="1" applyBorder="1" applyProtection="1">
      <protection hidden="1"/>
    </xf>
    <xf numFmtId="0" fontId="19" fillId="6" borderId="118" xfId="0" applyFont="1" applyFill="1" applyBorder="1" applyProtection="1">
      <protection hidden="1"/>
    </xf>
    <xf numFmtId="0" fontId="19" fillId="6" borderId="54" xfId="0" applyFont="1" applyFill="1" applyBorder="1" applyAlignment="1" applyProtection="1">
      <alignment horizontal="center"/>
      <protection hidden="1"/>
    </xf>
    <xf numFmtId="0" fontId="19" fillId="6" borderId="119" xfId="0" applyFont="1" applyFill="1" applyBorder="1" applyAlignment="1" applyProtection="1">
      <alignment horizontal="center"/>
      <protection hidden="1"/>
    </xf>
    <xf numFmtId="0" fontId="19" fillId="6" borderId="9" xfId="0" applyFont="1" applyFill="1" applyBorder="1" applyAlignment="1" applyProtection="1">
      <alignment horizontal="right"/>
      <protection hidden="1"/>
    </xf>
    <xf numFmtId="0" fontId="4" fillId="5" borderId="9" xfId="0" applyFont="1" applyFill="1" applyBorder="1" applyProtection="1"/>
    <xf numFmtId="0" fontId="0" fillId="8" borderId="9" xfId="0" applyFill="1" applyBorder="1" applyAlignment="1" applyProtection="1">
      <alignment horizontal="center"/>
      <protection locked="0"/>
    </xf>
    <xf numFmtId="0" fontId="4" fillId="5" borderId="49" xfId="0" applyFont="1" applyFill="1" applyBorder="1" applyProtection="1"/>
    <xf numFmtId="0" fontId="4" fillId="5" borderId="50" xfId="0" applyFont="1" applyFill="1" applyBorder="1" applyProtection="1"/>
    <xf numFmtId="0" fontId="4" fillId="5" borderId="27" xfId="0" quotePrefix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24" fillId="6" borderId="10" xfId="0" applyFont="1" applyFill="1" applyBorder="1" applyAlignment="1" applyProtection="1">
      <alignment horizontal="right"/>
      <protection hidden="1"/>
    </xf>
    <xf numFmtId="0" fontId="3" fillId="7" borderId="46" xfId="0" applyFont="1" applyFill="1" applyBorder="1" applyAlignment="1" applyProtection="1">
      <alignment horizontal="center" wrapText="1"/>
      <protection hidden="1"/>
    </xf>
    <xf numFmtId="0" fontId="3" fillId="2" borderId="20" xfId="2" applyFont="1" applyFill="1" applyBorder="1" applyAlignment="1">
      <alignment horizontal="center"/>
    </xf>
    <xf numFmtId="0" fontId="4" fillId="5" borderId="9" xfId="0" applyFont="1" applyFill="1" applyBorder="1" applyProtection="1">
      <protection hidden="1"/>
    </xf>
    <xf numFmtId="0" fontId="0" fillId="8" borderId="49" xfId="0" applyFill="1" applyBorder="1" applyAlignment="1" applyProtection="1">
      <alignment horizontal="center"/>
      <protection locked="0"/>
    </xf>
    <xf numFmtId="0" fontId="4" fillId="2" borderId="88" xfId="0" applyFont="1" applyFill="1" applyBorder="1"/>
    <xf numFmtId="0" fontId="4" fillId="2" borderId="45" xfId="2" applyFill="1" applyBorder="1" applyProtection="1"/>
    <xf numFmtId="0" fontId="4" fillId="2" borderId="73" xfId="2" applyFill="1" applyBorder="1" applyProtection="1"/>
    <xf numFmtId="0" fontId="4" fillId="2" borderId="36" xfId="2" applyFill="1" applyBorder="1" applyProtection="1"/>
    <xf numFmtId="0" fontId="4" fillId="2" borderId="37" xfId="2" applyFill="1" applyBorder="1" applyProtection="1"/>
    <xf numFmtId="0" fontId="31" fillId="2" borderId="131" xfId="2" applyFont="1" applyFill="1" applyBorder="1" applyAlignment="1" applyProtection="1">
      <alignment horizontal="center"/>
    </xf>
    <xf numFmtId="0" fontId="14" fillId="2" borderId="45" xfId="2" applyFont="1" applyFill="1" applyBorder="1" applyAlignment="1" applyProtection="1">
      <alignment horizontal="left"/>
    </xf>
    <xf numFmtId="0" fontId="31" fillId="2" borderId="45" xfId="2" applyFont="1" applyFill="1" applyBorder="1" applyAlignment="1" applyProtection="1">
      <alignment horizontal="center"/>
    </xf>
    <xf numFmtId="0" fontId="31" fillId="2" borderId="128" xfId="2" applyFont="1" applyFill="1" applyBorder="1" applyAlignment="1" applyProtection="1">
      <alignment horizontal="center"/>
    </xf>
    <xf numFmtId="0" fontId="14" fillId="2" borderId="131" xfId="2" applyFont="1" applyFill="1" applyBorder="1" applyProtection="1"/>
    <xf numFmtId="0" fontId="14" fillId="2" borderId="45" xfId="2" applyFont="1" applyFill="1" applyBorder="1" applyProtection="1"/>
    <xf numFmtId="0" fontId="14" fillId="2" borderId="128" xfId="2" applyFont="1" applyFill="1" applyBorder="1" applyProtection="1"/>
    <xf numFmtId="0" fontId="4" fillId="2" borderId="45" xfId="2" applyFont="1" applyFill="1" applyBorder="1" applyAlignment="1" applyProtection="1">
      <alignment vertical="center"/>
    </xf>
    <xf numFmtId="0" fontId="4" fillId="2" borderId="36" xfId="2" applyFont="1" applyFill="1" applyBorder="1" applyAlignment="1" applyProtection="1">
      <alignment vertical="center"/>
    </xf>
    <xf numFmtId="0" fontId="4" fillId="2" borderId="37" xfId="2" applyFont="1" applyFill="1" applyBorder="1" applyAlignment="1" applyProtection="1">
      <alignment vertical="center"/>
    </xf>
    <xf numFmtId="0" fontId="4" fillId="2" borderId="45" xfId="2" applyFont="1" applyFill="1" applyBorder="1" applyAlignment="1" applyProtection="1"/>
    <xf numFmtId="0" fontId="4" fillId="2" borderId="36" xfId="2" applyFont="1" applyFill="1" applyBorder="1" applyAlignment="1" applyProtection="1"/>
    <xf numFmtId="0" fontId="4" fillId="2" borderId="37" xfId="2" applyFont="1" applyFill="1" applyBorder="1" applyAlignment="1" applyProtection="1"/>
    <xf numFmtId="0" fontId="4" fillId="2" borderId="36" xfId="2" applyFont="1" applyFill="1" applyBorder="1" applyProtection="1"/>
    <xf numFmtId="0" fontId="4" fillId="2" borderId="45" xfId="2" applyFont="1" applyFill="1" applyBorder="1" applyAlignment="1" applyProtection="1">
      <alignment horizontal="right"/>
    </xf>
    <xf numFmtId="0" fontId="4" fillId="2" borderId="45" xfId="2" applyFont="1" applyFill="1" applyBorder="1" applyProtection="1"/>
    <xf numFmtId="0" fontId="3" fillId="2" borderId="45" xfId="2" applyFont="1" applyFill="1" applyBorder="1" applyAlignment="1" applyProtection="1">
      <alignment horizontal="left"/>
    </xf>
    <xf numFmtId="0" fontId="3" fillId="2" borderId="36" xfId="2" applyFont="1" applyFill="1" applyBorder="1" applyAlignment="1" applyProtection="1">
      <alignment horizontal="left"/>
    </xf>
    <xf numFmtId="0" fontId="4" fillId="2" borderId="36" xfId="2" applyFont="1" applyFill="1" applyBorder="1" applyAlignment="1" applyProtection="1">
      <alignment horizontal="right"/>
    </xf>
    <xf numFmtId="0" fontId="4" fillId="2" borderId="36" xfId="2" applyFont="1" applyFill="1" applyBorder="1" applyAlignment="1" applyProtection="1">
      <alignment horizontal="left"/>
    </xf>
    <xf numFmtId="0" fontId="4" fillId="2" borderId="44" xfId="2" applyFill="1" applyBorder="1" applyProtection="1"/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2" borderId="21" xfId="0" applyFill="1" applyBorder="1"/>
    <xf numFmtId="0" fontId="0" fillId="5" borderId="79" xfId="0" applyFill="1" applyBorder="1" applyAlignment="1" applyProtection="1">
      <alignment horizontal="center"/>
    </xf>
    <xf numFmtId="0" fontId="4" fillId="5" borderId="11" xfId="0" applyFont="1" applyFill="1" applyBorder="1" applyProtection="1"/>
    <xf numFmtId="0" fontId="0" fillId="8" borderId="11" xfId="0" applyFill="1" applyBorder="1" applyAlignment="1" applyProtection="1">
      <alignment horizontal="center"/>
      <protection locked="0"/>
    </xf>
    <xf numFmtId="0" fontId="4" fillId="5" borderId="80" xfId="0" quotePrefix="1" applyFont="1" applyFill="1" applyBorder="1" applyAlignment="1" applyProtection="1">
      <alignment horizontal="center"/>
    </xf>
    <xf numFmtId="0" fontId="3" fillId="7" borderId="43" xfId="0" applyFont="1" applyFill="1" applyBorder="1" applyAlignment="1" applyProtection="1">
      <alignment horizontal="center" wrapText="1"/>
      <protection hidden="1"/>
    </xf>
    <xf numFmtId="0" fontId="0" fillId="5" borderId="53" xfId="0" applyFill="1" applyBorder="1" applyAlignment="1" applyProtection="1">
      <alignment horizontal="center"/>
    </xf>
    <xf numFmtId="0" fontId="4" fillId="5" borderId="10" xfId="0" applyFont="1" applyFill="1" applyBorder="1" applyProtection="1"/>
    <xf numFmtId="0" fontId="0" fillId="8" borderId="10" xfId="0" applyFill="1" applyBorder="1" applyAlignment="1" applyProtection="1">
      <alignment horizontal="center"/>
      <protection locked="0"/>
    </xf>
    <xf numFmtId="0" fontId="4" fillId="5" borderId="78" xfId="0" quotePrefix="1" applyFont="1" applyFill="1" applyBorder="1" applyAlignment="1" applyProtection="1">
      <alignment horizontal="center"/>
    </xf>
    <xf numFmtId="0" fontId="0" fillId="8" borderId="49" xfId="0" applyFill="1" applyBorder="1" applyAlignment="1" applyProtection="1">
      <alignment horizontal="center"/>
    </xf>
    <xf numFmtId="0" fontId="4" fillId="5" borderId="39" xfId="0" quotePrefix="1" applyFont="1" applyFill="1" applyBorder="1" applyAlignment="1" applyProtection="1">
      <alignment horizontal="center"/>
    </xf>
    <xf numFmtId="0" fontId="0" fillId="8" borderId="50" xfId="0" applyFill="1" applyBorder="1" applyAlignment="1" applyProtection="1">
      <alignment horizontal="center"/>
    </xf>
    <xf numFmtId="0" fontId="0" fillId="2" borderId="0" xfId="0" quotePrefix="1" applyFill="1"/>
    <xf numFmtId="0" fontId="0" fillId="2" borderId="9" xfId="0" applyFill="1" applyBorder="1" applyAlignment="1">
      <alignment horizontal="center"/>
    </xf>
    <xf numFmtId="0" fontId="19" fillId="6" borderId="119" xfId="0" applyFont="1" applyFill="1" applyBorder="1" applyProtection="1">
      <protection hidden="1"/>
    </xf>
    <xf numFmtId="0" fontId="3" fillId="3" borderId="83" xfId="0" applyFont="1" applyFill="1" applyBorder="1" applyAlignment="1">
      <alignment horizontal="center"/>
    </xf>
    <xf numFmtId="0" fontId="0" fillId="2" borderId="134" xfId="0" applyFill="1" applyBorder="1" applyAlignment="1">
      <alignment horizontal="center"/>
    </xf>
    <xf numFmtId="0" fontId="4" fillId="2" borderId="1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3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3" xfId="2" applyFill="1" applyBorder="1" applyAlignment="1">
      <alignment horizontal="right"/>
    </xf>
    <xf numFmtId="0" fontId="4" fillId="2" borderId="138" xfId="2" applyFill="1" applyBorder="1" applyAlignment="1">
      <alignment horizontal="right"/>
    </xf>
    <xf numFmtId="0" fontId="4" fillId="2" borderId="98" xfId="2" applyFill="1" applyBorder="1" applyAlignment="1">
      <alignment vertical="center" wrapText="1"/>
    </xf>
    <xf numFmtId="0" fontId="4" fillId="4" borderId="98" xfId="2" applyFill="1" applyBorder="1" applyAlignment="1">
      <alignment horizontal="center" vertical="center"/>
    </xf>
    <xf numFmtId="0" fontId="3" fillId="2" borderId="87" xfId="2" applyFont="1" applyFill="1" applyBorder="1" applyAlignment="1"/>
    <xf numFmtId="0" fontId="3" fillId="2" borderId="9" xfId="2" applyFont="1" applyFill="1" applyBorder="1" applyAlignment="1"/>
    <xf numFmtId="0" fontId="3" fillId="2" borderId="54" xfId="2" applyFont="1" applyFill="1" applyBorder="1" applyAlignment="1"/>
    <xf numFmtId="0" fontId="0" fillId="8" borderId="53" xfId="0" applyFill="1" applyBorder="1" applyAlignment="1" applyProtection="1">
      <alignment horizontal="center"/>
      <protection locked="0"/>
    </xf>
    <xf numFmtId="0" fontId="0" fillId="7" borderId="140" xfId="0" applyFill="1" applyBorder="1" applyAlignment="1" applyProtection="1">
      <alignment horizontal="center"/>
    </xf>
    <xf numFmtId="0" fontId="4" fillId="7" borderId="140" xfId="0" applyFont="1" applyFill="1" applyBorder="1" applyAlignment="1" applyProtection="1">
      <alignment horizontal="center"/>
    </xf>
    <xf numFmtId="0" fontId="0" fillId="2" borderId="31" xfId="0" applyFill="1" applyBorder="1" applyProtection="1"/>
    <xf numFmtId="0" fontId="0" fillId="2" borderId="139" xfId="0" applyFill="1" applyBorder="1" applyProtection="1"/>
    <xf numFmtId="0" fontId="3" fillId="2" borderId="141" xfId="2" applyFont="1" applyFill="1" applyBorder="1" applyAlignment="1"/>
    <xf numFmtId="0" fontId="3" fillId="2" borderId="142" xfId="2" applyFont="1" applyFill="1" applyBorder="1" applyAlignment="1"/>
    <xf numFmtId="0" fontId="4" fillId="2" borderId="15" xfId="2" applyFill="1" applyBorder="1" applyAlignment="1">
      <alignment horizontal="right" wrapText="1"/>
    </xf>
    <xf numFmtId="0" fontId="4" fillId="2" borderId="12" xfId="2" applyFill="1" applyBorder="1" applyAlignment="1">
      <alignment horizontal="right" wrapText="1"/>
    </xf>
    <xf numFmtId="0" fontId="4" fillId="2" borderId="89" xfId="0" applyFont="1" applyFill="1" applyBorder="1" applyAlignment="1">
      <alignment horizontal="center"/>
    </xf>
    <xf numFmtId="0" fontId="4" fillId="2" borderId="137" xfId="0" applyFont="1" applyFill="1" applyBorder="1" applyAlignment="1">
      <alignment horizontal="center"/>
    </xf>
    <xf numFmtId="0" fontId="4" fillId="2" borderId="14" xfId="2" quotePrefix="1" applyFill="1" applyBorder="1" applyAlignment="1">
      <alignment horizontal="right"/>
    </xf>
    <xf numFmtId="0" fontId="0" fillId="0" borderId="0" xfId="0" applyBorder="1" applyProtection="1"/>
    <xf numFmtId="0" fontId="0" fillId="5" borderId="145" xfId="0" applyFill="1" applyBorder="1" applyAlignment="1" applyProtection="1">
      <alignment horizontal="center"/>
    </xf>
    <xf numFmtId="0" fontId="10" fillId="6" borderId="57" xfId="0" applyFont="1" applyFill="1" applyBorder="1" applyAlignment="1" applyProtection="1">
      <alignment horizontal="center"/>
    </xf>
    <xf numFmtId="0" fontId="0" fillId="7" borderId="46" xfId="0" applyFill="1" applyBorder="1" applyAlignment="1" applyProtection="1">
      <alignment horizontal="center"/>
    </xf>
    <xf numFmtId="0" fontId="0" fillId="2" borderId="34" xfId="0" applyFill="1" applyBorder="1" applyProtection="1"/>
    <xf numFmtId="0" fontId="11" fillId="2" borderId="0" xfId="0" applyFont="1" applyFill="1" applyBorder="1" applyProtection="1"/>
    <xf numFmtId="0" fontId="0" fillId="2" borderId="35" xfId="0" applyFill="1" applyBorder="1" applyProtection="1"/>
    <xf numFmtId="0" fontId="4" fillId="0" borderId="55" xfId="0" applyFont="1" applyBorder="1" applyAlignment="1" applyProtection="1">
      <alignment horizontal="center"/>
    </xf>
    <xf numFmtId="0" fontId="37" fillId="2" borderId="0" xfId="0" applyFont="1" applyFill="1" applyProtection="1"/>
    <xf numFmtId="0" fontId="4" fillId="2" borderId="49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/>
    <xf numFmtId="0" fontId="38" fillId="2" borderId="88" xfId="0" applyFont="1" applyFill="1" applyBorder="1"/>
    <xf numFmtId="0" fontId="0" fillId="4" borderId="137" xfId="0" applyFill="1" applyBorder="1" applyAlignment="1" applyProtection="1">
      <alignment horizontal="center"/>
    </xf>
    <xf numFmtId="0" fontId="0" fillId="4" borderId="89" xfId="0" applyFill="1" applyBorder="1" applyAlignment="1" applyProtection="1">
      <alignment horizontal="center"/>
    </xf>
    <xf numFmtId="0" fontId="38" fillId="2" borderId="13" xfId="0" applyFont="1" applyFill="1" applyBorder="1"/>
    <xf numFmtId="0" fontId="0" fillId="4" borderId="9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0" fontId="38" fillId="2" borderId="21" xfId="0" applyFont="1" applyFill="1" applyBorder="1"/>
    <xf numFmtId="0" fontId="0" fillId="4" borderId="14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38" fillId="2" borderId="0" xfId="0" applyFont="1" applyFill="1"/>
    <xf numFmtId="0" fontId="4" fillId="0" borderId="25" xfId="0" applyFont="1" applyBorder="1" applyAlignment="1" applyProtection="1">
      <alignment horizontal="center"/>
    </xf>
    <xf numFmtId="0" fontId="4" fillId="4" borderId="9" xfId="0" applyNumberFormat="1" applyFont="1" applyFill="1" applyBorder="1" applyAlignment="1" applyProtection="1">
      <alignment horizontal="center"/>
    </xf>
    <xf numFmtId="0" fontId="3" fillId="3" borderId="0" xfId="2" applyFont="1" applyFill="1" applyBorder="1" applyAlignment="1">
      <alignment horizontal="left"/>
    </xf>
    <xf numFmtId="0" fontId="4" fillId="2" borderId="16" xfId="2" quotePrefix="1" applyFill="1" applyBorder="1" applyAlignment="1">
      <alignment horizontal="right"/>
    </xf>
    <xf numFmtId="0" fontId="4" fillId="5" borderId="78" xfId="0" applyFont="1" applyFill="1" applyBorder="1" applyAlignment="1" applyProtection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8" fillId="2" borderId="21" xfId="0" applyFont="1" applyFill="1" applyBorder="1" applyAlignment="1">
      <alignment horizontal="left"/>
    </xf>
    <xf numFmtId="0" fontId="38" fillId="2" borderId="14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center"/>
    </xf>
    <xf numFmtId="0" fontId="3" fillId="3" borderId="13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2" borderId="19" xfId="0" applyFill="1" applyBorder="1"/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2" borderId="88" xfId="0" applyFont="1" applyFill="1" applyBorder="1" applyAlignment="1">
      <alignment horizontal="left"/>
    </xf>
    <xf numFmtId="0" fontId="4" fillId="2" borderId="134" xfId="0" applyFont="1" applyFill="1" applyBorder="1" applyAlignment="1">
      <alignment horizontal="center"/>
    </xf>
    <xf numFmtId="0" fontId="0" fillId="4" borderId="150" xfId="0" applyNumberFormat="1" applyFill="1" applyBorder="1" applyAlignment="1" applyProtection="1">
      <alignment horizontal="center"/>
    </xf>
    <xf numFmtId="180" fontId="0" fillId="4" borderId="15" xfId="0" applyNumberFormat="1" applyFill="1" applyBorder="1" applyAlignment="1" applyProtection="1">
      <alignment horizontal="center"/>
    </xf>
    <xf numFmtId="0" fontId="3" fillId="2" borderId="0" xfId="2" applyFont="1" applyFill="1" applyBorder="1" applyAlignment="1">
      <alignment horizontal="center"/>
    </xf>
    <xf numFmtId="0" fontId="38" fillId="2" borderId="22" xfId="0" applyFont="1" applyFill="1" applyBorder="1" applyProtection="1"/>
    <xf numFmtId="0" fontId="0" fillId="2" borderId="22" xfId="0" applyFill="1" applyBorder="1" applyProtection="1"/>
    <xf numFmtId="0" fontId="4" fillId="4" borderId="22" xfId="0" applyFont="1" applyFill="1" applyBorder="1" applyAlignment="1" applyProtection="1">
      <alignment horizontal="center"/>
    </xf>
    <xf numFmtId="0" fontId="38" fillId="2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9" xfId="2" applyFill="1" applyBorder="1" applyAlignment="1">
      <alignment horizontal="right"/>
    </xf>
    <xf numFmtId="0" fontId="4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vertical="center"/>
    </xf>
    <xf numFmtId="0" fontId="4" fillId="2" borderId="0" xfId="2" quotePrefix="1" applyFill="1" applyBorder="1" applyAlignment="1">
      <alignment horizontal="right"/>
    </xf>
    <xf numFmtId="0" fontId="0" fillId="0" borderId="0" xfId="0" applyAlignment="1"/>
    <xf numFmtId="0" fontId="25" fillId="6" borderId="9" xfId="0" applyFont="1" applyFill="1" applyBorder="1" applyAlignment="1" applyProtection="1">
      <alignment horizontal="right" vertical="center"/>
      <protection hidden="1"/>
    </xf>
    <xf numFmtId="0" fontId="0" fillId="6" borderId="45" xfId="0" applyFill="1" applyBorder="1" applyProtection="1">
      <protection hidden="1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28" xfId="0" applyFont="1" applyFill="1" applyBorder="1" applyAlignment="1" applyProtection="1">
      <alignment horizontal="center"/>
    </xf>
    <xf numFmtId="0" fontId="4" fillId="5" borderId="29" xfId="0" applyFont="1" applyFill="1" applyBorder="1" applyAlignment="1" applyProtection="1">
      <alignment horizontal="left"/>
    </xf>
    <xf numFmtId="0" fontId="3" fillId="5" borderId="30" xfId="0" applyFont="1" applyFill="1" applyBorder="1" applyAlignment="1" applyProtection="1">
      <alignment horizontal="center"/>
    </xf>
    <xf numFmtId="0" fontId="37" fillId="0" borderId="0" xfId="0" applyFont="1" applyBorder="1" applyProtection="1"/>
    <xf numFmtId="0" fontId="39" fillId="8" borderId="29" xfId="0" applyFont="1" applyFill="1" applyBorder="1" applyAlignment="1" applyProtection="1">
      <alignment horizontal="center"/>
    </xf>
    <xf numFmtId="0" fontId="4" fillId="0" borderId="0" xfId="0" applyFont="1"/>
    <xf numFmtId="49" fontId="0" fillId="0" borderId="0" xfId="0" applyNumberFormat="1"/>
    <xf numFmtId="0" fontId="4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vertical="center"/>
    </xf>
    <xf numFmtId="0" fontId="40" fillId="0" borderId="0" xfId="0" applyFont="1"/>
    <xf numFmtId="0" fontId="42" fillId="0" borderId="0" xfId="0" applyFont="1"/>
    <xf numFmtId="49" fontId="42" fillId="0" borderId="0" xfId="0" applyNumberFormat="1" applyFont="1"/>
    <xf numFmtId="0" fontId="4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4" fillId="2" borderId="26" xfId="2" applyFont="1" applyFill="1" applyBorder="1" applyAlignment="1" applyProtection="1">
      <alignment horizontal="center"/>
    </xf>
    <xf numFmtId="0" fontId="4" fillId="2" borderId="50" xfId="2" applyFont="1" applyFill="1" applyBorder="1" applyAlignment="1" applyProtection="1">
      <alignment horizontal="center"/>
    </xf>
    <xf numFmtId="0" fontId="4" fillId="2" borderId="9" xfId="2" applyFill="1" applyBorder="1" applyAlignment="1" applyProtection="1">
      <alignment horizontal="center"/>
    </xf>
    <xf numFmtId="0" fontId="4" fillId="2" borderId="25" xfId="2" applyFill="1" applyBorder="1" applyAlignment="1" applyProtection="1">
      <alignment horizontal="center"/>
    </xf>
    <xf numFmtId="0" fontId="4" fillId="2" borderId="50" xfId="2" applyFill="1" applyBorder="1" applyAlignment="1" applyProtection="1">
      <alignment horizontal="center"/>
    </xf>
    <xf numFmtId="0" fontId="4" fillId="2" borderId="27" xfId="2" applyFill="1" applyBorder="1" applyAlignment="1" applyProtection="1">
      <alignment horizontal="center"/>
    </xf>
    <xf numFmtId="179" fontId="4" fillId="2" borderId="24" xfId="2" applyNumberFormat="1" applyFont="1" applyFill="1" applyBorder="1" applyAlignment="1" applyProtection="1">
      <alignment horizontal="center"/>
    </xf>
    <xf numFmtId="179" fontId="4" fillId="2" borderId="9" xfId="2" applyNumberFormat="1" applyFont="1" applyFill="1" applyBorder="1" applyAlignment="1" applyProtection="1">
      <alignment horizontal="center"/>
    </xf>
    <xf numFmtId="0" fontId="4" fillId="2" borderId="24" xfId="2" applyFont="1" applyFill="1" applyBorder="1" applyAlignment="1" applyProtection="1">
      <alignment horizontal="center"/>
    </xf>
    <xf numFmtId="0" fontId="4" fillId="2" borderId="9" xfId="2" applyFont="1" applyFill="1" applyBorder="1" applyAlignment="1" applyProtection="1">
      <alignment horizontal="center"/>
    </xf>
    <xf numFmtId="0" fontId="30" fillId="6" borderId="129" xfId="2" applyFont="1" applyFill="1" applyBorder="1" applyAlignment="1" applyProtection="1">
      <alignment horizontal="center" vertical="center"/>
    </xf>
    <xf numFmtId="0" fontId="30" fillId="6" borderId="130" xfId="2" applyFont="1" applyFill="1" applyBorder="1" applyAlignment="1" applyProtection="1">
      <alignment horizontal="center" vertical="center"/>
    </xf>
    <xf numFmtId="0" fontId="30" fillId="6" borderId="81" xfId="2" applyFont="1" applyFill="1" applyBorder="1" applyAlignment="1" applyProtection="1">
      <alignment horizontal="center" vertical="center"/>
    </xf>
    <xf numFmtId="0" fontId="3" fillId="2" borderId="24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0" fontId="3" fillId="2" borderId="25" xfId="2" applyFont="1" applyFill="1" applyBorder="1" applyAlignment="1" applyProtection="1">
      <alignment horizontal="center"/>
    </xf>
    <xf numFmtId="0" fontId="30" fillId="6" borderId="59" xfId="2" applyFont="1" applyFill="1" applyBorder="1" applyAlignment="1" applyProtection="1">
      <alignment horizontal="center" vertical="center"/>
    </xf>
    <xf numFmtId="0" fontId="30" fillId="6" borderId="60" xfId="2" applyFont="1" applyFill="1" applyBorder="1" applyAlignment="1" applyProtection="1">
      <alignment horizontal="center" vertical="center"/>
    </xf>
    <xf numFmtId="0" fontId="30" fillId="6" borderId="61" xfId="2" applyFont="1" applyFill="1" applyBorder="1" applyAlignment="1" applyProtection="1">
      <alignment horizontal="center" vertical="center"/>
    </xf>
    <xf numFmtId="0" fontId="30" fillId="2" borderId="129" xfId="2" applyFont="1" applyFill="1" applyBorder="1" applyAlignment="1" applyProtection="1">
      <alignment horizontal="center"/>
    </xf>
    <xf numFmtId="0" fontId="30" fillId="2" borderId="130" xfId="2" applyFont="1" applyFill="1" applyBorder="1" applyAlignment="1" applyProtection="1">
      <alignment horizontal="center"/>
    </xf>
    <xf numFmtId="0" fontId="30" fillId="2" borderId="81" xfId="2" applyFont="1" applyFill="1" applyBorder="1" applyAlignment="1" applyProtection="1">
      <alignment horizontal="center"/>
    </xf>
    <xf numFmtId="0" fontId="15" fillId="2" borderId="59" xfId="2" applyFont="1" applyFill="1" applyBorder="1" applyAlignment="1" applyProtection="1">
      <alignment horizontal="center" vertical="center"/>
    </xf>
    <xf numFmtId="0" fontId="15" fillId="2" borderId="60" xfId="2" applyFont="1" applyFill="1" applyBorder="1" applyAlignment="1" applyProtection="1">
      <alignment horizontal="center" vertical="center"/>
    </xf>
    <xf numFmtId="0" fontId="15" fillId="2" borderId="126" xfId="2" applyFont="1" applyFill="1" applyBorder="1" applyAlignment="1" applyProtection="1">
      <alignment horizontal="center" vertical="center"/>
    </xf>
    <xf numFmtId="0" fontId="14" fillId="2" borderId="132" xfId="2" applyFont="1" applyFill="1" applyBorder="1" applyAlignment="1" applyProtection="1">
      <alignment horizontal="center" vertical="center"/>
    </xf>
    <xf numFmtId="0" fontId="14" fillId="2" borderId="60" xfId="2" applyFont="1" applyFill="1" applyBorder="1" applyAlignment="1" applyProtection="1">
      <alignment horizontal="center" vertical="center"/>
    </xf>
    <xf numFmtId="0" fontId="14" fillId="2" borderId="61" xfId="2" applyFont="1" applyFill="1" applyBorder="1" applyAlignment="1" applyProtection="1">
      <alignment horizontal="center" vertical="center"/>
    </xf>
    <xf numFmtId="0" fontId="15" fillId="2" borderId="133" xfId="2" applyFont="1" applyFill="1" applyBorder="1" applyAlignment="1" applyProtection="1">
      <alignment horizontal="center" vertical="center"/>
    </xf>
    <xf numFmtId="0" fontId="15" fillId="2" borderId="83" xfId="2" applyFont="1" applyFill="1" applyBorder="1" applyAlignment="1" applyProtection="1">
      <alignment horizontal="center" vertical="center"/>
    </xf>
    <xf numFmtId="0" fontId="15" fillId="2" borderId="84" xfId="2" applyFont="1" applyFill="1" applyBorder="1" applyAlignment="1" applyProtection="1">
      <alignment horizontal="center" vertical="center"/>
    </xf>
    <xf numFmtId="0" fontId="14" fillId="2" borderId="82" xfId="2" applyFont="1" applyFill="1" applyBorder="1" applyAlignment="1" applyProtection="1">
      <alignment horizontal="center" vertical="center"/>
    </xf>
    <xf numFmtId="0" fontId="14" fillId="2" borderId="83" xfId="2" applyFont="1" applyFill="1" applyBorder="1" applyAlignment="1" applyProtection="1">
      <alignment horizontal="center" vertical="center"/>
    </xf>
    <xf numFmtId="0" fontId="14" fillId="2" borderId="127" xfId="2" applyFont="1" applyFill="1" applyBorder="1" applyAlignment="1" applyProtection="1">
      <alignment horizontal="center" vertical="center"/>
    </xf>
    <xf numFmtId="0" fontId="27" fillId="2" borderId="34" xfId="2" applyFont="1" applyFill="1" applyBorder="1" applyAlignment="1" applyProtection="1">
      <alignment horizontal="center" vertical="center"/>
    </xf>
    <xf numFmtId="0" fontId="27" fillId="2" borderId="0" xfId="2" applyFont="1" applyFill="1" applyBorder="1" applyAlignment="1" applyProtection="1">
      <alignment horizontal="center" vertical="center"/>
    </xf>
    <xf numFmtId="0" fontId="27" fillId="2" borderId="35" xfId="2" applyFont="1" applyFill="1" applyBorder="1" applyAlignment="1" applyProtection="1">
      <alignment horizontal="center" vertical="center"/>
    </xf>
    <xf numFmtId="0" fontId="28" fillId="2" borderId="45" xfId="2" applyNumberFormat="1" applyFont="1" applyFill="1" applyBorder="1" applyAlignment="1" applyProtection="1">
      <alignment horizontal="center" vertical="center"/>
    </xf>
    <xf numFmtId="0" fontId="29" fillId="2" borderId="45" xfId="2" applyNumberFormat="1" applyFont="1" applyFill="1" applyBorder="1" applyAlignment="1" applyProtection="1">
      <alignment horizontal="center" vertical="center"/>
    </xf>
    <xf numFmtId="14" fontId="28" fillId="2" borderId="45" xfId="2" applyNumberFormat="1" applyFont="1" applyFill="1" applyBorder="1" applyAlignment="1" applyProtection="1">
      <alignment horizontal="center" vertical="center"/>
    </xf>
    <xf numFmtId="0" fontId="29" fillId="2" borderId="45" xfId="2" applyFont="1" applyFill="1" applyBorder="1" applyAlignment="1" applyProtection="1">
      <alignment horizontal="center" vertical="center"/>
    </xf>
    <xf numFmtId="0" fontId="17" fillId="2" borderId="31" xfId="2" applyFont="1" applyFill="1" applyBorder="1" applyAlignment="1" applyProtection="1">
      <alignment horizontal="center" vertical="center"/>
    </xf>
    <xf numFmtId="0" fontId="17" fillId="2" borderId="32" xfId="2" applyFont="1" applyFill="1" applyBorder="1" applyAlignment="1" applyProtection="1">
      <alignment horizontal="center" vertical="center"/>
    </xf>
    <xf numFmtId="0" fontId="17" fillId="2" borderId="33" xfId="2" applyFont="1" applyFill="1" applyBorder="1" applyAlignment="1" applyProtection="1">
      <alignment horizontal="center" vertical="center"/>
    </xf>
    <xf numFmtId="0" fontId="17" fillId="2" borderId="74" xfId="2" applyFont="1" applyFill="1" applyBorder="1" applyAlignment="1" applyProtection="1">
      <alignment horizontal="center" vertical="center"/>
    </xf>
    <xf numFmtId="0" fontId="17" fillId="2" borderId="75" xfId="2" applyFont="1" applyFill="1" applyBorder="1" applyAlignment="1" applyProtection="1">
      <alignment horizontal="center" vertical="center"/>
    </xf>
    <xf numFmtId="0" fontId="17" fillId="2" borderId="125" xfId="2" applyFont="1" applyFill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left"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15" fillId="0" borderId="36" xfId="0" applyFont="1" applyBorder="1" applyAlignment="1" applyProtection="1">
      <alignment horizontal="center"/>
      <protection hidden="1"/>
    </xf>
    <xf numFmtId="0" fontId="15" fillId="0" borderId="102" xfId="0" applyFont="1" applyBorder="1" applyAlignment="1" applyProtection="1">
      <alignment horizontal="center"/>
      <protection hidden="1"/>
    </xf>
    <xf numFmtId="0" fontId="15" fillId="0" borderId="37" xfId="0" applyFont="1" applyBorder="1" applyAlignment="1" applyProtection="1">
      <alignment horizontal="center"/>
      <protection hidden="1"/>
    </xf>
    <xf numFmtId="0" fontId="16" fillId="0" borderId="31" xfId="0" applyFont="1" applyFill="1" applyBorder="1" applyAlignment="1" applyProtection="1">
      <alignment horizontal="center" vertical="center"/>
      <protection hidden="1"/>
    </xf>
    <xf numFmtId="0" fontId="16" fillId="0" borderId="32" xfId="0" applyFont="1" applyFill="1" applyBorder="1" applyAlignment="1" applyProtection="1">
      <alignment horizontal="center" vertical="center"/>
      <protection hidden="1"/>
    </xf>
    <xf numFmtId="0" fontId="16" fillId="0" borderId="33" xfId="0" applyFont="1" applyFill="1" applyBorder="1" applyAlignment="1" applyProtection="1">
      <alignment horizontal="center" vertical="center"/>
      <protection hidden="1"/>
    </xf>
    <xf numFmtId="0" fontId="16" fillId="0" borderId="34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35" xfId="0" applyFont="1" applyFill="1" applyBorder="1" applyAlignment="1" applyProtection="1">
      <alignment horizontal="center" vertical="center"/>
      <protection hidden="1"/>
    </xf>
    <xf numFmtId="0" fontId="18" fillId="6" borderId="103" xfId="0" applyFont="1" applyFill="1" applyBorder="1" applyAlignment="1" applyProtection="1">
      <alignment horizontal="center" vertical="center"/>
      <protection hidden="1"/>
    </xf>
    <xf numFmtId="0" fontId="18" fillId="6" borderId="104" xfId="0" applyFont="1" applyFill="1" applyBorder="1" applyAlignment="1" applyProtection="1">
      <alignment horizontal="center" vertical="center"/>
      <protection hidden="1"/>
    </xf>
    <xf numFmtId="0" fontId="18" fillId="6" borderId="105" xfId="0" applyFont="1" applyFill="1" applyBorder="1" applyAlignment="1" applyProtection="1">
      <alignment horizontal="center" vertical="center"/>
      <protection hidden="1"/>
    </xf>
    <xf numFmtId="0" fontId="18" fillId="6" borderId="106" xfId="0" applyFont="1" applyFill="1" applyBorder="1" applyAlignment="1" applyProtection="1">
      <alignment horizontal="center" vertical="center"/>
      <protection hidden="1"/>
    </xf>
    <xf numFmtId="0" fontId="18" fillId="6" borderId="86" xfId="0" applyFont="1" applyFill="1" applyBorder="1" applyAlignment="1" applyProtection="1">
      <alignment horizontal="center" vertical="center"/>
      <protection hidden="1"/>
    </xf>
    <xf numFmtId="0" fontId="18" fillId="6" borderId="107" xfId="0" applyFont="1" applyFill="1" applyBorder="1" applyAlignment="1" applyProtection="1">
      <alignment horizontal="center" vertical="center"/>
      <protection hidden="1"/>
    </xf>
    <xf numFmtId="0" fontId="37" fillId="2" borderId="152" xfId="0" applyFont="1" applyFill="1" applyBorder="1" applyAlignment="1" applyProtection="1">
      <alignment vertical="top" wrapText="1"/>
    </xf>
    <xf numFmtId="0" fontId="4" fillId="0" borderId="0" xfId="0" applyFont="1" applyAlignment="1">
      <alignment vertical="top" wrapText="1"/>
    </xf>
    <xf numFmtId="0" fontId="4" fillId="0" borderId="152" xfId="0" applyFont="1" applyBorder="1" applyAlignment="1">
      <alignment vertical="top"/>
    </xf>
    <xf numFmtId="0" fontId="4" fillId="0" borderId="0" xfId="0" applyFont="1" applyAlignment="1">
      <alignment vertical="top"/>
    </xf>
    <xf numFmtId="0" fontId="37" fillId="0" borderId="152" xfId="0" applyFont="1" applyBorder="1" applyAlignment="1" applyProtection="1">
      <alignment horizontal="left" vertical="top" wrapText="1"/>
      <protection hidden="1"/>
    </xf>
    <xf numFmtId="0" fontId="4" fillId="0" borderId="152" xfId="0" applyFont="1" applyBorder="1" applyAlignment="1">
      <alignment horizontal="left" vertical="top" wrapText="1"/>
    </xf>
    <xf numFmtId="0" fontId="4" fillId="0" borderId="152" xfId="0" applyFont="1" applyBorder="1" applyAlignment="1">
      <alignment horizontal="left" wrapText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35" xfId="0" applyFont="1" applyBorder="1" applyAlignment="1" applyProtection="1">
      <alignment horizontal="center" vertical="center"/>
      <protection hidden="1"/>
    </xf>
    <xf numFmtId="0" fontId="18" fillId="6" borderId="115" xfId="0" applyFont="1" applyFill="1" applyBorder="1" applyAlignment="1" applyProtection="1">
      <alignment horizontal="center" vertical="center"/>
      <protection hidden="1"/>
    </xf>
    <xf numFmtId="0" fontId="18" fillId="6" borderId="116" xfId="0" applyFont="1" applyFill="1" applyBorder="1" applyAlignment="1" applyProtection="1">
      <alignment horizontal="center" vertical="center"/>
      <protection hidden="1"/>
    </xf>
    <xf numFmtId="0" fontId="18" fillId="6" borderId="117" xfId="0" applyFont="1" applyFill="1" applyBorder="1" applyAlignment="1" applyProtection="1">
      <alignment horizontal="center" vertical="center"/>
      <protection hidden="1"/>
    </xf>
    <xf numFmtId="0" fontId="18" fillId="6" borderId="108" xfId="0" applyFont="1" applyFill="1" applyBorder="1" applyAlignment="1" applyProtection="1">
      <alignment horizontal="center" vertical="center"/>
      <protection hidden="1"/>
    </xf>
    <xf numFmtId="0" fontId="18" fillId="6" borderId="9" xfId="0" applyFont="1" applyFill="1" applyBorder="1" applyAlignment="1" applyProtection="1">
      <alignment horizontal="center" vertical="center"/>
      <protection hidden="1"/>
    </xf>
    <xf numFmtId="0" fontId="18" fillId="6" borderId="109" xfId="0" applyFont="1" applyFill="1" applyBorder="1" applyAlignment="1" applyProtection="1">
      <alignment horizontal="center" vertical="center"/>
      <protection hidden="1"/>
    </xf>
    <xf numFmtId="0" fontId="9" fillId="0" borderId="73" xfId="0" applyFont="1" applyFill="1" applyBorder="1" applyAlignment="1" applyProtection="1">
      <alignment horizontal="left" vertical="center"/>
    </xf>
    <xf numFmtId="0" fontId="9" fillId="0" borderId="44" xfId="0" applyFont="1" applyFill="1" applyBorder="1" applyAlignment="1" applyProtection="1">
      <alignment horizontal="left" vertical="center"/>
    </xf>
    <xf numFmtId="0" fontId="9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horizontal="left" vertical="center"/>
    </xf>
    <xf numFmtId="0" fontId="9" fillId="0" borderId="74" xfId="0" applyFont="1" applyFill="1" applyBorder="1" applyAlignment="1" applyProtection="1">
      <alignment horizontal="left" vertical="center"/>
    </xf>
    <xf numFmtId="0" fontId="9" fillId="0" borderId="75" xfId="0" applyFont="1" applyFill="1" applyBorder="1" applyAlignment="1" applyProtection="1">
      <alignment horizontal="left" vertical="center"/>
    </xf>
    <xf numFmtId="0" fontId="10" fillId="6" borderId="30" xfId="0" applyFont="1" applyFill="1" applyBorder="1" applyAlignment="1" applyProtection="1">
      <alignment horizontal="center" wrapText="1"/>
      <protection hidden="1"/>
    </xf>
    <xf numFmtId="0" fontId="10" fillId="6" borderId="99" xfId="0" applyFont="1" applyFill="1" applyBorder="1" applyAlignment="1" applyProtection="1">
      <alignment horizontal="center" wrapText="1"/>
      <protection hidden="1"/>
    </xf>
    <xf numFmtId="0" fontId="13" fillId="0" borderId="76" xfId="0" applyFont="1" applyFill="1" applyBorder="1" applyAlignment="1" applyProtection="1">
      <alignment horizontal="center"/>
    </xf>
    <xf numFmtId="0" fontId="13" fillId="0" borderId="77" xfId="0" applyFont="1" applyFill="1" applyBorder="1" applyAlignment="1" applyProtection="1">
      <alignment horizontal="center"/>
    </xf>
    <xf numFmtId="0" fontId="10" fillId="6" borderId="38" xfId="0" applyFont="1" applyFill="1" applyBorder="1" applyAlignment="1" applyProtection="1">
      <alignment horizontal="center" vertical="center"/>
    </xf>
    <xf numFmtId="0" fontId="10" fillId="6" borderId="26" xfId="0" applyFont="1" applyFill="1" applyBorder="1" applyAlignment="1" applyProtection="1">
      <alignment horizontal="center" vertical="center"/>
    </xf>
    <xf numFmtId="0" fontId="10" fillId="6" borderId="49" xfId="0" applyFont="1" applyFill="1" applyBorder="1" applyAlignment="1" applyProtection="1">
      <alignment horizontal="center" vertical="center"/>
    </xf>
    <xf numFmtId="0" fontId="10" fillId="6" borderId="50" xfId="0" applyFont="1" applyFill="1" applyBorder="1" applyAlignment="1" applyProtection="1">
      <alignment horizontal="center" vertical="center"/>
    </xf>
    <xf numFmtId="0" fontId="10" fillId="6" borderId="49" xfId="0" applyFont="1" applyFill="1" applyBorder="1" applyAlignment="1" applyProtection="1">
      <alignment horizontal="center"/>
    </xf>
    <xf numFmtId="0" fontId="10" fillId="6" borderId="39" xfId="0" applyFont="1" applyFill="1" applyBorder="1" applyAlignment="1" applyProtection="1">
      <alignment horizontal="center"/>
    </xf>
    <xf numFmtId="0" fontId="9" fillId="2" borderId="47" xfId="0" applyFont="1" applyFill="1" applyBorder="1" applyAlignment="1" applyProtection="1">
      <alignment horizontal="center" vertical="center"/>
    </xf>
    <xf numFmtId="0" fontId="9" fillId="2" borderId="48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65" xfId="0" applyFont="1" applyFill="1" applyBorder="1" applyAlignment="1" applyProtection="1">
      <alignment horizontal="left" vertical="center"/>
    </xf>
    <xf numFmtId="0" fontId="9" fillId="0" borderId="66" xfId="0" applyFont="1" applyFill="1" applyBorder="1" applyAlignment="1" applyProtection="1">
      <alignment horizontal="left" vertical="center"/>
    </xf>
    <xf numFmtId="0" fontId="9" fillId="0" borderId="67" xfId="0" applyFont="1" applyFill="1" applyBorder="1" applyAlignment="1" applyProtection="1">
      <alignment horizontal="left" vertical="center"/>
    </xf>
    <xf numFmtId="0" fontId="9" fillId="0" borderId="68" xfId="0" applyFont="1" applyFill="1" applyBorder="1" applyAlignment="1" applyProtection="1">
      <alignment horizontal="left" vertical="center"/>
    </xf>
    <xf numFmtId="0" fontId="9" fillId="0" borderId="6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72" xfId="0" applyFont="1" applyFill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32" xfId="0" applyFont="1" applyBorder="1" applyAlignment="1" applyProtection="1">
      <alignment horizontal="center" vertical="center"/>
      <protection hidden="1"/>
    </xf>
    <xf numFmtId="0" fontId="16" fillId="0" borderId="33" xfId="0" applyFont="1" applyBorder="1" applyAlignment="1" applyProtection="1">
      <alignment horizontal="center" vertical="center"/>
      <protection hidden="1"/>
    </xf>
    <xf numFmtId="0" fontId="16" fillId="0" borderId="120" xfId="0" applyFont="1" applyBorder="1" applyAlignment="1" applyProtection="1">
      <alignment horizontal="center" vertical="center"/>
      <protection hidden="1"/>
    </xf>
    <xf numFmtId="0" fontId="16" fillId="0" borderId="121" xfId="0" applyFont="1" applyBorder="1" applyAlignment="1" applyProtection="1">
      <alignment horizontal="center" vertical="center"/>
      <protection hidden="1"/>
    </xf>
    <xf numFmtId="0" fontId="16" fillId="0" borderId="122" xfId="0" applyFont="1" applyBorder="1" applyAlignment="1" applyProtection="1">
      <alignment horizontal="center" vertical="center"/>
      <protection hidden="1"/>
    </xf>
    <xf numFmtId="0" fontId="10" fillId="6" borderId="69" xfId="0" applyFont="1" applyFill="1" applyBorder="1" applyAlignment="1" applyProtection="1">
      <alignment horizontal="center"/>
    </xf>
    <xf numFmtId="0" fontId="10" fillId="6" borderId="81" xfId="0" applyFont="1" applyFill="1" applyBorder="1" applyAlignment="1" applyProtection="1">
      <alignment horizontal="center"/>
    </xf>
    <xf numFmtId="0" fontId="4" fillId="5" borderId="70" xfId="0" applyFont="1" applyFill="1" applyBorder="1" applyAlignment="1" applyProtection="1">
      <alignment horizontal="center"/>
    </xf>
    <xf numFmtId="0" fontId="4" fillId="5" borderId="71" xfId="0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center" vertical="center"/>
    </xf>
    <xf numFmtId="0" fontId="9" fillId="2" borderId="147" xfId="0" applyFont="1" applyFill="1" applyBorder="1" applyAlignment="1" applyProtection="1">
      <alignment horizontal="center" vertical="center"/>
    </xf>
    <xf numFmtId="0" fontId="0" fillId="0" borderId="147" xfId="0" applyBorder="1" applyAlignment="1">
      <alignment horizontal="center" vertical="center"/>
    </xf>
    <xf numFmtId="0" fontId="38" fillId="2" borderId="148" xfId="0" applyFont="1" applyFill="1" applyBorder="1" applyAlignment="1">
      <alignment horizontal="left"/>
    </xf>
    <xf numFmtId="0" fontId="38" fillId="2" borderId="149" xfId="0" applyFont="1" applyFill="1" applyBorder="1" applyAlignment="1">
      <alignment horizontal="left"/>
    </xf>
    <xf numFmtId="0" fontId="3" fillId="0" borderId="51" xfId="0" applyFont="1" applyBorder="1" applyAlignment="1" applyProtection="1">
      <alignment horizontal="center"/>
    </xf>
    <xf numFmtId="0" fontId="0" fillId="0" borderId="56" xfId="0" applyBorder="1" applyAlignment="1">
      <alignment horizontal="center"/>
    </xf>
    <xf numFmtId="0" fontId="12" fillId="6" borderId="59" xfId="0" applyFont="1" applyFill="1" applyBorder="1" applyAlignment="1" applyProtection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8" fillId="2" borderId="88" xfId="0" applyFont="1" applyFill="1" applyBorder="1" applyAlignment="1">
      <alignment horizontal="left"/>
    </xf>
    <xf numFmtId="0" fontId="38" fillId="2" borderId="137" xfId="0" applyFont="1" applyFill="1" applyBorder="1" applyAlignment="1">
      <alignment horizontal="left"/>
    </xf>
    <xf numFmtId="0" fontId="38" fillId="2" borderId="13" xfId="0" applyFont="1" applyFill="1" applyBorder="1" applyAlignment="1">
      <alignment horizontal="left"/>
    </xf>
    <xf numFmtId="0" fontId="38" fillId="2" borderId="9" xfId="0" applyFont="1" applyFill="1" applyBorder="1" applyAlignment="1">
      <alignment horizontal="left"/>
    </xf>
    <xf numFmtId="0" fontId="9" fillId="0" borderId="146" xfId="0" applyFont="1" applyBorder="1" applyAlignment="1" applyProtection="1">
      <alignment horizontal="left" vertical="center"/>
    </xf>
    <xf numFmtId="0" fontId="9" fillId="0" borderId="147" xfId="0" applyFont="1" applyBorder="1" applyAlignment="1" applyProtection="1">
      <alignment horizontal="left" vertical="center"/>
    </xf>
    <xf numFmtId="0" fontId="9" fillId="0" borderId="151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15" fillId="2" borderId="34" xfId="0" applyFont="1" applyFill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8" fillId="6" borderId="123" xfId="0" applyFont="1" applyFill="1" applyBorder="1" applyAlignment="1" applyProtection="1">
      <alignment horizontal="center" vertical="center"/>
      <protection hidden="1"/>
    </xf>
    <xf numFmtId="0" fontId="18" fillId="6" borderId="0" xfId="0" applyFont="1" applyFill="1" applyBorder="1" applyAlignment="1" applyProtection="1">
      <alignment horizontal="center" vertical="center"/>
      <protection hidden="1"/>
    </xf>
    <xf numFmtId="0" fontId="18" fillId="6" borderId="124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82" xfId="0" applyFont="1" applyFill="1" applyBorder="1" applyAlignment="1" applyProtection="1">
      <alignment horizontal="center" vertical="center" wrapText="1"/>
    </xf>
    <xf numFmtId="0" fontId="3" fillId="3" borderId="83" xfId="0" applyFont="1" applyFill="1" applyBorder="1" applyAlignment="1" applyProtection="1">
      <alignment horizontal="center" vertical="center" wrapText="1"/>
    </xf>
    <xf numFmtId="0" fontId="3" fillId="3" borderId="84" xfId="0" applyFont="1" applyFill="1" applyBorder="1" applyAlignment="1" applyProtection="1">
      <alignment horizontal="center" vertical="center" wrapText="1"/>
    </xf>
    <xf numFmtId="0" fontId="3" fillId="3" borderId="85" xfId="0" applyFont="1" applyFill="1" applyBorder="1" applyAlignment="1" applyProtection="1">
      <alignment horizontal="center" vertical="center" wrapText="1"/>
    </xf>
    <xf numFmtId="0" fontId="3" fillId="3" borderId="86" xfId="0" applyFont="1" applyFill="1" applyBorder="1" applyAlignment="1" applyProtection="1">
      <alignment horizontal="center" vertical="center" wrapText="1"/>
    </xf>
    <xf numFmtId="0" fontId="3" fillId="3" borderId="87" xfId="0" applyFont="1" applyFill="1" applyBorder="1" applyAlignment="1" applyProtection="1">
      <alignment horizontal="center" vertical="center" wrapText="1"/>
    </xf>
    <xf numFmtId="0" fontId="3" fillId="3" borderId="88" xfId="0" applyFont="1" applyFill="1" applyBorder="1" applyAlignment="1">
      <alignment horizontal="center"/>
    </xf>
    <xf numFmtId="0" fontId="3" fillId="3" borderId="134" xfId="0" applyFont="1" applyFill="1" applyBorder="1" applyAlignment="1">
      <alignment horizontal="center"/>
    </xf>
    <xf numFmtId="0" fontId="3" fillId="3" borderId="89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left" wrapText="1"/>
    </xf>
    <xf numFmtId="0" fontId="0" fillId="2" borderId="83" xfId="0" applyFill="1" applyBorder="1" applyAlignment="1">
      <alignment horizontal="left" wrapText="1"/>
    </xf>
    <xf numFmtId="0" fontId="0" fillId="2" borderId="84" xfId="0" applyFill="1" applyBorder="1" applyAlignment="1">
      <alignment horizontal="left" wrapText="1"/>
    </xf>
    <xf numFmtId="0" fontId="4" fillId="2" borderId="144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43" xfId="0" applyFill="1" applyBorder="1" applyAlignment="1">
      <alignment horizontal="left"/>
    </xf>
    <xf numFmtId="0" fontId="0" fillId="2" borderId="85" xfId="0" applyFill="1" applyBorder="1" applyAlignment="1">
      <alignment horizontal="left"/>
    </xf>
    <xf numFmtId="0" fontId="0" fillId="2" borderId="86" xfId="0" applyFill="1" applyBorder="1" applyAlignment="1">
      <alignment horizontal="left"/>
    </xf>
    <xf numFmtId="0" fontId="0" fillId="2" borderId="87" xfId="0" applyFill="1" applyBorder="1" applyAlignment="1">
      <alignment horizontal="left"/>
    </xf>
    <xf numFmtId="0" fontId="3" fillId="3" borderId="90" xfId="0" applyFont="1" applyFill="1" applyBorder="1" applyAlignment="1">
      <alignment horizontal="center"/>
    </xf>
    <xf numFmtId="0" fontId="3" fillId="3" borderId="91" xfId="0" applyFont="1" applyFill="1" applyBorder="1" applyAlignment="1">
      <alignment horizontal="center"/>
    </xf>
    <xf numFmtId="0" fontId="3" fillId="3" borderId="137" xfId="0" applyFont="1" applyFill="1" applyBorder="1" applyAlignment="1">
      <alignment horizontal="center"/>
    </xf>
  </cellXfs>
  <cellStyles count="4">
    <cellStyle name="Normal 2" xfId="1"/>
    <cellStyle name="Normal 2 2" xfId="3"/>
    <cellStyle name="Normal 3" xfId="2"/>
    <cellStyle name="標準" xfId="0" builtinId="0"/>
  </cellStyles>
  <dxfs count="3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9B07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47624</xdr:colOff>
      <xdr:row>30</xdr:row>
      <xdr:rowOff>38100</xdr:rowOff>
    </xdr:from>
    <xdr:ext cx="8753476" cy="41719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699" y="3124200"/>
          <a:ext cx="8753476" cy="4171949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30</xdr:row>
      <xdr:rowOff>95251</xdr:rowOff>
    </xdr:from>
    <xdr:to>
      <xdr:col>5</xdr:col>
      <xdr:colOff>866775</xdr:colOff>
      <xdr:row>44</xdr:row>
      <xdr:rowOff>88454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3181351"/>
          <a:ext cx="6296025" cy="226967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49</xdr:row>
      <xdr:rowOff>38100</xdr:rowOff>
    </xdr:from>
    <xdr:to>
      <xdr:col>5</xdr:col>
      <xdr:colOff>876299</xdr:colOff>
      <xdr:row>63</xdr:row>
      <xdr:rowOff>123825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6229350"/>
          <a:ext cx="6343649" cy="236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i\AvatarEmifTools\docs\Avatar_EMIF_RegisterConfig.xlsm.bk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Title-README"/>
      <sheetName val="Step1-SystemDetails"/>
      <sheetName val="Step2-BoardDetails"/>
      <sheetName val="Step3-DDRTimings"/>
      <sheetName val="Register Values"/>
      <sheetName val="EMIF_Configurations"/>
      <sheetName val="Register Values (GEL)"/>
      <sheetName val="DynamicUserOptions"/>
      <sheetName val="LOCK"/>
      <sheetName val="UserConfig"/>
    </sheetNames>
    <sheetDataSet>
      <sheetData sheetId="0" refreshError="1"/>
      <sheetData sheetId="1" refreshError="1"/>
      <sheetData sheetId="2">
        <row r="17">
          <cell r="F17" t="str">
            <v>TI_EVM_revB</v>
          </cell>
        </row>
        <row r="18">
          <cell r="F18" t="str">
            <v>DRA72x</v>
          </cell>
        </row>
        <row r="19">
          <cell r="F19">
            <v>20</v>
          </cell>
        </row>
        <row r="20">
          <cell r="F20">
            <v>1</v>
          </cell>
        </row>
        <row r="21">
          <cell r="F21" t="str">
            <v>DDR3/L</v>
          </cell>
        </row>
        <row r="22">
          <cell r="F22">
            <v>400</v>
          </cell>
        </row>
        <row r="23">
          <cell r="F23">
            <v>32</v>
          </cell>
        </row>
        <row r="24">
          <cell r="F24">
            <v>1</v>
          </cell>
        </row>
        <row r="25">
          <cell r="F25" t="str">
            <v>H/W</v>
          </cell>
        </row>
        <row r="26">
          <cell r="F26" t="str">
            <v>No</v>
          </cell>
        </row>
        <row r="31">
          <cell r="F31">
            <v>1066</v>
          </cell>
        </row>
        <row r="32">
          <cell r="F32">
            <v>1</v>
          </cell>
        </row>
        <row r="33">
          <cell r="F33">
            <v>8</v>
          </cell>
        </row>
        <row r="34">
          <cell r="F34">
            <v>6</v>
          </cell>
        </row>
        <row r="39">
          <cell r="F39" t="str">
            <v>RZQ/4</v>
          </cell>
        </row>
        <row r="40">
          <cell r="F40" t="str">
            <v>Disabled</v>
          </cell>
        </row>
        <row r="41">
          <cell r="F41" t="str">
            <v>RZQ/7</v>
          </cell>
        </row>
        <row r="47">
          <cell r="F47">
            <v>60</v>
          </cell>
        </row>
        <row r="48">
          <cell r="F48" t="str">
            <v>Fastest: SR[2:0] = 0b000</v>
          </cell>
        </row>
        <row r="49">
          <cell r="F49" t="str">
            <v>Fastest: SR[2:0] = 0b000</v>
          </cell>
        </row>
        <row r="50">
          <cell r="F50">
            <v>40</v>
          </cell>
        </row>
        <row r="51">
          <cell r="F51">
            <v>48</v>
          </cell>
        </row>
      </sheetData>
      <sheetData sheetId="3">
        <row r="28">
          <cell r="E28">
            <v>837.28</v>
          </cell>
          <cell r="F28">
            <v>1779.14</v>
          </cell>
          <cell r="G28">
            <v>933.64</v>
          </cell>
          <cell r="H28">
            <v>1779.14</v>
          </cell>
          <cell r="I28">
            <v>837.28</v>
          </cell>
          <cell r="J28">
            <v>2417.08</v>
          </cell>
          <cell r="K28">
            <v>933.64</v>
          </cell>
          <cell r="L28">
            <v>2417.08</v>
          </cell>
          <cell r="M28">
            <v>837.28</v>
          </cell>
          <cell r="N28">
            <v>3053.05</v>
          </cell>
        </row>
        <row r="29">
          <cell r="E29">
            <v>1442.88</v>
          </cell>
          <cell r="F29">
            <v>0</v>
          </cell>
          <cell r="G29">
            <v>1655.81</v>
          </cell>
          <cell r="H29">
            <v>0</v>
          </cell>
          <cell r="I29">
            <v>1417.04</v>
          </cell>
          <cell r="J29">
            <v>0</v>
          </cell>
          <cell r="K29">
            <v>1348.98</v>
          </cell>
          <cell r="L29">
            <v>0</v>
          </cell>
          <cell r="M29">
            <v>1542.24</v>
          </cell>
          <cell r="N29">
            <v>0</v>
          </cell>
        </row>
      </sheetData>
      <sheetData sheetId="4">
        <row r="25">
          <cell r="F25">
            <v>6</v>
          </cell>
        </row>
        <row r="26">
          <cell r="F26">
            <v>5</v>
          </cell>
        </row>
        <row r="27">
          <cell r="G27">
            <v>13.5</v>
          </cell>
        </row>
        <row r="28">
          <cell r="G28">
            <v>13.5</v>
          </cell>
        </row>
        <row r="29">
          <cell r="G29">
            <v>15</v>
          </cell>
        </row>
        <row r="30">
          <cell r="G30">
            <v>36</v>
          </cell>
        </row>
        <row r="31">
          <cell r="G31">
            <v>49.5</v>
          </cell>
        </row>
        <row r="32">
          <cell r="F32">
            <v>4</v>
          </cell>
          <cell r="G32">
            <v>6</v>
          </cell>
        </row>
        <row r="33">
          <cell r="F33">
            <v>4</v>
          </cell>
          <cell r="G33">
            <v>7.5</v>
          </cell>
        </row>
        <row r="34">
          <cell r="F34">
            <v>3</v>
          </cell>
          <cell r="G34">
            <v>6</v>
          </cell>
        </row>
        <row r="35">
          <cell r="F35">
            <v>5</v>
          </cell>
          <cell r="G35">
            <v>170</v>
          </cell>
        </row>
        <row r="36">
          <cell r="F36">
            <v>512</v>
          </cell>
        </row>
        <row r="37">
          <cell r="F37">
            <v>4</v>
          </cell>
          <cell r="G37">
            <v>7.5</v>
          </cell>
        </row>
        <row r="38">
          <cell r="F38">
            <v>3</v>
          </cell>
          <cell r="G38">
            <v>5.625</v>
          </cell>
        </row>
        <row r="39">
          <cell r="F39">
            <v>5</v>
          </cell>
        </row>
        <row r="40">
          <cell r="F40">
            <v>64</v>
          </cell>
        </row>
        <row r="41">
          <cell r="G41">
            <v>160</v>
          </cell>
        </row>
        <row r="42">
          <cell r="G42">
            <v>70200</v>
          </cell>
        </row>
        <row r="43">
          <cell r="G43">
            <v>7800</v>
          </cell>
        </row>
        <row r="44">
          <cell r="G44">
            <v>30</v>
          </cell>
        </row>
      </sheetData>
      <sheetData sheetId="5">
        <row r="83">
          <cell r="C83" t="str">
            <v xml:space="preserve">    ,</v>
          </cell>
        </row>
        <row r="122">
          <cell r="C122">
            <v>0</v>
          </cell>
        </row>
      </sheetData>
      <sheetData sheetId="6" refreshError="1"/>
      <sheetData sheetId="7" refreshError="1"/>
      <sheetData sheetId="8">
        <row r="6">
          <cell r="B6" t="str">
            <v>AM571x</v>
          </cell>
          <cell r="C6" t="str">
            <v>DDR3/L</v>
          </cell>
          <cell r="D6">
            <v>1</v>
          </cell>
          <cell r="E6">
            <v>1</v>
          </cell>
          <cell r="F6" t="str">
            <v>S/W</v>
          </cell>
          <cell r="G6" t="str">
            <v>Yes</v>
          </cell>
          <cell r="H6">
            <v>303</v>
          </cell>
          <cell r="I6">
            <v>667</v>
          </cell>
          <cell r="J6">
            <v>800</v>
          </cell>
          <cell r="K6">
            <v>8</v>
          </cell>
          <cell r="L6">
            <v>6</v>
          </cell>
          <cell r="M6">
            <v>0.5</v>
          </cell>
          <cell r="N6" t="str">
            <v>Disabled</v>
          </cell>
          <cell r="O6" t="str">
            <v>Disabled</v>
          </cell>
          <cell r="P6" t="str">
            <v>RZQ/6</v>
          </cell>
          <cell r="Q6" t="str">
            <v>Fastest: SR[2:0] = 0b000</v>
          </cell>
          <cell r="V6" t="str">
            <v xml:space="preserve">AM571x, </v>
          </cell>
        </row>
        <row r="7">
          <cell r="B7" t="str">
            <v>AM572x</v>
          </cell>
          <cell r="C7">
            <v>0</v>
          </cell>
          <cell r="D7">
            <v>0</v>
          </cell>
          <cell r="E7">
            <v>0</v>
          </cell>
          <cell r="F7" t="str">
            <v>H/W</v>
          </cell>
          <cell r="G7" t="str">
            <v>No</v>
          </cell>
          <cell r="J7">
            <v>1066</v>
          </cell>
          <cell r="K7">
            <v>16</v>
          </cell>
          <cell r="L7">
            <v>7</v>
          </cell>
          <cell r="M7">
            <v>1</v>
          </cell>
          <cell r="N7" t="str">
            <v>RZQ/4</v>
          </cell>
          <cell r="O7" t="str">
            <v>RZQ/4</v>
          </cell>
          <cell r="P7" t="str">
            <v>RZQ/7</v>
          </cell>
          <cell r="Q7" t="str">
            <v>SR[2:0] = 0b001</v>
          </cell>
          <cell r="V7" t="str">
            <v xml:space="preserve">AM572x, </v>
          </cell>
        </row>
        <row r="8">
          <cell r="B8" t="str">
            <v>DRA72x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J8">
            <v>1333</v>
          </cell>
          <cell r="K8">
            <v>0</v>
          </cell>
          <cell r="L8">
            <v>8</v>
          </cell>
          <cell r="M8">
            <v>2</v>
          </cell>
          <cell r="N8" t="str">
            <v>RZQ/2</v>
          </cell>
          <cell r="O8" t="str">
            <v>RZQ/2</v>
          </cell>
          <cell r="P8">
            <v>0</v>
          </cell>
          <cell r="Q8" t="str">
            <v>SR[2:0] = 0b010</v>
          </cell>
          <cell r="V8" t="str">
            <v xml:space="preserve">DRA72x, </v>
          </cell>
        </row>
        <row r="9">
          <cell r="B9" t="str">
            <v>DRA74x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J9">
            <v>1600</v>
          </cell>
          <cell r="K9">
            <v>0</v>
          </cell>
          <cell r="L9">
            <v>0</v>
          </cell>
          <cell r="M9">
            <v>4</v>
          </cell>
          <cell r="N9" t="str">
            <v>RZQ/6</v>
          </cell>
          <cell r="O9">
            <v>0</v>
          </cell>
          <cell r="P9">
            <v>0</v>
          </cell>
          <cell r="Q9" t="str">
            <v>SR[2:0] = 0b011</v>
          </cell>
          <cell r="V9" t="str">
            <v xml:space="preserve">DRA74x, </v>
          </cell>
        </row>
        <row r="10">
          <cell r="B10" t="str">
            <v>DRA75x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J10">
            <v>1866</v>
          </cell>
          <cell r="K10">
            <v>0</v>
          </cell>
          <cell r="L10">
            <v>0</v>
          </cell>
          <cell r="M10">
            <v>8</v>
          </cell>
          <cell r="N10" t="str">
            <v>RZQ/12</v>
          </cell>
          <cell r="O10">
            <v>0</v>
          </cell>
          <cell r="P10">
            <v>0</v>
          </cell>
          <cell r="Q10" t="str">
            <v>SR[2:0] = 0b100</v>
          </cell>
          <cell r="V10" t="str">
            <v xml:space="preserve">DRA75x, </v>
          </cell>
        </row>
        <row r="11">
          <cell r="B11" t="str">
            <v>TDA2Ex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J11">
            <v>2133</v>
          </cell>
          <cell r="K11">
            <v>0</v>
          </cell>
          <cell r="L11">
            <v>0</v>
          </cell>
          <cell r="M11">
            <v>0</v>
          </cell>
          <cell r="N11" t="str">
            <v>RZQ/8</v>
          </cell>
          <cell r="O11">
            <v>0</v>
          </cell>
          <cell r="P11">
            <v>0</v>
          </cell>
          <cell r="Q11" t="str">
            <v>SR[2:0] = 0b101</v>
          </cell>
          <cell r="V11" t="str">
            <v xml:space="preserve">TDA2Ex, </v>
          </cell>
        </row>
        <row r="12">
          <cell r="B12" t="str">
            <v>TDA2x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SR[2:0] = 0b110</v>
          </cell>
          <cell r="V12" t="str">
            <v xml:space="preserve">TDA2x, </v>
          </cell>
        </row>
        <row r="13">
          <cell r="B13" t="str">
            <v>TDA3x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Slowest: SR[2:0] = 0b111</v>
          </cell>
          <cell r="V13" t="str">
            <v>TDA3x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V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V19">
            <v>0</v>
          </cell>
        </row>
      </sheetData>
      <sheetData sheetId="9" refreshError="1"/>
      <sheetData sheetId="10">
        <row r="1">
          <cell r="A1" t="str">
            <v>~~~~~~~~ DROP DOWN MENU ~~~~~~~~</v>
          </cell>
        </row>
        <row r="2">
          <cell r="A2">
            <v>0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9B073"/>
  </sheetPr>
  <dimension ref="B1:R36"/>
  <sheetViews>
    <sheetView zoomScale="85" zoomScaleNormal="85" workbookViewId="0">
      <pane ySplit="15" topLeftCell="A16" activePane="bottomLeft" state="frozen"/>
      <selection pane="bottomLeft" activeCell="F39" sqref="F39"/>
    </sheetView>
  </sheetViews>
  <sheetFormatPr defaultColWidth="9.140625" defaultRowHeight="12.75" x14ac:dyDescent="0.2"/>
  <cols>
    <col min="1" max="16384" width="9.140625" style="253"/>
  </cols>
  <sheetData>
    <row r="1" spans="2:18" ht="12.75" customHeight="1" x14ac:dyDescent="0.2">
      <c r="B1" s="430" t="s">
        <v>563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2"/>
    </row>
    <row r="2" spans="2:18" ht="12.75" customHeight="1" x14ac:dyDescent="0.2">
      <c r="B2" s="430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2"/>
    </row>
    <row r="3" spans="2:18" ht="12.75" customHeight="1" x14ac:dyDescent="0.2">
      <c r="B3" s="430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2"/>
    </row>
    <row r="4" spans="2:18" ht="12.75" customHeight="1" x14ac:dyDescent="0.2">
      <c r="B4" s="430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2"/>
    </row>
    <row r="5" spans="2:18" ht="12.75" customHeight="1" x14ac:dyDescent="0.2">
      <c r="B5" s="430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2"/>
    </row>
    <row r="6" spans="2:18" ht="12.75" customHeight="1" x14ac:dyDescent="0.2">
      <c r="B6" s="430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2"/>
    </row>
    <row r="7" spans="2:18" x14ac:dyDescent="0.2">
      <c r="B7" s="433" t="s">
        <v>217</v>
      </c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</row>
    <row r="8" spans="2:18" x14ac:dyDescent="0.2"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</row>
    <row r="9" spans="2:18" x14ac:dyDescent="0.2">
      <c r="B9" s="435">
        <f ca="1">TODAY()</f>
        <v>44112</v>
      </c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</row>
    <row r="10" spans="2:18" x14ac:dyDescent="0.2">
      <c r="B10" s="434"/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</row>
    <row r="11" spans="2:18" x14ac:dyDescent="0.2"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</row>
    <row r="12" spans="2:18" x14ac:dyDescent="0.2">
      <c r="B12" s="436"/>
      <c r="C12" s="436"/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436"/>
      <c r="Q12" s="436"/>
      <c r="R12" s="436"/>
    </row>
    <row r="14" spans="2:18" x14ac:dyDescent="0.2">
      <c r="B14" s="437" t="str">
        <f>IF(_auto_nda_config=0,"","TI Confidential - NDA Restrictions ECCN: 5E991")</f>
        <v/>
      </c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9"/>
    </row>
    <row r="15" spans="2:18" x14ac:dyDescent="0.2">
      <c r="B15" s="440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2"/>
    </row>
    <row r="16" spans="2:18" ht="13.5" thickBot="1" x14ac:dyDescent="0.25">
      <c r="D16" s="254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</row>
    <row r="17" spans="2:18" ht="14.25" hidden="1" thickTop="1" thickBot="1" x14ac:dyDescent="0.25">
      <c r="C17" s="255"/>
      <c r="D17" s="415" t="s">
        <v>218</v>
      </c>
      <c r="E17" s="416"/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7"/>
      <c r="Q17" s="256"/>
    </row>
    <row r="18" spans="2:18" ht="14.25" hidden="1" thickTop="1" thickBot="1" x14ac:dyDescent="0.25">
      <c r="C18" s="255"/>
      <c r="D18" s="257"/>
      <c r="E18" s="258" t="s">
        <v>219</v>
      </c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60"/>
      <c r="Q18" s="256"/>
    </row>
    <row r="19" spans="2:18" ht="13.5" hidden="1" customHeight="1" x14ac:dyDescent="0.2">
      <c r="C19" s="255"/>
      <c r="D19" s="261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3"/>
      <c r="Q19" s="256"/>
    </row>
    <row r="20" spans="2:18" ht="13.5" hidden="1" customHeight="1" x14ac:dyDescent="0.2">
      <c r="C20" s="255"/>
      <c r="D20" s="261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3"/>
      <c r="Q20" s="256"/>
    </row>
    <row r="21" spans="2:18" ht="14.25" hidden="1" thickTop="1" thickBot="1" x14ac:dyDescent="0.25">
      <c r="C21" s="255"/>
      <c r="D21" s="261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3"/>
      <c r="Q21" s="256"/>
    </row>
    <row r="22" spans="2:18" ht="17.25" thickTop="1" thickBot="1" x14ac:dyDescent="0.25">
      <c r="B22" s="264"/>
      <c r="C22" s="265"/>
      <c r="D22" s="406" t="s">
        <v>220</v>
      </c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8"/>
      <c r="Q22" s="266"/>
      <c r="R22" s="264"/>
    </row>
    <row r="23" spans="2:18" ht="13.5" thickTop="1" x14ac:dyDescent="0.2">
      <c r="B23" s="264"/>
      <c r="C23" s="265"/>
      <c r="D23" s="418" t="s">
        <v>221</v>
      </c>
      <c r="E23" s="419"/>
      <c r="F23" s="419"/>
      <c r="G23" s="420"/>
      <c r="H23" s="421" t="s">
        <v>564</v>
      </c>
      <c r="I23" s="422"/>
      <c r="J23" s="422"/>
      <c r="K23" s="422"/>
      <c r="L23" s="422"/>
      <c r="M23" s="422"/>
      <c r="N23" s="422"/>
      <c r="O23" s="422"/>
      <c r="P23" s="423"/>
      <c r="Q23" s="266"/>
      <c r="R23" s="264"/>
    </row>
    <row r="24" spans="2:18" ht="13.5" thickBot="1" x14ac:dyDescent="0.25">
      <c r="B24" s="267"/>
      <c r="C24" s="268"/>
      <c r="D24" s="424" t="s">
        <v>222</v>
      </c>
      <c r="E24" s="425"/>
      <c r="F24" s="425"/>
      <c r="G24" s="426"/>
      <c r="H24" s="427" t="s">
        <v>562</v>
      </c>
      <c r="I24" s="428"/>
      <c r="J24" s="428"/>
      <c r="K24" s="428"/>
      <c r="L24" s="428"/>
      <c r="M24" s="428"/>
      <c r="N24" s="428"/>
      <c r="O24" s="428"/>
      <c r="P24" s="429"/>
      <c r="Q24" s="269"/>
      <c r="R24" s="267"/>
    </row>
    <row r="25" spans="2:18" ht="14.25" thickTop="1" thickBot="1" x14ac:dyDescent="0.25">
      <c r="C25" s="270"/>
      <c r="D25" s="406" t="s">
        <v>223</v>
      </c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8"/>
      <c r="Q25" s="256"/>
    </row>
    <row r="26" spans="2:18" ht="13.5" thickTop="1" x14ac:dyDescent="0.2">
      <c r="C26" s="271"/>
      <c r="D26" s="272"/>
    </row>
    <row r="27" spans="2:18" ht="13.5" thickBot="1" x14ac:dyDescent="0.25">
      <c r="C27" s="273"/>
      <c r="D27" s="272"/>
    </row>
    <row r="28" spans="2:18" ht="13.5" thickTop="1" x14ac:dyDescent="0.2">
      <c r="C28" s="274"/>
      <c r="D28" s="412" t="s">
        <v>226</v>
      </c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4"/>
      <c r="Q28" s="256"/>
    </row>
    <row r="29" spans="2:18" x14ac:dyDescent="0.2">
      <c r="C29" s="275"/>
      <c r="D29" s="409" t="s">
        <v>225</v>
      </c>
      <c r="E29" s="410"/>
      <c r="F29" s="410" t="s">
        <v>71</v>
      </c>
      <c r="G29" s="410"/>
      <c r="H29" s="410"/>
      <c r="I29" s="410"/>
      <c r="J29" s="410"/>
      <c r="K29" s="410"/>
      <c r="L29" s="410"/>
      <c r="M29" s="410"/>
      <c r="N29" s="410"/>
      <c r="O29" s="410"/>
      <c r="P29" s="411"/>
      <c r="Q29" s="256"/>
    </row>
    <row r="30" spans="2:18" x14ac:dyDescent="0.2">
      <c r="C30" s="275"/>
      <c r="D30" s="402">
        <v>1</v>
      </c>
      <c r="E30" s="403"/>
      <c r="F30" s="398" t="s">
        <v>227</v>
      </c>
      <c r="G30" s="398"/>
      <c r="H30" s="398"/>
      <c r="I30" s="398"/>
      <c r="J30" s="398"/>
      <c r="K30" s="398"/>
      <c r="L30" s="398"/>
      <c r="M30" s="398"/>
      <c r="N30" s="398"/>
      <c r="O30" s="398"/>
      <c r="P30" s="399"/>
      <c r="Q30" s="256"/>
    </row>
    <row r="31" spans="2:18" x14ac:dyDescent="0.2">
      <c r="C31" s="275"/>
      <c r="D31" s="404"/>
      <c r="E31" s="405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9"/>
      <c r="Q31" s="256"/>
    </row>
    <row r="32" spans="2:18" x14ac:dyDescent="0.2">
      <c r="C32" s="274"/>
      <c r="D32" s="404"/>
      <c r="E32" s="405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9"/>
      <c r="Q32" s="256"/>
    </row>
    <row r="33" spans="3:17" x14ac:dyDescent="0.2">
      <c r="C33" s="276"/>
      <c r="D33" s="404"/>
      <c r="E33" s="405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9"/>
      <c r="Q33" s="256"/>
    </row>
    <row r="34" spans="3:17" x14ac:dyDescent="0.2">
      <c r="C34" s="255"/>
      <c r="D34" s="404"/>
      <c r="E34" s="405"/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9"/>
      <c r="Q34" s="256"/>
    </row>
    <row r="35" spans="3:17" ht="12.75" customHeight="1" thickBot="1" x14ac:dyDescent="0.25">
      <c r="C35" s="255"/>
      <c r="D35" s="396"/>
      <c r="E35" s="397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1"/>
      <c r="Q35" s="256"/>
    </row>
    <row r="36" spans="3:17" ht="13.5" thickTop="1" x14ac:dyDescent="0.2"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</row>
  </sheetData>
  <sheetProtection password="D9FF" sheet="1" objects="1" scenarios="1" selectLockedCells="1"/>
  <mergeCells count="27">
    <mergeCell ref="B1:R6"/>
    <mergeCell ref="B7:R8"/>
    <mergeCell ref="B9:R10"/>
    <mergeCell ref="B11:R12"/>
    <mergeCell ref="B14:R15"/>
    <mergeCell ref="D25:P25"/>
    <mergeCell ref="D29:E29"/>
    <mergeCell ref="F29:P29"/>
    <mergeCell ref="D28:P28"/>
    <mergeCell ref="D17:P17"/>
    <mergeCell ref="D22:P22"/>
    <mergeCell ref="D23:G23"/>
    <mergeCell ref="H23:P23"/>
    <mergeCell ref="D24:G24"/>
    <mergeCell ref="H24:P24"/>
    <mergeCell ref="D35:E35"/>
    <mergeCell ref="F30:P30"/>
    <mergeCell ref="F31:P31"/>
    <mergeCell ref="F32:P32"/>
    <mergeCell ref="F33:P33"/>
    <mergeCell ref="F34:P34"/>
    <mergeCell ref="F35:P35"/>
    <mergeCell ref="D30:E30"/>
    <mergeCell ref="D31:E31"/>
    <mergeCell ref="D32:E32"/>
    <mergeCell ref="D33:E33"/>
    <mergeCell ref="D34:E34"/>
  </mergeCells>
  <phoneticPr fontId="45"/>
  <pageMargins left="0.7" right="0.7" top="0.75" bottom="0.75" header="0.3" footer="0.3"/>
  <pageSetup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66"/>
  </sheetPr>
  <dimension ref="A1:Q129"/>
  <sheetViews>
    <sheetView zoomScaleNormal="100" workbookViewId="0">
      <pane ySplit="13" topLeftCell="A46" activePane="bottomLeft" state="frozen"/>
      <selection pane="bottomLeft" activeCell="D40" sqref="D40"/>
    </sheetView>
  </sheetViews>
  <sheetFormatPr defaultColWidth="9.140625" defaultRowHeight="12.75" x14ac:dyDescent="0.2"/>
  <cols>
    <col min="1" max="1" width="8.5703125" style="31" customWidth="1"/>
    <col min="2" max="3" width="9.140625" style="31"/>
    <col min="4" max="4" width="42.140625" style="31" bestFit="1" customWidth="1"/>
    <col min="5" max="5" width="22.42578125" style="31" bestFit="1" customWidth="1"/>
    <col min="6" max="6" width="8.42578125" style="31" customWidth="1"/>
    <col min="7" max="7" width="39.140625" style="31" customWidth="1"/>
    <col min="8" max="13" width="9.140625" style="31"/>
    <col min="14" max="14" width="20.7109375" style="31" bestFit="1" customWidth="1"/>
    <col min="15" max="15" width="21.85546875" style="31" bestFit="1" customWidth="1"/>
    <col min="16" max="16384" width="9.140625" style="31"/>
  </cols>
  <sheetData>
    <row r="1" spans="1:10" ht="12.75" customHeight="1" x14ac:dyDescent="0.2">
      <c r="A1" s="165"/>
      <c r="B1" s="166"/>
      <c r="C1" s="166"/>
      <c r="D1" s="166"/>
      <c r="E1" s="166"/>
      <c r="F1" s="166"/>
      <c r="G1" s="167"/>
      <c r="H1" s="167"/>
      <c r="I1" s="166"/>
      <c r="J1" s="166"/>
    </row>
    <row r="2" spans="1:10" ht="12.75" customHeight="1" x14ac:dyDescent="0.2">
      <c r="A2" s="165"/>
      <c r="B2" s="449"/>
      <c r="C2" s="450"/>
      <c r="D2" s="450"/>
      <c r="E2" s="450"/>
      <c r="F2" s="450"/>
      <c r="G2" s="450"/>
      <c r="H2" s="450"/>
      <c r="I2" s="451"/>
      <c r="J2" s="166"/>
    </row>
    <row r="3" spans="1:10" ht="12.75" customHeight="1" x14ac:dyDescent="0.2">
      <c r="A3" s="165"/>
      <c r="B3" s="449"/>
      <c r="C3" s="450"/>
      <c r="D3" s="450"/>
      <c r="E3" s="450"/>
      <c r="F3" s="450"/>
      <c r="G3" s="450"/>
      <c r="H3" s="450"/>
      <c r="I3" s="451"/>
      <c r="J3" s="166"/>
    </row>
    <row r="4" spans="1:10" ht="12.75" customHeight="1" x14ac:dyDescent="0.2">
      <c r="A4" s="165"/>
      <c r="B4" s="452" t="s">
        <v>350</v>
      </c>
      <c r="C4" s="453"/>
      <c r="D4" s="453"/>
      <c r="E4" s="453"/>
      <c r="F4" s="453"/>
      <c r="G4" s="453"/>
      <c r="H4" s="453"/>
      <c r="I4" s="454"/>
      <c r="J4" s="168"/>
    </row>
    <row r="5" spans="1:10" ht="12.75" customHeight="1" x14ac:dyDescent="0.2">
      <c r="A5" s="165"/>
      <c r="B5" s="455"/>
      <c r="C5" s="456"/>
      <c r="D5" s="456"/>
      <c r="E5" s="456"/>
      <c r="F5" s="456"/>
      <c r="G5" s="456"/>
      <c r="H5" s="456"/>
      <c r="I5" s="457"/>
      <c r="J5" s="168"/>
    </row>
    <row r="6" spans="1:10" ht="12.75" customHeight="1" thickBot="1" x14ac:dyDescent="0.25">
      <c r="A6" s="165"/>
      <c r="B6" s="455"/>
      <c r="C6" s="456"/>
      <c r="D6" s="456"/>
      <c r="E6" s="456"/>
      <c r="F6" s="456"/>
      <c r="G6" s="456"/>
      <c r="H6" s="456"/>
      <c r="I6" s="457"/>
      <c r="J6" s="168"/>
    </row>
    <row r="7" spans="1:10" ht="12.75" customHeight="1" thickTop="1" x14ac:dyDescent="0.2">
      <c r="A7" s="165"/>
      <c r="B7" s="458" t="s">
        <v>203</v>
      </c>
      <c r="C7" s="459"/>
      <c r="D7" s="459"/>
      <c r="E7" s="459"/>
      <c r="F7" s="459"/>
      <c r="G7" s="459"/>
      <c r="H7" s="459"/>
      <c r="I7" s="460"/>
      <c r="J7" s="169"/>
    </row>
    <row r="8" spans="1:10" ht="12.75" customHeight="1" x14ac:dyDescent="0.2">
      <c r="A8" s="165"/>
      <c r="B8" s="461"/>
      <c r="C8" s="462"/>
      <c r="D8" s="462"/>
      <c r="E8" s="462"/>
      <c r="F8" s="462"/>
      <c r="G8" s="462"/>
      <c r="H8" s="462"/>
      <c r="I8" s="463"/>
      <c r="J8" s="169"/>
    </row>
    <row r="9" spans="1:10" ht="12.75" customHeight="1" x14ac:dyDescent="0.2">
      <c r="A9" s="165"/>
      <c r="B9" s="170" t="s">
        <v>204</v>
      </c>
      <c r="C9" s="171" t="s">
        <v>490</v>
      </c>
      <c r="D9" s="171"/>
      <c r="E9" s="172"/>
      <c r="F9" s="172"/>
      <c r="G9" s="173"/>
      <c r="H9" s="173"/>
      <c r="I9" s="174"/>
      <c r="J9" s="175"/>
    </row>
    <row r="10" spans="1:10" ht="12.75" customHeight="1" x14ac:dyDescent="0.2">
      <c r="A10" s="176"/>
      <c r="B10" s="177" t="s">
        <v>206</v>
      </c>
      <c r="C10" s="179" t="s">
        <v>489</v>
      </c>
      <c r="D10" s="179"/>
      <c r="E10" s="180"/>
      <c r="F10" s="180"/>
      <c r="G10" s="181"/>
      <c r="H10" s="181"/>
      <c r="I10" s="182"/>
      <c r="J10" s="175"/>
    </row>
    <row r="11" spans="1:10" ht="12.75" customHeight="1" x14ac:dyDescent="0.2">
      <c r="A11" s="176"/>
      <c r="B11" s="177"/>
      <c r="C11" s="178" t="s">
        <v>205</v>
      </c>
      <c r="D11" s="179"/>
      <c r="E11" s="180"/>
      <c r="F11" s="180"/>
      <c r="G11" s="181"/>
      <c r="H11" s="181"/>
      <c r="I11" s="182"/>
      <c r="J11" s="175"/>
    </row>
    <row r="12" spans="1:10" ht="12.75" customHeight="1" thickBot="1" x14ac:dyDescent="0.25">
      <c r="A12" s="176"/>
      <c r="B12" s="183"/>
      <c r="C12" s="184"/>
      <c r="D12" s="185"/>
      <c r="E12" s="186"/>
      <c r="F12" s="186"/>
      <c r="G12" s="187"/>
      <c r="H12" s="187"/>
      <c r="I12" s="188"/>
      <c r="J12" s="175"/>
    </row>
    <row r="13" spans="1:10" ht="12.75" customHeight="1" thickTop="1" x14ac:dyDescent="0.2">
      <c r="A13" s="176"/>
      <c r="B13" s="189"/>
      <c r="C13" s="189"/>
      <c r="D13" s="189"/>
      <c r="E13" s="189"/>
      <c r="F13" s="189"/>
      <c r="G13" s="190"/>
      <c r="H13" s="190"/>
      <c r="I13" s="189"/>
      <c r="J13" s="166"/>
    </row>
    <row r="15" spans="1:10" x14ac:dyDescent="0.2">
      <c r="B15" s="443" t="s">
        <v>74</v>
      </c>
      <c r="C15" s="444"/>
      <c r="D15" s="444"/>
      <c r="E15" s="444"/>
      <c r="F15" s="444"/>
      <c r="G15" s="445"/>
    </row>
    <row r="16" spans="1:10" ht="13.5" thickBot="1" x14ac:dyDescent="0.25">
      <c r="B16" s="446"/>
      <c r="C16" s="447"/>
      <c r="D16" s="447"/>
      <c r="E16" s="447"/>
      <c r="F16" s="447"/>
      <c r="G16" s="448"/>
    </row>
    <row r="17" spans="2:7" ht="14.25" thickTop="1" thickBot="1" x14ac:dyDescent="0.25">
      <c r="B17" s="101"/>
      <c r="C17" s="102" t="s">
        <v>70</v>
      </c>
      <c r="D17" s="103" t="s">
        <v>71</v>
      </c>
      <c r="E17" s="103" t="s">
        <v>72</v>
      </c>
      <c r="F17" s="104" t="s">
        <v>73</v>
      </c>
      <c r="G17" s="105"/>
    </row>
    <row r="18" spans="2:7" ht="14.25" thickTop="1" thickBot="1" x14ac:dyDescent="0.25">
      <c r="B18" s="323"/>
      <c r="C18" s="380">
        <v>0</v>
      </c>
      <c r="D18" s="381" t="s">
        <v>549</v>
      </c>
      <c r="E18" s="384" t="s">
        <v>561</v>
      </c>
      <c r="F18" s="382" t="s">
        <v>66</v>
      </c>
      <c r="G18" s="383" t="s">
        <v>550</v>
      </c>
    </row>
    <row r="19" spans="2:7" ht="13.5" thickTop="1" x14ac:dyDescent="0.2">
      <c r="C19" s="106">
        <v>1</v>
      </c>
      <c r="D19" s="243" t="s">
        <v>65</v>
      </c>
      <c r="E19" s="332" t="s">
        <v>296</v>
      </c>
      <c r="F19" s="108" t="s">
        <v>66</v>
      </c>
      <c r="G19" s="331" t="s">
        <v>351</v>
      </c>
    </row>
    <row r="20" spans="2:7" x14ac:dyDescent="0.2">
      <c r="C20" s="109">
        <v>2</v>
      </c>
      <c r="D20" s="241" t="s">
        <v>67</v>
      </c>
      <c r="E20" s="242">
        <v>400</v>
      </c>
      <c r="F20" s="111" t="s">
        <v>0</v>
      </c>
    </row>
    <row r="21" spans="2:7" x14ac:dyDescent="0.2">
      <c r="C21" s="109">
        <v>3</v>
      </c>
      <c r="D21" s="241" t="s">
        <v>68</v>
      </c>
      <c r="E21" s="333">
        <v>16</v>
      </c>
      <c r="F21" s="111" t="s">
        <v>69</v>
      </c>
      <c r="G21" s="331" t="s">
        <v>352</v>
      </c>
    </row>
    <row r="22" spans="2:7" x14ac:dyDescent="0.2">
      <c r="C22" s="109">
        <v>4</v>
      </c>
      <c r="D22" s="241" t="s">
        <v>332</v>
      </c>
      <c r="E22" s="333" t="s">
        <v>230</v>
      </c>
      <c r="F22" s="163" t="s">
        <v>66</v>
      </c>
    </row>
    <row r="23" spans="2:7" ht="13.5" hidden="1" thickBot="1" x14ac:dyDescent="0.25">
      <c r="C23" s="112">
        <v>5</v>
      </c>
      <c r="D23" s="244" t="s">
        <v>331</v>
      </c>
      <c r="E23" s="75" t="s">
        <v>329</v>
      </c>
      <c r="F23" s="245" t="s">
        <v>66</v>
      </c>
    </row>
    <row r="24" spans="2:7" ht="13.5" hidden="1" thickTop="1" x14ac:dyDescent="0.2">
      <c r="C24" s="281">
        <v>6</v>
      </c>
      <c r="D24" s="282" t="s">
        <v>264</v>
      </c>
      <c r="E24" s="283" t="s">
        <v>228</v>
      </c>
      <c r="F24" s="284" t="s">
        <v>66</v>
      </c>
    </row>
    <row r="25" spans="2:7" hidden="1" x14ac:dyDescent="0.2">
      <c r="C25" s="109">
        <v>7</v>
      </c>
      <c r="D25" s="241" t="s">
        <v>265</v>
      </c>
      <c r="E25" s="242" t="s">
        <v>228</v>
      </c>
      <c r="F25" s="163" t="s">
        <v>66</v>
      </c>
    </row>
    <row r="26" spans="2:7" ht="13.5" hidden="1" thickBot="1" x14ac:dyDescent="0.25">
      <c r="C26" s="112">
        <v>8</v>
      </c>
      <c r="D26" s="244" t="s">
        <v>269</v>
      </c>
      <c r="E26" s="75" t="s">
        <v>228</v>
      </c>
      <c r="F26" s="245" t="s">
        <v>66</v>
      </c>
    </row>
    <row r="27" spans="2:7" ht="13.5" hidden="1" thickTop="1" x14ac:dyDescent="0.2">
      <c r="C27" s="281">
        <v>6</v>
      </c>
      <c r="D27" s="282" t="s">
        <v>237</v>
      </c>
      <c r="E27" s="283">
        <v>1</v>
      </c>
      <c r="F27" s="284" t="s">
        <v>66</v>
      </c>
    </row>
    <row r="28" spans="2:7" ht="13.5" hidden="1" thickBot="1" x14ac:dyDescent="0.25">
      <c r="C28" s="286">
        <v>7</v>
      </c>
      <c r="D28" s="287" t="s">
        <v>238</v>
      </c>
      <c r="E28" s="288">
        <v>32</v>
      </c>
      <c r="F28" s="289" t="s">
        <v>239</v>
      </c>
    </row>
    <row r="29" spans="2:7" ht="13.5" hidden="1" thickTop="1" x14ac:dyDescent="0.2">
      <c r="C29" s="106">
        <v>6</v>
      </c>
      <c r="D29" s="243" t="s">
        <v>274</v>
      </c>
      <c r="E29" s="290" t="s">
        <v>277</v>
      </c>
      <c r="F29" s="291" t="s">
        <v>66</v>
      </c>
    </row>
    <row r="30" spans="2:7" ht="13.5" hidden="1" thickBot="1" x14ac:dyDescent="0.25">
      <c r="C30" s="112">
        <v>7</v>
      </c>
      <c r="D30" s="244" t="s">
        <v>275</v>
      </c>
      <c r="E30" s="292">
        <v>10</v>
      </c>
      <c r="F30" s="245" t="s">
        <v>66</v>
      </c>
    </row>
    <row r="32" spans="2:7" x14ac:dyDescent="0.2">
      <c r="B32" s="443" t="s">
        <v>75</v>
      </c>
      <c r="C32" s="444"/>
      <c r="D32" s="444"/>
      <c r="E32" s="444"/>
      <c r="F32" s="444"/>
      <c r="G32" s="445"/>
    </row>
    <row r="33" spans="2:14" ht="13.5" thickBot="1" x14ac:dyDescent="0.25">
      <c r="B33" s="446"/>
      <c r="C33" s="447"/>
      <c r="D33" s="447"/>
      <c r="E33" s="447"/>
      <c r="F33" s="447"/>
      <c r="G33" s="448"/>
    </row>
    <row r="34" spans="2:14" ht="14.45" customHeight="1" thickTop="1" thickBot="1" x14ac:dyDescent="0.25">
      <c r="B34" s="101"/>
      <c r="C34" s="102" t="s">
        <v>70</v>
      </c>
      <c r="D34" s="103" t="s">
        <v>71</v>
      </c>
      <c r="E34" s="103" t="s">
        <v>72</v>
      </c>
      <c r="F34" s="104" t="s">
        <v>73</v>
      </c>
      <c r="H34" s="376"/>
    </row>
    <row r="35" spans="2:14" ht="13.5" thickTop="1" x14ac:dyDescent="0.2">
      <c r="B35" s="101"/>
      <c r="C35" s="106">
        <v>6</v>
      </c>
      <c r="D35" s="243" t="s">
        <v>76</v>
      </c>
      <c r="E35" s="251">
        <v>1600</v>
      </c>
      <c r="F35" s="108" t="s">
        <v>7</v>
      </c>
      <c r="G35" s="468" t="s">
        <v>556</v>
      </c>
      <c r="H35" s="376"/>
    </row>
    <row r="36" spans="2:14" x14ac:dyDescent="0.2">
      <c r="B36" s="101"/>
      <c r="C36" s="109">
        <v>7</v>
      </c>
      <c r="D36" s="250" t="s">
        <v>354</v>
      </c>
      <c r="E36" s="242">
        <v>4</v>
      </c>
      <c r="F36" s="162" t="s">
        <v>202</v>
      </c>
      <c r="G36" s="469"/>
      <c r="H36" s="376"/>
    </row>
    <row r="37" spans="2:14" x14ac:dyDescent="0.2">
      <c r="B37" s="101"/>
      <c r="C37" s="109">
        <v>8</v>
      </c>
      <c r="D37" s="241" t="s">
        <v>133</v>
      </c>
      <c r="E37" s="242">
        <v>16</v>
      </c>
      <c r="F37" s="163" t="s">
        <v>66</v>
      </c>
      <c r="G37" s="469"/>
      <c r="H37" s="376"/>
    </row>
    <row r="38" spans="2:14" x14ac:dyDescent="0.2">
      <c r="B38" s="101"/>
      <c r="C38" s="109">
        <v>9</v>
      </c>
      <c r="D38" s="241" t="s">
        <v>134</v>
      </c>
      <c r="E38" s="242">
        <v>10</v>
      </c>
      <c r="F38" s="163" t="s">
        <v>66</v>
      </c>
      <c r="G38" s="470"/>
      <c r="H38" s="376"/>
    </row>
    <row r="39" spans="2:14" x14ac:dyDescent="0.2">
      <c r="B39" s="101"/>
      <c r="C39" s="109">
        <v>10</v>
      </c>
      <c r="D39" s="241" t="s">
        <v>135</v>
      </c>
      <c r="E39" s="242">
        <v>8</v>
      </c>
      <c r="F39" s="163" t="s">
        <v>66</v>
      </c>
    </row>
    <row r="40" spans="2:14" x14ac:dyDescent="0.2">
      <c r="B40" s="101"/>
      <c r="C40" s="109">
        <v>11</v>
      </c>
      <c r="D40" s="241" t="str">
        <f>CONCATENATE("Speed Bin: CAS Latency @ ", E35, "MT/s data rate")</f>
        <v>Speed Bin: CAS Latency @ 1600MT/s data rate</v>
      </c>
      <c r="E40" s="242">
        <v>11</v>
      </c>
      <c r="F40" s="163" t="s">
        <v>347</v>
      </c>
      <c r="G40" s="464" t="s">
        <v>557</v>
      </c>
      <c r="H40" s="465"/>
    </row>
    <row r="41" spans="2:14" x14ac:dyDescent="0.2">
      <c r="B41" s="101"/>
      <c r="C41" s="109">
        <v>12</v>
      </c>
      <c r="D41" s="241" t="s">
        <v>353</v>
      </c>
      <c r="E41" s="242">
        <v>8</v>
      </c>
      <c r="F41" s="111" t="s">
        <v>69</v>
      </c>
      <c r="G41" s="466"/>
      <c r="H41" s="467"/>
    </row>
    <row r="42" spans="2:14" ht="13.5" thickBot="1" x14ac:dyDescent="0.25">
      <c r="B42" s="323"/>
      <c r="C42" s="112">
        <v>13</v>
      </c>
      <c r="D42" s="244" t="s">
        <v>343</v>
      </c>
      <c r="E42" s="75">
        <v>3900</v>
      </c>
      <c r="F42" s="245" t="s">
        <v>27</v>
      </c>
      <c r="G42" s="466"/>
      <c r="H42" s="467"/>
    </row>
    <row r="43" spans="2:14" ht="13.5" thickTop="1" x14ac:dyDescent="0.2"/>
    <row r="44" spans="2:14" x14ac:dyDescent="0.2">
      <c r="B44" s="443" t="s">
        <v>77</v>
      </c>
      <c r="C44" s="447"/>
      <c r="D44" s="447"/>
      <c r="E44" s="447"/>
      <c r="F44" s="447"/>
      <c r="G44" s="445"/>
    </row>
    <row r="45" spans="2:14" ht="13.5" thickBot="1" x14ac:dyDescent="0.25">
      <c r="B45" s="446"/>
      <c r="C45" s="447"/>
      <c r="D45" s="447"/>
      <c r="E45" s="447"/>
      <c r="F45" s="447"/>
      <c r="G45" s="448"/>
    </row>
    <row r="46" spans="2:14" ht="14.25" thickTop="1" thickBot="1" x14ac:dyDescent="0.25">
      <c r="B46" s="101"/>
      <c r="C46" s="102" t="s">
        <v>70</v>
      </c>
      <c r="D46" s="103" t="s">
        <v>71</v>
      </c>
      <c r="E46" s="103" t="s">
        <v>72</v>
      </c>
      <c r="F46" s="104" t="s">
        <v>73</v>
      </c>
      <c r="G46" s="115" t="s">
        <v>78</v>
      </c>
      <c r="N46" s="31" t="s">
        <v>241</v>
      </c>
    </row>
    <row r="47" spans="2:14" ht="13.5" thickTop="1" x14ac:dyDescent="0.2">
      <c r="B47" s="101"/>
      <c r="C47" s="106">
        <v>14</v>
      </c>
      <c r="D47" s="107" t="s">
        <v>79</v>
      </c>
      <c r="E47" s="70" t="s">
        <v>80</v>
      </c>
      <c r="F47" s="108" t="s">
        <v>81</v>
      </c>
      <c r="G47" s="116" t="str">
        <f>IF(E19="DDR3","RZQ/4","Disable")</f>
        <v>RZQ/4</v>
      </c>
    </row>
    <row r="48" spans="2:14" x14ac:dyDescent="0.2">
      <c r="B48" s="101"/>
      <c r="C48" s="109">
        <v>15</v>
      </c>
      <c r="D48" s="110" t="s">
        <v>82</v>
      </c>
      <c r="E48" s="71" t="s">
        <v>80</v>
      </c>
      <c r="F48" s="111" t="s">
        <v>81</v>
      </c>
      <c r="G48" s="117" t="str">
        <f>IF(E19="DDR3","RZQ/4","NA")</f>
        <v>RZQ/4</v>
      </c>
    </row>
    <row r="49" spans="2:14" ht="13.5" thickBot="1" x14ac:dyDescent="0.25">
      <c r="B49" s="101"/>
      <c r="C49" s="112">
        <v>16</v>
      </c>
      <c r="D49" s="113" t="s">
        <v>84</v>
      </c>
      <c r="E49" s="72" t="s">
        <v>136</v>
      </c>
      <c r="F49" s="114" t="s">
        <v>81</v>
      </c>
      <c r="G49" s="124" t="str">
        <f>IF(E19="DDR3","RZQ/6","Normal")</f>
        <v>RZQ/6</v>
      </c>
    </row>
    <row r="50" spans="2:14" ht="13.5" thickTop="1" x14ac:dyDescent="0.2">
      <c r="B50" s="101"/>
      <c r="C50" s="118" t="s">
        <v>86</v>
      </c>
      <c r="D50" s="119"/>
      <c r="E50" s="119"/>
      <c r="F50" s="119"/>
      <c r="G50" s="119"/>
    </row>
    <row r="52" spans="2:14" x14ac:dyDescent="0.2">
      <c r="B52" s="443" t="s">
        <v>315</v>
      </c>
      <c r="C52" s="447"/>
      <c r="D52" s="447"/>
      <c r="E52" s="447"/>
      <c r="F52" s="447"/>
      <c r="G52" s="445"/>
    </row>
    <row r="53" spans="2:14" ht="13.5" thickBot="1" x14ac:dyDescent="0.25">
      <c r="B53" s="446"/>
      <c r="C53" s="447"/>
      <c r="D53" s="447"/>
      <c r="E53" s="447"/>
      <c r="F53" s="447"/>
      <c r="G53" s="448"/>
    </row>
    <row r="54" spans="2:14" ht="14.25" thickTop="1" thickBot="1" x14ac:dyDescent="0.25">
      <c r="B54" s="101"/>
      <c r="C54" s="102" t="s">
        <v>70</v>
      </c>
      <c r="D54" s="103" t="s">
        <v>71</v>
      </c>
      <c r="E54" s="103" t="s">
        <v>72</v>
      </c>
      <c r="F54" s="104" t="s">
        <v>73</v>
      </c>
      <c r="G54" s="325" t="s">
        <v>348</v>
      </c>
      <c r="N54" s="31" t="s">
        <v>241</v>
      </c>
    </row>
    <row r="55" spans="2:14" ht="13.5" thickTop="1" x14ac:dyDescent="0.2">
      <c r="B55" s="101"/>
      <c r="C55" s="106">
        <v>17</v>
      </c>
      <c r="D55" s="107" t="s">
        <v>316</v>
      </c>
      <c r="E55" s="70">
        <v>1</v>
      </c>
      <c r="F55" s="291" t="s">
        <v>66</v>
      </c>
      <c r="G55" s="326">
        <v>1</v>
      </c>
    </row>
    <row r="56" spans="2:14" x14ac:dyDescent="0.2">
      <c r="B56" s="101"/>
      <c r="C56" s="286">
        <v>18</v>
      </c>
      <c r="D56" s="110" t="s">
        <v>317</v>
      </c>
      <c r="E56" s="71">
        <v>1.5</v>
      </c>
      <c r="F56" s="163" t="s">
        <v>319</v>
      </c>
      <c r="G56" s="117" t="str">
        <f>IF(E19="DDR3","0 to 1.5","0 to 0.75")</f>
        <v>0 to 1.5</v>
      </c>
    </row>
    <row r="57" spans="2:14" x14ac:dyDescent="0.2">
      <c r="B57" s="101"/>
      <c r="C57" s="286">
        <v>19</v>
      </c>
      <c r="D57" s="143" t="s">
        <v>318</v>
      </c>
      <c r="E57" s="71">
        <v>0.15</v>
      </c>
      <c r="F57" s="289" t="s">
        <v>320</v>
      </c>
      <c r="G57" s="312" t="str">
        <f>IF(E19="DDR3","0 to 0.15","0 to 0.2")</f>
        <v>0 to 0.15</v>
      </c>
    </row>
    <row r="58" spans="2:14" x14ac:dyDescent="0.2">
      <c r="B58" s="101"/>
      <c r="C58" s="109">
        <v>20</v>
      </c>
      <c r="D58" s="143" t="s">
        <v>323</v>
      </c>
      <c r="E58" s="311">
        <v>1.2</v>
      </c>
      <c r="F58" s="289" t="s">
        <v>321</v>
      </c>
      <c r="G58" s="313" t="s">
        <v>558</v>
      </c>
    </row>
    <row r="59" spans="2:14" ht="13.5" thickBot="1" x14ac:dyDescent="0.25">
      <c r="B59" s="101"/>
      <c r="C59" s="324">
        <v>21</v>
      </c>
      <c r="D59" s="113" t="s">
        <v>324</v>
      </c>
      <c r="E59" s="72">
        <v>10</v>
      </c>
      <c r="F59" s="245" t="s">
        <v>322</v>
      </c>
      <c r="G59" s="124" t="s">
        <v>325</v>
      </c>
    </row>
    <row r="60" spans="2:14" ht="13.5" thickTop="1" x14ac:dyDescent="0.2">
      <c r="B60" s="314"/>
      <c r="C60" s="118" t="s">
        <v>86</v>
      </c>
      <c r="D60" s="315"/>
      <c r="E60" s="315"/>
      <c r="F60" s="315"/>
      <c r="G60" s="315"/>
    </row>
    <row r="61" spans="2:14" x14ac:dyDescent="0.2">
      <c r="B61" s="327"/>
      <c r="C61" s="328"/>
      <c r="D61" s="34"/>
      <c r="E61" s="34"/>
      <c r="F61" s="34"/>
      <c r="G61" s="329"/>
    </row>
    <row r="62" spans="2:14" x14ac:dyDescent="0.2">
      <c r="B62" s="327"/>
      <c r="C62" s="328"/>
      <c r="D62" s="34"/>
      <c r="E62" s="34"/>
      <c r="F62" s="34"/>
      <c r="G62" s="329"/>
    </row>
    <row r="63" spans="2:14" x14ac:dyDescent="0.2">
      <c r="B63" s="446" t="s">
        <v>314</v>
      </c>
      <c r="C63" s="447"/>
      <c r="D63" s="447"/>
      <c r="E63" s="447"/>
      <c r="F63" s="447"/>
      <c r="G63" s="448"/>
    </row>
    <row r="64" spans="2:14" ht="13.5" thickBot="1" x14ac:dyDescent="0.25">
      <c r="B64" s="446"/>
      <c r="C64" s="447"/>
      <c r="D64" s="447"/>
      <c r="E64" s="447"/>
      <c r="F64" s="447"/>
      <c r="G64" s="448"/>
    </row>
    <row r="65" spans="2:14" ht="14.25" thickTop="1" thickBot="1" x14ac:dyDescent="0.25">
      <c r="B65" s="120"/>
      <c r="C65" s="102" t="s">
        <v>70</v>
      </c>
      <c r="D65" s="103" t="s">
        <v>71</v>
      </c>
      <c r="E65" s="103" t="s">
        <v>72</v>
      </c>
      <c r="F65" s="103" t="s">
        <v>73</v>
      </c>
      <c r="G65" s="104" t="s">
        <v>87</v>
      </c>
    </row>
    <row r="66" spans="2:14" ht="13.5" thickTop="1" x14ac:dyDescent="0.2">
      <c r="B66" s="120"/>
      <c r="C66" s="106">
        <v>22</v>
      </c>
      <c r="D66" s="121" t="s">
        <v>88</v>
      </c>
      <c r="E66" s="70" t="s">
        <v>144</v>
      </c>
      <c r="F66" s="108" t="s">
        <v>81</v>
      </c>
      <c r="G66" s="122" t="s">
        <v>144</v>
      </c>
    </row>
    <row r="67" spans="2:14" x14ac:dyDescent="0.2">
      <c r="B67" s="120"/>
      <c r="C67" s="109">
        <v>23</v>
      </c>
      <c r="D67" s="110" t="s">
        <v>384</v>
      </c>
      <c r="E67" s="71" t="s">
        <v>139</v>
      </c>
      <c r="F67" s="111" t="s">
        <v>66</v>
      </c>
      <c r="G67" s="123" t="str">
        <f>IF($E$19="DDR3","Slow: SR[4:3] = 0b01","Fast: SR[4:3] = 0b10")</f>
        <v>Slow: SR[4:3] = 0b01</v>
      </c>
    </row>
    <row r="68" spans="2:14" x14ac:dyDescent="0.2">
      <c r="B68" s="120"/>
      <c r="C68" s="109">
        <v>24</v>
      </c>
      <c r="D68" s="110" t="s">
        <v>383</v>
      </c>
      <c r="E68" s="71" t="s">
        <v>139</v>
      </c>
      <c r="F68" s="111"/>
      <c r="G68" s="123" t="str">
        <f>IF($E$19="DDR3","Slow: SR[4:3] = 0b01","Fast: SR[4:3] = 0b10")</f>
        <v>Slow: SR[4:3] = 0b01</v>
      </c>
    </row>
    <row r="69" spans="2:14" x14ac:dyDescent="0.2">
      <c r="B69" s="120"/>
      <c r="C69" s="109">
        <v>25</v>
      </c>
      <c r="D69" s="110" t="s">
        <v>89</v>
      </c>
      <c r="E69" s="71" t="s">
        <v>139</v>
      </c>
      <c r="F69" s="111" t="s">
        <v>66</v>
      </c>
      <c r="G69" s="123" t="str">
        <f>IF($E$19="DDR3","Slow: SR[4:3] = 0b01","Fast: SR[4:3] = 0b10")</f>
        <v>Slow: SR[4:3] = 0b01</v>
      </c>
    </row>
    <row r="70" spans="2:14" x14ac:dyDescent="0.2">
      <c r="B70" s="120"/>
      <c r="C70" s="109">
        <v>26</v>
      </c>
      <c r="D70" s="110" t="s">
        <v>385</v>
      </c>
      <c r="E70" s="71">
        <v>44</v>
      </c>
      <c r="F70" s="111" t="s">
        <v>81</v>
      </c>
      <c r="G70" s="123">
        <v>44</v>
      </c>
    </row>
    <row r="71" spans="2:14" x14ac:dyDescent="0.2">
      <c r="B71" s="120"/>
      <c r="C71" s="286">
        <v>27</v>
      </c>
      <c r="D71" s="110" t="s">
        <v>386</v>
      </c>
      <c r="E71" s="311">
        <v>50</v>
      </c>
      <c r="F71" s="350" t="s">
        <v>81</v>
      </c>
      <c r="G71" s="313">
        <v>50</v>
      </c>
    </row>
    <row r="72" spans="2:14" ht="13.5" thickBot="1" x14ac:dyDescent="0.25">
      <c r="B72" s="120"/>
      <c r="C72" s="286">
        <v>28</v>
      </c>
      <c r="D72" s="113" t="s">
        <v>387</v>
      </c>
      <c r="E72" s="311">
        <v>44</v>
      </c>
      <c r="F72" s="350" t="s">
        <v>81</v>
      </c>
      <c r="G72" s="313">
        <v>44</v>
      </c>
    </row>
    <row r="73" spans="2:14" ht="14.25" thickTop="1" thickBot="1" x14ac:dyDescent="0.25">
      <c r="B73" s="120"/>
      <c r="C73" s="112">
        <v>29</v>
      </c>
      <c r="D73" s="113" t="s">
        <v>388</v>
      </c>
      <c r="E73" s="72">
        <v>50</v>
      </c>
      <c r="F73" s="114" t="s">
        <v>81</v>
      </c>
      <c r="G73" s="124">
        <v>50</v>
      </c>
    </row>
    <row r="74" spans="2:14" ht="13.5" thickTop="1" x14ac:dyDescent="0.2"/>
    <row r="78" spans="2:14" hidden="1" x14ac:dyDescent="0.2"/>
    <row r="79" spans="2:14" hidden="1" x14ac:dyDescent="0.2"/>
    <row r="80" spans="2:14" hidden="1" x14ac:dyDescent="0.2">
      <c r="K80" s="31" t="s">
        <v>83</v>
      </c>
      <c r="L80" s="31">
        <v>1</v>
      </c>
      <c r="M80" s="31">
        <v>8</v>
      </c>
      <c r="N80" s="31">
        <v>0.5</v>
      </c>
    </row>
    <row r="81" spans="1:14" hidden="1" x14ac:dyDescent="0.2">
      <c r="K81" s="31" t="s">
        <v>144</v>
      </c>
      <c r="L81" s="31">
        <v>2</v>
      </c>
      <c r="M81" s="31">
        <v>9</v>
      </c>
      <c r="N81" s="31">
        <v>1</v>
      </c>
    </row>
    <row r="82" spans="1:14" hidden="1" x14ac:dyDescent="0.2">
      <c r="K82" s="31" t="s">
        <v>145</v>
      </c>
      <c r="L82" s="31">
        <v>4</v>
      </c>
      <c r="M82" s="31">
        <v>10</v>
      </c>
      <c r="N82" s="31">
        <v>2</v>
      </c>
    </row>
    <row r="83" spans="1:14" hidden="1" x14ac:dyDescent="0.2">
      <c r="L83" s="31">
        <v>8</v>
      </c>
      <c r="M83" s="31">
        <v>11</v>
      </c>
      <c r="N83" s="31">
        <v>4</v>
      </c>
    </row>
    <row r="84" spans="1:14" hidden="1" x14ac:dyDescent="0.2">
      <c r="N84" s="31">
        <v>8</v>
      </c>
    </row>
    <row r="85" spans="1:14" hidden="1" x14ac:dyDescent="0.2">
      <c r="C85" s="31" t="str">
        <f>IF(E19="DDR3","DDR3_L","LPDDR2")</f>
        <v>DDR3_L</v>
      </c>
    </row>
    <row r="86" spans="1:14" hidden="1" x14ac:dyDescent="0.2"/>
    <row r="87" spans="1:14" hidden="1" x14ac:dyDescent="0.2"/>
    <row r="88" spans="1:14" hidden="1" x14ac:dyDescent="0.2"/>
    <row r="89" spans="1:14" hidden="1" x14ac:dyDescent="0.2"/>
    <row r="90" spans="1:14" hidden="1" x14ac:dyDescent="0.2">
      <c r="G90" s="31" t="str">
        <f>IF(E19="DDR3","DDR3_DYN_ODT","LPDDR2_DYN_ODT")</f>
        <v>DDR3_DYN_ODT</v>
      </c>
    </row>
    <row r="91" spans="1:14" hidden="1" x14ac:dyDescent="0.2">
      <c r="C91" s="31">
        <v>1066</v>
      </c>
      <c r="E91" s="164" t="str">
        <f>IF(E19="DDR3","DDR3_Width","LPDDR2_Width")</f>
        <v>DDR3_Width</v>
      </c>
      <c r="G91" s="2" t="s">
        <v>228</v>
      </c>
      <c r="H91" s="2" t="s">
        <v>254</v>
      </c>
      <c r="I91" s="2" t="s">
        <v>255</v>
      </c>
    </row>
    <row r="92" spans="1:14" hidden="1" x14ac:dyDescent="0.2">
      <c r="A92" s="31">
        <v>16</v>
      </c>
      <c r="B92" s="2" t="s">
        <v>296</v>
      </c>
      <c r="C92" s="31">
        <v>1333</v>
      </c>
      <c r="D92" s="63" t="s">
        <v>137</v>
      </c>
      <c r="E92" s="31">
        <v>8</v>
      </c>
      <c r="F92" s="31">
        <v>9</v>
      </c>
      <c r="G92" s="31" t="s">
        <v>83</v>
      </c>
      <c r="H92" s="31" t="s">
        <v>80</v>
      </c>
      <c r="I92" s="31" t="s">
        <v>136</v>
      </c>
      <c r="J92" s="31">
        <v>80</v>
      </c>
      <c r="L92" s="2" t="s">
        <v>276</v>
      </c>
    </row>
    <row r="93" spans="1:14" hidden="1" x14ac:dyDescent="0.2">
      <c r="A93" s="31">
        <v>32</v>
      </c>
      <c r="B93" s="2" t="s">
        <v>224</v>
      </c>
      <c r="C93" s="31">
        <v>1600</v>
      </c>
      <c r="D93" s="63" t="s">
        <v>138</v>
      </c>
      <c r="E93" s="31">
        <v>16</v>
      </c>
      <c r="F93" s="31">
        <v>10</v>
      </c>
      <c r="G93" s="31" t="s">
        <v>80</v>
      </c>
      <c r="H93" s="31" t="s">
        <v>141</v>
      </c>
      <c r="I93" s="31" t="s">
        <v>85</v>
      </c>
      <c r="J93" s="31">
        <v>67</v>
      </c>
      <c r="L93" s="2" t="s">
        <v>277</v>
      </c>
    </row>
    <row r="94" spans="1:14" hidden="1" x14ac:dyDescent="0.2">
      <c r="C94" s="31">
        <v>1866</v>
      </c>
      <c r="D94" s="63" t="s">
        <v>139</v>
      </c>
      <c r="E94" s="31">
        <v>32</v>
      </c>
      <c r="F94" s="31">
        <v>11</v>
      </c>
      <c r="G94" s="31" t="s">
        <v>141</v>
      </c>
      <c r="H94" s="31" t="s">
        <v>136</v>
      </c>
      <c r="J94" s="31">
        <v>57</v>
      </c>
    </row>
    <row r="95" spans="1:14" hidden="1" x14ac:dyDescent="0.2">
      <c r="C95" s="31">
        <v>2133</v>
      </c>
      <c r="D95" s="63" t="s">
        <v>140</v>
      </c>
      <c r="F95" s="31">
        <v>12</v>
      </c>
      <c r="H95" s="31" t="s">
        <v>143</v>
      </c>
      <c r="J95" s="31">
        <v>50</v>
      </c>
    </row>
    <row r="96" spans="1:14" hidden="1" x14ac:dyDescent="0.2">
      <c r="F96" s="31">
        <v>13</v>
      </c>
      <c r="H96" s="31" t="s">
        <v>142</v>
      </c>
      <c r="J96" s="31">
        <v>44</v>
      </c>
    </row>
    <row r="97" spans="2:17" hidden="1" x14ac:dyDescent="0.2">
      <c r="F97" s="31">
        <v>14</v>
      </c>
      <c r="J97" s="31">
        <v>40</v>
      </c>
      <c r="N97" s="155" t="str">
        <f>IF(E19="DDR3","DDR3_ZQ_Tsens_Min","LPDDR2_ZQ_Tsens_Min")</f>
        <v>DDR3_ZQ_Tsens_Min</v>
      </c>
      <c r="O97" s="155" t="str">
        <f>IF(E19="DDR3","DDR3_ZQ_Tsens_Max","LPDDR2_ZQ_Tsens_Max")</f>
        <v>DDR3_ZQ_Tsens_Max</v>
      </c>
      <c r="P97" s="31">
        <f>IF(AND(E19="LPDDR2",E56&gt;0.75),1,0)</f>
        <v>0</v>
      </c>
      <c r="Q97" s="31">
        <v>0</v>
      </c>
    </row>
    <row r="98" spans="2:17" hidden="1" x14ac:dyDescent="0.2">
      <c r="B98" s="155">
        <v>533</v>
      </c>
      <c r="C98" s="31" t="str">
        <f>IF(E19="DDR3","DDR3_Min","LPDDR2_Min")</f>
        <v>DDR3_Min</v>
      </c>
      <c r="D98" s="164" t="str">
        <f>IF(E19="DDR3","DDR3_Max","LPDDR2_Max")</f>
        <v>DDR3_Max</v>
      </c>
      <c r="F98" s="31">
        <v>15</v>
      </c>
      <c r="J98" s="31">
        <v>36</v>
      </c>
      <c r="N98" s="155">
        <v>0</v>
      </c>
      <c r="O98" s="155">
        <v>1.5</v>
      </c>
      <c r="Q98" s="31">
        <v>1</v>
      </c>
    </row>
    <row r="99" spans="2:17" hidden="1" x14ac:dyDescent="0.2">
      <c r="B99" s="155">
        <v>667</v>
      </c>
      <c r="C99" s="31">
        <v>303</v>
      </c>
      <c r="D99" s="31">
        <v>400</v>
      </c>
      <c r="F99" s="31">
        <v>16</v>
      </c>
      <c r="J99" s="31">
        <v>33</v>
      </c>
      <c r="N99" s="155">
        <v>0</v>
      </c>
      <c r="O99" s="155">
        <v>0.75</v>
      </c>
    </row>
    <row r="100" spans="2:17" hidden="1" x14ac:dyDescent="0.2">
      <c r="B100" s="155">
        <v>800</v>
      </c>
      <c r="C100" s="31">
        <v>133</v>
      </c>
      <c r="D100" s="31">
        <v>266</v>
      </c>
      <c r="N100" s="155"/>
      <c r="O100" s="155"/>
    </row>
    <row r="101" spans="2:17" hidden="1" x14ac:dyDescent="0.2">
      <c r="B101" s="155">
        <v>933</v>
      </c>
      <c r="N101" s="155"/>
      <c r="O101" s="155"/>
    </row>
    <row r="102" spans="2:17" hidden="1" x14ac:dyDescent="0.2">
      <c r="B102" s="155">
        <v>1066</v>
      </c>
      <c r="C102" s="31">
        <f>IF(E19="DDR3",IF(AND(E20&gt;=303,E20&lt;=400),1,0),IF(AND(E20&gt;=133,E20&lt;=266),1,0))</f>
        <v>1</v>
      </c>
      <c r="D102" s="31">
        <f>IF(AND(E19="DDR3",E35=533),1,IF(AND(E19="DDR3",E35=667),1,IF(AND(E19="DDR3",E35=933),1,IF(AND(E19="LPDDR2",E35=1333),1,IF(AND(E19="LPDDR2",E35=1600),1,IF(AND(E19="LPDDR2",E35=1866),1,IF(AND(E19="LPDDR2",E35=2133),1,0)))))))</f>
        <v>0</v>
      </c>
      <c r="E102" s="31">
        <f>IF(AND(E19="DDR3",E22="Single Ended"),1,0)</f>
        <v>0</v>
      </c>
      <c r="F102" s="31">
        <f>IF(AND(E19="DDR3",E23="Dual Rank"),1,0)</f>
        <v>0</v>
      </c>
      <c r="G102" s="31">
        <f>IF(AND(E19="DDR3",E41=32),1,IF(AND(E19="LPDDR2",E41=8),1,0))</f>
        <v>0</v>
      </c>
      <c r="H102" s="31">
        <f>IF(AND(E19="DDR3",E27=1),1,IF(AND(E19="DDR3",E27=2),1,IF(AND(E19="DDR3",E27=4),1,IF(AND(E19="DDR3",E27=8),1,IF(AND(E19="LPDDR2",E27="NA"),1,0)))))</f>
        <v>1</v>
      </c>
      <c r="I102" s="31">
        <f>IF(AND(E19="DDR3",E28=32),1,IF(AND(E19="DDR3",E28=64),1,IF(AND(E19="DDR3",E28=128),1,IF(AND(E19="DDR3",E28=256),1,IF(AND(E19="DDR3",E28=512),1,IF(AND(E19="DDR3",E28=1024),1,IF(AND(E19="DDR3",E28=2048),1,IF(AND(E19="DDR3",E28=4096),1,IF(AND(E19="LPDDR2",E28="NA"),1,0)))))))))</f>
        <v>1</v>
      </c>
      <c r="J102" s="31">
        <f>IF(AND(E19="DDR3",E24=0),1,IF(AND(E19="DDR3",E24=1),1,IF(AND(E19="LPDDR2",E24="NA"),1,0)))</f>
        <v>0</v>
      </c>
      <c r="K102" s="31">
        <f>IF(AND(E19="DDR3",E25="MR1"),1,IF(AND(E19="DDR3",E25="MR2"),1,IF(AND(E19="DDR3",E25="MR10"),1,IF(AND(E19="LPDDR2",E25="NA"),1,0))))</f>
        <v>0</v>
      </c>
      <c r="L102" s="31">
        <f>IF(AND(E19="DDR3",E26=2),1,IF(AND(E19="DDR3",E26=67),1,IF(AND(E19="DDR3",E26=86),1,IF(AND(E19="LPDDR2",E26="NA"),1,0))))</f>
        <v>0</v>
      </c>
      <c r="N102" s="155" t="str">
        <f>IF(E19="DDR3","DDR3_ZQ_Vsens_Min","LPDDR2_ZQ_Vsens_Min")</f>
        <v>DDR3_ZQ_Vsens_Min</v>
      </c>
      <c r="O102" s="155" t="str">
        <f>IF(E19="DDR3","DDR3_ZQ_Vsens_Max","LPDDR2_ZQ_Vsens_Max")</f>
        <v>DDR3_ZQ_Vsens_Max</v>
      </c>
      <c r="P102" s="31">
        <f>IF(AND(E19="DDR3",E57&gt;0.15),1,0)</f>
        <v>0</v>
      </c>
    </row>
    <row r="103" spans="2:17" hidden="1" x14ac:dyDescent="0.2">
      <c r="N103" s="155">
        <v>0</v>
      </c>
      <c r="O103" s="24">
        <v>0.15</v>
      </c>
    </row>
    <row r="104" spans="2:17" hidden="1" x14ac:dyDescent="0.2">
      <c r="C104" s="31" t="str">
        <f>IF(E19="DDR3","DDR3_DQS","LPDDR2_DQS")</f>
        <v>DDR3_DQS</v>
      </c>
      <c r="D104" s="155" t="str">
        <f>IF(E19="DDR3","DDR3_CS","LPDDR2_CS")</f>
        <v>DDR3_CS</v>
      </c>
      <c r="E104" s="155" t="str">
        <f>IF(E19="DDR3","DDR3_NVM_RDB","LPDDR2_NVM_RDB")</f>
        <v>DDR3_NVM_RDB</v>
      </c>
      <c r="F104" s="31" t="str">
        <f>IF(E19="DDR3","DDR3_NVM_RDB_Size","LPDDR2_NVM_RDB_Size")</f>
        <v>DDR3_NVM_RDB_Size</v>
      </c>
      <c r="I104" s="31">
        <v>5</v>
      </c>
      <c r="N104" s="155">
        <v>0</v>
      </c>
      <c r="O104" s="155">
        <v>0.2</v>
      </c>
    </row>
    <row r="105" spans="2:17" hidden="1" x14ac:dyDescent="0.2">
      <c r="C105" s="2" t="s">
        <v>230</v>
      </c>
      <c r="D105" s="24" t="s">
        <v>329</v>
      </c>
      <c r="E105" s="155" t="s">
        <v>228</v>
      </c>
      <c r="F105" s="164" t="s">
        <v>228</v>
      </c>
      <c r="I105" s="31">
        <v>6</v>
      </c>
      <c r="N105" s="155"/>
      <c r="O105" s="155"/>
    </row>
    <row r="106" spans="2:17" hidden="1" x14ac:dyDescent="0.2">
      <c r="C106" s="2" t="s">
        <v>229</v>
      </c>
      <c r="D106" s="24" t="s">
        <v>329</v>
      </c>
      <c r="E106" s="155">
        <v>1</v>
      </c>
      <c r="F106" s="31">
        <v>32</v>
      </c>
      <c r="I106" s="31">
        <v>7</v>
      </c>
      <c r="N106" s="155"/>
      <c r="O106" s="155"/>
    </row>
    <row r="107" spans="2:17" hidden="1" x14ac:dyDescent="0.2">
      <c r="C107" s="2" t="s">
        <v>230</v>
      </c>
      <c r="D107" s="24" t="s">
        <v>330</v>
      </c>
      <c r="E107" s="155">
        <v>2</v>
      </c>
      <c r="F107" s="31">
        <v>64</v>
      </c>
      <c r="I107" s="31">
        <v>8</v>
      </c>
      <c r="N107" s="155"/>
      <c r="O107" s="155"/>
    </row>
    <row r="108" spans="2:17" hidden="1" x14ac:dyDescent="0.2">
      <c r="E108" s="155">
        <v>4</v>
      </c>
      <c r="F108" s="31">
        <v>128</v>
      </c>
      <c r="I108" s="31">
        <v>9</v>
      </c>
      <c r="N108" s="155"/>
      <c r="O108" s="155"/>
    </row>
    <row r="109" spans="2:17" hidden="1" x14ac:dyDescent="0.2">
      <c r="E109" s="155">
        <v>8</v>
      </c>
      <c r="F109" s="31">
        <v>256</v>
      </c>
      <c r="I109" s="31">
        <v>10</v>
      </c>
      <c r="N109" s="155"/>
      <c r="O109" s="155"/>
    </row>
    <row r="110" spans="2:17" hidden="1" x14ac:dyDescent="0.2">
      <c r="D110" s="155" t="str">
        <f>IF(E19="DDR3","DDR3_Refresh","LPDDR2_Refresh")</f>
        <v>DDR3_Refresh</v>
      </c>
      <c r="F110" s="31">
        <v>512</v>
      </c>
      <c r="I110" s="31">
        <v>11</v>
      </c>
      <c r="N110" s="155"/>
      <c r="O110" s="155"/>
    </row>
    <row r="111" spans="2:17" hidden="1" x14ac:dyDescent="0.2">
      <c r="D111" s="24" t="s">
        <v>228</v>
      </c>
      <c r="F111" s="31">
        <v>1024</v>
      </c>
      <c r="I111" s="31">
        <v>12</v>
      </c>
      <c r="N111" s="155"/>
      <c r="O111" s="155"/>
    </row>
    <row r="112" spans="2:17" hidden="1" x14ac:dyDescent="0.2">
      <c r="D112" s="155">
        <v>0</v>
      </c>
      <c r="F112" s="31">
        <v>2048</v>
      </c>
      <c r="I112" s="31">
        <v>13</v>
      </c>
      <c r="N112" s="155"/>
      <c r="O112" s="155"/>
    </row>
    <row r="113" spans="4:15" hidden="1" x14ac:dyDescent="0.2">
      <c r="D113" s="155">
        <v>1</v>
      </c>
      <c r="F113" s="31">
        <v>4096</v>
      </c>
      <c r="I113" s="31">
        <v>14</v>
      </c>
      <c r="N113" s="155"/>
      <c r="O113" s="155"/>
    </row>
    <row r="114" spans="4:15" hidden="1" x14ac:dyDescent="0.2">
      <c r="N114" s="155"/>
      <c r="O114" s="155"/>
    </row>
    <row r="115" spans="4:15" hidden="1" x14ac:dyDescent="0.2">
      <c r="E115" s="164" t="str">
        <f>IF(E19="DDR3",IF(E35=800,"CL_800",IF(E35=1066,"CL_1066",IF(E35=1333,"CL_1333",IF(E35=1600,"CL_1600",IF(E35=1866,"CL_1866","CL_2133"))))),"NA")</f>
        <v>CL_1600</v>
      </c>
      <c r="F115" s="31">
        <f>IF(E19="DDR3",IF(AND(E35=800,E40=5),0,IF(AND(E35=800,E40=6),0,IF(AND(E35=1066,E40=6),0,IF(AND(E35=1066,E40=7),0,IF(AND(E35=1066,E40=8),0,IF(AND(E35=1333,E40=7),0,IF(AND(E35=1333,E40=8),0,IF(AND(E35=1333,E40=9),0,IF(AND(E35=1333,E40=10),0,IF(AND(E35=1600,E40=8),0,IF(AND(E35=1600,E40=9),0,IF(AND(E35=1600,E40=10),0,IF(AND(E35=1600,E40=11),0,IF(AND(E35=1866,E40=10),0,IF(AND(E35=1866,E40=11),0,IF(AND(E35=1866,E40=12),0,IF(AND(E35=1866,E40=13),0,IF(AND(E35=2133,E40=11),0,IF(AND(E35=2133,E40=12),0,IF(AND(E35=2133,E40=13),0,IF(AND(E35=2133,E40=14),0,1))))))))))))))))))))),IF(E40="Not Applicable",0,1))</f>
        <v>0</v>
      </c>
      <c r="N115" s="155"/>
      <c r="O115" s="155"/>
    </row>
    <row r="116" spans="4:15" hidden="1" x14ac:dyDescent="0.2">
      <c r="D116" s="155" t="str">
        <f>IF(E19="DDR3","DDR3_Addr","LPDDR2_Addr")</f>
        <v>DDR3_Addr</v>
      </c>
    </row>
    <row r="117" spans="4:15" hidden="1" x14ac:dyDescent="0.2">
      <c r="D117" s="24" t="s">
        <v>228</v>
      </c>
      <c r="E117" s="31">
        <v>5</v>
      </c>
      <c r="F117" s="31">
        <v>6</v>
      </c>
      <c r="G117" s="31">
        <v>7</v>
      </c>
      <c r="H117" s="31">
        <v>8</v>
      </c>
      <c r="I117" s="31">
        <v>10</v>
      </c>
      <c r="J117" s="31">
        <v>11</v>
      </c>
      <c r="K117" s="2" t="s">
        <v>346</v>
      </c>
    </row>
    <row r="118" spans="4:15" hidden="1" x14ac:dyDescent="0.2">
      <c r="D118" s="24" t="s">
        <v>266</v>
      </c>
      <c r="E118" s="31">
        <v>6</v>
      </c>
      <c r="F118" s="31">
        <v>7</v>
      </c>
      <c r="G118" s="31">
        <v>8</v>
      </c>
      <c r="H118" s="31">
        <v>9</v>
      </c>
      <c r="I118" s="31">
        <v>11</v>
      </c>
      <c r="J118" s="31">
        <v>12</v>
      </c>
    </row>
    <row r="119" spans="4:15" hidden="1" x14ac:dyDescent="0.2">
      <c r="D119" s="24" t="s">
        <v>267</v>
      </c>
      <c r="F119" s="31">
        <v>8</v>
      </c>
      <c r="G119" s="31">
        <v>9</v>
      </c>
      <c r="H119" s="31">
        <v>10</v>
      </c>
      <c r="I119" s="31">
        <v>12</v>
      </c>
      <c r="J119" s="31">
        <v>13</v>
      </c>
    </row>
    <row r="120" spans="4:15" hidden="1" x14ac:dyDescent="0.2">
      <c r="D120" s="24" t="s">
        <v>268</v>
      </c>
      <c r="G120" s="31">
        <v>10</v>
      </c>
      <c r="H120" s="31">
        <v>11</v>
      </c>
      <c r="I120" s="31">
        <v>13</v>
      </c>
      <c r="J120" s="31">
        <v>14</v>
      </c>
    </row>
    <row r="121" spans="4:15" hidden="1" x14ac:dyDescent="0.2"/>
    <row r="122" spans="4:15" hidden="1" x14ac:dyDescent="0.2"/>
    <row r="123" spans="4:15" hidden="1" x14ac:dyDescent="0.2">
      <c r="D123" s="155" t="str">
        <f>IF(E19="DDR3","DDR3_Data","LPDDR2_Data")</f>
        <v>DDR3_Data</v>
      </c>
    </row>
    <row r="124" spans="4:15" hidden="1" x14ac:dyDescent="0.2">
      <c r="D124" s="24" t="s">
        <v>228</v>
      </c>
    </row>
    <row r="125" spans="4:15" hidden="1" x14ac:dyDescent="0.2">
      <c r="D125" s="24">
        <v>2</v>
      </c>
    </row>
    <row r="126" spans="4:15" hidden="1" x14ac:dyDescent="0.2">
      <c r="D126" s="24">
        <v>67</v>
      </c>
    </row>
    <row r="127" spans="4:15" hidden="1" x14ac:dyDescent="0.2">
      <c r="D127" s="24">
        <v>86</v>
      </c>
    </row>
    <row r="128" spans="4:15" hidden="1" x14ac:dyDescent="0.2"/>
    <row r="129" hidden="1" x14ac:dyDescent="0.2"/>
  </sheetData>
  <sheetProtection password="D9FF" sheet="1" objects="1" scenarios="1"/>
  <mergeCells count="11">
    <mergeCell ref="B32:G33"/>
    <mergeCell ref="B44:G45"/>
    <mergeCell ref="B63:G64"/>
    <mergeCell ref="B2:I2"/>
    <mergeCell ref="B3:I3"/>
    <mergeCell ref="B4:I6"/>
    <mergeCell ref="B7:I8"/>
    <mergeCell ref="B15:G16"/>
    <mergeCell ref="B52:G53"/>
    <mergeCell ref="G40:H42"/>
    <mergeCell ref="G35:G38"/>
  </mergeCells>
  <phoneticPr fontId="45"/>
  <conditionalFormatting sqref="E47">
    <cfRule type="cellIs" dxfId="32" priority="43" operator="notEqual">
      <formula>G47</formula>
    </cfRule>
  </conditionalFormatting>
  <conditionalFormatting sqref="E48">
    <cfRule type="cellIs" dxfId="31" priority="42" operator="notEqual">
      <formula>G48</formula>
    </cfRule>
  </conditionalFormatting>
  <conditionalFormatting sqref="E49">
    <cfRule type="cellIs" dxfId="30" priority="41" operator="notEqual">
      <formula>$G$49</formula>
    </cfRule>
  </conditionalFormatting>
  <conditionalFormatting sqref="E72">
    <cfRule type="cellIs" dxfId="29" priority="37" operator="notEqual">
      <formula>$G$72</formula>
    </cfRule>
  </conditionalFormatting>
  <conditionalFormatting sqref="E66">
    <cfRule type="cellIs" dxfId="28" priority="36" operator="notEqual">
      <formula>$G$66</formula>
    </cfRule>
  </conditionalFormatting>
  <conditionalFormatting sqref="E67:E68">
    <cfRule type="cellIs" dxfId="27" priority="35" operator="notEqual">
      <formula>$G$67</formula>
    </cfRule>
  </conditionalFormatting>
  <conditionalFormatting sqref="E69">
    <cfRule type="cellIs" dxfId="26" priority="34" operator="notEqual">
      <formula>$G$69</formula>
    </cfRule>
  </conditionalFormatting>
  <conditionalFormatting sqref="E73">
    <cfRule type="cellIs" dxfId="25" priority="33" operator="notEqual">
      <formula>$G$73</formula>
    </cfRule>
  </conditionalFormatting>
  <conditionalFormatting sqref="E20">
    <cfRule type="expression" dxfId="24" priority="20">
      <formula>$C$102=0</formula>
    </cfRule>
  </conditionalFormatting>
  <conditionalFormatting sqref="E35">
    <cfRule type="expression" dxfId="23" priority="18">
      <formula>D102=1</formula>
    </cfRule>
  </conditionalFormatting>
  <conditionalFormatting sqref="E22">
    <cfRule type="expression" dxfId="22" priority="16">
      <formula>E102=1</formula>
    </cfRule>
  </conditionalFormatting>
  <conditionalFormatting sqref="E23">
    <cfRule type="expression" dxfId="21" priority="15">
      <formula>F102=1</formula>
    </cfRule>
  </conditionalFormatting>
  <conditionalFormatting sqref="E41:E42">
    <cfRule type="expression" dxfId="20" priority="14">
      <formula>$G$102=1</formula>
    </cfRule>
  </conditionalFormatting>
  <conditionalFormatting sqref="E27">
    <cfRule type="expression" dxfId="19" priority="13">
      <formula>H102=1</formula>
    </cfRule>
  </conditionalFormatting>
  <conditionalFormatting sqref="E24">
    <cfRule type="expression" dxfId="18" priority="11">
      <formula>J102=1</formula>
    </cfRule>
  </conditionalFormatting>
  <conditionalFormatting sqref="E25">
    <cfRule type="expression" dxfId="17" priority="10">
      <formula>K102=1</formula>
    </cfRule>
  </conditionalFormatting>
  <conditionalFormatting sqref="E26">
    <cfRule type="expression" dxfId="16" priority="9">
      <formula>L102=1</formula>
    </cfRule>
  </conditionalFormatting>
  <conditionalFormatting sqref="E28">
    <cfRule type="expression" dxfId="15" priority="44">
      <formula>I102=1</formula>
    </cfRule>
  </conditionalFormatting>
  <conditionalFormatting sqref="E56">
    <cfRule type="expression" dxfId="14" priority="5">
      <formula>P97=1</formula>
    </cfRule>
  </conditionalFormatting>
  <conditionalFormatting sqref="E57">
    <cfRule type="expression" dxfId="13" priority="4">
      <formula>P102=1</formula>
    </cfRule>
  </conditionalFormatting>
  <conditionalFormatting sqref="E40">
    <cfRule type="expression" dxfId="12" priority="3">
      <formula>F115=1</formula>
    </cfRule>
  </conditionalFormatting>
  <conditionalFormatting sqref="E71">
    <cfRule type="cellIs" dxfId="11" priority="2" operator="notEqual">
      <formula>$G$71</formula>
    </cfRule>
  </conditionalFormatting>
  <conditionalFormatting sqref="E70">
    <cfRule type="cellIs" dxfId="10" priority="1" operator="notEqual">
      <formula>$G$70</formula>
    </cfRule>
  </conditionalFormatting>
  <dataValidations xWindow="1741" yWindow="979" count="28">
    <dataValidation type="list" allowBlank="1" showInputMessage="1" showErrorMessage="1" error="Frequency is beyond the datasheet limits of the selected SOC as of April, 2015. Refer to the latest datasheet for valid frequencies." sqref="E20">
      <formula1>"303,400"</formula1>
    </dataValidation>
    <dataValidation type="list" allowBlank="1" showInputMessage="1" showErrorMessage="1" sqref="E41">
      <formula1>INDIRECT(E91)</formula1>
    </dataValidation>
    <dataValidation type="list" allowBlank="1" showInputMessage="1" showErrorMessage="1" sqref="E49">
      <formula1>$I$91:$I$93</formula1>
    </dataValidation>
    <dataValidation type="list" allowBlank="1" showInputMessage="1" showErrorMessage="1" sqref="E48">
      <formula1>INDIRECT(G90)</formula1>
    </dataValidation>
    <dataValidation type="list" allowBlank="1" showInputMessage="1" showErrorMessage="1" sqref="E47">
      <formula1>$H$91:$H$96</formula1>
    </dataValidation>
    <dataValidation type="list" allowBlank="1" showInputMessage="1" showErrorMessage="1" sqref="E70:E73">
      <formula1>$J$92:$J$99</formula1>
    </dataValidation>
    <dataValidation type="list" allowBlank="1" showInputMessage="1" showErrorMessage="1" sqref="E67:E69">
      <formula1>$D$92:$D$95</formula1>
    </dataValidation>
    <dataValidation type="list" allowBlank="1" showInputMessage="1" showErrorMessage="1" sqref="E66">
      <formula1>$K$80:$K$82</formula1>
    </dataValidation>
    <dataValidation type="list" allowBlank="1" showInputMessage="1" showErrorMessage="1" sqref="E35">
      <formula1>INDIRECT($C$85)</formula1>
    </dataValidation>
    <dataValidation type="list" allowBlank="1" showInputMessage="1" showErrorMessage="1" sqref="E37">
      <formula1>$F$92:$F$99</formula1>
    </dataValidation>
    <dataValidation type="list" allowBlank="1" showInputMessage="1" showErrorMessage="1" sqref="E39">
      <formula1>$L$80:$L$83</formula1>
    </dataValidation>
    <dataValidation type="list" allowBlank="1" showInputMessage="1" showErrorMessage="1" sqref="E38">
      <formula1>$M$80:$M$83</formula1>
    </dataValidation>
    <dataValidation type="list" allowBlank="1" showInputMessage="1" showErrorMessage="1" sqref="E36">
      <formula1>$N$80:$N$84</formula1>
    </dataValidation>
    <dataValidation type="list" allowBlank="1" showInputMessage="1" showErrorMessage="1" error="Please ensure the part number is correct, and that the value entered is within the datasheet limits!" sqref="E22">
      <formula1>INDIRECT($C$104)</formula1>
    </dataValidation>
    <dataValidation type="list" allowBlank="1" showInputMessage="1" showErrorMessage="1" error="Please ensure the part number is correct, and that the value entered is within the datasheet limits!" sqref="E23">
      <formula1>INDIRECT($D$104)</formula1>
    </dataValidation>
    <dataValidation type="list" allowBlank="1" showInputMessage="1" showErrorMessage="1" error="Please ensure the part number is correct, and that the value entered is within the datasheet limits!" sqref="E27">
      <formula1>INDIRECT($E$104)</formula1>
    </dataValidation>
    <dataValidation type="list" allowBlank="1" showInputMessage="1" showErrorMessage="1" error="Please ensure the part number is correct, and that the value entered is within the datasheet limits!" sqref="E28">
      <formula1>INDIRECT($F$104)</formula1>
    </dataValidation>
    <dataValidation type="list" allowBlank="1" showInputMessage="1" showErrorMessage="1" error="Please ensure the part number is correct, and that the value entered is within the datasheet limits!" sqref="E24">
      <formula1>INDIRECT($D$110)</formula1>
    </dataValidation>
    <dataValidation type="list" allowBlank="1" showInputMessage="1" showErrorMessage="1" error="Please ensure the part number is correct, and that the value entered is within the datasheet limits!" sqref="E25">
      <formula1>INDIRECT($D$116)</formula1>
    </dataValidation>
    <dataValidation type="list" allowBlank="1" showInputMessage="1" showErrorMessage="1" error="Please ensure the part number is correct, and that the value entered is within the datasheet limits!" sqref="E26">
      <formula1>INDIRECT($D$123)</formula1>
    </dataValidation>
    <dataValidation type="list" allowBlank="1" showInputMessage="1" showErrorMessage="1" sqref="E29">
      <formula1>$L$92:$L$93</formula1>
    </dataValidation>
    <dataValidation type="decimal" allowBlank="1" showInputMessage="1" showErrorMessage="1" sqref="E56">
      <formula1>INDIRECT(N97)</formula1>
      <formula2>INDIRECT(O97)</formula2>
    </dataValidation>
    <dataValidation type="decimal" allowBlank="1" showInputMessage="1" showErrorMessage="1" sqref="E57">
      <formula1>INDIRECT(N102)</formula1>
      <formula2>INDIRECT(O102)</formula2>
    </dataValidation>
    <dataValidation type="list" allowBlank="1" showInputMessage="1" showErrorMessage="1" sqref="E55">
      <formula1>$Q$97:$Q$98</formula1>
    </dataValidation>
    <dataValidation type="decimal" allowBlank="1" showInputMessage="1" showErrorMessage="1" sqref="E58">
      <formula1>0</formula1>
      <formula2>1.2</formula2>
    </dataValidation>
    <dataValidation type="decimal" allowBlank="1" showInputMessage="1" showErrorMessage="1" sqref="E59">
      <formula1>0</formula1>
      <formula2>15</formula2>
    </dataValidation>
    <dataValidation type="whole" allowBlank="1" showInputMessage="1" showErrorMessage="1" sqref="E42">
      <formula1>0</formula1>
      <formula2>7800</formula2>
    </dataValidation>
    <dataValidation type="list" allowBlank="1" showInputMessage="1" showErrorMessage="1" sqref="E40">
      <formula1>INDIRECT($E$115)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66"/>
  </sheetPr>
  <dimension ref="A1:N260"/>
  <sheetViews>
    <sheetView zoomScaleNormal="100" workbookViewId="0">
      <pane ySplit="20" topLeftCell="A27" activePane="bottomLeft" state="frozen"/>
      <selection pane="bottomLeft" activeCell="E40" sqref="E40"/>
    </sheetView>
  </sheetViews>
  <sheetFormatPr defaultColWidth="9.140625" defaultRowHeight="12.75" x14ac:dyDescent="0.2"/>
  <cols>
    <col min="1" max="1" width="4.5703125" style="31" bestFit="1" customWidth="1"/>
    <col min="2" max="2" width="9.140625" style="31"/>
    <col min="3" max="3" width="13.28515625" style="31" bestFit="1" customWidth="1"/>
    <col min="4" max="4" width="53.5703125" style="31" customWidth="1"/>
    <col min="5" max="5" width="9.42578125" style="31" customWidth="1"/>
    <col min="6" max="6" width="9.140625" style="31"/>
    <col min="7" max="7" width="9.28515625" style="31" bestFit="1" customWidth="1"/>
    <col min="8" max="8" width="13.140625" style="31" bestFit="1" customWidth="1"/>
    <col min="9" max="9" width="27.28515625" style="31" customWidth="1"/>
    <col min="10" max="10" width="9.140625" style="31"/>
    <col min="11" max="11" width="14" style="31" customWidth="1"/>
    <col min="12" max="16384" width="9.140625" style="31"/>
  </cols>
  <sheetData>
    <row r="1" spans="1:11" ht="12.75" customHeight="1" x14ac:dyDescent="0.2">
      <c r="A1" s="166"/>
      <c r="B1" s="166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2.75" customHeight="1" x14ac:dyDescent="0.2">
      <c r="A2" s="166"/>
      <c r="B2" s="449"/>
      <c r="C2" s="450"/>
      <c r="D2" s="450"/>
      <c r="E2" s="450"/>
      <c r="F2" s="450"/>
      <c r="G2" s="450"/>
      <c r="H2" s="450"/>
      <c r="I2" s="450"/>
      <c r="J2" s="450"/>
      <c r="K2" s="451"/>
    </row>
    <row r="3" spans="1:11" ht="12.75" customHeight="1" x14ac:dyDescent="0.2">
      <c r="A3" s="166"/>
      <c r="B3" s="449"/>
      <c r="C3" s="450"/>
      <c r="D3" s="450"/>
      <c r="E3" s="450"/>
      <c r="F3" s="450"/>
      <c r="G3" s="450"/>
      <c r="H3" s="450"/>
      <c r="I3" s="450"/>
      <c r="J3" s="450"/>
      <c r="K3" s="451"/>
    </row>
    <row r="4" spans="1:11" ht="12.75" customHeight="1" x14ac:dyDescent="0.2">
      <c r="A4" s="176"/>
      <c r="B4" s="471" t="s">
        <v>369</v>
      </c>
      <c r="C4" s="472"/>
      <c r="D4" s="472"/>
      <c r="E4" s="472"/>
      <c r="F4" s="472"/>
      <c r="G4" s="472"/>
      <c r="H4" s="472"/>
      <c r="I4" s="472"/>
      <c r="J4" s="472"/>
      <c r="K4" s="473"/>
    </row>
    <row r="5" spans="1:11" ht="12.75" customHeight="1" x14ac:dyDescent="0.2">
      <c r="A5" s="165"/>
      <c r="B5" s="471"/>
      <c r="C5" s="472"/>
      <c r="D5" s="472"/>
      <c r="E5" s="472"/>
      <c r="F5" s="472"/>
      <c r="G5" s="472"/>
      <c r="H5" s="472"/>
      <c r="I5" s="472"/>
      <c r="J5" s="472"/>
      <c r="K5" s="473"/>
    </row>
    <row r="6" spans="1:11" ht="12.75" customHeight="1" thickBot="1" x14ac:dyDescent="0.25">
      <c r="A6" s="165"/>
      <c r="B6" s="471"/>
      <c r="C6" s="472"/>
      <c r="D6" s="472"/>
      <c r="E6" s="472"/>
      <c r="F6" s="472"/>
      <c r="G6" s="472"/>
      <c r="H6" s="472"/>
      <c r="I6" s="472"/>
      <c r="J6" s="472"/>
      <c r="K6" s="473"/>
    </row>
    <row r="7" spans="1:11" ht="12.75" customHeight="1" thickTop="1" x14ac:dyDescent="0.2">
      <c r="A7" s="165"/>
      <c r="B7" s="474" t="s">
        <v>203</v>
      </c>
      <c r="C7" s="475"/>
      <c r="D7" s="475"/>
      <c r="E7" s="475"/>
      <c r="F7" s="475"/>
      <c r="G7" s="475"/>
      <c r="H7" s="475"/>
      <c r="I7" s="475"/>
      <c r="J7" s="475"/>
      <c r="K7" s="476"/>
    </row>
    <row r="8" spans="1:11" ht="12.75" customHeight="1" x14ac:dyDescent="0.2">
      <c r="A8" s="165"/>
      <c r="B8" s="477"/>
      <c r="C8" s="478"/>
      <c r="D8" s="478"/>
      <c r="E8" s="478"/>
      <c r="F8" s="478"/>
      <c r="G8" s="478"/>
      <c r="H8" s="478"/>
      <c r="I8" s="478"/>
      <c r="J8" s="478"/>
      <c r="K8" s="479"/>
    </row>
    <row r="9" spans="1:11" ht="12.75" customHeight="1" x14ac:dyDescent="0.2">
      <c r="A9" s="165"/>
      <c r="B9" s="170" t="s">
        <v>204</v>
      </c>
      <c r="C9" s="191" t="s">
        <v>548</v>
      </c>
      <c r="D9" s="192"/>
      <c r="E9" s="192"/>
      <c r="F9" s="192"/>
      <c r="G9" s="192"/>
      <c r="H9" s="192"/>
      <c r="I9" s="192"/>
      <c r="J9" s="192"/>
      <c r="K9" s="193"/>
    </row>
    <row r="10" spans="1:11" ht="12.75" customHeight="1" x14ac:dyDescent="0.2">
      <c r="A10" s="165"/>
      <c r="B10" s="170" t="s">
        <v>206</v>
      </c>
      <c r="C10" s="172" t="s">
        <v>214</v>
      </c>
      <c r="D10" s="194"/>
      <c r="E10" s="195"/>
      <c r="F10" s="195"/>
      <c r="G10" s="195"/>
      <c r="H10" s="195"/>
      <c r="I10" s="195"/>
      <c r="J10" s="195"/>
      <c r="K10" s="196"/>
    </row>
    <row r="11" spans="1:11" ht="12.75" customHeight="1" x14ac:dyDescent="0.2">
      <c r="A11" s="165"/>
      <c r="B11" s="197"/>
      <c r="C11" s="198"/>
      <c r="D11" s="199"/>
      <c r="E11" s="195"/>
      <c r="F11" s="195"/>
      <c r="G11" s="195"/>
      <c r="H11" s="195"/>
      <c r="I11" s="195"/>
      <c r="J11" s="195"/>
      <c r="K11" s="196"/>
    </row>
    <row r="12" spans="1:11" ht="12.75" customHeight="1" x14ac:dyDescent="0.2">
      <c r="A12" s="165"/>
      <c r="B12" s="197"/>
      <c r="C12" s="200" t="s">
        <v>207</v>
      </c>
      <c r="D12" s="199"/>
      <c r="E12" s="201"/>
      <c r="F12" s="195"/>
      <c r="G12" s="195"/>
      <c r="H12" s="195"/>
      <c r="I12" s="195"/>
      <c r="J12" s="195"/>
      <c r="K12" s="196"/>
    </row>
    <row r="13" spans="1:11" ht="12.75" customHeight="1" x14ac:dyDescent="0.2">
      <c r="A13" s="165"/>
      <c r="B13" s="197"/>
      <c r="C13" s="199" t="s">
        <v>204</v>
      </c>
      <c r="D13" s="194" t="s">
        <v>208</v>
      </c>
      <c r="E13" s="201"/>
      <c r="F13" s="195"/>
      <c r="G13" s="195"/>
      <c r="H13" s="195"/>
      <c r="I13" s="195"/>
      <c r="J13" s="195"/>
      <c r="K13" s="196"/>
    </row>
    <row r="14" spans="1:11" ht="12.75" customHeight="1" x14ac:dyDescent="0.2">
      <c r="A14" s="165"/>
      <c r="B14" s="197"/>
      <c r="C14" s="199" t="s">
        <v>206</v>
      </c>
      <c r="D14" s="194" t="s">
        <v>209</v>
      </c>
      <c r="E14" s="195"/>
      <c r="F14" s="195"/>
      <c r="G14" s="195"/>
      <c r="H14" s="195"/>
      <c r="I14" s="195"/>
      <c r="J14" s="195"/>
      <c r="K14" s="196"/>
    </row>
    <row r="15" spans="1:11" ht="12.75" customHeight="1" x14ac:dyDescent="0.2">
      <c r="A15" s="165"/>
      <c r="B15" s="202"/>
      <c r="C15" s="199" t="s">
        <v>210</v>
      </c>
      <c r="D15" s="203" t="s">
        <v>211</v>
      </c>
      <c r="E15" s="204"/>
      <c r="F15" s="204"/>
      <c r="G15" s="204"/>
      <c r="H15" s="204"/>
      <c r="I15" s="204"/>
      <c r="J15" s="204"/>
      <c r="K15" s="205"/>
    </row>
    <row r="16" spans="1:11" ht="12.75" customHeight="1" x14ac:dyDescent="0.2">
      <c r="A16" s="165"/>
      <c r="B16" s="202"/>
      <c r="C16" s="199" t="s">
        <v>212</v>
      </c>
      <c r="D16" s="203" t="s">
        <v>213</v>
      </c>
      <c r="E16" s="204"/>
      <c r="F16" s="204"/>
      <c r="G16" s="204"/>
      <c r="H16" s="204"/>
      <c r="I16" s="204"/>
      <c r="J16" s="204"/>
      <c r="K16" s="205"/>
    </row>
    <row r="17" spans="1:11" ht="12.75" customHeight="1" x14ac:dyDescent="0.2">
      <c r="A17" s="165"/>
      <c r="B17" s="202"/>
      <c r="C17" s="247"/>
      <c r="D17" s="203"/>
      <c r="E17" s="204"/>
      <c r="F17" s="204"/>
      <c r="G17" s="204"/>
      <c r="H17" s="204"/>
      <c r="I17" s="204"/>
      <c r="J17" s="204"/>
      <c r="K17" s="205"/>
    </row>
    <row r="18" spans="1:11" ht="12.75" customHeight="1" x14ac:dyDescent="0.2">
      <c r="A18" s="165"/>
      <c r="B18" s="202"/>
      <c r="C18" s="178" t="s">
        <v>205</v>
      </c>
      <c r="D18" s="203"/>
      <c r="E18" s="204"/>
      <c r="F18" s="204"/>
      <c r="G18" s="204"/>
      <c r="H18" s="204"/>
      <c r="I18" s="204"/>
      <c r="J18" s="204"/>
      <c r="K18" s="205"/>
    </row>
    <row r="19" spans="1:11" ht="12.75" customHeight="1" thickBot="1" x14ac:dyDescent="0.25">
      <c r="A19" s="165"/>
      <c r="B19" s="206"/>
      <c r="C19" s="207"/>
      <c r="D19" s="207"/>
      <c r="E19" s="207"/>
      <c r="F19" s="207"/>
      <c r="G19" s="207"/>
      <c r="H19" s="208"/>
      <c r="I19" s="208"/>
      <c r="J19" s="208"/>
      <c r="K19" s="209"/>
    </row>
    <row r="20" spans="1:11" ht="12.75" customHeight="1" thickTop="1" x14ac:dyDescent="0.2"/>
    <row r="22" spans="1:11" x14ac:dyDescent="0.2">
      <c r="B22" s="480" t="s">
        <v>90</v>
      </c>
      <c r="C22" s="482" t="s">
        <v>132</v>
      </c>
      <c r="D22" s="483"/>
      <c r="E22" s="483"/>
      <c r="F22" s="483"/>
      <c r="G22" s="483"/>
      <c r="H22" s="483"/>
      <c r="I22" s="483"/>
    </row>
    <row r="23" spans="1:11" x14ac:dyDescent="0.2">
      <c r="B23" s="481"/>
      <c r="C23" s="484"/>
      <c r="D23" s="485"/>
      <c r="E23" s="485"/>
      <c r="F23" s="485"/>
      <c r="G23" s="485"/>
      <c r="H23" s="485"/>
      <c r="I23" s="485"/>
    </row>
    <row r="24" spans="1:11" ht="13.5" thickBot="1" x14ac:dyDescent="0.25">
      <c r="B24" s="125"/>
      <c r="C24" s="126"/>
      <c r="D24" s="127"/>
      <c r="E24" s="488" t="s">
        <v>100</v>
      </c>
      <c r="F24" s="489"/>
      <c r="G24" s="127"/>
      <c r="H24" s="127"/>
      <c r="I24" s="127"/>
    </row>
    <row r="25" spans="1:11" ht="13.5" thickTop="1" x14ac:dyDescent="0.2">
      <c r="B25" s="128"/>
      <c r="C25" s="490" t="s">
        <v>101</v>
      </c>
      <c r="D25" s="492" t="s">
        <v>71</v>
      </c>
      <c r="E25" s="494" t="s">
        <v>102</v>
      </c>
      <c r="F25" s="494"/>
      <c r="G25" s="494" t="s">
        <v>103</v>
      </c>
      <c r="H25" s="495"/>
      <c r="I25" s="486" t="str">
        <f>CONCATENATE("JEDEC tCK cycles (",'Step1-System Details'!E19,"-",'Step1-System Details'!E35," @ ",'Step1-System Details'!E20," MHz)")</f>
        <v>JEDEC tCK cycles (DDR3-1600 @ 400 MHz)</v>
      </c>
    </row>
    <row r="26" spans="1:11" ht="13.5" thickBot="1" x14ac:dyDescent="0.25">
      <c r="B26" s="128"/>
      <c r="C26" s="491"/>
      <c r="D26" s="493"/>
      <c r="E26" s="129" t="s">
        <v>26</v>
      </c>
      <c r="F26" s="129" t="s">
        <v>27</v>
      </c>
      <c r="G26" s="129" t="s">
        <v>72</v>
      </c>
      <c r="H26" s="130" t="s">
        <v>73</v>
      </c>
      <c r="I26" s="487"/>
    </row>
    <row r="27" spans="1:11" ht="13.5" thickTop="1" x14ac:dyDescent="0.2">
      <c r="B27" s="128"/>
      <c r="C27" s="131" t="s">
        <v>104</v>
      </c>
      <c r="D27" s="132" t="s">
        <v>105</v>
      </c>
      <c r="E27" s="147">
        <v>5</v>
      </c>
      <c r="F27" s="133"/>
      <c r="G27" s="140">
        <f>E27</f>
        <v>5</v>
      </c>
      <c r="H27" s="134" t="s">
        <v>26</v>
      </c>
      <c r="I27" s="248"/>
    </row>
    <row r="28" spans="1:11" x14ac:dyDescent="0.2">
      <c r="B28" s="128"/>
      <c r="C28" s="135" t="s">
        <v>106</v>
      </c>
      <c r="D28" s="136" t="s">
        <v>107</v>
      </c>
      <c r="E28" s="74">
        <v>5</v>
      </c>
      <c r="F28" s="137"/>
      <c r="G28" s="140">
        <f>E28</f>
        <v>5</v>
      </c>
      <c r="H28" s="111" t="s">
        <v>26</v>
      </c>
      <c r="I28" s="154"/>
    </row>
    <row r="29" spans="1:11" hidden="1" x14ac:dyDescent="0.2">
      <c r="B29" s="128"/>
      <c r="C29" s="135" t="s">
        <v>151</v>
      </c>
      <c r="D29" s="136" t="s">
        <v>152</v>
      </c>
      <c r="E29" s="74">
        <v>11</v>
      </c>
      <c r="F29" s="137"/>
      <c r="G29" s="137">
        <f>MIN(E29,7)</f>
        <v>7</v>
      </c>
      <c r="H29" s="111" t="s">
        <v>26</v>
      </c>
      <c r="I29" s="154"/>
    </row>
    <row r="30" spans="1:11" x14ac:dyDescent="0.2">
      <c r="B30" s="128"/>
      <c r="C30" s="138" t="s">
        <v>28</v>
      </c>
      <c r="D30" s="110" t="s">
        <v>108</v>
      </c>
      <c r="E30" s="379"/>
      <c r="F30" s="73">
        <v>13.75</v>
      </c>
      <c r="G30" s="140">
        <f>IF('Step1-System Details'!$E$19="DDR3",(CEILING((F30/$A$223),1)-1),(MAX(E30,(CEILING((F30/$A$223),1)))-1))</f>
        <v>5</v>
      </c>
      <c r="H30" s="111" t="s">
        <v>26</v>
      </c>
      <c r="I30" s="154">
        <f>IF('Step1-System Details'!$E$19="DDR3",IF('Step1-System Details'!$E$35=2133,D226,IF('Step1-System Details'!$E$35=1866,E226,IF('Step1-System Details'!$E$35=1600,F226,IF('Step1-System Details'!$E$35=1333,G226,IF('Step1-System Details'!$E$35=1066,H226,IF('Step1-System Details'!$E$35=800,I226,"")))))),IF('Step1-System Details'!$E$35=1066,J226,IF('Step1-System Details'!$E$35=933,K226,IF('Step1-System Details'!$E$35=800,L226,IF('Step1-System Details'!$E$35=667,M226,IF('Step1-System Details'!$E$35=533,N226,""))))))</f>
        <v>6</v>
      </c>
    </row>
    <row r="31" spans="1:11" x14ac:dyDescent="0.2">
      <c r="B31" s="128"/>
      <c r="C31" s="138" t="s">
        <v>29</v>
      </c>
      <c r="D31" s="110" t="s">
        <v>109</v>
      </c>
      <c r="E31" s="379"/>
      <c r="F31" s="73">
        <v>13.75</v>
      </c>
      <c r="G31" s="140">
        <f>IF('Step1-System Details'!$E$19="DDR3",(CEILING((F31/$A$223),1)-1),(MAX(E31,(CEILING((F31/$A$223),1)))-1))</f>
        <v>5</v>
      </c>
      <c r="H31" s="111" t="s">
        <v>26</v>
      </c>
      <c r="I31" s="154">
        <f>IF('Step1-System Details'!$E$19="DDR3",IF('Step1-System Details'!$E$35=2133,D227,IF('Step1-System Details'!$E$35=1866,E227,IF('Step1-System Details'!$E$35=1600,F227,IF('Step1-System Details'!$E$35=1333,G227,IF('Step1-System Details'!$E$35=1066,H227,IF('Step1-System Details'!$E$35=800,I227,"")))))),IF('Step1-System Details'!$E$35=1066,J227,IF('Step1-System Details'!$E$35=933,K227,IF('Step1-System Details'!$E$35=800,L227,IF('Step1-System Details'!$E$35=667,M227,IF('Step1-System Details'!$E$35=533,N227,""))))))</f>
        <v>6</v>
      </c>
    </row>
    <row r="32" spans="1:11" x14ac:dyDescent="0.2">
      <c r="B32" s="128"/>
      <c r="C32" s="138" t="s">
        <v>30</v>
      </c>
      <c r="D32" s="110" t="s">
        <v>110</v>
      </c>
      <c r="E32" s="379"/>
      <c r="F32" s="73">
        <v>15</v>
      </c>
      <c r="G32" s="140">
        <f>IF('Step1-System Details'!$E$19="DDR3",(CEILING((F32/$A$223),1)-1),(MAX(E32,(CEILING((F32/$A$223),1)))-1))</f>
        <v>5</v>
      </c>
      <c r="H32" s="111" t="s">
        <v>26</v>
      </c>
      <c r="I32" s="154">
        <f>IF('Step1-System Details'!$E$19="DDR3",IF('Step1-System Details'!$E$35=2133,D228,IF('Step1-System Details'!$E$35=1866,E228,IF('Step1-System Details'!$E$35=1600,F228,IF('Step1-System Details'!$E$35=1333,G228,IF('Step1-System Details'!$E$35=1066,H228,IF('Step1-System Details'!$E$35=800,I228,"")))))),IF('Step1-System Details'!$E$35=1066,J228,IF('Step1-System Details'!$E$35=933,K228,IF('Step1-System Details'!$E$35=800,L228,IF('Step1-System Details'!$E$35=667,M228,IF('Step1-System Details'!$E$35=533,N228,""))))))</f>
        <v>6</v>
      </c>
    </row>
    <row r="33" spans="2:9" x14ac:dyDescent="0.2">
      <c r="B33" s="128"/>
      <c r="C33" s="138" t="s">
        <v>111</v>
      </c>
      <c r="D33" s="110" t="s">
        <v>112</v>
      </c>
      <c r="E33" s="379"/>
      <c r="F33" s="73">
        <v>35</v>
      </c>
      <c r="G33" s="140">
        <f>IF('Step1-System Details'!$E$19="DDR3",(CEILING((F33/$A$223),1)-1),(MAX(E33,(CEILING((F33/$A$223),1)))-1))</f>
        <v>13</v>
      </c>
      <c r="H33" s="111" t="s">
        <v>26</v>
      </c>
      <c r="I33" s="154">
        <f>IF('Step1-System Details'!$E$19="DDR3",IF('Step1-System Details'!$E$35=2133,D229,IF('Step1-System Details'!$E$35=1866,E229,IF('Step1-System Details'!$E$35=1600,F229,IF('Step1-System Details'!$E$35=1333,G229,IF('Step1-System Details'!$E$35=1066,H229,IF('Step1-System Details'!$E$35=800,I229,"")))))),IF('Step1-System Details'!$E$35=1066,J229,IF('Step1-System Details'!$E$35=933,K229,IF('Step1-System Details'!$E$35=800,L229,IF('Step1-System Details'!$E$35=667,M229,IF('Step1-System Details'!$E$35=533,N229,""))))))</f>
        <v>14</v>
      </c>
    </row>
    <row r="34" spans="2:9" x14ac:dyDescent="0.2">
      <c r="B34" s="128"/>
      <c r="C34" s="138" t="s">
        <v>31</v>
      </c>
      <c r="D34" s="110" t="s">
        <v>113</v>
      </c>
      <c r="E34" s="139"/>
      <c r="F34" s="73">
        <v>48.75</v>
      </c>
      <c r="G34" s="140">
        <f>CEILING((F34/A223),1) - 1</f>
        <v>19</v>
      </c>
      <c r="H34" s="111" t="s">
        <v>26</v>
      </c>
      <c r="I34" s="154">
        <f>IF('Step1-System Details'!$E$19="DDR3",IF('Step1-System Details'!$E$35=2133,D230,IF('Step1-System Details'!$E$35=1866,E230,IF('Step1-System Details'!$E$35=1600,F230,IF('Step1-System Details'!$E$35=1333,G230,IF('Step1-System Details'!$E$35=1066,H230,IF('Step1-System Details'!$E$35=800,I230,"")))))),IF('Step1-System Details'!$E$35=1066,J230,IF('Step1-System Details'!$E$35=933,K230,IF('Step1-System Details'!$E$35=800,L230,IF('Step1-System Details'!$E$35=667,M230,IF('Step1-System Details'!$E$35=533,N230,""))))))</f>
        <v>20</v>
      </c>
    </row>
    <row r="35" spans="2:9" x14ac:dyDescent="0.2">
      <c r="B35" s="128"/>
      <c r="C35" s="138" t="s">
        <v>344</v>
      </c>
      <c r="D35" s="110" t="s">
        <v>345</v>
      </c>
      <c r="E35" s="379"/>
      <c r="F35" s="73">
        <v>40</v>
      </c>
      <c r="G35" s="140">
        <f>IF('Step1-System Details'!$E$19="DDR3",(CEILING((F35/$A$223),1)-1),(MAX(E35,(CEILING((F35/$A$223),1)))-1))</f>
        <v>15</v>
      </c>
      <c r="H35" s="111" t="s">
        <v>26</v>
      </c>
      <c r="I35" s="154">
        <f>IF('Step1-System Details'!$E$19="DDR3",IF('Step1-System Details'!$E$35=2133,D231,IF('Step1-System Details'!$E$35=1866,E231,IF('Step1-System Details'!$E$35=1600,F231,IF('Step1-System Details'!$E$35=1333,G231,IF('Step1-System Details'!$E$35=1066,H231,IF('Step1-System Details'!$E$35=800,I231,"")))))),IF('Step1-System Details'!$E$35=1066,J231,IF('Step1-System Details'!$E$35=933,K231,IF('Step1-System Details'!$E$35=800,L231,IF('Step1-System Details'!$E$35=667,M231,IF('Step1-System Details'!$E$35=533,N231,""))))))</f>
        <v>12</v>
      </c>
    </row>
    <row r="36" spans="2:9" x14ac:dyDescent="0.2">
      <c r="B36" s="128"/>
      <c r="C36" s="138" t="s">
        <v>32</v>
      </c>
      <c r="D36" s="110" t="s">
        <v>114</v>
      </c>
      <c r="E36" s="74">
        <v>4</v>
      </c>
      <c r="F36" s="73">
        <v>7.5</v>
      </c>
      <c r="G36" s="140">
        <f>IF('Step1-System Details'!E19="DDR3",(CEILING((G35+1)/4,1)-1),MAX(E36,CEILING((F36/A223),1))-1)</f>
        <v>3</v>
      </c>
      <c r="H36" s="111" t="s">
        <v>26</v>
      </c>
      <c r="I36" s="154">
        <f>IF('Step1-System Details'!$E$19="DDR3",IF('Step1-System Details'!$E$35=2133,D232,IF('Step1-System Details'!$E$35=1866,E232,IF('Step1-System Details'!$E$35=1600,F232,IF('Step1-System Details'!$E$35=1333,G232,IF('Step1-System Details'!$E$35=1066,H232,IF('Step1-System Details'!$E$35=800,I232,"")))))),IF('Step1-System Details'!$E$35=1066,J232,IF('Step1-System Details'!$E$35=933,K232,IF('Step1-System Details'!$E$35=800,L232,IF('Step1-System Details'!$E$35=667,M232,IF('Step1-System Details'!$E$35=533,N232,""))))))</f>
        <v>3</v>
      </c>
    </row>
    <row r="37" spans="2:9" x14ac:dyDescent="0.2">
      <c r="B37" s="128"/>
      <c r="C37" s="138" t="s">
        <v>33</v>
      </c>
      <c r="D37" s="110" t="s">
        <v>115</v>
      </c>
      <c r="E37" s="74">
        <v>4</v>
      </c>
      <c r="F37" s="73">
        <v>7.5</v>
      </c>
      <c r="G37" s="140">
        <f>MAX(E37,CEILING(F37/A223,1)) - 1</f>
        <v>3</v>
      </c>
      <c r="H37" s="111" t="s">
        <v>26</v>
      </c>
      <c r="I37" s="154">
        <f>IF('Step1-System Details'!$E$19="DDR3",IF('Step1-System Details'!$E$35=2133,D233,IF('Step1-System Details'!$E$35=1866,E233,IF('Step1-System Details'!$E$35=1600,F233,IF('Step1-System Details'!$E$35=1333,G233,IF('Step1-System Details'!$E$35=1066,H233,IF('Step1-System Details'!$E$35=800,I233,"")))))),IF('Step1-System Details'!$E$35=1066,J233,IF('Step1-System Details'!$E$35=933,K233,IF('Step1-System Details'!$E$35=800,L233,IF('Step1-System Details'!$E$35=667,M233,IF('Step1-System Details'!$E$35=533,N233,""))))))</f>
        <v>4</v>
      </c>
    </row>
    <row r="38" spans="2:9" x14ac:dyDescent="0.2">
      <c r="B38" s="128"/>
      <c r="C38" s="138" t="s">
        <v>34</v>
      </c>
      <c r="D38" s="110" t="s">
        <v>116</v>
      </c>
      <c r="E38" s="74">
        <v>3</v>
      </c>
      <c r="F38" s="73">
        <v>6</v>
      </c>
      <c r="G38" s="140">
        <f>MAX(E38,CEILING(F38/A223,1)) - 1</f>
        <v>2</v>
      </c>
      <c r="H38" s="111" t="s">
        <v>26</v>
      </c>
      <c r="I38" s="154">
        <f>IF('Step1-System Details'!$E$19="DDR3",IF('Step1-System Details'!$E$35=2133,D234,IF('Step1-System Details'!$E$35=1866,E234,IF('Step1-System Details'!$E$35=1600,F234,IF('Step1-System Details'!$E$35=1333,G234,IF('Step1-System Details'!$E$35=1066,H234,IF('Step1-System Details'!$E$35=800,I234,"")))))),IF('Step1-System Details'!$E$35=1066,J234,IF('Step1-System Details'!$E$35=933,K234,IF('Step1-System Details'!$E$35=800,L234,IF('Step1-System Details'!$E$35=667,M234,IF('Step1-System Details'!$E$35=533,N234,""))))))</f>
        <v>3</v>
      </c>
    </row>
    <row r="39" spans="2:9" hidden="1" x14ac:dyDescent="0.2">
      <c r="B39" s="128"/>
      <c r="C39" s="138" t="s">
        <v>147</v>
      </c>
      <c r="D39" s="141" t="s">
        <v>148</v>
      </c>
      <c r="E39" s="74">
        <v>5</v>
      </c>
      <c r="F39" s="73">
        <v>9</v>
      </c>
      <c r="G39" s="140">
        <f>E39</f>
        <v>5</v>
      </c>
      <c r="H39" s="111" t="s">
        <v>26</v>
      </c>
      <c r="I39" s="154"/>
    </row>
    <row r="40" spans="2:9" x14ac:dyDescent="0.2">
      <c r="B40" s="128"/>
      <c r="C40" s="138" t="s">
        <v>513</v>
      </c>
      <c r="D40" s="110" t="s">
        <v>118</v>
      </c>
      <c r="E40" s="74">
        <v>5</v>
      </c>
      <c r="F40" s="373">
        <f>F49+10</f>
        <v>170</v>
      </c>
      <c r="G40" s="140">
        <f>MAX(E40,CEILING((F40/A223),1)) - 1</f>
        <v>67</v>
      </c>
      <c r="H40" s="111" t="s">
        <v>26</v>
      </c>
      <c r="I40" s="154">
        <f>IF('Step1-System Details'!$E$19="DDR3",IF('Step1-System Details'!$E$35=2133,D236,IF('Step1-System Details'!$E$35=1866,E236,IF('Step1-System Details'!$E$35=1600,F236,IF('Step1-System Details'!$E$35=1333,G236,IF('Step1-System Details'!$E$35=1066,H236,IF('Step1-System Details'!$E$35=800,I236,"")))))),IF('Step1-System Details'!$E$35=1066,J236,IF('Step1-System Details'!$E$35=933,K236,IF('Step1-System Details'!$E$35=800,L236,IF('Step1-System Details'!$E$35=667,M236,IF('Step1-System Details'!$E$35=533,N236,""))))))</f>
        <v>108</v>
      </c>
    </row>
    <row r="41" spans="2:9" x14ac:dyDescent="0.2">
      <c r="B41" s="128"/>
      <c r="C41" s="138" t="s">
        <v>514</v>
      </c>
      <c r="D41" s="110" t="s">
        <v>120</v>
      </c>
      <c r="E41" s="74">
        <v>512</v>
      </c>
      <c r="F41" s="137"/>
      <c r="G41" s="140">
        <f>IF('Step1-System Details'!$E$19="DDR3",CEILING(E41,1)-1,"NA")</f>
        <v>511</v>
      </c>
      <c r="H41" s="111" t="s">
        <v>26</v>
      </c>
      <c r="I41" s="154">
        <f>IF('Step1-System Details'!$E$19="DDR3",IF('Step1-System Details'!$E$35=2133,D237,IF('Step1-System Details'!$E$35=1866,E237,IF('Step1-System Details'!$E$35=1600,F237,IF('Step1-System Details'!$E$35=1333,G237,IF('Step1-System Details'!$E$35=1066,H237,IF('Step1-System Details'!$E$35=800,I237,"")))))),"NA")</f>
        <v>512</v>
      </c>
    </row>
    <row r="42" spans="2:9" x14ac:dyDescent="0.2">
      <c r="B42" s="128"/>
      <c r="C42" s="138" t="s">
        <v>35</v>
      </c>
      <c r="D42" s="110" t="s">
        <v>121</v>
      </c>
      <c r="E42" s="74">
        <v>4</v>
      </c>
      <c r="F42" s="73">
        <v>7.5</v>
      </c>
      <c r="G42" s="140">
        <f>MAX(E42,CEILING(F42/A223,1))-1</f>
        <v>3</v>
      </c>
      <c r="H42" s="111" t="s">
        <v>26</v>
      </c>
      <c r="I42" s="154">
        <f>IF('Step1-System Details'!$E$19="DDR3",IF('Step1-System Details'!$E$35=2133,D238,IF('Step1-System Details'!$E$35=1866,E238,IF('Step1-System Details'!$E$35=1600,F238,IF('Step1-System Details'!$E$35=1333,G238,IF('Step1-System Details'!$E$35=1066,H238,IF('Step1-System Details'!$E$35=800,I238,"")))))),IF('Step1-System Details'!$E$35=1066,J238,IF('Step1-System Details'!$E$35=933,K238,IF('Step1-System Details'!$E$35=800,L238,IF('Step1-System Details'!$E$35=667,M238,IF('Step1-System Details'!$E$35=533,N238,""))))))</f>
        <v>4</v>
      </c>
    </row>
    <row r="43" spans="2:9" x14ac:dyDescent="0.2">
      <c r="B43" s="128"/>
      <c r="C43" s="138" t="s">
        <v>36</v>
      </c>
      <c r="D43" s="110" t="s">
        <v>122</v>
      </c>
      <c r="E43" s="74">
        <v>3</v>
      </c>
      <c r="F43" s="73">
        <v>5</v>
      </c>
      <c r="G43" s="140">
        <f>IF('Step1-System Details'!$E$19="DDR3",(MAX(E43,(CEILING((F43/$A$223),1)))-1),E43-1)</f>
        <v>2</v>
      </c>
      <c r="H43" s="111" t="s">
        <v>26</v>
      </c>
      <c r="I43" s="154">
        <f>IF('Step1-System Details'!$E$19="DDR3",IF('Step1-System Details'!$E$35=2133,D239,IF('Step1-System Details'!$E$35=1866,E239,IF('Step1-System Details'!$E$35=1600,F239,IF('Step1-System Details'!$E$35=1333,G239,IF('Step1-System Details'!$E$35=1066,H239,IF('Step1-System Details'!$E$35=800,I239,"")))))),IF('Step1-System Details'!$E$35=1066,J239,IF('Step1-System Details'!$E$35=933,K239,IF('Step1-System Details'!$E$35=800,L239,IF('Step1-System Details'!$E$35=667,M239,IF('Step1-System Details'!$E$35=533,N239,""))))))</f>
        <v>3</v>
      </c>
    </row>
    <row r="44" spans="2:9" hidden="1" x14ac:dyDescent="0.2">
      <c r="B44" s="128"/>
      <c r="C44" s="138" t="s">
        <v>273</v>
      </c>
      <c r="D44" s="110"/>
      <c r="E44" s="140"/>
      <c r="F44" s="140"/>
      <c r="G44" s="140">
        <v>5</v>
      </c>
      <c r="H44" s="111" t="s">
        <v>26</v>
      </c>
      <c r="I44" s="154"/>
    </row>
    <row r="45" spans="2:9" hidden="1" x14ac:dyDescent="0.2">
      <c r="B45" s="128"/>
      <c r="C45" s="138" t="s">
        <v>149</v>
      </c>
      <c r="D45" s="110" t="s">
        <v>150</v>
      </c>
      <c r="E45" s="74">
        <v>2</v>
      </c>
      <c r="F45" s="140"/>
      <c r="G45" s="137">
        <v>15</v>
      </c>
      <c r="H45" s="111" t="s">
        <v>26</v>
      </c>
      <c r="I45" s="154"/>
    </row>
    <row r="46" spans="2:9" hidden="1" x14ac:dyDescent="0.2">
      <c r="B46" s="128"/>
      <c r="C46" s="138" t="s">
        <v>123</v>
      </c>
      <c r="D46" s="110" t="s">
        <v>124</v>
      </c>
      <c r="E46" s="71">
        <v>4</v>
      </c>
      <c r="F46" s="242">
        <v>8</v>
      </c>
      <c r="G46" s="140">
        <f>MAX(E46,CEILING(F46/A223,1))-1</f>
        <v>3</v>
      </c>
      <c r="H46" s="111" t="s">
        <v>26</v>
      </c>
      <c r="I46" s="154">
        <f>IF('Step1-System Details'!$E$19="DDR3",IF('Step1-System Details'!$E$35=2133,D242,IF('Step1-System Details'!$E$35=1866,E242,IF('Step1-System Details'!$E$35=1600,F242,IF('Step1-System Details'!$E$35=1333,G242,IF('Step1-System Details'!$E$35=1066,H242,IF('Step1-System Details'!$E$35=800,I242,"")))))),IF('Step1-System Details'!$E$35=1066,J242,IF('Step1-System Details'!$E$35=933,K242,IF('Step1-System Details'!$E$35=800,L242,IF('Step1-System Details'!$E$35=667,M242,IF('Step1-System Details'!$E$35=533,N242,""))))))</f>
        <v>4</v>
      </c>
    </row>
    <row r="47" spans="2:9" x14ac:dyDescent="0.2">
      <c r="B47" s="128"/>
      <c r="C47" s="138" t="s">
        <v>37</v>
      </c>
      <c r="D47" s="110" t="s">
        <v>125</v>
      </c>
      <c r="E47" s="74">
        <v>64</v>
      </c>
      <c r="F47" s="73">
        <v>80</v>
      </c>
      <c r="G47" s="140">
        <f>IF('Step1-System Details'!$E$19="DDR3",MAX(E47,(CEILING((F47/$A$223),1)))-1,(CEILING((F47/$A$223),1)-1))</f>
        <v>63</v>
      </c>
      <c r="H47" s="111" t="s">
        <v>26</v>
      </c>
      <c r="I47" s="154">
        <f>IF('Step1-System Details'!$E$19="DDR3",IF('Step1-System Details'!$E$35=2133,D243,IF('Step1-System Details'!$E$35=1866,E243,IF('Step1-System Details'!$E$35=1600,F243,IF('Step1-System Details'!$E$35=1333,G243,IF('Step1-System Details'!$E$35=1066,H243,IF('Step1-System Details'!$E$35=800,I243,"")))))),IF('Step1-System Details'!$E$35=1066,J243,IF('Step1-System Details'!$E$35=933,K243,IF('Step1-System Details'!$E$35=800,L243,IF('Step1-System Details'!$E$35=667,M243,IF('Step1-System Details'!$E$35=533,N243,""))))))</f>
        <v>64</v>
      </c>
    </row>
    <row r="48" spans="2:9" hidden="1" x14ac:dyDescent="0.2">
      <c r="B48" s="128"/>
      <c r="C48" s="138" t="s">
        <v>271</v>
      </c>
      <c r="D48" s="110" t="s">
        <v>272</v>
      </c>
      <c r="E48" s="139"/>
      <c r="F48" s="73">
        <v>5.5</v>
      </c>
      <c r="G48" s="140" t="str">
        <f>IF('Step1-System Details'!E19="DDR3","NA",(CEILING((F48/A223),1) - 1))</f>
        <v>NA</v>
      </c>
      <c r="H48" s="111" t="s">
        <v>26</v>
      </c>
      <c r="I48" s="154" t="str">
        <f>IF('Step1-System Details'!$E$19="DDR3","NA",CEILING(5.5/A223,1))</f>
        <v>NA</v>
      </c>
    </row>
    <row r="49" spans="2:9" x14ac:dyDescent="0.2">
      <c r="B49" s="144"/>
      <c r="C49" s="138" t="s">
        <v>38</v>
      </c>
      <c r="D49" s="110" t="s">
        <v>126</v>
      </c>
      <c r="E49" s="139"/>
      <c r="F49" s="73">
        <v>160</v>
      </c>
      <c r="G49" s="140">
        <f>CEILING((F49/A223),1) - 1</f>
        <v>63</v>
      </c>
      <c r="H49" s="111" t="s">
        <v>26</v>
      </c>
      <c r="I49" s="154">
        <f>IF('Step1-System Details'!$E$19="DDR3",IF('Step1-System Details'!$E$35=2133,D245,IF('Step1-System Details'!$E$35=1866,E245,IF('Step1-System Details'!$E$35=1600,F245,IF('Step1-System Details'!$E$35=1333,G245,IF('Step1-System Details'!$E$35=1066,H245,IF('Step1-System Details'!$E$35=800,I245,"")))))),IF('Step1-System Details'!$E$35=1066,J245,IF('Step1-System Details'!$E$35=933,K245,IF('Step1-System Details'!$E$35=800,L245,IF('Step1-System Details'!$E$35=667,M245,IF('Step1-System Details'!$E$35=533,N245,""))))))</f>
        <v>104</v>
      </c>
    </row>
    <row r="50" spans="2:9" hidden="1" x14ac:dyDescent="0.2">
      <c r="C50" s="142" t="s">
        <v>127</v>
      </c>
      <c r="D50" s="143" t="s">
        <v>128</v>
      </c>
      <c r="E50" s="139"/>
      <c r="F50" s="73">
        <v>70000</v>
      </c>
      <c r="G50" s="140">
        <v>15</v>
      </c>
      <c r="H50" s="111" t="s">
        <v>129</v>
      </c>
      <c r="I50" s="154">
        <f>IF('Step1-System Details'!$E$19="DDR3",IF('Step1-System Details'!$E$35=2133,D246,IF('Step1-System Details'!$E$35=1866,E246,IF('Step1-System Details'!$E$35=1600,F246,IF('Step1-System Details'!$E$35=1333,G246,IF('Step1-System Details'!$E$35=1066,H246,IF('Step1-System Details'!$E$35=800,I246,"")))))),IF('Step1-System Details'!$E$35=1066,J246,IF('Step1-System Details'!$E$35=933,K246,IF('Step1-System Details'!$E$35=800,L246,IF('Step1-System Details'!$E$35=667,M246,IF('Step1-System Details'!$E$35=533,N246,""))))))</f>
        <v>9</v>
      </c>
    </row>
    <row r="51" spans="2:9" ht="13.5" thickBot="1" x14ac:dyDescent="0.25">
      <c r="C51" s="145" t="s">
        <v>39</v>
      </c>
      <c r="D51" s="113" t="s">
        <v>130</v>
      </c>
      <c r="E51" s="112"/>
      <c r="F51" s="75">
        <v>3900</v>
      </c>
      <c r="G51" s="146">
        <f>FLOOR(((F51/A223)),1)</f>
        <v>1560</v>
      </c>
      <c r="H51" s="114" t="s">
        <v>26</v>
      </c>
      <c r="I51" s="285">
        <f>IF('Step1-System Details'!$E$19="DDR3",IF('Step1-System Details'!$E$35=2133,D247,IF('Step1-System Details'!$E$35=1866,E247,IF('Step1-System Details'!$E$35=1600,F247,IF('Step1-System Details'!$E$35=1333,G247,IF('Step1-System Details'!$E$35=1066,H247,IF('Step1-System Details'!$E$35=800,I247,"")))))),IF('Step1-System Details'!$E$35=1066,J247,IF('Step1-System Details'!$E$35=933,K247,IF('Step1-System Details'!$E$35=800,L247,IF('Step1-System Details'!$E$35=667,M247,IF('Step1-System Details'!$E$35=533,N247,""))))))</f>
        <v>1560</v>
      </c>
    </row>
    <row r="52" spans="2:9" ht="13.5" thickTop="1" x14ac:dyDescent="0.2"/>
    <row r="222" spans="1:14" x14ac:dyDescent="0.2">
      <c r="C222" s="2" t="s">
        <v>101</v>
      </c>
      <c r="D222" s="246" t="s">
        <v>242</v>
      </c>
      <c r="E222" s="246" t="s">
        <v>243</v>
      </c>
      <c r="F222" s="246" t="s">
        <v>231</v>
      </c>
      <c r="G222" s="246" t="s">
        <v>232</v>
      </c>
      <c r="H222" s="246" t="s">
        <v>233</v>
      </c>
      <c r="I222" s="24" t="s">
        <v>234</v>
      </c>
      <c r="J222" s="2" t="s">
        <v>244</v>
      </c>
      <c r="K222" s="2" t="s">
        <v>245</v>
      </c>
      <c r="L222" s="2" t="s">
        <v>246</v>
      </c>
      <c r="M222" s="2" t="s">
        <v>247</v>
      </c>
      <c r="N222" s="2" t="s">
        <v>248</v>
      </c>
    </row>
    <row r="223" spans="1:14" x14ac:dyDescent="0.2">
      <c r="A223" s="161">
        <f>(1/'Step1-System Details'!E20)*1000</f>
        <v>2.5</v>
      </c>
      <c r="C223" s="2" t="s">
        <v>104</v>
      </c>
      <c r="D223" s="164"/>
      <c r="E223" s="164"/>
      <c r="F223" s="164"/>
      <c r="G223" s="164"/>
      <c r="H223" s="164"/>
      <c r="I223" s="155"/>
    </row>
    <row r="224" spans="1:14" x14ac:dyDescent="0.2">
      <c r="C224" s="2" t="s">
        <v>106</v>
      </c>
      <c r="D224" s="164"/>
      <c r="E224" s="164"/>
      <c r="F224" s="164"/>
      <c r="G224" s="164"/>
      <c r="H224" s="164"/>
      <c r="I224" s="155"/>
    </row>
    <row r="225" spans="3:14" x14ac:dyDescent="0.2">
      <c r="C225" s="2" t="s">
        <v>151</v>
      </c>
      <c r="D225" s="164"/>
      <c r="E225" s="164"/>
      <c r="F225" s="164"/>
      <c r="G225" s="164"/>
      <c r="H225" s="164"/>
      <c r="I225" s="155"/>
    </row>
    <row r="226" spans="3:14" x14ac:dyDescent="0.2">
      <c r="C226" s="31" t="s">
        <v>28</v>
      </c>
      <c r="D226" s="164">
        <f>CEILING(IF(Speed_Bin_CL=11,10.285/$A$223,IF(Speed_Bin_CL=12,11.22/$A$223,IF(Speed_Bin_CL=13,12.155/$A$223,13.09/$A$223))),1)</f>
        <v>5</v>
      </c>
      <c r="E226" s="164">
        <f>CEILING(IF(Speed_Bin_CL=10,10.7/$A$223,IF(Speed_Bin_CL=11,11.77/$A$223,IF(Speed_Bin_CL=12,12.84/$A$223,13.91/$A$223))),1)</f>
        <v>5</v>
      </c>
      <c r="F226" s="164">
        <f>CEILING(IF(Speed_Bin_CL=8,10/$A$223,IF(Speed_Bin_CL=9,11.25/$A$223,IF(Speed_Bin_CL=10,12.5/$A$223,13.75/$A$223))),1)</f>
        <v>6</v>
      </c>
      <c r="G226" s="164">
        <f>CEILING(IF(Speed_Bin_CL=7,10.5/$A$223,IF(Speed_Bin_CL=8,12/$A$223,IF(Speed_Bin_CL=9,13.5/$A$223,15/$A$223))),1)</f>
        <v>6</v>
      </c>
      <c r="H226" s="164">
        <f>CEILING(IF(Speed_Bin_CL=6,11.25/$A$223,IF(Speed_Bin_CL=7,13.125/$A$223,15/$A$223)),1)</f>
        <v>6</v>
      </c>
      <c r="I226" s="155">
        <f>CEILING(IF(Speed_Bin_CL=5,12.5/$A$223,15/$A$223),1)</f>
        <v>6</v>
      </c>
      <c r="J226" s="31">
        <f>IF('Step1-System Details'!$E$39=8,MAX(3,CEILING((21/$A$223),1)),MAX(3,CEILING((18/$A$223),1)))</f>
        <v>9</v>
      </c>
      <c r="K226" s="31">
        <f>IF('Step1-System Details'!$E$39=8,MAX(3,CEILING((21/$A$223),1)),MAX(3,CEILING((18/$A$223),1)))</f>
        <v>9</v>
      </c>
      <c r="L226" s="31">
        <f>IF('Step1-System Details'!$E$39=8,MAX(3,CEILING((21/$A$223),1)),MAX(3,CEILING((18/$A$223),1)))</f>
        <v>9</v>
      </c>
      <c r="M226" s="31">
        <f>IF('Step1-System Details'!$E$39=8,MAX(3,CEILING((21/$A$223),1)),MAX(3,CEILING((18/$A$223),1)))</f>
        <v>9</v>
      </c>
      <c r="N226" s="31">
        <f>IF('Step1-System Details'!$E$39=8,MAX(3,CEILING((21/$A$223),1)),MAX(3,CEILING((18/$A$223),1)))</f>
        <v>9</v>
      </c>
    </row>
    <row r="227" spans="3:14" x14ac:dyDescent="0.2">
      <c r="C227" s="31" t="s">
        <v>29</v>
      </c>
      <c r="D227" s="164">
        <f>CEILING(IF(Speed_Bin_CL=11,10.285/$A$223,IF(Speed_Bin_CL=12,11.22/$A$223,IF(Speed_Bin_CL=13,12.155/$A$223,13.09/$A$223))),1)</f>
        <v>5</v>
      </c>
      <c r="E227" s="164">
        <f>CEILING(IF(Speed_Bin_CL=10,10.7/$A$223,IF(Speed_Bin_CL=11,11.77/$A$223,IF(Speed_Bin_CL=12,12.84/$A$223,13.91/$A$223))),1)</f>
        <v>5</v>
      </c>
      <c r="F227" s="164">
        <f>CEILING(IF(Speed_Bin_CL=8,10/$A$223,IF(Speed_Bin_CL=9,11.25/$A$223,IF(Speed_Bin_CL=10,12.5/$A$223,13.75/$A$223))),1)</f>
        <v>6</v>
      </c>
      <c r="G227" s="164">
        <f>CEILING(IF(Speed_Bin_CL=7,10.5/$A$223,IF(Speed_Bin_CL=8,12/$A$223,IF(Speed_Bin_CL=9,13.5/$A$223,15/$A$223))),1)</f>
        <v>6</v>
      </c>
      <c r="H227" s="164">
        <f>CEILING(IF(Speed_Bin_CL=6,11.25/$A$223,IF(Speed_Bin_CL=7,13.125/$A$223,15/$A$223)),1)</f>
        <v>6</v>
      </c>
      <c r="I227" s="155">
        <f>CEILING(IF(Speed_Bin_CL=5,12.5/$A$223,15/$A$223),1)</f>
        <v>6</v>
      </c>
      <c r="J227" s="31">
        <f>MAX(3,CEILING((18/$A$223),1))</f>
        <v>8</v>
      </c>
      <c r="K227" s="31">
        <f>MAX(3,CEILING((18/$A$223),1))</f>
        <v>8</v>
      </c>
      <c r="L227" s="31">
        <f>MAX(3,CEILING((18/$A$223),1))</f>
        <v>8</v>
      </c>
      <c r="M227" s="31">
        <f>MAX(3,CEILING((18/$A$223),1))</f>
        <v>8</v>
      </c>
      <c r="N227" s="31">
        <f>MAX(3,CEILING((18/$A$223),1))</f>
        <v>8</v>
      </c>
    </row>
    <row r="228" spans="3:14" x14ac:dyDescent="0.2">
      <c r="C228" s="31" t="s">
        <v>30</v>
      </c>
      <c r="D228" s="164">
        <f>CEILING(((15/$A$223)),1)</f>
        <v>6</v>
      </c>
      <c r="E228" s="164">
        <f>CEILING(((15/$A$223)),1)</f>
        <v>6</v>
      </c>
      <c r="F228" s="164">
        <f>CEILING(15/$A$223,1)</f>
        <v>6</v>
      </c>
      <c r="G228" s="164">
        <f>CEILING(15/$A$223,1)</f>
        <v>6</v>
      </c>
      <c r="H228" s="164">
        <f>CEILING(15/$A$223,1)</f>
        <v>6</v>
      </c>
      <c r="I228" s="155">
        <f>CEILING(15/$A$223,1)</f>
        <v>6</v>
      </c>
      <c r="J228" s="31">
        <f>MAX(3,CEILING((15/$A$223),1))</f>
        <v>6</v>
      </c>
      <c r="K228" s="31">
        <f>MAX(3,CEILING((15/$A$223),1))</f>
        <v>6</v>
      </c>
      <c r="L228" s="31">
        <f>MAX(3,CEILING((15/$A$223),1))</f>
        <v>6</v>
      </c>
      <c r="M228" s="31">
        <f>MAX(3,CEILING((15/$A$223),1))</f>
        <v>6</v>
      </c>
      <c r="N228" s="31">
        <f>MAX(3,CEILING((15/$A$223),1))</f>
        <v>6</v>
      </c>
    </row>
    <row r="229" spans="3:14" x14ac:dyDescent="0.2">
      <c r="C229" s="31" t="s">
        <v>111</v>
      </c>
      <c r="D229" s="164">
        <f>CEILING(((33/A223)),1)</f>
        <v>14</v>
      </c>
      <c r="E229" s="164">
        <f>CEILING(((34/$A$223)),1)</f>
        <v>14</v>
      </c>
      <c r="F229" s="164">
        <f>CEILING(35/$A$223,1)</f>
        <v>14</v>
      </c>
      <c r="G229" s="164">
        <f>CEILING(36/$A$223,1)</f>
        <v>15</v>
      </c>
      <c r="H229" s="164">
        <f>CEILING(((37.5/$A$223)),1)</f>
        <v>15</v>
      </c>
      <c r="I229" s="155">
        <f>CEILING(37.5/$A$223,1)</f>
        <v>15</v>
      </c>
      <c r="J229" s="31">
        <f>MAX(3,CEILING((42/$A$223),1))</f>
        <v>17</v>
      </c>
      <c r="K229" s="31">
        <f>MAX(3,CEILING((42/$A$223),1))</f>
        <v>17</v>
      </c>
      <c r="L229" s="31">
        <f>MAX(3,CEILING((42/$A$223),1))</f>
        <v>17</v>
      </c>
      <c r="M229" s="31">
        <f>MAX(3,CEILING((42/$A$223),1))</f>
        <v>17</v>
      </c>
      <c r="N229" s="31">
        <f>MAX(3,CEILING((42/$A$223),1))</f>
        <v>17</v>
      </c>
    </row>
    <row r="230" spans="3:14" x14ac:dyDescent="0.2">
      <c r="C230" s="31" t="s">
        <v>31</v>
      </c>
      <c r="D230" s="164">
        <f>CEILING(IF(Speed_Bin_CL=11,43.285/$A$223,IF(Speed_Bin_CL=12,44.22/$A$223,IF(Speed_Bin_CL=13,45.155/$A$223,46.09/$A$223))),1)</f>
        <v>18</v>
      </c>
      <c r="E230" s="164">
        <f>CEILING(IF(Speed_Bin_CL=10,44.7/$A$223,IF(Speed_Bin_CL=11,45.77/$A$223,IF(Speed_Bin_CL=12,46.84/$A$223,47.91/$A$223))),1)</f>
        <v>19</v>
      </c>
      <c r="F230" s="164">
        <f>CEILING(IF(Speed_Bin_CL=8,45/$A$223,IF(Speed_Bin_CL=9,46.25/$A$223,IF(Speed_Bin_CL=10,47.5/$A$223,48.75/$A$223))),1)</f>
        <v>20</v>
      </c>
      <c r="G230" s="164">
        <f>CEILING(IF(Speed_Bin_CL=7,46.5/$A$223,IF(Speed_Bin_CL=8,48/$A$223,IF(Speed_Bin_CL=9,49.5/$A$223,51/$A$223))),1)</f>
        <v>21</v>
      </c>
      <c r="H230" s="164">
        <f>CEILING(IF(Speed_Bin_CL=6,48.75/$A$223,IF(Speed_Bin_CL=7,50.625/$A$223,52.5/$A$223)),1)</f>
        <v>21</v>
      </c>
      <c r="I230" s="155">
        <f>CEILING(IF(Speed_Bin_CL=5,50/$A$223,52.5/$A$223),1)</f>
        <v>21</v>
      </c>
      <c r="J230" s="31">
        <f>CEILING(SUM(IF('Step1-System Details'!$E$39=8,MAX(3,CEILING(21,1)),MAX(3,CEILING(18,1))),MAX(3,CEILING(42,1)))/$A$223,1)</f>
        <v>26</v>
      </c>
      <c r="K230" s="31">
        <f>CEILING(SUM(IF('Step1-System Details'!$E$39=8,MAX(3,CEILING(21,1)),MAX(3,CEILING(18,1))),MAX(3,CEILING(42,1)))/$A$223,1)</f>
        <v>26</v>
      </c>
      <c r="L230" s="31">
        <f>CEILING(SUM(IF('Step1-System Details'!$E$39=8,MAX(3,CEILING(21,1)),MAX(3,CEILING(18,1))),MAX(3,CEILING(42,1)))/$A$223,1)</f>
        <v>26</v>
      </c>
      <c r="M230" s="31">
        <f>CEILING(SUM(IF('Step1-System Details'!$E$39=8,MAX(3,CEILING(21,1)),MAX(3,CEILING(18,1))),MAX(3,CEILING(42,1)))/$A$223,1)</f>
        <v>26</v>
      </c>
      <c r="N230" s="31">
        <f>CEILING(SUM(IF('Step1-System Details'!$E$39=8,MAX(3,CEILING(21,1)),MAX(3,CEILING(18,1))),MAX(3,CEILING(42,1)))/$A$223,1)</f>
        <v>26</v>
      </c>
    </row>
    <row r="231" spans="3:14" x14ac:dyDescent="0.2">
      <c r="C231" s="2" t="s">
        <v>344</v>
      </c>
      <c r="D231" s="164">
        <f>CEILING(IF(2^'Step1-System Details'!E38*'Step1-System Details'!E41/8=2048,35,25)/A223,1)</f>
        <v>10</v>
      </c>
      <c r="E231" s="164">
        <f>CEILING(IF(2^'Step1-System Details'!$E$38*'Step1-System Details'!$E$41/8=2048,35,27)/A223,1)</f>
        <v>11</v>
      </c>
      <c r="F231" s="164">
        <f>CEILING(IF(2^'Step1-System Details'!$E$38*'Step1-System Details'!$E$41/8=2048,40,30)/A223,1)</f>
        <v>12</v>
      </c>
      <c r="G231" s="164">
        <f>CEILING(IF(2^'Step1-System Details'!$E$38*'Step1-System Details'!$E$41/8=2048,45,30)/A223,1)</f>
        <v>12</v>
      </c>
      <c r="H231" s="164">
        <f>CEILING(IF(2^'Step1-System Details'!$E$38*'Step1-System Details'!$E$41/8=2048,50,37.5)/A223,1)</f>
        <v>15</v>
      </c>
      <c r="I231" s="155">
        <f>CEILING(IF(2^'Step1-System Details'!$E$38*'Step1-System Details'!$E$41/8=2048,50,40)/A223,1)</f>
        <v>16</v>
      </c>
      <c r="J231" s="31">
        <f>CEILING(MAX(50,8*$A$223)/$A$223,1)</f>
        <v>20</v>
      </c>
      <c r="K231" s="31">
        <f>CEILING(MAX(50,8*$A$223)/$A$223,1)</f>
        <v>20</v>
      </c>
      <c r="L231" s="31">
        <f>CEILING(MAX(50,8*$A$223)/$A$223,1)</f>
        <v>20</v>
      </c>
      <c r="M231" s="31">
        <f>CEILING(MAX(50,8*$A$223)/$A$223,1)</f>
        <v>20</v>
      </c>
      <c r="N231" s="31">
        <f>CEILING(MAX(50,8*$A$223)/$A$223,1)</f>
        <v>20</v>
      </c>
    </row>
    <row r="232" spans="3:14" x14ac:dyDescent="0.2">
      <c r="C232" s="31" t="s">
        <v>32</v>
      </c>
      <c r="D232" s="164">
        <f t="shared" ref="D232:I232" si="0">CEILING(D231/4,1)</f>
        <v>3</v>
      </c>
      <c r="E232" s="164">
        <f t="shared" si="0"/>
        <v>3</v>
      </c>
      <c r="F232" s="164">
        <f t="shared" si="0"/>
        <v>3</v>
      </c>
      <c r="G232" s="164">
        <f t="shared" si="0"/>
        <v>3</v>
      </c>
      <c r="H232" s="164">
        <f t="shared" si="0"/>
        <v>4</v>
      </c>
      <c r="I232" s="155">
        <f t="shared" si="0"/>
        <v>4</v>
      </c>
      <c r="J232" s="31">
        <f>CEILING(MAX(10,2*$A$223)/$A$223,1)</f>
        <v>4</v>
      </c>
      <c r="K232" s="31">
        <f>CEILING(MAX(10,2*$A$223)/$A$223,1)</f>
        <v>4</v>
      </c>
      <c r="L232" s="31">
        <f>CEILING(MAX(10,2*$A$223)/$A$223,1)</f>
        <v>4</v>
      </c>
      <c r="M232" s="31">
        <f>CEILING(MAX(10,2*$A$223)/$A$223,1)</f>
        <v>4</v>
      </c>
      <c r="N232" s="31">
        <f>CEILING(MAX(10,2*$A$223)/$A$223,1)</f>
        <v>4</v>
      </c>
    </row>
    <row r="233" spans="3:14" x14ac:dyDescent="0.2">
      <c r="C233" s="31" t="s">
        <v>33</v>
      </c>
      <c r="D233" s="164">
        <f>CEILING(((MAX(4*A223,7.5)/A223)),1)</f>
        <v>4</v>
      </c>
      <c r="E233" s="164">
        <f>CEILING(((MAX(4*A223,7.5)/A223)),1)</f>
        <v>4</v>
      </c>
      <c r="F233" s="164">
        <f>CEILING(((MAX(4*A223,7.5)/A223)),1)</f>
        <v>4</v>
      </c>
      <c r="G233" s="164">
        <f>CEILING(((MAX(4*A223,7.5)/A223)),1)</f>
        <v>4</v>
      </c>
      <c r="H233" s="164">
        <f>CEILING(((MAX(4*A223,7.5)/A223)),1)</f>
        <v>4</v>
      </c>
      <c r="I233" s="155">
        <f>CEILING(((MAX(4*A223,7.5)/A223)),1)</f>
        <v>4</v>
      </c>
      <c r="J233" s="31">
        <f t="shared" ref="J233:N234" si="1">MAX(2,CEILING((7.5/$A$223),1))</f>
        <v>3</v>
      </c>
      <c r="K233" s="31">
        <f t="shared" si="1"/>
        <v>3</v>
      </c>
      <c r="L233" s="31">
        <f t="shared" si="1"/>
        <v>3</v>
      </c>
      <c r="M233" s="31">
        <f t="shared" si="1"/>
        <v>3</v>
      </c>
      <c r="N233" s="31">
        <f t="shared" si="1"/>
        <v>3</v>
      </c>
    </row>
    <row r="234" spans="3:14" x14ac:dyDescent="0.2">
      <c r="C234" s="31" t="s">
        <v>34</v>
      </c>
      <c r="D234" s="164">
        <f>CEILING(((MAX(3*A223,6)/A223)),1)</f>
        <v>3</v>
      </c>
      <c r="E234" s="164">
        <f>CEILING(((MAX(3*A223,6)/A223)),1)</f>
        <v>3</v>
      </c>
      <c r="F234" s="164">
        <f>CEILING(((MAX(3*A223,6)/A223)),1)</f>
        <v>3</v>
      </c>
      <c r="G234" s="164">
        <f>CEILING(((MAX(3*A223,6)/A223)),1)</f>
        <v>3</v>
      </c>
      <c r="H234" s="164">
        <f>CEILING(((MAX(3*A223,7.5)/A223)),1)</f>
        <v>3</v>
      </c>
      <c r="I234" s="155">
        <f>CEILING(((MAX(3*A223,7.5)/A223)),1)</f>
        <v>3</v>
      </c>
      <c r="J234" s="31">
        <f t="shared" si="1"/>
        <v>3</v>
      </c>
      <c r="K234" s="31">
        <f t="shared" si="1"/>
        <v>3</v>
      </c>
      <c r="L234" s="31">
        <f t="shared" si="1"/>
        <v>3</v>
      </c>
      <c r="M234" s="31">
        <f t="shared" si="1"/>
        <v>3</v>
      </c>
      <c r="N234" s="31">
        <f t="shared" si="1"/>
        <v>3</v>
      </c>
    </row>
    <row r="235" spans="3:14" x14ac:dyDescent="0.2">
      <c r="C235" s="31" t="s">
        <v>147</v>
      </c>
      <c r="D235" s="164"/>
      <c r="E235" s="164"/>
      <c r="F235" s="164"/>
      <c r="G235" s="164"/>
      <c r="H235" s="164"/>
      <c r="I235" s="155"/>
    </row>
    <row r="236" spans="3:14" x14ac:dyDescent="0.2">
      <c r="C236" s="31" t="s">
        <v>117</v>
      </c>
      <c r="D236" s="164">
        <f>MAX(5,CEILING((IF('Step1-System Details'!$E$36=0.5,"90",IF('Step1-System Details'!$E$36=1,"110",IF('Step1-System Details'!$E$36=2,"160",IF('Step1-System Details'!$E$36=4,"260","350"))))+10)/$A$223,1))</f>
        <v>108</v>
      </c>
      <c r="E236" s="164">
        <f>MAX(5,CEILING((IF('Step1-System Details'!$E$36=0.5,"90",IF('Step1-System Details'!$E$36=1,"110",IF('Step1-System Details'!$E$36=2,"160",IF('Step1-System Details'!$E$36=4,"260","350"))))+10)/$A$223,1))</f>
        <v>108</v>
      </c>
      <c r="F236" s="164">
        <f>MAX(5,CEILING((IF('Step1-System Details'!$E$36=0.5,"90",IF('Step1-System Details'!$E$36=1,"110",IF('Step1-System Details'!$E$36=2,"160",IF('Step1-System Details'!$E$36=4,"260","350"))))+10)/$A$223,1))</f>
        <v>108</v>
      </c>
      <c r="G236" s="164">
        <f>MAX(5,CEILING((IF('Step1-System Details'!$E$36=0.5,"90",IF('Step1-System Details'!$E$36=1,"110",IF('Step1-System Details'!$E$36=2,"160",IF('Step1-System Details'!$E$36=4,"260","350"))))+10)/$A$223,1))</f>
        <v>108</v>
      </c>
      <c r="H236" s="164">
        <f>MAX(5,CEILING((IF('Step1-System Details'!$E$36=0.5,"90",IF('Step1-System Details'!$E$36=1,"110",IF('Step1-System Details'!$E$36=2,"160",IF('Step1-System Details'!$E$36=4,"260","350"))))+10)/$A$223,1))</f>
        <v>108</v>
      </c>
      <c r="I236" s="155">
        <f>MAX(5,CEILING((IF('Step1-System Details'!$E$36=0.5,"90",IF('Step1-System Details'!$E$36=1,"110",IF('Step1-System Details'!$E$36=2,"160",IF('Step1-System Details'!$E$36=4,"260","350"))))+10)/$A$223,1))</f>
        <v>108</v>
      </c>
      <c r="J236" s="31">
        <f>CEILING(((IF('Step1-System Details'!E36&lt;=0.5,90+10,IF('Step1-System Details'!E36=1,130+10,IF('Step1-System Details'!E36=2,130+10,IF('Step1-System Details'!E36=4,130+10,210+10))))/A223)),1)</f>
        <v>56</v>
      </c>
      <c r="K236" s="31">
        <f>CEILING(((IF('Step1-System Details'!E36&lt;=0.5,90+10,IF('Step1-System Details'!E36=1,130+10,IF('Step1-System Details'!E36=2,130+10,IF('Step1-System Details'!E36=4,130+10,210+10))))/A223)),1)</f>
        <v>56</v>
      </c>
      <c r="L236" s="31">
        <f>CEILING(((IF('Step1-System Details'!E36&lt;=0.5,90+10,IF('Step1-System Details'!E36=1,130+10,IF('Step1-System Details'!E36=2,130+10,IF('Step1-System Details'!E36=4,130+10,210+10))))/A223)),1)</f>
        <v>56</v>
      </c>
      <c r="M236" s="31">
        <f>CEILING(((IF('Step1-System Details'!E36&lt;=0.5,90+10,IF('Step1-System Details'!E36=1,130+10,IF('Step1-System Details'!E36=2,130+10,IF('Step1-System Details'!E36=4,130+10,210+10))))/A223)),1)</f>
        <v>56</v>
      </c>
      <c r="N236" s="31">
        <f>CEILING(((IF('Step1-System Details'!E36&lt;=0.5,90+10,IF('Step1-System Details'!E36=1,130+10,IF('Step1-System Details'!E36=2,130+10,IF('Step1-System Details'!E36=4,130+10,210+10))))/A223)),1)</f>
        <v>56</v>
      </c>
    </row>
    <row r="237" spans="3:14" x14ac:dyDescent="0.2">
      <c r="C237" s="31" t="s">
        <v>119</v>
      </c>
      <c r="D237" s="164">
        <f>512</f>
        <v>512</v>
      </c>
      <c r="E237" s="164">
        <f>512</f>
        <v>512</v>
      </c>
      <c r="F237" s="164">
        <f>512</f>
        <v>512</v>
      </c>
      <c r="G237" s="164">
        <f>512</f>
        <v>512</v>
      </c>
      <c r="H237" s="164">
        <f>512</f>
        <v>512</v>
      </c>
      <c r="I237" s="155">
        <f>512</f>
        <v>512</v>
      </c>
    </row>
    <row r="238" spans="3:14" x14ac:dyDescent="0.2">
      <c r="C238" s="31" t="s">
        <v>35</v>
      </c>
      <c r="D238" s="164">
        <f>CEILING(((MAX(4*A223,7.5)/A223)),1)</f>
        <v>4</v>
      </c>
      <c r="E238" s="164">
        <f>CEILING(((MAX(4*A223,7.5)/A223)),1)</f>
        <v>4</v>
      </c>
      <c r="F238" s="164">
        <f>CEILING(((MAX(4*A223,7.5)/A223)),1)</f>
        <v>4</v>
      </c>
      <c r="G238" s="164">
        <f>CEILING(((MAX(4*A223,7.5)/A223)),1)</f>
        <v>4</v>
      </c>
      <c r="H238" s="164">
        <f>CEILING(((MAX(4*A223,7.5)/A223)),1)</f>
        <v>4</v>
      </c>
      <c r="I238" s="155">
        <f>CEILING(((MAX(4*A223,7.5)/A223)),1)</f>
        <v>4</v>
      </c>
      <c r="J238" s="31">
        <f>MAX(2,CEILING((7.5/$A$223),1))</f>
        <v>3</v>
      </c>
      <c r="K238" s="31">
        <f>MAX(2,CEILING((7.5/$A$223),1))</f>
        <v>3</v>
      </c>
      <c r="L238" s="31">
        <f>MAX(2,CEILING((7.5/$A$223),1))</f>
        <v>3</v>
      </c>
      <c r="M238" s="31">
        <f>MAX(2,CEILING((7.5/$A$223),1))</f>
        <v>3</v>
      </c>
      <c r="N238" s="31">
        <f>MAX(2,CEILING((7.5/$A$223),1))</f>
        <v>3</v>
      </c>
    </row>
    <row r="239" spans="3:14" x14ac:dyDescent="0.2">
      <c r="C239" s="31" t="s">
        <v>36</v>
      </c>
      <c r="D239" s="164">
        <f>CEILING(((MAX(3*A223,5)/A223)),1)</f>
        <v>3</v>
      </c>
      <c r="E239" s="164">
        <f>CEILING(((MAX(3*A223,5)/A223)),1)</f>
        <v>3</v>
      </c>
      <c r="F239" s="164">
        <f>CEILING(((MAX(3*A223,5)/A223)),1)</f>
        <v>3</v>
      </c>
      <c r="G239" s="164">
        <f>CEILING(((MAX(3*A223,5.625)/A223)),1)</f>
        <v>3</v>
      </c>
      <c r="H239" s="164">
        <f>CEILING(((MAX(3*A223,5.625)/A223)),1)</f>
        <v>3</v>
      </c>
      <c r="I239" s="155">
        <f>CEILING(((MAX(3*A223,7.5)/A223)),1)</f>
        <v>3</v>
      </c>
      <c r="J239" s="31">
        <v>3</v>
      </c>
      <c r="K239" s="31">
        <v>3</v>
      </c>
      <c r="L239" s="31">
        <v>3</v>
      </c>
      <c r="M239" s="31">
        <v>3</v>
      </c>
      <c r="N239" s="31">
        <v>3</v>
      </c>
    </row>
    <row r="240" spans="3:14" x14ac:dyDescent="0.2">
      <c r="C240" s="31" t="s">
        <v>273</v>
      </c>
      <c r="D240" s="164"/>
      <c r="E240" s="164"/>
      <c r="F240" s="164"/>
      <c r="G240" s="164"/>
      <c r="H240" s="164"/>
      <c r="I240" s="155"/>
    </row>
    <row r="241" spans="3:14" x14ac:dyDescent="0.2">
      <c r="C241" s="31" t="s">
        <v>149</v>
      </c>
      <c r="D241" s="164"/>
      <c r="E241" s="164"/>
      <c r="F241" s="164"/>
      <c r="G241" s="164"/>
      <c r="H241" s="164"/>
      <c r="I241" s="155"/>
    </row>
    <row r="242" spans="3:14" x14ac:dyDescent="0.2">
      <c r="C242" s="31" t="s">
        <v>123</v>
      </c>
      <c r="D242" s="164">
        <f t="shared" ref="D242:I242" si="2">D239+1</f>
        <v>4</v>
      </c>
      <c r="E242" s="164">
        <f t="shared" si="2"/>
        <v>4</v>
      </c>
      <c r="F242" s="164">
        <f t="shared" si="2"/>
        <v>4</v>
      </c>
      <c r="G242" s="164">
        <f t="shared" si="2"/>
        <v>4</v>
      </c>
      <c r="H242" s="164">
        <f t="shared" si="2"/>
        <v>4</v>
      </c>
      <c r="I242" s="155">
        <f t="shared" si="2"/>
        <v>4</v>
      </c>
      <c r="J242" s="31">
        <f>MAX(3,CEILING((15/$A$223),1))</f>
        <v>6</v>
      </c>
      <c r="K242" s="31">
        <f>MAX(3,CEILING((15/$A$223),1))</f>
        <v>6</v>
      </c>
      <c r="L242" s="31">
        <f>MAX(3,CEILING((15/$A$223),1))</f>
        <v>6</v>
      </c>
      <c r="M242" s="31">
        <f>MAX(3,CEILING((15/$A$223),1))</f>
        <v>6</v>
      </c>
      <c r="N242" s="31">
        <f>MAX(3,CEILING((15/$A$223),1))</f>
        <v>6</v>
      </c>
    </row>
    <row r="243" spans="3:14" x14ac:dyDescent="0.2">
      <c r="C243" s="31" t="s">
        <v>37</v>
      </c>
      <c r="D243" s="164">
        <f>CEILING(((MAX(64*A223,80)/A223)),1)</f>
        <v>64</v>
      </c>
      <c r="E243" s="164">
        <f>CEILING(((MAX(64*A223,80)/A223)),1)</f>
        <v>64</v>
      </c>
      <c r="F243" s="164">
        <f>CEILING(((MAX(64*A223,80)/A223)),1)</f>
        <v>64</v>
      </c>
      <c r="G243" s="164">
        <f>CEILING(((MAX(64*A223,80)/A223)),1)</f>
        <v>64</v>
      </c>
      <c r="H243" s="164">
        <f>CEILING(((MAX(64*A223,80)/A223)),1)</f>
        <v>64</v>
      </c>
      <c r="I243" s="155">
        <f>CEILING(((MAX(64*A223,80)/A223)),1)</f>
        <v>64</v>
      </c>
      <c r="J243" s="31">
        <f>CEILING(((90/A223)),1)</f>
        <v>36</v>
      </c>
      <c r="K243" s="31">
        <f>CEILING(((90/A223)),1)</f>
        <v>36</v>
      </c>
      <c r="L243" s="31">
        <f>CEILING(((90/A223)),1)</f>
        <v>36</v>
      </c>
      <c r="M243" s="31">
        <f>CEILING(((90/A223)),1)</f>
        <v>36</v>
      </c>
      <c r="N243" s="31">
        <f>CEILING(((90/A223)),1)</f>
        <v>36</v>
      </c>
    </row>
    <row r="244" spans="3:14" x14ac:dyDescent="0.2">
      <c r="C244" s="31" t="s">
        <v>271</v>
      </c>
      <c r="D244" s="164"/>
      <c r="E244" s="164"/>
      <c r="F244" s="164"/>
      <c r="G244" s="164"/>
      <c r="H244" s="164"/>
      <c r="I244" s="155"/>
    </row>
    <row r="245" spans="3:14" x14ac:dyDescent="0.2">
      <c r="C245" s="31" t="s">
        <v>38</v>
      </c>
      <c r="D245" s="164">
        <f>CEILING(((IF('Step1-System Details'!E36=0.5,"90",IF('Step1-System Details'!E36=1,"110",IF('Step1-System Details'!E36=2,"160",IF('Step1-System Details'!E36=4,"260","350"))))/A223)),1)</f>
        <v>104</v>
      </c>
      <c r="E245" s="164">
        <f>CEILING(((IF('Step1-System Details'!E36=0.5,"90",IF('Step1-System Details'!E36=1,"110",IF('Step1-System Details'!E36=2,"160",IF('Step1-System Details'!E36=4,"260","350"))))/A223)),1)</f>
        <v>104</v>
      </c>
      <c r="F245" s="164">
        <f>CEILING(((IF('Step1-System Details'!E36=0.5,"90",IF('Step1-System Details'!E36=1,"110",IF('Step1-System Details'!E36=2,"160",IF('Step1-System Details'!E36=4,"260","350"))))/A223)),1)</f>
        <v>104</v>
      </c>
      <c r="G245" s="164">
        <f>CEILING(((IF('Step1-System Details'!E36=0.5,"90",IF('Step1-System Details'!E36=1,"110",IF('Step1-System Details'!E36=2,"160",IF('Step1-System Details'!E36=4,"260","350"))))/A223)),1)</f>
        <v>104</v>
      </c>
      <c r="H245" s="164">
        <f>CEILING(((IF('Step1-System Details'!E36=0.5,"90",IF('Step1-System Details'!E36=1,"110",IF('Step1-System Details'!E36=2,"160",IF('Step1-System Details'!E36=4,"260","350"))))/A223)),1)</f>
        <v>104</v>
      </c>
      <c r="I245" s="155">
        <f>CEILING(((IF('Step1-System Details'!E36=0.5,"90",IF('Step1-System Details'!E36=1,"110",IF('Step1-System Details'!E36=2,"160",IF('Step1-System Details'!E36=4,"260","350"))))/A223)),1)</f>
        <v>104</v>
      </c>
      <c r="J245" s="31">
        <f>CEILING(((IF('Step1-System Details'!E36&lt;=0.5,"90",IF('Step1-System Details'!E36=1,"130",IF('Step1-System Details'!E36=2,"130",IF('Step1-System Details'!E36=4,"130","210"))))/A223)),1)</f>
        <v>52</v>
      </c>
      <c r="K245" s="31">
        <f>CEILING(((IF('Step1-System Details'!E36&lt;=0.5,"90",IF('Step1-System Details'!E36=1,"130",IF('Step1-System Details'!E36=2,"130",IF('Step1-System Details'!E36=4,"130","210"))))/A223)),1)</f>
        <v>52</v>
      </c>
      <c r="L245" s="31">
        <f>CEILING(((IF('Step1-System Details'!E36&lt;=0.5,"90",IF('Step1-System Details'!E36=1,"130",IF('Step1-System Details'!E36=2,"130",IF('Step1-System Details'!E36=4,"130","210"))))/A223)),1)</f>
        <v>52</v>
      </c>
      <c r="M245" s="31">
        <f>CEILING(((IF('Step1-System Details'!E36&lt;=0.5,"90",IF('Step1-System Details'!E36=1,"130",IF('Step1-System Details'!E36=2,"130",IF('Step1-System Details'!E36=4,"130","210"))))/A223)),1)</f>
        <v>52</v>
      </c>
      <c r="N245" s="31">
        <f>CEILING(((IF('Step1-System Details'!E36&lt;=0.5,"90",IF('Step1-System Details'!E36=1,"130",IF('Step1-System Details'!E36=2,"130",IF('Step1-System Details'!E36=4,"130","210"))))/A223)),1)</f>
        <v>52</v>
      </c>
    </row>
    <row r="246" spans="3:14" x14ac:dyDescent="0.2">
      <c r="C246" s="31" t="s">
        <v>127</v>
      </c>
      <c r="D246" s="164">
        <f>FLOOR((9*'Step1-System Details'!E42)/('Step1-System Details'!E42),1)</f>
        <v>9</v>
      </c>
      <c r="E246" s="164">
        <f>FLOOR((9*'Step1-System Details'!E42)/('Step1-System Details'!E42),1)</f>
        <v>9</v>
      </c>
      <c r="F246" s="164">
        <f>FLOOR((9*'Step1-System Details'!E42)/('Step1-System Details'!E42),1)</f>
        <v>9</v>
      </c>
      <c r="G246" s="164">
        <f>FLOOR((9*'Step1-System Details'!E42)/('Step1-System Details'!E42),1)</f>
        <v>9</v>
      </c>
      <c r="H246" s="164">
        <f>FLOOR((9*'Step1-System Details'!E42)/('Step1-System Details'!E42),1)</f>
        <v>9</v>
      </c>
      <c r="I246" s="155">
        <f>FLOOR((9*'Step1-System Details'!E42)/('Step1-System Details'!E42),1)</f>
        <v>9</v>
      </c>
      <c r="J246" s="31">
        <f>FLOOR((70000/(J247*$A$223)),1)</f>
        <v>17</v>
      </c>
      <c r="K246" s="31">
        <f>FLOOR((70000/(K247*$A$223)),1)</f>
        <v>17</v>
      </c>
      <c r="L246" s="31">
        <f>FLOOR((70000/(L247*$A$223)),1)</f>
        <v>17</v>
      </c>
      <c r="M246" s="31">
        <f>FLOOR((70000/(M247*$A$223)),1)</f>
        <v>17</v>
      </c>
      <c r="N246" s="31">
        <f>FLOOR((70000/(N247*$A$223)),1)</f>
        <v>17</v>
      </c>
    </row>
    <row r="247" spans="3:14" x14ac:dyDescent="0.2">
      <c r="C247" s="31" t="s">
        <v>39</v>
      </c>
      <c r="D247" s="164">
        <f>FLOOR((('Step1-System Details'!E42/A223)),1)</f>
        <v>1560</v>
      </c>
      <c r="E247" s="164">
        <f>FLOOR((('Step1-System Details'!E42/A223)),1)</f>
        <v>1560</v>
      </c>
      <c r="F247" s="164">
        <f>FLOOR((('Step1-System Details'!E42/A223)),1)</f>
        <v>1560</v>
      </c>
      <c r="G247" s="164">
        <f>FLOOR((('Step1-System Details'!E42/A223)),1)</f>
        <v>1560</v>
      </c>
      <c r="H247" s="164">
        <f>FLOOR((('Step1-System Details'!E42/A223)),1)</f>
        <v>1560</v>
      </c>
      <c r="I247" s="155">
        <f>FLOOR((('Step1-System Details'!E42/A223)),1)</f>
        <v>1560</v>
      </c>
      <c r="J247" s="31">
        <f>FLOOR((('Step1-System Details'!E42/A223)),1)</f>
        <v>1560</v>
      </c>
      <c r="K247" s="31">
        <f>FLOOR((('Step1-System Details'!E42/A223)),1)</f>
        <v>1560</v>
      </c>
      <c r="L247" s="31">
        <f>FLOOR((('Step1-System Details'!E42/A223)),1)</f>
        <v>1560</v>
      </c>
      <c r="M247" s="31">
        <f>FLOOR((('Step1-System Details'!E42/A223)),1)</f>
        <v>1560</v>
      </c>
      <c r="N247" s="31">
        <f>FLOOR((('Step1-System Details'!E42/A223)),1)</f>
        <v>1560</v>
      </c>
    </row>
    <row r="248" spans="3:14" x14ac:dyDescent="0.2">
      <c r="C248" s="2"/>
      <c r="D248" s="164"/>
      <c r="I248" s="155"/>
    </row>
    <row r="249" spans="3:14" x14ac:dyDescent="0.2">
      <c r="I249" s="155"/>
    </row>
    <row r="252" spans="3:14" x14ac:dyDescent="0.2">
      <c r="C252" s="31" t="str">
        <f>IF('Step1-System Details'!E19="DDR3","DDR3_CL_Min","LPDDR2_CL_Min")</f>
        <v>DDR3_CL_Min</v>
      </c>
      <c r="D252" s="155" t="str">
        <f>IF('Step1-System Details'!E19="DDR3","DDR3_CL_Max","LPDDR2_CL_Max")</f>
        <v>DDR3_CL_Max</v>
      </c>
      <c r="E252" s="31" t="str">
        <f>IF('Step1-System Details'!E19="DDR3","DDR3_CL",IF('Step1-System Details'!E35=533,"LPDDR2_533_CL",IF('Step1-System Details'!E35=667,"LPDDR2_667_CL",IF('Step1-System Details'!E35=800,"LPDDR2_800_CL",IF('Step1-System Details'!E35=933,"LPDDR2_933_CL","LPDDR2_1066_CL")))))</f>
        <v>DDR3_CL</v>
      </c>
      <c r="G252" s="31">
        <f>IF('Step1-System Details'!E19="DDR3",IF(AND('Step1-System Details'!E35=800,E27&gt;=5,E27&lt;=6),1,IF(AND('Step1-System Details'!E35=1066,E27&gt;=5,E27&lt;=6),1,IF(AND('Step1-System Details'!E35=1333,E27&gt;=5,E27&lt;=6),1,IF(AND('Step1-System Details'!E35=1600,E27&gt;=5,E27&lt;=6),1,IF(AND('Step1-System Details'!E35=1866,E27&gt;=5,E27&lt;=6),1,IF(AND('Step1-System Details'!E35=2133,E27&gt;=5,E27&lt;=6),1,0)))))),IF(AND('Step1-System Details'!E35=533,E27=4),1,IF(AND('Step1-System Details'!E35=667,E27=5),1,IF(AND('Step1-System Details'!E35=800,E27=6),1,IF(AND('Step1-System Details'!E35=933,E27=7),1,IF(AND('Step1-System Details'!E35=1066,E27=8),1,0))))))</f>
        <v>1</v>
      </c>
      <c r="H252" s="246" t="s">
        <v>249</v>
      </c>
      <c r="I252" s="164" t="str">
        <f>IF('Step1-System Details'!E19="DDR3","DDR3_CWL","LPDDR2_CWL")</f>
        <v>DDR3_CWL</v>
      </c>
      <c r="J252" s="31">
        <f>IF('Step1-System Details'!E19="DDR3",IF(E28="NA",1,0),IF(E28=5,1,0))</f>
        <v>0</v>
      </c>
    </row>
    <row r="253" spans="3:14" x14ac:dyDescent="0.2">
      <c r="C253" s="155">
        <v>5</v>
      </c>
      <c r="D253" s="155">
        <v>11</v>
      </c>
      <c r="E253" s="31">
        <v>5</v>
      </c>
      <c r="H253" s="31">
        <v>3</v>
      </c>
      <c r="I253" s="246" t="s">
        <v>228</v>
      </c>
    </row>
    <row r="254" spans="3:14" x14ac:dyDescent="0.2">
      <c r="C254" s="155">
        <v>3</v>
      </c>
      <c r="D254" s="155">
        <v>8</v>
      </c>
      <c r="E254" s="31">
        <v>6</v>
      </c>
      <c r="G254" s="31">
        <v>533</v>
      </c>
      <c r="H254" s="31">
        <v>4</v>
      </c>
      <c r="I254" s="31">
        <v>5</v>
      </c>
    </row>
    <row r="255" spans="3:14" x14ac:dyDescent="0.2">
      <c r="E255" s="31">
        <v>7</v>
      </c>
      <c r="G255" s="31">
        <v>667</v>
      </c>
      <c r="H255" s="31">
        <v>5</v>
      </c>
      <c r="I255" s="31">
        <v>6</v>
      </c>
    </row>
    <row r="256" spans="3:14" x14ac:dyDescent="0.2">
      <c r="C256" s="155">
        <f>IF('Step1-System Details'!E19="DDR3",IF(AND(E27&gt;=5,E27&lt;=11),1,0),IF(AND(E27&gt;=3,E27&lt;=8),1,0))</f>
        <v>1</v>
      </c>
      <c r="E256" s="31">
        <v>8</v>
      </c>
      <c r="G256" s="31">
        <v>800</v>
      </c>
      <c r="H256" s="31">
        <v>6</v>
      </c>
      <c r="I256" s="31">
        <v>7</v>
      </c>
    </row>
    <row r="257" spans="5:9" x14ac:dyDescent="0.2">
      <c r="E257" s="31">
        <v>9</v>
      </c>
      <c r="G257" s="31">
        <v>933</v>
      </c>
      <c r="H257" s="31">
        <v>7</v>
      </c>
      <c r="I257" s="31">
        <v>8</v>
      </c>
    </row>
    <row r="258" spans="5:9" x14ac:dyDescent="0.2">
      <c r="E258" s="31">
        <v>10</v>
      </c>
      <c r="G258" s="31">
        <v>1066</v>
      </c>
      <c r="H258" s="31">
        <v>8</v>
      </c>
    </row>
    <row r="259" spans="5:9" x14ac:dyDescent="0.2">
      <c r="E259" s="31">
        <v>11</v>
      </c>
    </row>
    <row r="260" spans="5:9" x14ac:dyDescent="0.2">
      <c r="F260" s="2"/>
    </row>
  </sheetData>
  <sheetProtection password="D9FF" sheet="1" objects="1" scenarios="1"/>
  <mergeCells count="12">
    <mergeCell ref="I25:I26"/>
    <mergeCell ref="E24:F24"/>
    <mergeCell ref="C25:C26"/>
    <mergeCell ref="D25:D26"/>
    <mergeCell ref="E25:F25"/>
    <mergeCell ref="G25:H25"/>
    <mergeCell ref="B2:K2"/>
    <mergeCell ref="B3:K3"/>
    <mergeCell ref="B4:K6"/>
    <mergeCell ref="B7:K8"/>
    <mergeCell ref="B22:B23"/>
    <mergeCell ref="C22:I23"/>
  </mergeCells>
  <phoneticPr fontId="45"/>
  <conditionalFormatting sqref="G47:G49 G30:G38">
    <cfRule type="cellIs" dxfId="9" priority="13" operator="lessThan">
      <formula>$I30-1</formula>
    </cfRule>
  </conditionalFormatting>
  <conditionalFormatting sqref="G40:G43">
    <cfRule type="cellIs" dxfId="8" priority="12" operator="lessThan">
      <formula>$I40-1</formula>
    </cfRule>
  </conditionalFormatting>
  <conditionalFormatting sqref="G50:G51">
    <cfRule type="cellIs" dxfId="7" priority="10" operator="greaterThan">
      <formula>$I50</formula>
    </cfRule>
  </conditionalFormatting>
  <conditionalFormatting sqref="G44">
    <cfRule type="cellIs" dxfId="6" priority="4" operator="lessThan">
      <formula>$I44</formula>
    </cfRule>
  </conditionalFormatting>
  <conditionalFormatting sqref="G46">
    <cfRule type="cellIs" dxfId="5" priority="3" operator="lessThan">
      <formula>$I46-1</formula>
    </cfRule>
  </conditionalFormatting>
  <conditionalFormatting sqref="E27">
    <cfRule type="expression" dxfId="4" priority="2">
      <formula>$G$252=0</formula>
    </cfRule>
  </conditionalFormatting>
  <conditionalFormatting sqref="E28">
    <cfRule type="expression" dxfId="3" priority="1">
      <formula>J252=1</formula>
    </cfRule>
  </conditionalFormatting>
  <dataValidations count="16">
    <dataValidation type="list" allowBlank="1" showInputMessage="1" showErrorMessage="1" sqref="E28">
      <formula1>INDIRECT(I252)</formula1>
    </dataValidation>
    <dataValidation operator="greaterThanOrEqual" allowBlank="1" showInputMessage="1" showErrorMessage="1" sqref="F49:F51 F30:F40 F45 F42 E35"/>
    <dataValidation type="custom" allowBlank="1" showInputMessage="1" showErrorMessage="1" sqref="E50">
      <formula1>ROUNDUP(E50/G51,0)&lt;17</formula1>
    </dataValidation>
    <dataValidation type="custom" operator="greaterThanOrEqual" allowBlank="1" showInputMessage="1" showErrorMessage="1" sqref="F41">
      <formula1>ROUNDUP(F41*_ddr_pll_freq/1000,0)&lt;1025</formula1>
    </dataValidation>
    <dataValidation type="custom" operator="greaterThanOrEqual" allowBlank="1" showInputMessage="1" showErrorMessage="1" sqref="F47">
      <formula1>ROUNDUP(F47*_ddr_pll_freq/1000,0)&lt;65</formula1>
    </dataValidation>
    <dataValidation type="whole" allowBlank="1" showInputMessage="1" showErrorMessage="1" sqref="E51">
      <formula1>0</formula1>
      <formula2>65536</formula2>
    </dataValidation>
    <dataValidation type="whole" allowBlank="1" showErrorMessage="1" sqref="E41">
      <formula1>0</formula1>
      <formula2>1024</formula2>
    </dataValidation>
    <dataValidation type="whole" allowBlank="1" showInputMessage="1" showErrorMessage="1" sqref="E40 E49">
      <formula1>0</formula1>
      <formula2>512</formula2>
    </dataValidation>
    <dataValidation type="whole" allowBlank="1" showInputMessage="1" showErrorMessage="1" sqref="E34">
      <formula1>0</formula1>
      <formula2>64</formula2>
    </dataValidation>
    <dataValidation type="custom" operator="greaterThanOrEqual" allowBlank="1" showInputMessage="1" showErrorMessage="1" sqref="F46">
      <formula1>ROUNDUP(F46*_ddr_pll_freq/1000,0)&lt;9</formula1>
    </dataValidation>
    <dataValidation type="whole" allowBlank="1" showInputMessage="1" showErrorMessage="1" sqref="E36:E39 E45:E46 E42:E43">
      <formula1>0</formula1>
      <formula2>8</formula2>
    </dataValidation>
    <dataValidation type="list" allowBlank="1" showInputMessage="1" showErrorMessage="1" sqref="E27">
      <formula1>INDIRECT($E$252)</formula1>
    </dataValidation>
    <dataValidation operator="greaterThanOrEqual" allowBlank="1" showErrorMessage="1" sqref="E30:E33"/>
    <dataValidation operator="greaterThanOrEqual" allowBlank="1" showErrorMessage="1" prompt="_x000a_" sqref="F43"/>
    <dataValidation type="whole" allowBlank="1" showErrorMessage="1" prompt="_x000a_" sqref="E47">
      <formula1>0</formula1>
      <formula2>64</formula2>
    </dataValidation>
    <dataValidation allowBlank="1" showInputMessage="1" showErrorMessage="1" prompt="Applicable for LPDDR2 only" sqref="F48"/>
  </dataValidations>
  <pageMargins left="0.7" right="0.7" top="0.75" bottom="0.75" header="0.3" footer="0.3"/>
  <pageSetup orientation="portrait" r:id="rId1"/>
  <ignoredErrors>
    <ignoredError sqref="I48 G34 I4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66"/>
  </sheetPr>
  <dimension ref="A1:S533"/>
  <sheetViews>
    <sheetView zoomScaleNormal="100" workbookViewId="0">
      <pane ySplit="14" topLeftCell="A33" activePane="bottomLeft" state="frozen"/>
      <selection pane="bottomLeft" activeCell="F49" sqref="F49"/>
    </sheetView>
  </sheetViews>
  <sheetFormatPr defaultColWidth="9.140625" defaultRowHeight="12.75" x14ac:dyDescent="0.2"/>
  <cols>
    <col min="1" max="1" width="2.42578125" style="31" customWidth="1"/>
    <col min="2" max="2" width="5.5703125" style="31" bestFit="1" customWidth="1"/>
    <col min="3" max="3" width="14.85546875" style="31" bestFit="1" customWidth="1"/>
    <col min="4" max="4" width="12.5703125" style="31" customWidth="1"/>
    <col min="5" max="5" width="15.140625" style="31" customWidth="1"/>
    <col min="6" max="6" width="15.5703125" style="31" customWidth="1"/>
    <col min="7" max="16384" width="9.140625" style="31"/>
  </cols>
  <sheetData>
    <row r="1" spans="1:19" s="221" customFormat="1" ht="12.75" customHeight="1" x14ac:dyDescent="0.2">
      <c r="A1" s="166"/>
      <c r="B1" s="166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6"/>
      <c r="P1" s="166"/>
      <c r="Q1" s="166"/>
      <c r="R1" s="166"/>
    </row>
    <row r="2" spans="1:19" s="221" customFormat="1" ht="12.75" customHeight="1" x14ac:dyDescent="0.2">
      <c r="A2" s="166"/>
      <c r="B2" s="449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1"/>
    </row>
    <row r="3" spans="1:19" s="221" customFormat="1" ht="12.75" customHeight="1" x14ac:dyDescent="0.2">
      <c r="A3" s="166"/>
      <c r="B3" s="449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1"/>
    </row>
    <row r="4" spans="1:19" s="221" customFormat="1" ht="12.75" customHeight="1" x14ac:dyDescent="0.2">
      <c r="A4" s="176"/>
      <c r="B4" s="507" t="s">
        <v>368</v>
      </c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9"/>
    </row>
    <row r="5" spans="1:19" s="221" customFormat="1" ht="12.75" customHeight="1" x14ac:dyDescent="0.2">
      <c r="A5" s="165"/>
      <c r="B5" s="471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3"/>
    </row>
    <row r="6" spans="1:19" s="221" customFormat="1" ht="12.75" customHeight="1" thickBot="1" x14ac:dyDescent="0.25">
      <c r="A6" s="165"/>
      <c r="B6" s="510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2"/>
    </row>
    <row r="7" spans="1:19" s="221" customFormat="1" ht="12.75" customHeight="1" thickTop="1" x14ac:dyDescent="0.2">
      <c r="A7" s="165"/>
      <c r="B7" s="458" t="s">
        <v>203</v>
      </c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60"/>
      <c r="S7" s="222"/>
    </row>
    <row r="8" spans="1:19" s="221" customFormat="1" ht="12.75" customHeight="1" x14ac:dyDescent="0.2">
      <c r="A8" s="165"/>
      <c r="B8" s="461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3"/>
      <c r="S8" s="222"/>
    </row>
    <row r="9" spans="1:19" s="221" customFormat="1" ht="12.75" customHeight="1" x14ac:dyDescent="0.2">
      <c r="A9" s="165"/>
      <c r="B9" s="210" t="s">
        <v>204</v>
      </c>
      <c r="C9" s="211" t="s">
        <v>544</v>
      </c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26"/>
      <c r="P9" s="229"/>
      <c r="Q9" s="211"/>
      <c r="R9" s="213"/>
      <c r="S9" s="222"/>
    </row>
    <row r="10" spans="1:19" s="221" customFormat="1" ht="12.75" customHeight="1" x14ac:dyDescent="0.2">
      <c r="A10" s="165"/>
      <c r="B10" s="197"/>
      <c r="C10" s="214"/>
      <c r="D10" s="215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27"/>
      <c r="P10" s="230"/>
      <c r="Q10" s="214"/>
      <c r="R10" s="223"/>
      <c r="S10" s="222"/>
    </row>
    <row r="11" spans="1:19" s="221" customFormat="1" ht="12.75" customHeight="1" x14ac:dyDescent="0.2">
      <c r="A11" s="165"/>
      <c r="B11" s="197"/>
      <c r="C11" s="377" t="s">
        <v>207</v>
      </c>
      <c r="D11" s="218" t="s">
        <v>215</v>
      </c>
      <c r="E11" s="216"/>
      <c r="F11" s="214"/>
      <c r="G11" s="214"/>
      <c r="H11" s="214"/>
      <c r="I11" s="214"/>
      <c r="J11" s="214"/>
      <c r="K11" s="214"/>
      <c r="L11" s="214"/>
      <c r="M11" s="214"/>
      <c r="N11" s="214"/>
      <c r="O11" s="227"/>
      <c r="P11" s="230"/>
      <c r="Q11" s="215"/>
      <c r="R11" s="224"/>
      <c r="S11" s="222"/>
    </row>
    <row r="12" spans="1:19" s="221" customFormat="1" ht="12.75" customHeight="1" x14ac:dyDescent="0.2">
      <c r="A12" s="165"/>
      <c r="B12" s="197"/>
      <c r="C12" s="217"/>
      <c r="D12" s="378"/>
      <c r="E12" s="218"/>
      <c r="F12" s="214"/>
      <c r="G12" s="214"/>
      <c r="H12" s="214"/>
      <c r="I12" s="214"/>
      <c r="J12" s="214"/>
      <c r="K12" s="214"/>
      <c r="L12" s="214"/>
      <c r="M12" s="214"/>
      <c r="N12" s="214"/>
      <c r="O12" s="227"/>
      <c r="P12" s="230"/>
      <c r="Q12" s="217"/>
      <c r="R12" s="225"/>
      <c r="S12" s="222"/>
    </row>
    <row r="13" spans="1:19" s="221" customFormat="1" ht="13.5" thickBot="1" x14ac:dyDescent="0.25">
      <c r="A13" s="165"/>
      <c r="B13" s="206"/>
      <c r="C13" s="207"/>
      <c r="D13" s="207"/>
      <c r="E13" s="207"/>
      <c r="F13" s="207"/>
      <c r="G13" s="207"/>
      <c r="H13" s="208"/>
      <c r="I13" s="208"/>
      <c r="J13" s="207"/>
      <c r="K13" s="207"/>
      <c r="L13" s="207"/>
      <c r="M13" s="207"/>
      <c r="N13" s="207"/>
      <c r="O13" s="228"/>
      <c r="P13" s="231"/>
      <c r="Q13" s="207"/>
      <c r="R13" s="209"/>
      <c r="S13" s="222"/>
    </row>
    <row r="14" spans="1:19" s="221" customFormat="1" ht="13.5" thickTop="1" x14ac:dyDescent="0.2">
      <c r="A14" s="165"/>
      <c r="B14" s="189"/>
      <c r="C14" s="189"/>
      <c r="D14" s="219"/>
      <c r="E14" s="219"/>
      <c r="F14" s="219"/>
      <c r="G14" s="219"/>
      <c r="H14" s="220"/>
      <c r="I14" s="220"/>
      <c r="J14" s="219"/>
      <c r="K14" s="189"/>
      <c r="L14" s="189"/>
      <c r="M14" s="189"/>
      <c r="N14" s="189"/>
      <c r="O14" s="189"/>
      <c r="P14" s="166"/>
      <c r="Q14" s="166"/>
      <c r="R14" s="166"/>
    </row>
    <row r="15" spans="1:19" ht="13.5" thickBot="1" x14ac:dyDescent="0.25">
      <c r="B15" s="34"/>
      <c r="C15" s="34"/>
      <c r="D15" s="34"/>
    </row>
    <row r="16" spans="1:19" ht="13.5" customHeight="1" thickTop="1" x14ac:dyDescent="0.2">
      <c r="B16" s="496" t="s">
        <v>99</v>
      </c>
      <c r="C16" s="500" t="s">
        <v>96</v>
      </c>
      <c r="D16" s="501"/>
      <c r="E16" s="501"/>
      <c r="F16" s="501"/>
      <c r="G16" s="501"/>
      <c r="M16" s="148"/>
      <c r="N16" s="148"/>
      <c r="O16" s="148"/>
      <c r="P16" s="149"/>
    </row>
    <row r="17" spans="2:16" ht="13.5" customHeight="1" thickBot="1" x14ac:dyDescent="0.25">
      <c r="B17" s="497"/>
      <c r="C17" s="503"/>
      <c r="D17" s="504"/>
      <c r="E17" s="504"/>
      <c r="F17" s="504"/>
      <c r="G17" s="504"/>
      <c r="M17" s="150"/>
      <c r="N17" s="150"/>
      <c r="O17" s="150"/>
      <c r="P17" s="151"/>
    </row>
    <row r="18" spans="2:16" ht="12.75" customHeight="1" thickTop="1" thickBot="1" x14ac:dyDescent="0.25">
      <c r="C18" s="102" t="s">
        <v>70</v>
      </c>
      <c r="D18" s="513" t="s">
        <v>71</v>
      </c>
      <c r="E18" s="514"/>
      <c r="F18" s="102" t="s">
        <v>98</v>
      </c>
      <c r="G18" s="104" t="s">
        <v>73</v>
      </c>
      <c r="L18" s="34"/>
      <c r="M18" s="34"/>
      <c r="N18" s="34"/>
      <c r="O18" s="34"/>
      <c r="P18" s="34"/>
    </row>
    <row r="19" spans="2:16" ht="12.75" customHeight="1" thickTop="1" x14ac:dyDescent="0.2">
      <c r="C19" s="106">
        <v>1</v>
      </c>
      <c r="D19" s="515" t="s">
        <v>373</v>
      </c>
      <c r="E19" s="516"/>
      <c r="F19" s="76">
        <v>180</v>
      </c>
      <c r="G19" s="108" t="s">
        <v>3</v>
      </c>
      <c r="J19" s="517" t="str">
        <f>IF('Step1-System Details'!E19="LPDDR2","Not Required for LPDDR2","")</f>
        <v/>
      </c>
      <c r="K19" s="517"/>
      <c r="L19" s="517"/>
      <c r="M19" s="517"/>
      <c r="N19" s="517"/>
      <c r="O19" s="517"/>
      <c r="P19" s="517"/>
    </row>
    <row r="20" spans="2:16" ht="13.5" customHeight="1" thickBot="1" x14ac:dyDescent="0.25">
      <c r="B20" s="28"/>
      <c r="C20" s="34"/>
      <c r="D20" s="34"/>
    </row>
    <row r="21" spans="2:16" ht="14.25" customHeight="1" thickTop="1" x14ac:dyDescent="0.2">
      <c r="B21" s="498" t="s">
        <v>131</v>
      </c>
      <c r="C21" s="500" t="s">
        <v>95</v>
      </c>
      <c r="D21" s="501"/>
      <c r="E21" s="501"/>
      <c r="F21" s="501"/>
      <c r="G21" s="501"/>
      <c r="H21" s="501"/>
      <c r="I21" s="501"/>
      <c r="J21" s="501"/>
      <c r="K21" s="502"/>
    </row>
    <row r="22" spans="2:16" ht="14.25" customHeight="1" thickBot="1" x14ac:dyDescent="0.25">
      <c r="B22" s="499"/>
      <c r="C22" s="503"/>
      <c r="D22" s="504"/>
      <c r="E22" s="504"/>
      <c r="F22" s="505"/>
      <c r="G22" s="505"/>
      <c r="H22" s="505"/>
      <c r="I22" s="505"/>
      <c r="J22" s="505"/>
      <c r="K22" s="506"/>
    </row>
    <row r="23" spans="2:16" ht="13.5" customHeight="1" thickTop="1" x14ac:dyDescent="0.2">
      <c r="C23" s="524" t="s">
        <v>97</v>
      </c>
      <c r="D23" s="525"/>
      <c r="E23" s="526"/>
      <c r="F23" s="334"/>
      <c r="G23" s="334"/>
      <c r="H23" s="334"/>
      <c r="I23" s="334"/>
    </row>
    <row r="24" spans="2:16" ht="13.5" customHeight="1" thickBot="1" x14ac:dyDescent="0.25">
      <c r="C24" s="527"/>
      <c r="D24" s="528"/>
      <c r="E24" s="529"/>
      <c r="F24" s="334"/>
      <c r="G24" s="334"/>
      <c r="H24" s="334"/>
      <c r="I24" s="334"/>
    </row>
    <row r="25" spans="2:16" ht="13.5" thickTop="1" x14ac:dyDescent="0.2">
      <c r="C25" s="538" t="s">
        <v>91</v>
      </c>
      <c r="D25" s="522" t="s">
        <v>94</v>
      </c>
      <c r="E25" s="523"/>
      <c r="F25" s="335"/>
      <c r="G25" s="335"/>
      <c r="H25" s="335"/>
      <c r="I25" s="335"/>
    </row>
    <row r="26" spans="2:16" ht="13.5" thickBot="1" x14ac:dyDescent="0.25">
      <c r="C26" s="539"/>
      <c r="D26" s="330" t="s">
        <v>18</v>
      </c>
      <c r="E26" s="346" t="s">
        <v>19</v>
      </c>
    </row>
    <row r="27" spans="2:16" ht="13.5" thickTop="1" x14ac:dyDescent="0.2">
      <c r="C27" s="152" t="s">
        <v>92</v>
      </c>
      <c r="D27" s="77">
        <v>1.2889999999999999</v>
      </c>
      <c r="E27" s="78">
        <v>1.2889999999999999</v>
      </c>
    </row>
    <row r="28" spans="2:16" ht="13.5" thickBot="1" x14ac:dyDescent="0.25">
      <c r="C28" s="153" t="s">
        <v>93</v>
      </c>
      <c r="D28" s="79">
        <v>1.1930000000000001</v>
      </c>
      <c r="E28" s="80">
        <v>1.194</v>
      </c>
    </row>
    <row r="29" spans="2:16" ht="13.5" thickTop="1" x14ac:dyDescent="0.2"/>
    <row r="30" spans="2:16" x14ac:dyDescent="0.2">
      <c r="B30" s="498" t="s">
        <v>486</v>
      </c>
      <c r="C30" s="518" t="s">
        <v>487</v>
      </c>
    </row>
    <row r="31" spans="2:16" ht="12.75" customHeight="1" thickBot="1" x14ac:dyDescent="0.25">
      <c r="B31" s="499"/>
      <c r="C31" s="519"/>
    </row>
    <row r="32" spans="2:16" ht="13.5" thickBot="1" x14ac:dyDescent="0.25">
      <c r="C32" s="367" t="s">
        <v>488</v>
      </c>
      <c r="D32" s="368"/>
      <c r="E32" s="368"/>
      <c r="F32" s="369" t="str">
        <f>DEC2HEX(1,8)</f>
        <v>00000001</v>
      </c>
    </row>
    <row r="33" spans="2:6" x14ac:dyDescent="0.2">
      <c r="C33" s="370"/>
      <c r="D33" s="34"/>
      <c r="E33" s="34"/>
      <c r="F33" s="371"/>
    </row>
    <row r="34" spans="2:6" x14ac:dyDescent="0.2">
      <c r="B34" s="498" t="s">
        <v>355</v>
      </c>
      <c r="C34" s="535" t="s">
        <v>356</v>
      </c>
      <c r="D34" s="447"/>
      <c r="E34" s="447"/>
    </row>
    <row r="35" spans="2:6" ht="13.5" thickBot="1" x14ac:dyDescent="0.25">
      <c r="B35" s="499"/>
      <c r="C35" s="536"/>
      <c r="D35" s="537"/>
      <c r="E35" s="537"/>
    </row>
    <row r="36" spans="2:6" x14ac:dyDescent="0.2">
      <c r="C36" s="336" t="s">
        <v>357</v>
      </c>
      <c r="D36" s="337" t="str">
        <f>DEC2HEX((D$27-D$28)*$F$19*'Step1-System Details'!$E$20/1000/1000*256+128*'Invert Clock'!$E$18)</f>
        <v>81</v>
      </c>
      <c r="E36" s="337" t="str">
        <f>DEC2HEX((E$27-E$28)*$F$19*'Step1-System Details'!$E$20/1000/1000*256+128*'Invert Clock'!$E$18)</f>
        <v>81</v>
      </c>
    </row>
    <row r="37" spans="2:6" x14ac:dyDescent="0.2">
      <c r="C37" s="339" t="s">
        <v>358</v>
      </c>
      <c r="D37" s="340">
        <v>40</v>
      </c>
      <c r="E37" s="341">
        <v>40</v>
      </c>
    </row>
    <row r="38" spans="2:6" ht="13.5" thickBot="1" x14ac:dyDescent="0.25">
      <c r="C38" s="342" t="s">
        <v>359</v>
      </c>
      <c r="D38" s="343" t="str">
        <f>DEC2HEX((D$27+2*D$28)*$F$19*'Step1-System Details'!$E$20/1000/1000*256+HEX2DEC(80)*'Invert Clock'!$E$18+HEX2DEC(D$37))</f>
        <v>103</v>
      </c>
      <c r="E38" s="343" t="str">
        <f>DEC2HEX((E$27+2*E$28)*$F$19*'Step1-System Details'!$E$20/1000/1000*256+HEX2DEC(80)*'Invert Clock'!$E$18+HEX2DEC(E$37))</f>
        <v>103</v>
      </c>
    </row>
    <row r="39" spans="2:6" x14ac:dyDescent="0.2">
      <c r="C39" s="33"/>
    </row>
    <row r="40" spans="2:6" x14ac:dyDescent="0.2">
      <c r="B40" s="498" t="s">
        <v>360</v>
      </c>
      <c r="C40" s="534" t="s">
        <v>361</v>
      </c>
      <c r="D40" s="444"/>
      <c r="E40" s="444"/>
    </row>
    <row r="41" spans="2:6" ht="13.5" thickBot="1" x14ac:dyDescent="0.25">
      <c r="B41" s="499"/>
      <c r="C41" s="535"/>
      <c r="D41" s="447"/>
      <c r="E41" s="447"/>
    </row>
    <row r="42" spans="2:6" x14ac:dyDescent="0.2">
      <c r="C42" s="530" t="s">
        <v>362</v>
      </c>
      <c r="D42" s="531"/>
      <c r="E42" s="531"/>
      <c r="F42" s="338" t="str">
        <f>DEC2HEX((HEX2DEC(D37)+HEX2DEC(E37))/2,8)</f>
        <v>00000040</v>
      </c>
    </row>
    <row r="43" spans="2:6" x14ac:dyDescent="0.2">
      <c r="C43" s="532" t="s">
        <v>363</v>
      </c>
      <c r="D43" s="533"/>
      <c r="E43" s="533"/>
      <c r="F43" s="365" t="str">
        <f>DEC2HEX((HEX2DEC(D38)+HEX2DEC(E38))/2,8)</f>
        <v>00000103</v>
      </c>
    </row>
    <row r="44" spans="2:6" x14ac:dyDescent="0.2">
      <c r="C44" s="532" t="s">
        <v>364</v>
      </c>
      <c r="D44" s="533"/>
      <c r="E44" s="533"/>
      <c r="F44" s="341" t="str">
        <f>DEC2HEX((HEX2DEC(D36)+HEX2DEC(E36))/2,8)</f>
        <v>00000081</v>
      </c>
    </row>
    <row r="45" spans="2:6" ht="13.5" thickBot="1" x14ac:dyDescent="0.25">
      <c r="C45" s="354" t="s">
        <v>470</v>
      </c>
      <c r="D45" s="355"/>
      <c r="E45" s="355"/>
      <c r="F45" s="344" t="str">
        <f>DEC2HEX(HEX2DEC(F44) + 64,8)</f>
        <v>000000C1</v>
      </c>
    </row>
    <row r="46" spans="2:6" x14ac:dyDescent="0.2">
      <c r="C46" s="345"/>
    </row>
    <row r="47" spans="2:6" x14ac:dyDescent="0.2">
      <c r="B47" s="498" t="s">
        <v>365</v>
      </c>
      <c r="C47" s="534" t="s">
        <v>366</v>
      </c>
      <c r="D47" s="444"/>
      <c r="E47" s="444"/>
    </row>
    <row r="48" spans="2:6" ht="13.5" thickBot="1" x14ac:dyDescent="0.25">
      <c r="B48" s="499"/>
      <c r="C48" s="535"/>
      <c r="D48" s="447"/>
      <c r="E48" s="447"/>
    </row>
    <row r="49" spans="3:6" ht="13.5" thickBot="1" x14ac:dyDescent="0.25">
      <c r="C49" s="520" t="s">
        <v>367</v>
      </c>
      <c r="D49" s="521"/>
      <c r="E49" s="521"/>
      <c r="F49" s="364" t="str">
        <f>DEC2HEX(IF('Invert Clock'!E18=1,256,128),8)</f>
        <v>00000100</v>
      </c>
    </row>
    <row r="529" spans="3:4" hidden="1" x14ac:dyDescent="0.2">
      <c r="C529" s="24" t="s">
        <v>13</v>
      </c>
      <c r="D529" s="24" t="s">
        <v>15</v>
      </c>
    </row>
    <row r="530" spans="3:4" hidden="1" x14ac:dyDescent="0.2">
      <c r="C530" s="24" t="s">
        <v>9</v>
      </c>
      <c r="D530" s="24">
        <v>400</v>
      </c>
    </row>
    <row r="531" spans="3:4" hidden="1" x14ac:dyDescent="0.2">
      <c r="C531" s="24" t="s">
        <v>10</v>
      </c>
      <c r="D531" s="24">
        <v>533</v>
      </c>
    </row>
    <row r="532" spans="3:4" hidden="1" x14ac:dyDescent="0.2">
      <c r="C532" s="24" t="s">
        <v>11</v>
      </c>
      <c r="D532" s="24">
        <v>667</v>
      </c>
    </row>
    <row r="533" spans="3:4" hidden="1" x14ac:dyDescent="0.2">
      <c r="C533" s="24" t="s">
        <v>12</v>
      </c>
      <c r="D533" s="24">
        <v>800</v>
      </c>
    </row>
  </sheetData>
  <sheetProtection password="D9FF" sheet="1" objects="1" scenarios="1"/>
  <mergeCells count="26">
    <mergeCell ref="B30:B31"/>
    <mergeCell ref="C30:C31"/>
    <mergeCell ref="C49:E49"/>
    <mergeCell ref="D25:E25"/>
    <mergeCell ref="C23:E24"/>
    <mergeCell ref="C42:E42"/>
    <mergeCell ref="C43:E43"/>
    <mergeCell ref="C44:E44"/>
    <mergeCell ref="B47:B48"/>
    <mergeCell ref="C47:E48"/>
    <mergeCell ref="B34:B35"/>
    <mergeCell ref="C34:E35"/>
    <mergeCell ref="B40:B41"/>
    <mergeCell ref="C40:E41"/>
    <mergeCell ref="C25:C26"/>
    <mergeCell ref="B2:R2"/>
    <mergeCell ref="B7:R8"/>
    <mergeCell ref="B16:B17"/>
    <mergeCell ref="B21:B22"/>
    <mergeCell ref="C21:K22"/>
    <mergeCell ref="B4:R6"/>
    <mergeCell ref="D18:E18"/>
    <mergeCell ref="D19:E19"/>
    <mergeCell ref="C16:G17"/>
    <mergeCell ref="J19:P19"/>
    <mergeCell ref="B3:R3"/>
  </mergeCells>
  <phoneticPr fontId="45"/>
  <conditionalFormatting sqref="G27">
    <cfRule type="containsText" dxfId="2" priority="1" operator="containsText" text="ERROR - Invalid clock length(s)">
      <formula>NOT(ISERROR(SEARCH("ERROR - Invalid clock length(s)",G27)))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F501"/>
  <sheetViews>
    <sheetView zoomScaleNormal="100" workbookViewId="0">
      <pane ySplit="11" topLeftCell="A12" activePane="bottomLeft" state="frozen"/>
      <selection pane="bottomLeft" activeCell="C17" sqref="C17"/>
    </sheetView>
  </sheetViews>
  <sheetFormatPr defaultColWidth="9.140625" defaultRowHeight="12.75" x14ac:dyDescent="0.2"/>
  <cols>
    <col min="1" max="1" width="2.85546875" style="2" customWidth="1"/>
    <col min="2" max="2" width="31.7109375" style="2" customWidth="1"/>
    <col min="3" max="3" width="17.7109375" style="2" customWidth="1"/>
    <col min="4" max="5" width="16.5703125" style="2" customWidth="1"/>
    <col min="6" max="6" width="15.42578125" style="2" customWidth="1"/>
    <col min="7" max="7" width="16.85546875" style="2" customWidth="1"/>
    <col min="8" max="8" width="15.42578125" style="2" customWidth="1"/>
    <col min="9" max="9" width="15.85546875" style="2" customWidth="1"/>
    <col min="10" max="10" width="9.140625" style="2"/>
    <col min="11" max="14" width="0" style="2" hidden="1" customWidth="1"/>
    <col min="15" max="28" width="9.140625" style="2"/>
    <col min="29" max="29" width="4.5703125" style="2" customWidth="1"/>
    <col min="30" max="16384" width="9.140625" style="2"/>
  </cols>
  <sheetData>
    <row r="1" spans="1:19" s="31" customFormat="1" ht="12.75" customHeight="1" x14ac:dyDescent="0.2">
      <c r="A1" s="165"/>
      <c r="B1" s="166"/>
      <c r="C1" s="166"/>
      <c r="D1" s="166"/>
      <c r="E1" s="166"/>
      <c r="F1" s="166"/>
      <c r="G1" s="167"/>
      <c r="H1" s="167"/>
      <c r="I1" s="166"/>
      <c r="J1" s="166"/>
    </row>
    <row r="2" spans="1:19" s="31" customFormat="1" ht="12.75" customHeight="1" x14ac:dyDescent="0.2">
      <c r="A2" s="165"/>
      <c r="B2" s="540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</row>
    <row r="3" spans="1:19" s="31" customFormat="1" ht="12.75" customHeight="1" x14ac:dyDescent="0.2">
      <c r="A3" s="165"/>
      <c r="B3" s="540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</row>
    <row r="4" spans="1:19" s="31" customFormat="1" ht="12.75" customHeight="1" x14ac:dyDescent="0.2">
      <c r="A4" s="165"/>
      <c r="B4" s="455" t="s">
        <v>370</v>
      </c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</row>
    <row r="5" spans="1:19" s="31" customFormat="1" ht="12.75" customHeight="1" x14ac:dyDescent="0.2">
      <c r="A5" s="165"/>
      <c r="B5" s="455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</row>
    <row r="6" spans="1:19" s="31" customFormat="1" ht="12.75" customHeight="1" thickBot="1" x14ac:dyDescent="0.25">
      <c r="A6" s="165"/>
      <c r="B6" s="455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</row>
    <row r="7" spans="1:19" s="31" customFormat="1" ht="12.75" customHeight="1" thickTop="1" x14ac:dyDescent="0.2">
      <c r="A7" s="165"/>
      <c r="B7" s="458" t="s">
        <v>203</v>
      </c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59"/>
      <c r="S7" s="460"/>
    </row>
    <row r="8" spans="1:19" s="31" customFormat="1" ht="12.75" customHeight="1" x14ac:dyDescent="0.2">
      <c r="A8" s="165"/>
      <c r="B8" s="542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4"/>
    </row>
    <row r="9" spans="1:19" s="31" customFormat="1" ht="12.75" customHeight="1" x14ac:dyDescent="0.2">
      <c r="A9" s="165"/>
      <c r="B9" s="170"/>
      <c r="C9" s="171" t="s">
        <v>216</v>
      </c>
      <c r="D9" s="171"/>
      <c r="E9" s="240" t="s">
        <v>204</v>
      </c>
      <c r="F9" s="172" t="s">
        <v>256</v>
      </c>
      <c r="G9" s="173"/>
      <c r="H9" s="173"/>
      <c r="I9" s="236"/>
      <c r="J9" s="238"/>
      <c r="K9" s="173"/>
      <c r="L9" s="173"/>
      <c r="M9" s="173"/>
      <c r="N9" s="173"/>
      <c r="O9" s="173"/>
      <c r="P9" s="173"/>
      <c r="Q9" s="173"/>
      <c r="R9" s="173"/>
      <c r="S9" s="234"/>
    </row>
    <row r="10" spans="1:19" s="31" customFormat="1" ht="12.75" customHeight="1" thickBot="1" x14ac:dyDescent="0.25">
      <c r="A10" s="176"/>
      <c r="B10" s="183"/>
      <c r="C10" s="184"/>
      <c r="D10" s="185"/>
      <c r="E10" s="186"/>
      <c r="F10" s="186"/>
      <c r="G10" s="187"/>
      <c r="H10" s="187"/>
      <c r="I10" s="237"/>
      <c r="J10" s="239"/>
      <c r="K10" s="187"/>
      <c r="L10" s="187"/>
      <c r="M10" s="187"/>
      <c r="N10" s="187"/>
      <c r="O10" s="187"/>
      <c r="P10" s="187"/>
      <c r="Q10" s="187"/>
      <c r="R10" s="187"/>
      <c r="S10" s="235"/>
    </row>
    <row r="11" spans="1:19" s="31" customFormat="1" ht="12.75" customHeight="1" thickTop="1" x14ac:dyDescent="0.2">
      <c r="A11" s="176"/>
      <c r="B11" s="189"/>
      <c r="C11" s="189"/>
      <c r="D11" s="189"/>
      <c r="E11" s="189"/>
      <c r="F11" s="189"/>
      <c r="G11" s="190"/>
      <c r="H11" s="190"/>
      <c r="I11" s="189"/>
      <c r="J11" s="189"/>
    </row>
    <row r="13" spans="1:19" x14ac:dyDescent="0.2">
      <c r="B13" s="15" t="s">
        <v>373</v>
      </c>
      <c r="C13" s="29">
        <f>'Step3-Board Details'!F19</f>
        <v>180</v>
      </c>
      <c r="D13" s="14" t="s">
        <v>3</v>
      </c>
    </row>
    <row r="14" spans="1:19" x14ac:dyDescent="0.2">
      <c r="B14" s="15" t="s">
        <v>8</v>
      </c>
      <c r="C14" s="24">
        <f>'Step1-System Details'!E35</f>
        <v>1600</v>
      </c>
      <c r="D14" s="14" t="s">
        <v>7</v>
      </c>
      <c r="E14" s="9"/>
    </row>
    <row r="15" spans="1:19" x14ac:dyDescent="0.2">
      <c r="B15" s="15" t="s">
        <v>4</v>
      </c>
      <c r="C15" s="64">
        <f>'Step1-System Details'!E20</f>
        <v>400</v>
      </c>
      <c r="D15" s="14" t="s">
        <v>0</v>
      </c>
    </row>
    <row r="16" spans="1:19" x14ac:dyDescent="0.2">
      <c r="B16" s="15" t="s">
        <v>16</v>
      </c>
      <c r="C16" s="30">
        <f>1000000/C15</f>
        <v>2500</v>
      </c>
      <c r="D16" s="14" t="s">
        <v>3</v>
      </c>
      <c r="E16" s="9"/>
      <c r="F16" s="19"/>
    </row>
    <row r="17" spans="2:29" x14ac:dyDescent="0.2">
      <c r="B17" s="15" t="s">
        <v>64</v>
      </c>
      <c r="C17" s="67">
        <v>0</v>
      </c>
      <c r="D17" s="14"/>
      <c r="E17" s="9"/>
      <c r="H17" s="20"/>
    </row>
    <row r="18" spans="2:29" x14ac:dyDescent="0.2">
      <c r="B18" s="65" t="s">
        <v>64</v>
      </c>
      <c r="C18" s="14"/>
      <c r="D18" s="66"/>
      <c r="E18" s="347">
        <f>IF('Step1-System Details'!E19="DDR3",IF(MIN(H22:H25)&lt;0,1,0),0)</f>
        <v>1</v>
      </c>
      <c r="F18" s="547" t="str">
        <f>IF('Step1-System Details'!E19="DDR3",IF(AND(MIN(I22:I25)&lt;0)," ",IF(E18="1","Read Latency increased by 1"," ")),"")</f>
        <v xml:space="preserve"> </v>
      </c>
      <c r="G18" s="547"/>
      <c r="H18" s="20"/>
    </row>
    <row r="19" spans="2:29" x14ac:dyDescent="0.2">
      <c r="B19" s="1"/>
      <c r="F19" s="547" t="str">
        <f>IF('Step1-System Details'!E19="DDR3",IF(AND(MIN(I22:I25)&lt;0), "ERROR - Invalid clock length(s)", ""),"")</f>
        <v>ERROR - Invalid clock length(s)</v>
      </c>
      <c r="G19" s="547"/>
    </row>
    <row r="20" spans="2:29" ht="12.75" customHeight="1" x14ac:dyDescent="0.2">
      <c r="B20" s="549" t="s">
        <v>25</v>
      </c>
      <c r="C20" s="551" t="s">
        <v>153</v>
      </c>
      <c r="D20" s="552"/>
      <c r="E20" s="553"/>
      <c r="F20" s="548" t="s">
        <v>21</v>
      </c>
      <c r="G20" s="548" t="s">
        <v>22</v>
      </c>
      <c r="H20" s="548" t="s">
        <v>23</v>
      </c>
      <c r="I20" s="548" t="s">
        <v>23</v>
      </c>
    </row>
    <row r="21" spans="2:29" s="4" customFormat="1" ht="25.5" customHeight="1" x14ac:dyDescent="0.2">
      <c r="B21" s="550"/>
      <c r="C21" s="554"/>
      <c r="D21" s="555"/>
      <c r="E21" s="556"/>
      <c r="F21" s="548"/>
      <c r="G21" s="548"/>
      <c r="H21" s="548"/>
      <c r="I21" s="548"/>
    </row>
    <row r="22" spans="2:29" x14ac:dyDescent="0.2">
      <c r="B22" s="14" t="s">
        <v>1</v>
      </c>
      <c r="C22" s="16">
        <f>'Step3-Board Details'!D28</f>
        <v>1.1930000000000001</v>
      </c>
      <c r="D22" s="16">
        <v>0</v>
      </c>
      <c r="E22" s="16">
        <f>C22+D22</f>
        <v>1.1930000000000001</v>
      </c>
      <c r="F22" s="17">
        <f>C22*C13</f>
        <v>214.74</v>
      </c>
      <c r="G22" s="32">
        <f>IF('Step1-System Details'!E19="DDR3",CLK_PERIOD-I22-G494-I494,"NA")</f>
        <v>2482.7200000000003</v>
      </c>
      <c r="H22" s="32">
        <f>IF(F22&lt;0.001, 0, F23-F22-I494-G495+CLK_PERIOD/2*INVERT_CLK)</f>
        <v>-347.72</v>
      </c>
      <c r="I22" s="32">
        <f>IF('Step1-System Details'!E19="DDR3",IF(E18="1",H22+CLK_PERIOD/2,H22),"NA")</f>
        <v>-347.72</v>
      </c>
      <c r="K22" s="5"/>
      <c r="L22" s="4"/>
      <c r="M22" s="4"/>
      <c r="N22" s="4"/>
      <c r="O22" s="517" t="str">
        <f>IF('Step1-System Details'!E19="LPDDR2","Not Required for LPDDR2","")</f>
        <v/>
      </c>
      <c r="P22" s="517"/>
      <c r="Q22" s="517"/>
      <c r="R22" s="517"/>
      <c r="S22" s="517"/>
      <c r="T22" s="517"/>
      <c r="U22" s="517"/>
      <c r="V22" s="20"/>
    </row>
    <row r="23" spans="2:29" x14ac:dyDescent="0.2">
      <c r="B23" s="14" t="s">
        <v>5</v>
      </c>
      <c r="C23" s="16">
        <f>'Step3-Board Details'!D27</f>
        <v>1.2889999999999999</v>
      </c>
      <c r="D23" s="16">
        <v>0</v>
      </c>
      <c r="E23" s="16">
        <f t="shared" ref="E23:E25" si="0">C23+D23</f>
        <v>1.2889999999999999</v>
      </c>
      <c r="F23" s="17">
        <f>C23*C13</f>
        <v>232.01999999999998</v>
      </c>
      <c r="G23" s="32"/>
      <c r="H23" s="32"/>
      <c r="I23" s="32"/>
      <c r="K23" s="5"/>
      <c r="L23" s="4"/>
      <c r="M23" s="4"/>
      <c r="N23" s="4"/>
      <c r="O23" s="517"/>
      <c r="P23" s="517"/>
      <c r="Q23" s="517"/>
      <c r="R23" s="517"/>
      <c r="S23" s="517"/>
      <c r="T23" s="517"/>
      <c r="U23" s="517"/>
      <c r="V23" s="20"/>
    </row>
    <row r="24" spans="2:29" x14ac:dyDescent="0.2">
      <c r="B24" s="14" t="s">
        <v>2</v>
      </c>
      <c r="C24" s="16">
        <f>'Step3-Board Details'!E28</f>
        <v>1.194</v>
      </c>
      <c r="D24" s="16">
        <v>0</v>
      </c>
      <c r="E24" s="16">
        <f t="shared" si="0"/>
        <v>1.194</v>
      </c>
      <c r="F24" s="17">
        <f>C24*C13</f>
        <v>214.92</v>
      </c>
      <c r="G24" s="32">
        <f>IF('Step1-System Details'!E19="DDR3",CLK_PERIOD-I24-G494-I494,"NA")</f>
        <v>2482.9</v>
      </c>
      <c r="H24" s="32">
        <f>IF(F24&lt;0.001, 0, F25-F24-I494-G495+CLK_PERIOD/2*INVERT_CLK)</f>
        <v>-347.9</v>
      </c>
      <c r="I24" s="32">
        <f>IF('Step1-System Details'!E19="DDR3",IF(E18="1",H24+CLK_PERIOD/2,H24),"NA")</f>
        <v>-347.9</v>
      </c>
      <c r="K24" s="5"/>
      <c r="L24" s="4"/>
      <c r="M24" s="4"/>
      <c r="N24" s="4"/>
    </row>
    <row r="25" spans="2:29" x14ac:dyDescent="0.2">
      <c r="B25" s="14" t="s">
        <v>6</v>
      </c>
      <c r="C25" s="16">
        <f>'Step3-Board Details'!E27</f>
        <v>1.2889999999999999</v>
      </c>
      <c r="D25" s="16">
        <v>0</v>
      </c>
      <c r="E25" s="16">
        <f t="shared" si="0"/>
        <v>1.2889999999999999</v>
      </c>
      <c r="F25" s="17">
        <f>C25*C13</f>
        <v>232.01999999999998</v>
      </c>
      <c r="G25" s="32"/>
      <c r="H25" s="32"/>
      <c r="I25" s="32"/>
      <c r="K25" s="5"/>
      <c r="L25" s="4"/>
      <c r="M25" s="4"/>
      <c r="N25" s="4"/>
      <c r="P25" s="547"/>
      <c r="Q25" s="547"/>
    </row>
    <row r="26" spans="2:29" x14ac:dyDescent="0.2">
      <c r="C26" s="6"/>
      <c r="D26" s="3"/>
      <c r="E26" s="3"/>
      <c r="F26" s="6"/>
    </row>
    <row r="27" spans="2:29" x14ac:dyDescent="0.2">
      <c r="B27" s="7" t="s">
        <v>17</v>
      </c>
    </row>
    <row r="28" spans="2:29" x14ac:dyDescent="0.2">
      <c r="B28" s="7"/>
    </row>
    <row r="29" spans="2:29" x14ac:dyDescent="0.2">
      <c r="B29" s="545" t="s">
        <v>250</v>
      </c>
      <c r="C29" s="545"/>
      <c r="D29" s="545"/>
      <c r="E29" s="545"/>
      <c r="F29" s="545"/>
      <c r="G29" s="545"/>
      <c r="H29" s="545"/>
      <c r="I29" s="545"/>
      <c r="O29" s="545" t="s">
        <v>251</v>
      </c>
      <c r="P29" s="545"/>
      <c r="Q29" s="545"/>
      <c r="R29" s="545"/>
      <c r="S29" s="545"/>
      <c r="T29" s="545"/>
      <c r="U29" s="545"/>
      <c r="V29" s="545"/>
      <c r="W29" s="545"/>
      <c r="X29" s="545"/>
      <c r="Y29" s="545"/>
      <c r="Z29" s="545"/>
      <c r="AA29" s="545"/>
      <c r="AB29" s="545"/>
      <c r="AC29" s="545"/>
    </row>
    <row r="30" spans="2:29" ht="13.5" thickBot="1" x14ac:dyDescent="0.25">
      <c r="B30" s="546"/>
      <c r="C30" s="546"/>
      <c r="D30" s="546"/>
      <c r="E30" s="546"/>
      <c r="F30" s="546"/>
      <c r="G30" s="546"/>
      <c r="H30" s="546"/>
      <c r="I30" s="546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/>
      <c r="Z30" s="545"/>
      <c r="AA30" s="545"/>
      <c r="AB30" s="545"/>
      <c r="AC30" s="545"/>
    </row>
    <row r="31" spans="2:29" x14ac:dyDescent="0.2">
      <c r="B31" s="21"/>
      <c r="C31" s="22"/>
      <c r="D31" s="22"/>
      <c r="E31" s="22"/>
      <c r="F31" s="22"/>
      <c r="G31" s="22"/>
      <c r="H31" s="22"/>
      <c r="I31" s="23"/>
      <c r="O31" s="21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</row>
    <row r="32" spans="2:29" x14ac:dyDescent="0.2">
      <c r="B32" s="8"/>
      <c r="C32" s="9"/>
      <c r="D32" s="9"/>
      <c r="E32" s="9"/>
      <c r="F32" s="9"/>
      <c r="G32" s="9"/>
      <c r="H32" s="9"/>
      <c r="I32" s="10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</row>
    <row r="33" spans="2:32" x14ac:dyDescent="0.2">
      <c r="B33" s="8"/>
      <c r="C33" s="9"/>
      <c r="D33" s="9"/>
      <c r="E33" s="9"/>
      <c r="F33" s="9"/>
      <c r="G33" s="9"/>
      <c r="H33" s="9"/>
      <c r="I33" s="10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4" spans="2:32" x14ac:dyDescent="0.2">
      <c r="B34" s="8"/>
      <c r="C34" s="9"/>
      <c r="D34" s="9"/>
      <c r="E34" s="9"/>
      <c r="F34" s="9"/>
      <c r="G34" s="9"/>
      <c r="H34" s="9"/>
      <c r="I34" s="10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0"/>
      <c r="AD34" s="9"/>
      <c r="AE34" s="9"/>
      <c r="AF34" s="9"/>
    </row>
    <row r="35" spans="2:32" x14ac:dyDescent="0.2">
      <c r="B35" s="8"/>
      <c r="C35" s="9"/>
      <c r="D35" s="9"/>
      <c r="E35" s="9"/>
      <c r="F35" s="9"/>
      <c r="G35" s="9"/>
      <c r="H35" s="9"/>
      <c r="I35" s="10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0"/>
      <c r="AD35" s="9"/>
      <c r="AE35" s="9"/>
      <c r="AF35" s="9"/>
    </row>
    <row r="36" spans="2:32" x14ac:dyDescent="0.2">
      <c r="B36" s="8"/>
      <c r="C36" s="9"/>
      <c r="D36" s="9"/>
      <c r="E36" s="9"/>
      <c r="F36" s="9"/>
      <c r="G36" s="9"/>
      <c r="H36" s="9"/>
      <c r="I36" s="10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0"/>
      <c r="AD36" s="9"/>
      <c r="AE36" s="9"/>
      <c r="AF36" s="9"/>
    </row>
    <row r="37" spans="2:32" x14ac:dyDescent="0.2">
      <c r="B37" s="8"/>
      <c r="C37" s="9"/>
      <c r="D37" s="9"/>
      <c r="E37" s="9"/>
      <c r="F37" s="9"/>
      <c r="G37" s="9"/>
      <c r="H37" s="9"/>
      <c r="I37" s="10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0"/>
      <c r="AD37" s="9"/>
      <c r="AE37" s="9"/>
      <c r="AF37" s="9"/>
    </row>
    <row r="38" spans="2:32" x14ac:dyDescent="0.2">
      <c r="B38" s="8"/>
      <c r="C38" s="9"/>
      <c r="D38" s="9"/>
      <c r="E38" s="9"/>
      <c r="F38" s="9"/>
      <c r="G38" s="9"/>
      <c r="H38" s="9"/>
      <c r="I38" s="10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0"/>
      <c r="AD38" s="9"/>
      <c r="AE38" s="9"/>
      <c r="AF38" s="9"/>
    </row>
    <row r="39" spans="2:32" x14ac:dyDescent="0.2">
      <c r="B39" s="8"/>
      <c r="C39" s="9"/>
      <c r="D39" s="9"/>
      <c r="E39" s="9"/>
      <c r="F39" s="9"/>
      <c r="G39" s="9"/>
      <c r="H39" s="9"/>
      <c r="I39" s="10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0"/>
      <c r="AD39" s="9"/>
      <c r="AE39" s="9"/>
      <c r="AF39" s="9"/>
    </row>
    <row r="40" spans="2:32" x14ac:dyDescent="0.2">
      <c r="B40" s="8"/>
      <c r="C40" s="9"/>
      <c r="D40" s="9"/>
      <c r="E40" s="9"/>
      <c r="F40" s="9"/>
      <c r="G40" s="9"/>
      <c r="H40" s="9"/>
      <c r="I40" s="10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0"/>
      <c r="AD40" s="9"/>
      <c r="AE40" s="9"/>
      <c r="AF40" s="9"/>
    </row>
    <row r="41" spans="2:32" x14ac:dyDescent="0.2">
      <c r="B41" s="8"/>
      <c r="C41" s="9"/>
      <c r="D41" s="9"/>
      <c r="E41" s="9"/>
      <c r="F41" s="9"/>
      <c r="G41" s="9"/>
      <c r="H41" s="9"/>
      <c r="I41" s="10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0"/>
      <c r="AD41" s="9"/>
      <c r="AE41" s="9"/>
      <c r="AF41" s="9"/>
    </row>
    <row r="42" spans="2:32" x14ac:dyDescent="0.2">
      <c r="B42" s="8"/>
      <c r="C42" s="9"/>
      <c r="D42" s="9"/>
      <c r="E42" s="9"/>
      <c r="F42" s="9"/>
      <c r="G42" s="9"/>
      <c r="H42" s="9"/>
      <c r="I42" s="10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0"/>
      <c r="AD42" s="9"/>
      <c r="AE42" s="9"/>
      <c r="AF42" s="9"/>
    </row>
    <row r="43" spans="2:32" x14ac:dyDescent="0.2">
      <c r="B43" s="8"/>
      <c r="C43" s="9"/>
      <c r="D43" s="9"/>
      <c r="E43" s="9"/>
      <c r="F43" s="9"/>
      <c r="G43" s="9"/>
      <c r="H43" s="9"/>
      <c r="I43" s="10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0"/>
      <c r="AD43" s="9"/>
      <c r="AE43" s="9"/>
      <c r="AF43" s="9"/>
    </row>
    <row r="44" spans="2:32" x14ac:dyDescent="0.2">
      <c r="B44" s="8"/>
      <c r="C44" s="9"/>
      <c r="D44" s="9"/>
      <c r="E44" s="9"/>
      <c r="F44" s="9"/>
      <c r="G44" s="9"/>
      <c r="H44" s="9"/>
      <c r="I44" s="10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0"/>
      <c r="AD44" s="9"/>
      <c r="AE44" s="9"/>
      <c r="AF44" s="9"/>
    </row>
    <row r="45" spans="2:32" ht="13.5" thickBot="1" x14ac:dyDescent="0.25">
      <c r="B45" s="11"/>
      <c r="C45" s="12"/>
      <c r="D45" s="12"/>
      <c r="E45" s="12"/>
      <c r="F45" s="12"/>
      <c r="G45" s="12"/>
      <c r="H45" s="12"/>
      <c r="I45" s="13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0"/>
      <c r="AD45" s="9"/>
      <c r="AE45" s="9"/>
      <c r="AF45" s="9"/>
    </row>
    <row r="46" spans="2:32" x14ac:dyDescent="0.2"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0"/>
      <c r="AD46" s="9"/>
      <c r="AE46" s="9"/>
      <c r="AF46" s="9"/>
    </row>
    <row r="47" spans="2:32" x14ac:dyDescent="0.2"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/>
      <c r="AD47" s="9"/>
      <c r="AE47" s="9"/>
      <c r="AF47" s="9"/>
    </row>
    <row r="48" spans="2:32" x14ac:dyDescent="0.2">
      <c r="B48" s="545" t="s">
        <v>252</v>
      </c>
      <c r="C48" s="545"/>
      <c r="D48" s="545"/>
      <c r="E48" s="545"/>
      <c r="F48" s="545"/>
      <c r="G48" s="545"/>
      <c r="H48" s="545"/>
      <c r="I48" s="545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0"/>
      <c r="AD48" s="9"/>
      <c r="AE48" s="9"/>
      <c r="AF48" s="9"/>
    </row>
    <row r="49" spans="2:32" ht="13.5" thickBot="1" x14ac:dyDescent="0.25">
      <c r="B49" s="546"/>
      <c r="C49" s="546"/>
      <c r="D49" s="546"/>
      <c r="E49" s="546"/>
      <c r="F49" s="546"/>
      <c r="G49" s="546"/>
      <c r="H49" s="546"/>
      <c r="I49" s="546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0"/>
      <c r="AD49" s="9"/>
      <c r="AE49" s="9"/>
      <c r="AF49" s="9"/>
    </row>
    <row r="50" spans="2:32" x14ac:dyDescent="0.2">
      <c r="B50" s="21"/>
      <c r="C50" s="22"/>
      <c r="D50" s="22"/>
      <c r="E50" s="22"/>
      <c r="F50" s="22"/>
      <c r="G50" s="22"/>
      <c r="H50" s="22"/>
      <c r="I50" s="23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  <c r="AD50" s="9"/>
      <c r="AE50" s="9"/>
      <c r="AF50" s="9"/>
    </row>
    <row r="51" spans="2:32" x14ac:dyDescent="0.2">
      <c r="B51" s="8"/>
      <c r="C51" s="9"/>
      <c r="D51" s="9"/>
      <c r="E51" s="9"/>
      <c r="F51" s="9"/>
      <c r="G51" s="9"/>
      <c r="H51" s="9"/>
      <c r="I51" s="10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0"/>
      <c r="AD51" s="9"/>
      <c r="AE51" s="9"/>
      <c r="AF51" s="9"/>
    </row>
    <row r="52" spans="2:32" x14ac:dyDescent="0.2">
      <c r="B52" s="8"/>
      <c r="C52" s="9"/>
      <c r="D52" s="9"/>
      <c r="E52" s="9"/>
      <c r="F52" s="9"/>
      <c r="G52" s="9"/>
      <c r="H52" s="9"/>
      <c r="I52" s="10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0"/>
      <c r="AD52" s="9"/>
      <c r="AE52" s="9"/>
      <c r="AF52" s="9"/>
    </row>
    <row r="53" spans="2:32" x14ac:dyDescent="0.2">
      <c r="B53" s="8"/>
      <c r="C53" s="9"/>
      <c r="D53" s="9"/>
      <c r="E53" s="9"/>
      <c r="F53" s="9"/>
      <c r="G53" s="9"/>
      <c r="H53" s="9"/>
      <c r="I53" s="10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0"/>
      <c r="AD53" s="9"/>
      <c r="AE53" s="9"/>
      <c r="AF53" s="9"/>
    </row>
    <row r="54" spans="2:32" x14ac:dyDescent="0.2">
      <c r="B54" s="8"/>
      <c r="C54" s="9"/>
      <c r="D54" s="9"/>
      <c r="E54" s="9"/>
      <c r="F54" s="9"/>
      <c r="G54" s="9"/>
      <c r="H54" s="9"/>
      <c r="I54" s="10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0"/>
      <c r="AD54" s="9"/>
      <c r="AE54" s="9"/>
      <c r="AF54" s="9"/>
    </row>
    <row r="55" spans="2:32" x14ac:dyDescent="0.2">
      <c r="B55" s="8"/>
      <c r="C55" s="9"/>
      <c r="D55" s="9"/>
      <c r="E55" s="9"/>
      <c r="F55" s="9"/>
      <c r="G55" s="9"/>
      <c r="H55" s="9"/>
      <c r="I55" s="10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0"/>
      <c r="AD55" s="9"/>
      <c r="AE55" s="9"/>
      <c r="AF55" s="9"/>
    </row>
    <row r="56" spans="2:32" ht="13.5" thickBot="1" x14ac:dyDescent="0.25">
      <c r="B56" s="8"/>
      <c r="C56" s="9"/>
      <c r="D56" s="9"/>
      <c r="E56" s="9"/>
      <c r="F56" s="9"/>
      <c r="G56" s="9"/>
      <c r="H56" s="9"/>
      <c r="I56" s="10"/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3"/>
      <c r="AD56" s="9"/>
      <c r="AE56" s="9"/>
      <c r="AF56" s="9"/>
    </row>
    <row r="57" spans="2:32" x14ac:dyDescent="0.2">
      <c r="B57" s="8"/>
      <c r="C57" s="9"/>
      <c r="D57" s="9"/>
      <c r="E57" s="9"/>
      <c r="F57" s="9"/>
      <c r="G57" s="9"/>
      <c r="H57" s="9"/>
      <c r="I57" s="10"/>
      <c r="AA57" s="9"/>
      <c r="AB57" s="9"/>
      <c r="AC57" s="9"/>
      <c r="AD57" s="9"/>
      <c r="AE57" s="9"/>
      <c r="AF57" s="9"/>
    </row>
    <row r="58" spans="2:32" x14ac:dyDescent="0.2">
      <c r="B58" s="8"/>
      <c r="C58" s="9"/>
      <c r="D58" s="9"/>
      <c r="E58" s="9"/>
      <c r="F58" s="9"/>
      <c r="G58" s="9"/>
      <c r="H58" s="9"/>
      <c r="I58" s="10"/>
      <c r="AA58" s="9"/>
      <c r="AB58" s="9"/>
      <c r="AC58" s="9"/>
      <c r="AD58" s="9"/>
      <c r="AE58" s="9"/>
      <c r="AF58" s="9"/>
    </row>
    <row r="59" spans="2:32" x14ac:dyDescent="0.2">
      <c r="B59" s="8"/>
      <c r="C59" s="9"/>
      <c r="D59" s="9"/>
      <c r="E59" s="9"/>
      <c r="F59" s="9"/>
      <c r="G59" s="9"/>
      <c r="H59" s="9"/>
      <c r="I59" s="10"/>
      <c r="AA59" s="9"/>
      <c r="AB59" s="9"/>
      <c r="AC59" s="9"/>
      <c r="AD59" s="9"/>
      <c r="AE59" s="9"/>
      <c r="AF59" s="9"/>
    </row>
    <row r="60" spans="2:32" x14ac:dyDescent="0.2">
      <c r="B60" s="8"/>
      <c r="C60" s="9"/>
      <c r="D60" s="9"/>
      <c r="E60" s="9"/>
      <c r="F60" s="9"/>
      <c r="G60" s="9"/>
      <c r="H60" s="9"/>
      <c r="I60" s="10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2:32" x14ac:dyDescent="0.2">
      <c r="B61" s="8"/>
      <c r="C61" s="9"/>
      <c r="D61" s="9"/>
      <c r="E61" s="9"/>
      <c r="F61" s="9"/>
      <c r="G61" s="9"/>
      <c r="H61" s="9"/>
      <c r="I61" s="10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x14ac:dyDescent="0.2">
      <c r="B62" s="8"/>
      <c r="C62" s="9"/>
      <c r="D62" s="9"/>
      <c r="E62" s="9"/>
      <c r="F62" s="9"/>
      <c r="G62" s="9"/>
      <c r="H62" s="9"/>
      <c r="I62" s="10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x14ac:dyDescent="0.2">
      <c r="B63" s="8"/>
      <c r="C63" s="9"/>
      <c r="D63" s="9"/>
      <c r="E63" s="9"/>
      <c r="F63" s="9"/>
      <c r="G63" s="9"/>
      <c r="H63" s="9"/>
      <c r="I63" s="10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2:32" ht="13.5" thickBot="1" x14ac:dyDescent="0.25">
      <c r="B64" s="11"/>
      <c r="C64" s="12"/>
      <c r="D64" s="12"/>
      <c r="E64" s="12"/>
      <c r="F64" s="12"/>
      <c r="G64" s="12"/>
      <c r="H64" s="12"/>
      <c r="I64" s="1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5:32" x14ac:dyDescent="0.2"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5:32" x14ac:dyDescent="0.2"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5:32" x14ac:dyDescent="0.2"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5:32" x14ac:dyDescent="0.2"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5:32" x14ac:dyDescent="0.2">
      <c r="AA69" s="9"/>
      <c r="AB69" s="9"/>
      <c r="AC69" s="9"/>
    </row>
    <row r="70" spans="15:32" x14ac:dyDescent="0.2">
      <c r="AA70" s="9"/>
      <c r="AB70" s="9"/>
      <c r="AC70" s="9"/>
    </row>
    <row r="71" spans="15:32" x14ac:dyDescent="0.2">
      <c r="AA71" s="9"/>
      <c r="AB71" s="9"/>
      <c r="AC71" s="9"/>
    </row>
    <row r="72" spans="15:32" x14ac:dyDescent="0.2">
      <c r="AA72" s="9"/>
      <c r="AB72" s="9"/>
      <c r="AC72" s="9"/>
    </row>
    <row r="73" spans="15:32" x14ac:dyDescent="0.2">
      <c r="AA73" s="9"/>
      <c r="AB73" s="9"/>
      <c r="AC73" s="9"/>
    </row>
    <row r="74" spans="15:32" x14ac:dyDescent="0.2">
      <c r="AA74" s="9"/>
      <c r="AB74" s="9"/>
      <c r="AC74" s="9"/>
    </row>
    <row r="75" spans="15:32" x14ac:dyDescent="0.2">
      <c r="AA75" s="9"/>
      <c r="AB75" s="9"/>
      <c r="AC75" s="9"/>
    </row>
    <row r="493" spans="3:9" hidden="1" x14ac:dyDescent="0.2">
      <c r="C493" s="24" t="s">
        <v>13</v>
      </c>
      <c r="D493" s="24" t="s">
        <v>15</v>
      </c>
      <c r="E493" s="24" t="s">
        <v>24</v>
      </c>
      <c r="F493" s="24" t="s">
        <v>14</v>
      </c>
      <c r="G493" s="24"/>
      <c r="I493" s="18" t="s">
        <v>20</v>
      </c>
    </row>
    <row r="494" spans="3:9" hidden="1" x14ac:dyDescent="0.2">
      <c r="C494" s="24">
        <v>800</v>
      </c>
      <c r="D494" s="24">
        <v>400</v>
      </c>
      <c r="E494" s="24">
        <v>325</v>
      </c>
      <c r="F494" s="24">
        <v>325</v>
      </c>
      <c r="G494" s="24">
        <f>IF('Step1-System Details'!E19="DDR3",VLOOKUP(C14,C494:F499,3,FALSE),"")</f>
        <v>165</v>
      </c>
      <c r="I494" s="24">
        <v>200</v>
      </c>
    </row>
    <row r="495" spans="3:9" hidden="1" x14ac:dyDescent="0.2">
      <c r="C495" s="24">
        <v>1066</v>
      </c>
      <c r="D495" s="24">
        <v>533</v>
      </c>
      <c r="E495" s="24">
        <v>245</v>
      </c>
      <c r="F495" s="24">
        <v>245</v>
      </c>
      <c r="G495" s="24">
        <f>IF('Step1-System Details'!E19="DDR3",VLOOKUP(C14,C494:F499,4,FALSE),"")</f>
        <v>165</v>
      </c>
      <c r="H495" s="24"/>
    </row>
    <row r="496" spans="3:9" hidden="1" x14ac:dyDescent="0.2">
      <c r="C496" s="24">
        <v>1333</v>
      </c>
      <c r="D496" s="24">
        <v>667</v>
      </c>
      <c r="E496" s="24">
        <v>195</v>
      </c>
      <c r="F496" s="24">
        <v>195</v>
      </c>
      <c r="G496" s="24"/>
      <c r="H496" s="24"/>
    </row>
    <row r="497" spans="3:8" hidden="1" x14ac:dyDescent="0.2">
      <c r="C497" s="24">
        <v>1600</v>
      </c>
      <c r="D497" s="24">
        <v>800</v>
      </c>
      <c r="E497" s="24">
        <v>165</v>
      </c>
      <c r="F497" s="24">
        <v>165</v>
      </c>
      <c r="G497" s="24"/>
      <c r="H497" s="24"/>
    </row>
    <row r="498" spans="3:8" hidden="1" x14ac:dyDescent="0.2">
      <c r="C498" s="24">
        <v>1866</v>
      </c>
      <c r="D498" s="24">
        <v>933</v>
      </c>
      <c r="E498" s="24">
        <v>140</v>
      </c>
      <c r="F498" s="24">
        <v>140</v>
      </c>
      <c r="G498" s="24"/>
      <c r="H498" s="24"/>
    </row>
    <row r="499" spans="3:8" hidden="1" x14ac:dyDescent="0.2">
      <c r="C499" s="24">
        <v>2133</v>
      </c>
      <c r="D499" s="24">
        <v>1067</v>
      </c>
      <c r="E499" s="24">
        <v>125</v>
      </c>
      <c r="F499" s="24">
        <v>125</v>
      </c>
      <c r="G499" s="24"/>
      <c r="H499" s="24"/>
    </row>
    <row r="500" spans="3:8" x14ac:dyDescent="0.2">
      <c r="C500" s="24"/>
      <c r="D500" s="24"/>
      <c r="E500" s="24"/>
      <c r="F500" s="24"/>
      <c r="G500" s="24"/>
      <c r="H500" s="24"/>
    </row>
    <row r="501" spans="3:8" x14ac:dyDescent="0.2">
      <c r="C501" s="24"/>
      <c r="D501" s="24"/>
      <c r="E501" s="24"/>
      <c r="F501" s="24"/>
      <c r="G501" s="24"/>
      <c r="H501" s="24"/>
    </row>
  </sheetData>
  <mergeCells count="17">
    <mergeCell ref="B48:I49"/>
    <mergeCell ref="O29:AC30"/>
    <mergeCell ref="F18:G18"/>
    <mergeCell ref="I20:I21"/>
    <mergeCell ref="B20:B21"/>
    <mergeCell ref="F20:F21"/>
    <mergeCell ref="G20:G21"/>
    <mergeCell ref="H20:H21"/>
    <mergeCell ref="C20:E21"/>
    <mergeCell ref="F19:G19"/>
    <mergeCell ref="P25:Q25"/>
    <mergeCell ref="B4:S6"/>
    <mergeCell ref="B3:S3"/>
    <mergeCell ref="B2:S2"/>
    <mergeCell ref="B7:S8"/>
    <mergeCell ref="B29:I30"/>
    <mergeCell ref="O22:U23"/>
  </mergeCells>
  <phoneticPr fontId="2" type="noConversion"/>
  <conditionalFormatting sqref="O22">
    <cfRule type="containsText" dxfId="1" priority="3" operator="containsText" text="ERROR - Invert Clock must be a 1">
      <formula>NOT(ISERROR(SEARCH("ERROR - Invert Clock must be a 1",O22)))</formula>
    </cfRule>
  </conditionalFormatting>
  <conditionalFormatting sqref="P25:Q25">
    <cfRule type="containsText" dxfId="0" priority="1" operator="containsText" text="ERROR - Invert Clock must be a 1">
      <formula>NOT(ISERROR(SEARCH("ERROR - Invert Clock must be a 1",P25)))</formula>
    </cfRule>
  </conditionalFormatting>
  <dataValidations disablePrompts="1" count="2">
    <dataValidation type="decimal" operator="lessThan" allowBlank="1" showInputMessage="1" showErrorMessage="1" error="Routing Limit Exceeded" sqref="K23">
      <formula1>2.5</formula1>
    </dataValidation>
    <dataValidation type="custom" allowBlank="1" showInputMessage="1" showErrorMessage="1" error="Routing Limit Exceeded" sqref="C22:D25">
      <formula1>C22+D22&lt;=2.5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Y127"/>
  <sheetViews>
    <sheetView zoomScale="85" zoomScaleNormal="85" workbookViewId="0">
      <pane ySplit="11" topLeftCell="A55" activePane="bottomLeft" state="frozen"/>
      <selection pane="bottomLeft" activeCell="J86" sqref="J86"/>
    </sheetView>
  </sheetViews>
  <sheetFormatPr defaultRowHeight="12.75" x14ac:dyDescent="0.2"/>
  <cols>
    <col min="1" max="1" width="3" style="25" customWidth="1"/>
    <col min="2" max="2" width="27.5703125" style="25" customWidth="1"/>
    <col min="3" max="3" width="20" style="25" bestFit="1" customWidth="1"/>
    <col min="4" max="4" width="29.28515625" style="25" customWidth="1"/>
    <col min="5" max="5" width="28.140625" style="25" customWidth="1"/>
    <col min="6" max="6" width="27.140625" style="25" bestFit="1" customWidth="1"/>
    <col min="7" max="7" width="25.28515625" style="25" bestFit="1" customWidth="1"/>
    <col min="8" max="8" width="24.5703125" style="25" bestFit="1" customWidth="1"/>
    <col min="9" max="9" width="27.28515625" style="25" bestFit="1" customWidth="1"/>
    <col min="10" max="10" width="24.5703125" style="25" bestFit="1" customWidth="1"/>
    <col min="11" max="11" width="24.85546875" style="26" bestFit="1" customWidth="1"/>
    <col min="12" max="12" width="27" style="25" bestFit="1" customWidth="1"/>
    <col min="13" max="13" width="28.7109375" style="25" customWidth="1"/>
    <col min="14" max="14" width="15" style="25" customWidth="1"/>
    <col min="15" max="15" width="17" style="25" customWidth="1"/>
    <col min="16" max="16" width="14.42578125" style="25" customWidth="1"/>
    <col min="17" max="17" width="9.140625" style="25" customWidth="1"/>
    <col min="18" max="25" width="9.140625" style="25" hidden="1" customWidth="1"/>
    <col min="26" max="257" width="9.140625" style="25"/>
    <col min="258" max="258" width="22.7109375" style="25" customWidth="1"/>
    <col min="259" max="259" width="22.5703125" style="25" customWidth="1"/>
    <col min="260" max="260" width="18.5703125" style="25" customWidth="1"/>
    <col min="261" max="261" width="24.42578125" style="25" customWidth="1"/>
    <col min="262" max="262" width="21" style="25" customWidth="1"/>
    <col min="263" max="263" width="19" style="25" customWidth="1"/>
    <col min="264" max="264" width="21.28515625" style="25" customWidth="1"/>
    <col min="265" max="265" width="42.7109375" style="25" customWidth="1"/>
    <col min="266" max="266" width="16.7109375" style="25" customWidth="1"/>
    <col min="267" max="267" width="34" style="25" customWidth="1"/>
    <col min="268" max="275" width="0" style="25" hidden="1" customWidth="1"/>
    <col min="276" max="513" width="9.140625" style="25"/>
    <col min="514" max="514" width="22.7109375" style="25" customWidth="1"/>
    <col min="515" max="515" width="22.5703125" style="25" customWidth="1"/>
    <col min="516" max="516" width="18.5703125" style="25" customWidth="1"/>
    <col min="517" max="517" width="24.42578125" style="25" customWidth="1"/>
    <col min="518" max="518" width="21" style="25" customWidth="1"/>
    <col min="519" max="519" width="19" style="25" customWidth="1"/>
    <col min="520" max="520" width="21.28515625" style="25" customWidth="1"/>
    <col min="521" max="521" width="42.7109375" style="25" customWidth="1"/>
    <col min="522" max="522" width="16.7109375" style="25" customWidth="1"/>
    <col min="523" max="523" width="34" style="25" customWidth="1"/>
    <col min="524" max="531" width="0" style="25" hidden="1" customWidth="1"/>
    <col min="532" max="769" width="9.140625" style="25"/>
    <col min="770" max="770" width="22.7109375" style="25" customWidth="1"/>
    <col min="771" max="771" width="22.5703125" style="25" customWidth="1"/>
    <col min="772" max="772" width="18.5703125" style="25" customWidth="1"/>
    <col min="773" max="773" width="24.42578125" style="25" customWidth="1"/>
    <col min="774" max="774" width="21" style="25" customWidth="1"/>
    <col min="775" max="775" width="19" style="25" customWidth="1"/>
    <col min="776" max="776" width="21.28515625" style="25" customWidth="1"/>
    <col min="777" max="777" width="42.7109375" style="25" customWidth="1"/>
    <col min="778" max="778" width="16.7109375" style="25" customWidth="1"/>
    <col min="779" max="779" width="34" style="25" customWidth="1"/>
    <col min="780" max="787" width="0" style="25" hidden="1" customWidth="1"/>
    <col min="788" max="1025" width="9.140625" style="25"/>
    <col min="1026" max="1026" width="22.7109375" style="25" customWidth="1"/>
    <col min="1027" max="1027" width="22.5703125" style="25" customWidth="1"/>
    <col min="1028" max="1028" width="18.5703125" style="25" customWidth="1"/>
    <col min="1029" max="1029" width="24.42578125" style="25" customWidth="1"/>
    <col min="1030" max="1030" width="21" style="25" customWidth="1"/>
    <col min="1031" max="1031" width="19" style="25" customWidth="1"/>
    <col min="1032" max="1032" width="21.28515625" style="25" customWidth="1"/>
    <col min="1033" max="1033" width="42.7109375" style="25" customWidth="1"/>
    <col min="1034" max="1034" width="16.7109375" style="25" customWidth="1"/>
    <col min="1035" max="1035" width="34" style="25" customWidth="1"/>
    <col min="1036" max="1043" width="0" style="25" hidden="1" customWidth="1"/>
    <col min="1044" max="1281" width="9.140625" style="25"/>
    <col min="1282" max="1282" width="22.7109375" style="25" customWidth="1"/>
    <col min="1283" max="1283" width="22.5703125" style="25" customWidth="1"/>
    <col min="1284" max="1284" width="18.5703125" style="25" customWidth="1"/>
    <col min="1285" max="1285" width="24.42578125" style="25" customWidth="1"/>
    <col min="1286" max="1286" width="21" style="25" customWidth="1"/>
    <col min="1287" max="1287" width="19" style="25" customWidth="1"/>
    <col min="1288" max="1288" width="21.28515625" style="25" customWidth="1"/>
    <col min="1289" max="1289" width="42.7109375" style="25" customWidth="1"/>
    <col min="1290" max="1290" width="16.7109375" style="25" customWidth="1"/>
    <col min="1291" max="1291" width="34" style="25" customWidth="1"/>
    <col min="1292" max="1299" width="0" style="25" hidden="1" customWidth="1"/>
    <col min="1300" max="1537" width="9.140625" style="25"/>
    <col min="1538" max="1538" width="22.7109375" style="25" customWidth="1"/>
    <col min="1539" max="1539" width="22.5703125" style="25" customWidth="1"/>
    <col min="1540" max="1540" width="18.5703125" style="25" customWidth="1"/>
    <col min="1541" max="1541" width="24.42578125" style="25" customWidth="1"/>
    <col min="1542" max="1542" width="21" style="25" customWidth="1"/>
    <col min="1543" max="1543" width="19" style="25" customWidth="1"/>
    <col min="1544" max="1544" width="21.28515625" style="25" customWidth="1"/>
    <col min="1545" max="1545" width="42.7109375" style="25" customWidth="1"/>
    <col min="1546" max="1546" width="16.7109375" style="25" customWidth="1"/>
    <col min="1547" max="1547" width="34" style="25" customWidth="1"/>
    <col min="1548" max="1555" width="0" style="25" hidden="1" customWidth="1"/>
    <col min="1556" max="1793" width="9.140625" style="25"/>
    <col min="1794" max="1794" width="22.7109375" style="25" customWidth="1"/>
    <col min="1795" max="1795" width="22.5703125" style="25" customWidth="1"/>
    <col min="1796" max="1796" width="18.5703125" style="25" customWidth="1"/>
    <col min="1797" max="1797" width="24.42578125" style="25" customWidth="1"/>
    <col min="1798" max="1798" width="21" style="25" customWidth="1"/>
    <col min="1799" max="1799" width="19" style="25" customWidth="1"/>
    <col min="1800" max="1800" width="21.28515625" style="25" customWidth="1"/>
    <col min="1801" max="1801" width="42.7109375" style="25" customWidth="1"/>
    <col min="1802" max="1802" width="16.7109375" style="25" customWidth="1"/>
    <col min="1803" max="1803" width="34" style="25" customWidth="1"/>
    <col min="1804" max="1811" width="0" style="25" hidden="1" customWidth="1"/>
    <col min="1812" max="2049" width="9.140625" style="25"/>
    <col min="2050" max="2050" width="22.7109375" style="25" customWidth="1"/>
    <col min="2051" max="2051" width="22.5703125" style="25" customWidth="1"/>
    <col min="2052" max="2052" width="18.5703125" style="25" customWidth="1"/>
    <col min="2053" max="2053" width="24.42578125" style="25" customWidth="1"/>
    <col min="2054" max="2054" width="21" style="25" customWidth="1"/>
    <col min="2055" max="2055" width="19" style="25" customWidth="1"/>
    <col min="2056" max="2056" width="21.28515625" style="25" customWidth="1"/>
    <col min="2057" max="2057" width="42.7109375" style="25" customWidth="1"/>
    <col min="2058" max="2058" width="16.7109375" style="25" customWidth="1"/>
    <col min="2059" max="2059" width="34" style="25" customWidth="1"/>
    <col min="2060" max="2067" width="0" style="25" hidden="1" customWidth="1"/>
    <col min="2068" max="2305" width="9.140625" style="25"/>
    <col min="2306" max="2306" width="22.7109375" style="25" customWidth="1"/>
    <col min="2307" max="2307" width="22.5703125" style="25" customWidth="1"/>
    <col min="2308" max="2308" width="18.5703125" style="25" customWidth="1"/>
    <col min="2309" max="2309" width="24.42578125" style="25" customWidth="1"/>
    <col min="2310" max="2310" width="21" style="25" customWidth="1"/>
    <col min="2311" max="2311" width="19" style="25" customWidth="1"/>
    <col min="2312" max="2312" width="21.28515625" style="25" customWidth="1"/>
    <col min="2313" max="2313" width="42.7109375" style="25" customWidth="1"/>
    <col min="2314" max="2314" width="16.7109375" style="25" customWidth="1"/>
    <col min="2315" max="2315" width="34" style="25" customWidth="1"/>
    <col min="2316" max="2323" width="0" style="25" hidden="1" customWidth="1"/>
    <col min="2324" max="2561" width="9.140625" style="25"/>
    <col min="2562" max="2562" width="22.7109375" style="25" customWidth="1"/>
    <col min="2563" max="2563" width="22.5703125" style="25" customWidth="1"/>
    <col min="2564" max="2564" width="18.5703125" style="25" customWidth="1"/>
    <col min="2565" max="2565" width="24.42578125" style="25" customWidth="1"/>
    <col min="2566" max="2566" width="21" style="25" customWidth="1"/>
    <col min="2567" max="2567" width="19" style="25" customWidth="1"/>
    <col min="2568" max="2568" width="21.28515625" style="25" customWidth="1"/>
    <col min="2569" max="2569" width="42.7109375" style="25" customWidth="1"/>
    <col min="2570" max="2570" width="16.7109375" style="25" customWidth="1"/>
    <col min="2571" max="2571" width="34" style="25" customWidth="1"/>
    <col min="2572" max="2579" width="0" style="25" hidden="1" customWidth="1"/>
    <col min="2580" max="2817" width="9.140625" style="25"/>
    <col min="2818" max="2818" width="22.7109375" style="25" customWidth="1"/>
    <col min="2819" max="2819" width="22.5703125" style="25" customWidth="1"/>
    <col min="2820" max="2820" width="18.5703125" style="25" customWidth="1"/>
    <col min="2821" max="2821" width="24.42578125" style="25" customWidth="1"/>
    <col min="2822" max="2822" width="21" style="25" customWidth="1"/>
    <col min="2823" max="2823" width="19" style="25" customWidth="1"/>
    <col min="2824" max="2824" width="21.28515625" style="25" customWidth="1"/>
    <col min="2825" max="2825" width="42.7109375" style="25" customWidth="1"/>
    <col min="2826" max="2826" width="16.7109375" style="25" customWidth="1"/>
    <col min="2827" max="2827" width="34" style="25" customWidth="1"/>
    <col min="2828" max="2835" width="0" style="25" hidden="1" customWidth="1"/>
    <col min="2836" max="3073" width="9.140625" style="25"/>
    <col min="3074" max="3074" width="22.7109375" style="25" customWidth="1"/>
    <col min="3075" max="3075" width="22.5703125" style="25" customWidth="1"/>
    <col min="3076" max="3076" width="18.5703125" style="25" customWidth="1"/>
    <col min="3077" max="3077" width="24.42578125" style="25" customWidth="1"/>
    <col min="3078" max="3078" width="21" style="25" customWidth="1"/>
    <col min="3079" max="3079" width="19" style="25" customWidth="1"/>
    <col min="3080" max="3080" width="21.28515625" style="25" customWidth="1"/>
    <col min="3081" max="3081" width="42.7109375" style="25" customWidth="1"/>
    <col min="3082" max="3082" width="16.7109375" style="25" customWidth="1"/>
    <col min="3083" max="3083" width="34" style="25" customWidth="1"/>
    <col min="3084" max="3091" width="0" style="25" hidden="1" customWidth="1"/>
    <col min="3092" max="3329" width="9.140625" style="25"/>
    <col min="3330" max="3330" width="22.7109375" style="25" customWidth="1"/>
    <col min="3331" max="3331" width="22.5703125" style="25" customWidth="1"/>
    <col min="3332" max="3332" width="18.5703125" style="25" customWidth="1"/>
    <col min="3333" max="3333" width="24.42578125" style="25" customWidth="1"/>
    <col min="3334" max="3334" width="21" style="25" customWidth="1"/>
    <col min="3335" max="3335" width="19" style="25" customWidth="1"/>
    <col min="3336" max="3336" width="21.28515625" style="25" customWidth="1"/>
    <col min="3337" max="3337" width="42.7109375" style="25" customWidth="1"/>
    <col min="3338" max="3338" width="16.7109375" style="25" customWidth="1"/>
    <col min="3339" max="3339" width="34" style="25" customWidth="1"/>
    <col min="3340" max="3347" width="0" style="25" hidden="1" customWidth="1"/>
    <col min="3348" max="3585" width="9.140625" style="25"/>
    <col min="3586" max="3586" width="22.7109375" style="25" customWidth="1"/>
    <col min="3587" max="3587" width="22.5703125" style="25" customWidth="1"/>
    <col min="3588" max="3588" width="18.5703125" style="25" customWidth="1"/>
    <col min="3589" max="3589" width="24.42578125" style="25" customWidth="1"/>
    <col min="3590" max="3590" width="21" style="25" customWidth="1"/>
    <col min="3591" max="3591" width="19" style="25" customWidth="1"/>
    <col min="3592" max="3592" width="21.28515625" style="25" customWidth="1"/>
    <col min="3593" max="3593" width="42.7109375" style="25" customWidth="1"/>
    <col min="3594" max="3594" width="16.7109375" style="25" customWidth="1"/>
    <col min="3595" max="3595" width="34" style="25" customWidth="1"/>
    <col min="3596" max="3603" width="0" style="25" hidden="1" customWidth="1"/>
    <col min="3604" max="3841" width="9.140625" style="25"/>
    <col min="3842" max="3842" width="22.7109375" style="25" customWidth="1"/>
    <col min="3843" max="3843" width="22.5703125" style="25" customWidth="1"/>
    <col min="3844" max="3844" width="18.5703125" style="25" customWidth="1"/>
    <col min="3845" max="3845" width="24.42578125" style="25" customWidth="1"/>
    <col min="3846" max="3846" width="21" style="25" customWidth="1"/>
    <col min="3847" max="3847" width="19" style="25" customWidth="1"/>
    <col min="3848" max="3848" width="21.28515625" style="25" customWidth="1"/>
    <col min="3849" max="3849" width="42.7109375" style="25" customWidth="1"/>
    <col min="3850" max="3850" width="16.7109375" style="25" customWidth="1"/>
    <col min="3851" max="3851" width="34" style="25" customWidth="1"/>
    <col min="3852" max="3859" width="0" style="25" hidden="1" customWidth="1"/>
    <col min="3860" max="4097" width="9.140625" style="25"/>
    <col min="4098" max="4098" width="22.7109375" style="25" customWidth="1"/>
    <col min="4099" max="4099" width="22.5703125" style="25" customWidth="1"/>
    <col min="4100" max="4100" width="18.5703125" style="25" customWidth="1"/>
    <col min="4101" max="4101" width="24.42578125" style="25" customWidth="1"/>
    <col min="4102" max="4102" width="21" style="25" customWidth="1"/>
    <col min="4103" max="4103" width="19" style="25" customWidth="1"/>
    <col min="4104" max="4104" width="21.28515625" style="25" customWidth="1"/>
    <col min="4105" max="4105" width="42.7109375" style="25" customWidth="1"/>
    <col min="4106" max="4106" width="16.7109375" style="25" customWidth="1"/>
    <col min="4107" max="4107" width="34" style="25" customWidth="1"/>
    <col min="4108" max="4115" width="0" style="25" hidden="1" customWidth="1"/>
    <col min="4116" max="4353" width="9.140625" style="25"/>
    <col min="4354" max="4354" width="22.7109375" style="25" customWidth="1"/>
    <col min="4355" max="4355" width="22.5703125" style="25" customWidth="1"/>
    <col min="4356" max="4356" width="18.5703125" style="25" customWidth="1"/>
    <col min="4357" max="4357" width="24.42578125" style="25" customWidth="1"/>
    <col min="4358" max="4358" width="21" style="25" customWidth="1"/>
    <col min="4359" max="4359" width="19" style="25" customWidth="1"/>
    <col min="4360" max="4360" width="21.28515625" style="25" customWidth="1"/>
    <col min="4361" max="4361" width="42.7109375" style="25" customWidth="1"/>
    <col min="4362" max="4362" width="16.7109375" style="25" customWidth="1"/>
    <col min="4363" max="4363" width="34" style="25" customWidth="1"/>
    <col min="4364" max="4371" width="0" style="25" hidden="1" customWidth="1"/>
    <col min="4372" max="4609" width="9.140625" style="25"/>
    <col min="4610" max="4610" width="22.7109375" style="25" customWidth="1"/>
    <col min="4611" max="4611" width="22.5703125" style="25" customWidth="1"/>
    <col min="4612" max="4612" width="18.5703125" style="25" customWidth="1"/>
    <col min="4613" max="4613" width="24.42578125" style="25" customWidth="1"/>
    <col min="4614" max="4614" width="21" style="25" customWidth="1"/>
    <col min="4615" max="4615" width="19" style="25" customWidth="1"/>
    <col min="4616" max="4616" width="21.28515625" style="25" customWidth="1"/>
    <col min="4617" max="4617" width="42.7109375" style="25" customWidth="1"/>
    <col min="4618" max="4618" width="16.7109375" style="25" customWidth="1"/>
    <col min="4619" max="4619" width="34" style="25" customWidth="1"/>
    <col min="4620" max="4627" width="0" style="25" hidden="1" customWidth="1"/>
    <col min="4628" max="4865" width="9.140625" style="25"/>
    <col min="4866" max="4866" width="22.7109375" style="25" customWidth="1"/>
    <col min="4867" max="4867" width="22.5703125" style="25" customWidth="1"/>
    <col min="4868" max="4868" width="18.5703125" style="25" customWidth="1"/>
    <col min="4869" max="4869" width="24.42578125" style="25" customWidth="1"/>
    <col min="4870" max="4870" width="21" style="25" customWidth="1"/>
    <col min="4871" max="4871" width="19" style="25" customWidth="1"/>
    <col min="4872" max="4872" width="21.28515625" style="25" customWidth="1"/>
    <col min="4873" max="4873" width="42.7109375" style="25" customWidth="1"/>
    <col min="4874" max="4874" width="16.7109375" style="25" customWidth="1"/>
    <col min="4875" max="4875" width="34" style="25" customWidth="1"/>
    <col min="4876" max="4883" width="0" style="25" hidden="1" customWidth="1"/>
    <col min="4884" max="5121" width="9.140625" style="25"/>
    <col min="5122" max="5122" width="22.7109375" style="25" customWidth="1"/>
    <col min="5123" max="5123" width="22.5703125" style="25" customWidth="1"/>
    <col min="5124" max="5124" width="18.5703125" style="25" customWidth="1"/>
    <col min="5125" max="5125" width="24.42578125" style="25" customWidth="1"/>
    <col min="5126" max="5126" width="21" style="25" customWidth="1"/>
    <col min="5127" max="5127" width="19" style="25" customWidth="1"/>
    <col min="5128" max="5128" width="21.28515625" style="25" customWidth="1"/>
    <col min="5129" max="5129" width="42.7109375" style="25" customWidth="1"/>
    <col min="5130" max="5130" width="16.7109375" style="25" customWidth="1"/>
    <col min="5131" max="5131" width="34" style="25" customWidth="1"/>
    <col min="5132" max="5139" width="0" style="25" hidden="1" customWidth="1"/>
    <col min="5140" max="5377" width="9.140625" style="25"/>
    <col min="5378" max="5378" width="22.7109375" style="25" customWidth="1"/>
    <col min="5379" max="5379" width="22.5703125" style="25" customWidth="1"/>
    <col min="5380" max="5380" width="18.5703125" style="25" customWidth="1"/>
    <col min="5381" max="5381" width="24.42578125" style="25" customWidth="1"/>
    <col min="5382" max="5382" width="21" style="25" customWidth="1"/>
    <col min="5383" max="5383" width="19" style="25" customWidth="1"/>
    <col min="5384" max="5384" width="21.28515625" style="25" customWidth="1"/>
    <col min="5385" max="5385" width="42.7109375" style="25" customWidth="1"/>
    <col min="5386" max="5386" width="16.7109375" style="25" customWidth="1"/>
    <col min="5387" max="5387" width="34" style="25" customWidth="1"/>
    <col min="5388" max="5395" width="0" style="25" hidden="1" customWidth="1"/>
    <col min="5396" max="5633" width="9.140625" style="25"/>
    <col min="5634" max="5634" width="22.7109375" style="25" customWidth="1"/>
    <col min="5635" max="5635" width="22.5703125" style="25" customWidth="1"/>
    <col min="5636" max="5636" width="18.5703125" style="25" customWidth="1"/>
    <col min="5637" max="5637" width="24.42578125" style="25" customWidth="1"/>
    <col min="5638" max="5638" width="21" style="25" customWidth="1"/>
    <col min="5639" max="5639" width="19" style="25" customWidth="1"/>
    <col min="5640" max="5640" width="21.28515625" style="25" customWidth="1"/>
    <col min="5641" max="5641" width="42.7109375" style="25" customWidth="1"/>
    <col min="5642" max="5642" width="16.7109375" style="25" customWidth="1"/>
    <col min="5643" max="5643" width="34" style="25" customWidth="1"/>
    <col min="5644" max="5651" width="0" style="25" hidden="1" customWidth="1"/>
    <col min="5652" max="5889" width="9.140625" style="25"/>
    <col min="5890" max="5890" width="22.7109375" style="25" customWidth="1"/>
    <col min="5891" max="5891" width="22.5703125" style="25" customWidth="1"/>
    <col min="5892" max="5892" width="18.5703125" style="25" customWidth="1"/>
    <col min="5893" max="5893" width="24.42578125" style="25" customWidth="1"/>
    <col min="5894" max="5894" width="21" style="25" customWidth="1"/>
    <col min="5895" max="5895" width="19" style="25" customWidth="1"/>
    <col min="5896" max="5896" width="21.28515625" style="25" customWidth="1"/>
    <col min="5897" max="5897" width="42.7109375" style="25" customWidth="1"/>
    <col min="5898" max="5898" width="16.7109375" style="25" customWidth="1"/>
    <col min="5899" max="5899" width="34" style="25" customWidth="1"/>
    <col min="5900" max="5907" width="0" style="25" hidden="1" customWidth="1"/>
    <col min="5908" max="6145" width="9.140625" style="25"/>
    <col min="6146" max="6146" width="22.7109375" style="25" customWidth="1"/>
    <col min="6147" max="6147" width="22.5703125" style="25" customWidth="1"/>
    <col min="6148" max="6148" width="18.5703125" style="25" customWidth="1"/>
    <col min="6149" max="6149" width="24.42578125" style="25" customWidth="1"/>
    <col min="6150" max="6150" width="21" style="25" customWidth="1"/>
    <col min="6151" max="6151" width="19" style="25" customWidth="1"/>
    <col min="6152" max="6152" width="21.28515625" style="25" customWidth="1"/>
    <col min="6153" max="6153" width="42.7109375" style="25" customWidth="1"/>
    <col min="6154" max="6154" width="16.7109375" style="25" customWidth="1"/>
    <col min="6155" max="6155" width="34" style="25" customWidth="1"/>
    <col min="6156" max="6163" width="0" style="25" hidden="1" customWidth="1"/>
    <col min="6164" max="6401" width="9.140625" style="25"/>
    <col min="6402" max="6402" width="22.7109375" style="25" customWidth="1"/>
    <col min="6403" max="6403" width="22.5703125" style="25" customWidth="1"/>
    <col min="6404" max="6404" width="18.5703125" style="25" customWidth="1"/>
    <col min="6405" max="6405" width="24.42578125" style="25" customWidth="1"/>
    <col min="6406" max="6406" width="21" style="25" customWidth="1"/>
    <col min="6407" max="6407" width="19" style="25" customWidth="1"/>
    <col min="6408" max="6408" width="21.28515625" style="25" customWidth="1"/>
    <col min="6409" max="6409" width="42.7109375" style="25" customWidth="1"/>
    <col min="6410" max="6410" width="16.7109375" style="25" customWidth="1"/>
    <col min="6411" max="6411" width="34" style="25" customWidth="1"/>
    <col min="6412" max="6419" width="0" style="25" hidden="1" customWidth="1"/>
    <col min="6420" max="6657" width="9.140625" style="25"/>
    <col min="6658" max="6658" width="22.7109375" style="25" customWidth="1"/>
    <col min="6659" max="6659" width="22.5703125" style="25" customWidth="1"/>
    <col min="6660" max="6660" width="18.5703125" style="25" customWidth="1"/>
    <col min="6661" max="6661" width="24.42578125" style="25" customWidth="1"/>
    <col min="6662" max="6662" width="21" style="25" customWidth="1"/>
    <col min="6663" max="6663" width="19" style="25" customWidth="1"/>
    <col min="6664" max="6664" width="21.28515625" style="25" customWidth="1"/>
    <col min="6665" max="6665" width="42.7109375" style="25" customWidth="1"/>
    <col min="6666" max="6666" width="16.7109375" style="25" customWidth="1"/>
    <col min="6667" max="6667" width="34" style="25" customWidth="1"/>
    <col min="6668" max="6675" width="0" style="25" hidden="1" customWidth="1"/>
    <col min="6676" max="6913" width="9.140625" style="25"/>
    <col min="6914" max="6914" width="22.7109375" style="25" customWidth="1"/>
    <col min="6915" max="6915" width="22.5703125" style="25" customWidth="1"/>
    <col min="6916" max="6916" width="18.5703125" style="25" customWidth="1"/>
    <col min="6917" max="6917" width="24.42578125" style="25" customWidth="1"/>
    <col min="6918" max="6918" width="21" style="25" customWidth="1"/>
    <col min="6919" max="6919" width="19" style="25" customWidth="1"/>
    <col min="6920" max="6920" width="21.28515625" style="25" customWidth="1"/>
    <col min="6921" max="6921" width="42.7109375" style="25" customWidth="1"/>
    <col min="6922" max="6922" width="16.7109375" style="25" customWidth="1"/>
    <col min="6923" max="6923" width="34" style="25" customWidth="1"/>
    <col min="6924" max="6931" width="0" style="25" hidden="1" customWidth="1"/>
    <col min="6932" max="7169" width="9.140625" style="25"/>
    <col min="7170" max="7170" width="22.7109375" style="25" customWidth="1"/>
    <col min="7171" max="7171" width="22.5703125" style="25" customWidth="1"/>
    <col min="7172" max="7172" width="18.5703125" style="25" customWidth="1"/>
    <col min="7173" max="7173" width="24.42578125" style="25" customWidth="1"/>
    <col min="7174" max="7174" width="21" style="25" customWidth="1"/>
    <col min="7175" max="7175" width="19" style="25" customWidth="1"/>
    <col min="7176" max="7176" width="21.28515625" style="25" customWidth="1"/>
    <col min="7177" max="7177" width="42.7109375" style="25" customWidth="1"/>
    <col min="7178" max="7178" width="16.7109375" style="25" customWidth="1"/>
    <col min="7179" max="7179" width="34" style="25" customWidth="1"/>
    <col min="7180" max="7187" width="0" style="25" hidden="1" customWidth="1"/>
    <col min="7188" max="7425" width="9.140625" style="25"/>
    <col min="7426" max="7426" width="22.7109375" style="25" customWidth="1"/>
    <col min="7427" max="7427" width="22.5703125" style="25" customWidth="1"/>
    <col min="7428" max="7428" width="18.5703125" style="25" customWidth="1"/>
    <col min="7429" max="7429" width="24.42578125" style="25" customWidth="1"/>
    <col min="7430" max="7430" width="21" style="25" customWidth="1"/>
    <col min="7431" max="7431" width="19" style="25" customWidth="1"/>
    <col min="7432" max="7432" width="21.28515625" style="25" customWidth="1"/>
    <col min="7433" max="7433" width="42.7109375" style="25" customWidth="1"/>
    <col min="7434" max="7434" width="16.7109375" style="25" customWidth="1"/>
    <col min="7435" max="7435" width="34" style="25" customWidth="1"/>
    <col min="7436" max="7443" width="0" style="25" hidden="1" customWidth="1"/>
    <col min="7444" max="7681" width="9.140625" style="25"/>
    <col min="7682" max="7682" width="22.7109375" style="25" customWidth="1"/>
    <col min="7683" max="7683" width="22.5703125" style="25" customWidth="1"/>
    <col min="7684" max="7684" width="18.5703125" style="25" customWidth="1"/>
    <col min="7685" max="7685" width="24.42578125" style="25" customWidth="1"/>
    <col min="7686" max="7686" width="21" style="25" customWidth="1"/>
    <col min="7687" max="7687" width="19" style="25" customWidth="1"/>
    <col min="7688" max="7688" width="21.28515625" style="25" customWidth="1"/>
    <col min="7689" max="7689" width="42.7109375" style="25" customWidth="1"/>
    <col min="7690" max="7690" width="16.7109375" style="25" customWidth="1"/>
    <col min="7691" max="7691" width="34" style="25" customWidth="1"/>
    <col min="7692" max="7699" width="0" style="25" hidden="1" customWidth="1"/>
    <col min="7700" max="7937" width="9.140625" style="25"/>
    <col min="7938" max="7938" width="22.7109375" style="25" customWidth="1"/>
    <col min="7939" max="7939" width="22.5703125" style="25" customWidth="1"/>
    <col min="7940" max="7940" width="18.5703125" style="25" customWidth="1"/>
    <col min="7941" max="7941" width="24.42578125" style="25" customWidth="1"/>
    <col min="7942" max="7942" width="21" style="25" customWidth="1"/>
    <col min="7943" max="7943" width="19" style="25" customWidth="1"/>
    <col min="7944" max="7944" width="21.28515625" style="25" customWidth="1"/>
    <col min="7945" max="7945" width="42.7109375" style="25" customWidth="1"/>
    <col min="7946" max="7946" width="16.7109375" style="25" customWidth="1"/>
    <col min="7947" max="7947" width="34" style="25" customWidth="1"/>
    <col min="7948" max="7955" width="0" style="25" hidden="1" customWidth="1"/>
    <col min="7956" max="8193" width="9.140625" style="25"/>
    <col min="8194" max="8194" width="22.7109375" style="25" customWidth="1"/>
    <col min="8195" max="8195" width="22.5703125" style="25" customWidth="1"/>
    <col min="8196" max="8196" width="18.5703125" style="25" customWidth="1"/>
    <col min="8197" max="8197" width="24.42578125" style="25" customWidth="1"/>
    <col min="8198" max="8198" width="21" style="25" customWidth="1"/>
    <col min="8199" max="8199" width="19" style="25" customWidth="1"/>
    <col min="8200" max="8200" width="21.28515625" style="25" customWidth="1"/>
    <col min="8201" max="8201" width="42.7109375" style="25" customWidth="1"/>
    <col min="8202" max="8202" width="16.7109375" style="25" customWidth="1"/>
    <col min="8203" max="8203" width="34" style="25" customWidth="1"/>
    <col min="8204" max="8211" width="0" style="25" hidden="1" customWidth="1"/>
    <col min="8212" max="8449" width="9.140625" style="25"/>
    <col min="8450" max="8450" width="22.7109375" style="25" customWidth="1"/>
    <col min="8451" max="8451" width="22.5703125" style="25" customWidth="1"/>
    <col min="8452" max="8452" width="18.5703125" style="25" customWidth="1"/>
    <col min="8453" max="8453" width="24.42578125" style="25" customWidth="1"/>
    <col min="8454" max="8454" width="21" style="25" customWidth="1"/>
    <col min="8455" max="8455" width="19" style="25" customWidth="1"/>
    <col min="8456" max="8456" width="21.28515625" style="25" customWidth="1"/>
    <col min="8457" max="8457" width="42.7109375" style="25" customWidth="1"/>
    <col min="8458" max="8458" width="16.7109375" style="25" customWidth="1"/>
    <col min="8459" max="8459" width="34" style="25" customWidth="1"/>
    <col min="8460" max="8467" width="0" style="25" hidden="1" customWidth="1"/>
    <col min="8468" max="8705" width="9.140625" style="25"/>
    <col min="8706" max="8706" width="22.7109375" style="25" customWidth="1"/>
    <col min="8707" max="8707" width="22.5703125" style="25" customWidth="1"/>
    <col min="8708" max="8708" width="18.5703125" style="25" customWidth="1"/>
    <col min="8709" max="8709" width="24.42578125" style="25" customWidth="1"/>
    <col min="8710" max="8710" width="21" style="25" customWidth="1"/>
    <col min="8711" max="8711" width="19" style="25" customWidth="1"/>
    <col min="8712" max="8712" width="21.28515625" style="25" customWidth="1"/>
    <col min="8713" max="8713" width="42.7109375" style="25" customWidth="1"/>
    <col min="8714" max="8714" width="16.7109375" style="25" customWidth="1"/>
    <col min="8715" max="8715" width="34" style="25" customWidth="1"/>
    <col min="8716" max="8723" width="0" style="25" hidden="1" customWidth="1"/>
    <col min="8724" max="8961" width="9.140625" style="25"/>
    <col min="8962" max="8962" width="22.7109375" style="25" customWidth="1"/>
    <col min="8963" max="8963" width="22.5703125" style="25" customWidth="1"/>
    <col min="8964" max="8964" width="18.5703125" style="25" customWidth="1"/>
    <col min="8965" max="8965" width="24.42578125" style="25" customWidth="1"/>
    <col min="8966" max="8966" width="21" style="25" customWidth="1"/>
    <col min="8967" max="8967" width="19" style="25" customWidth="1"/>
    <col min="8968" max="8968" width="21.28515625" style="25" customWidth="1"/>
    <col min="8969" max="8969" width="42.7109375" style="25" customWidth="1"/>
    <col min="8970" max="8970" width="16.7109375" style="25" customWidth="1"/>
    <col min="8971" max="8971" width="34" style="25" customWidth="1"/>
    <col min="8972" max="8979" width="0" style="25" hidden="1" customWidth="1"/>
    <col min="8980" max="9217" width="9.140625" style="25"/>
    <col min="9218" max="9218" width="22.7109375" style="25" customWidth="1"/>
    <col min="9219" max="9219" width="22.5703125" style="25" customWidth="1"/>
    <col min="9220" max="9220" width="18.5703125" style="25" customWidth="1"/>
    <col min="9221" max="9221" width="24.42578125" style="25" customWidth="1"/>
    <col min="9222" max="9222" width="21" style="25" customWidth="1"/>
    <col min="9223" max="9223" width="19" style="25" customWidth="1"/>
    <col min="9224" max="9224" width="21.28515625" style="25" customWidth="1"/>
    <col min="9225" max="9225" width="42.7109375" style="25" customWidth="1"/>
    <col min="9226" max="9226" width="16.7109375" style="25" customWidth="1"/>
    <col min="9227" max="9227" width="34" style="25" customWidth="1"/>
    <col min="9228" max="9235" width="0" style="25" hidden="1" customWidth="1"/>
    <col min="9236" max="9473" width="9.140625" style="25"/>
    <col min="9474" max="9474" width="22.7109375" style="25" customWidth="1"/>
    <col min="9475" max="9475" width="22.5703125" style="25" customWidth="1"/>
    <col min="9476" max="9476" width="18.5703125" style="25" customWidth="1"/>
    <col min="9477" max="9477" width="24.42578125" style="25" customWidth="1"/>
    <col min="9478" max="9478" width="21" style="25" customWidth="1"/>
    <col min="9479" max="9479" width="19" style="25" customWidth="1"/>
    <col min="9480" max="9480" width="21.28515625" style="25" customWidth="1"/>
    <col min="9481" max="9481" width="42.7109375" style="25" customWidth="1"/>
    <col min="9482" max="9482" width="16.7109375" style="25" customWidth="1"/>
    <col min="9483" max="9483" width="34" style="25" customWidth="1"/>
    <col min="9484" max="9491" width="0" style="25" hidden="1" customWidth="1"/>
    <col min="9492" max="9729" width="9.140625" style="25"/>
    <col min="9730" max="9730" width="22.7109375" style="25" customWidth="1"/>
    <col min="9731" max="9731" width="22.5703125" style="25" customWidth="1"/>
    <col min="9732" max="9732" width="18.5703125" style="25" customWidth="1"/>
    <col min="9733" max="9733" width="24.42578125" style="25" customWidth="1"/>
    <col min="9734" max="9734" width="21" style="25" customWidth="1"/>
    <col min="9735" max="9735" width="19" style="25" customWidth="1"/>
    <col min="9736" max="9736" width="21.28515625" style="25" customWidth="1"/>
    <col min="9737" max="9737" width="42.7109375" style="25" customWidth="1"/>
    <col min="9738" max="9738" width="16.7109375" style="25" customWidth="1"/>
    <col min="9739" max="9739" width="34" style="25" customWidth="1"/>
    <col min="9740" max="9747" width="0" style="25" hidden="1" customWidth="1"/>
    <col min="9748" max="9985" width="9.140625" style="25"/>
    <col min="9986" max="9986" width="22.7109375" style="25" customWidth="1"/>
    <col min="9987" max="9987" width="22.5703125" style="25" customWidth="1"/>
    <col min="9988" max="9988" width="18.5703125" style="25" customWidth="1"/>
    <col min="9989" max="9989" width="24.42578125" style="25" customWidth="1"/>
    <col min="9990" max="9990" width="21" style="25" customWidth="1"/>
    <col min="9991" max="9991" width="19" style="25" customWidth="1"/>
    <col min="9992" max="9992" width="21.28515625" style="25" customWidth="1"/>
    <col min="9993" max="9993" width="42.7109375" style="25" customWidth="1"/>
    <col min="9994" max="9994" width="16.7109375" style="25" customWidth="1"/>
    <col min="9995" max="9995" width="34" style="25" customWidth="1"/>
    <col min="9996" max="10003" width="0" style="25" hidden="1" customWidth="1"/>
    <col min="10004" max="10241" width="9.140625" style="25"/>
    <col min="10242" max="10242" width="22.7109375" style="25" customWidth="1"/>
    <col min="10243" max="10243" width="22.5703125" style="25" customWidth="1"/>
    <col min="10244" max="10244" width="18.5703125" style="25" customWidth="1"/>
    <col min="10245" max="10245" width="24.42578125" style="25" customWidth="1"/>
    <col min="10246" max="10246" width="21" style="25" customWidth="1"/>
    <col min="10247" max="10247" width="19" style="25" customWidth="1"/>
    <col min="10248" max="10248" width="21.28515625" style="25" customWidth="1"/>
    <col min="10249" max="10249" width="42.7109375" style="25" customWidth="1"/>
    <col min="10250" max="10250" width="16.7109375" style="25" customWidth="1"/>
    <col min="10251" max="10251" width="34" style="25" customWidth="1"/>
    <col min="10252" max="10259" width="0" style="25" hidden="1" customWidth="1"/>
    <col min="10260" max="10497" width="9.140625" style="25"/>
    <col min="10498" max="10498" width="22.7109375" style="25" customWidth="1"/>
    <col min="10499" max="10499" width="22.5703125" style="25" customWidth="1"/>
    <col min="10500" max="10500" width="18.5703125" style="25" customWidth="1"/>
    <col min="10501" max="10501" width="24.42578125" style="25" customWidth="1"/>
    <col min="10502" max="10502" width="21" style="25" customWidth="1"/>
    <col min="10503" max="10503" width="19" style="25" customWidth="1"/>
    <col min="10504" max="10504" width="21.28515625" style="25" customWidth="1"/>
    <col min="10505" max="10505" width="42.7109375" style="25" customWidth="1"/>
    <col min="10506" max="10506" width="16.7109375" style="25" customWidth="1"/>
    <col min="10507" max="10507" width="34" style="25" customWidth="1"/>
    <col min="10508" max="10515" width="0" style="25" hidden="1" customWidth="1"/>
    <col min="10516" max="10753" width="9.140625" style="25"/>
    <col min="10754" max="10754" width="22.7109375" style="25" customWidth="1"/>
    <col min="10755" max="10755" width="22.5703125" style="25" customWidth="1"/>
    <col min="10756" max="10756" width="18.5703125" style="25" customWidth="1"/>
    <col min="10757" max="10757" width="24.42578125" style="25" customWidth="1"/>
    <col min="10758" max="10758" width="21" style="25" customWidth="1"/>
    <col min="10759" max="10759" width="19" style="25" customWidth="1"/>
    <col min="10760" max="10760" width="21.28515625" style="25" customWidth="1"/>
    <col min="10761" max="10761" width="42.7109375" style="25" customWidth="1"/>
    <col min="10762" max="10762" width="16.7109375" style="25" customWidth="1"/>
    <col min="10763" max="10763" width="34" style="25" customWidth="1"/>
    <col min="10764" max="10771" width="0" style="25" hidden="1" customWidth="1"/>
    <col min="10772" max="11009" width="9.140625" style="25"/>
    <col min="11010" max="11010" width="22.7109375" style="25" customWidth="1"/>
    <col min="11011" max="11011" width="22.5703125" style="25" customWidth="1"/>
    <col min="11012" max="11012" width="18.5703125" style="25" customWidth="1"/>
    <col min="11013" max="11013" width="24.42578125" style="25" customWidth="1"/>
    <col min="11014" max="11014" width="21" style="25" customWidth="1"/>
    <col min="11015" max="11015" width="19" style="25" customWidth="1"/>
    <col min="11016" max="11016" width="21.28515625" style="25" customWidth="1"/>
    <col min="11017" max="11017" width="42.7109375" style="25" customWidth="1"/>
    <col min="11018" max="11018" width="16.7109375" style="25" customWidth="1"/>
    <col min="11019" max="11019" width="34" style="25" customWidth="1"/>
    <col min="11020" max="11027" width="0" style="25" hidden="1" customWidth="1"/>
    <col min="11028" max="11265" width="9.140625" style="25"/>
    <col min="11266" max="11266" width="22.7109375" style="25" customWidth="1"/>
    <col min="11267" max="11267" width="22.5703125" style="25" customWidth="1"/>
    <col min="11268" max="11268" width="18.5703125" style="25" customWidth="1"/>
    <col min="11269" max="11269" width="24.42578125" style="25" customWidth="1"/>
    <col min="11270" max="11270" width="21" style="25" customWidth="1"/>
    <col min="11271" max="11271" width="19" style="25" customWidth="1"/>
    <col min="11272" max="11272" width="21.28515625" style="25" customWidth="1"/>
    <col min="11273" max="11273" width="42.7109375" style="25" customWidth="1"/>
    <col min="11274" max="11274" width="16.7109375" style="25" customWidth="1"/>
    <col min="11275" max="11275" width="34" style="25" customWidth="1"/>
    <col min="11276" max="11283" width="0" style="25" hidden="1" customWidth="1"/>
    <col min="11284" max="11521" width="9.140625" style="25"/>
    <col min="11522" max="11522" width="22.7109375" style="25" customWidth="1"/>
    <col min="11523" max="11523" width="22.5703125" style="25" customWidth="1"/>
    <col min="11524" max="11524" width="18.5703125" style="25" customWidth="1"/>
    <col min="11525" max="11525" width="24.42578125" style="25" customWidth="1"/>
    <col min="11526" max="11526" width="21" style="25" customWidth="1"/>
    <col min="11527" max="11527" width="19" style="25" customWidth="1"/>
    <col min="11528" max="11528" width="21.28515625" style="25" customWidth="1"/>
    <col min="11529" max="11529" width="42.7109375" style="25" customWidth="1"/>
    <col min="11530" max="11530" width="16.7109375" style="25" customWidth="1"/>
    <col min="11531" max="11531" width="34" style="25" customWidth="1"/>
    <col min="11532" max="11539" width="0" style="25" hidden="1" customWidth="1"/>
    <col min="11540" max="11777" width="9.140625" style="25"/>
    <col min="11778" max="11778" width="22.7109375" style="25" customWidth="1"/>
    <col min="11779" max="11779" width="22.5703125" style="25" customWidth="1"/>
    <col min="11780" max="11780" width="18.5703125" style="25" customWidth="1"/>
    <col min="11781" max="11781" width="24.42578125" style="25" customWidth="1"/>
    <col min="11782" max="11782" width="21" style="25" customWidth="1"/>
    <col min="11783" max="11783" width="19" style="25" customWidth="1"/>
    <col min="11784" max="11784" width="21.28515625" style="25" customWidth="1"/>
    <col min="11785" max="11785" width="42.7109375" style="25" customWidth="1"/>
    <col min="11786" max="11786" width="16.7109375" style="25" customWidth="1"/>
    <col min="11787" max="11787" width="34" style="25" customWidth="1"/>
    <col min="11788" max="11795" width="0" style="25" hidden="1" customWidth="1"/>
    <col min="11796" max="12033" width="9.140625" style="25"/>
    <col min="12034" max="12034" width="22.7109375" style="25" customWidth="1"/>
    <col min="12035" max="12035" width="22.5703125" style="25" customWidth="1"/>
    <col min="12036" max="12036" width="18.5703125" style="25" customWidth="1"/>
    <col min="12037" max="12037" width="24.42578125" style="25" customWidth="1"/>
    <col min="12038" max="12038" width="21" style="25" customWidth="1"/>
    <col min="12039" max="12039" width="19" style="25" customWidth="1"/>
    <col min="12040" max="12040" width="21.28515625" style="25" customWidth="1"/>
    <col min="12041" max="12041" width="42.7109375" style="25" customWidth="1"/>
    <col min="12042" max="12042" width="16.7109375" style="25" customWidth="1"/>
    <col min="12043" max="12043" width="34" style="25" customWidth="1"/>
    <col min="12044" max="12051" width="0" style="25" hidden="1" customWidth="1"/>
    <col min="12052" max="12289" width="9.140625" style="25"/>
    <col min="12290" max="12290" width="22.7109375" style="25" customWidth="1"/>
    <col min="12291" max="12291" width="22.5703125" style="25" customWidth="1"/>
    <col min="12292" max="12292" width="18.5703125" style="25" customWidth="1"/>
    <col min="12293" max="12293" width="24.42578125" style="25" customWidth="1"/>
    <col min="12294" max="12294" width="21" style="25" customWidth="1"/>
    <col min="12295" max="12295" width="19" style="25" customWidth="1"/>
    <col min="12296" max="12296" width="21.28515625" style="25" customWidth="1"/>
    <col min="12297" max="12297" width="42.7109375" style="25" customWidth="1"/>
    <col min="12298" max="12298" width="16.7109375" style="25" customWidth="1"/>
    <col min="12299" max="12299" width="34" style="25" customWidth="1"/>
    <col min="12300" max="12307" width="0" style="25" hidden="1" customWidth="1"/>
    <col min="12308" max="12545" width="9.140625" style="25"/>
    <col min="12546" max="12546" width="22.7109375" style="25" customWidth="1"/>
    <col min="12547" max="12547" width="22.5703125" style="25" customWidth="1"/>
    <col min="12548" max="12548" width="18.5703125" style="25" customWidth="1"/>
    <col min="12549" max="12549" width="24.42578125" style="25" customWidth="1"/>
    <col min="12550" max="12550" width="21" style="25" customWidth="1"/>
    <col min="12551" max="12551" width="19" style="25" customWidth="1"/>
    <col min="12552" max="12552" width="21.28515625" style="25" customWidth="1"/>
    <col min="12553" max="12553" width="42.7109375" style="25" customWidth="1"/>
    <col min="12554" max="12554" width="16.7109375" style="25" customWidth="1"/>
    <col min="12555" max="12555" width="34" style="25" customWidth="1"/>
    <col min="12556" max="12563" width="0" style="25" hidden="1" customWidth="1"/>
    <col min="12564" max="12801" width="9.140625" style="25"/>
    <col min="12802" max="12802" width="22.7109375" style="25" customWidth="1"/>
    <col min="12803" max="12803" width="22.5703125" style="25" customWidth="1"/>
    <col min="12804" max="12804" width="18.5703125" style="25" customWidth="1"/>
    <col min="12805" max="12805" width="24.42578125" style="25" customWidth="1"/>
    <col min="12806" max="12806" width="21" style="25" customWidth="1"/>
    <col min="12807" max="12807" width="19" style="25" customWidth="1"/>
    <col min="12808" max="12808" width="21.28515625" style="25" customWidth="1"/>
    <col min="12809" max="12809" width="42.7109375" style="25" customWidth="1"/>
    <col min="12810" max="12810" width="16.7109375" style="25" customWidth="1"/>
    <col min="12811" max="12811" width="34" style="25" customWidth="1"/>
    <col min="12812" max="12819" width="0" style="25" hidden="1" customWidth="1"/>
    <col min="12820" max="13057" width="9.140625" style="25"/>
    <col min="13058" max="13058" width="22.7109375" style="25" customWidth="1"/>
    <col min="13059" max="13059" width="22.5703125" style="25" customWidth="1"/>
    <col min="13060" max="13060" width="18.5703125" style="25" customWidth="1"/>
    <col min="13061" max="13061" width="24.42578125" style="25" customWidth="1"/>
    <col min="13062" max="13062" width="21" style="25" customWidth="1"/>
    <col min="13063" max="13063" width="19" style="25" customWidth="1"/>
    <col min="13064" max="13064" width="21.28515625" style="25" customWidth="1"/>
    <col min="13065" max="13065" width="42.7109375" style="25" customWidth="1"/>
    <col min="13066" max="13066" width="16.7109375" style="25" customWidth="1"/>
    <col min="13067" max="13067" width="34" style="25" customWidth="1"/>
    <col min="13068" max="13075" width="0" style="25" hidden="1" customWidth="1"/>
    <col min="13076" max="13313" width="9.140625" style="25"/>
    <col min="13314" max="13314" width="22.7109375" style="25" customWidth="1"/>
    <col min="13315" max="13315" width="22.5703125" style="25" customWidth="1"/>
    <col min="13316" max="13316" width="18.5703125" style="25" customWidth="1"/>
    <col min="13317" max="13317" width="24.42578125" style="25" customWidth="1"/>
    <col min="13318" max="13318" width="21" style="25" customWidth="1"/>
    <col min="13319" max="13319" width="19" style="25" customWidth="1"/>
    <col min="13320" max="13320" width="21.28515625" style="25" customWidth="1"/>
    <col min="13321" max="13321" width="42.7109375" style="25" customWidth="1"/>
    <col min="13322" max="13322" width="16.7109375" style="25" customWidth="1"/>
    <col min="13323" max="13323" width="34" style="25" customWidth="1"/>
    <col min="13324" max="13331" width="0" style="25" hidden="1" customWidth="1"/>
    <col min="13332" max="13569" width="9.140625" style="25"/>
    <col min="13570" max="13570" width="22.7109375" style="25" customWidth="1"/>
    <col min="13571" max="13571" width="22.5703125" style="25" customWidth="1"/>
    <col min="13572" max="13572" width="18.5703125" style="25" customWidth="1"/>
    <col min="13573" max="13573" width="24.42578125" style="25" customWidth="1"/>
    <col min="13574" max="13574" width="21" style="25" customWidth="1"/>
    <col min="13575" max="13575" width="19" style="25" customWidth="1"/>
    <col min="13576" max="13576" width="21.28515625" style="25" customWidth="1"/>
    <col min="13577" max="13577" width="42.7109375" style="25" customWidth="1"/>
    <col min="13578" max="13578" width="16.7109375" style="25" customWidth="1"/>
    <col min="13579" max="13579" width="34" style="25" customWidth="1"/>
    <col min="13580" max="13587" width="0" style="25" hidden="1" customWidth="1"/>
    <col min="13588" max="13825" width="9.140625" style="25"/>
    <col min="13826" max="13826" width="22.7109375" style="25" customWidth="1"/>
    <col min="13827" max="13827" width="22.5703125" style="25" customWidth="1"/>
    <col min="13828" max="13828" width="18.5703125" style="25" customWidth="1"/>
    <col min="13829" max="13829" width="24.42578125" style="25" customWidth="1"/>
    <col min="13830" max="13830" width="21" style="25" customWidth="1"/>
    <col min="13831" max="13831" width="19" style="25" customWidth="1"/>
    <col min="13832" max="13832" width="21.28515625" style="25" customWidth="1"/>
    <col min="13833" max="13833" width="42.7109375" style="25" customWidth="1"/>
    <col min="13834" max="13834" width="16.7109375" style="25" customWidth="1"/>
    <col min="13835" max="13835" width="34" style="25" customWidth="1"/>
    <col min="13836" max="13843" width="0" style="25" hidden="1" customWidth="1"/>
    <col min="13844" max="14081" width="9.140625" style="25"/>
    <col min="14082" max="14082" width="22.7109375" style="25" customWidth="1"/>
    <col min="14083" max="14083" width="22.5703125" style="25" customWidth="1"/>
    <col min="14084" max="14084" width="18.5703125" style="25" customWidth="1"/>
    <col min="14085" max="14085" width="24.42578125" style="25" customWidth="1"/>
    <col min="14086" max="14086" width="21" style="25" customWidth="1"/>
    <col min="14087" max="14087" width="19" style="25" customWidth="1"/>
    <col min="14088" max="14088" width="21.28515625" style="25" customWidth="1"/>
    <col min="14089" max="14089" width="42.7109375" style="25" customWidth="1"/>
    <col min="14090" max="14090" width="16.7109375" style="25" customWidth="1"/>
    <col min="14091" max="14091" width="34" style="25" customWidth="1"/>
    <col min="14092" max="14099" width="0" style="25" hidden="1" customWidth="1"/>
    <col min="14100" max="14337" width="9.140625" style="25"/>
    <col min="14338" max="14338" width="22.7109375" style="25" customWidth="1"/>
    <col min="14339" max="14339" width="22.5703125" style="25" customWidth="1"/>
    <col min="14340" max="14340" width="18.5703125" style="25" customWidth="1"/>
    <col min="14341" max="14341" width="24.42578125" style="25" customWidth="1"/>
    <col min="14342" max="14342" width="21" style="25" customWidth="1"/>
    <col min="14343" max="14343" width="19" style="25" customWidth="1"/>
    <col min="14344" max="14344" width="21.28515625" style="25" customWidth="1"/>
    <col min="14345" max="14345" width="42.7109375" style="25" customWidth="1"/>
    <col min="14346" max="14346" width="16.7109375" style="25" customWidth="1"/>
    <col min="14347" max="14347" width="34" style="25" customWidth="1"/>
    <col min="14348" max="14355" width="0" style="25" hidden="1" customWidth="1"/>
    <col min="14356" max="14593" width="9.140625" style="25"/>
    <col min="14594" max="14594" width="22.7109375" style="25" customWidth="1"/>
    <col min="14595" max="14595" width="22.5703125" style="25" customWidth="1"/>
    <col min="14596" max="14596" width="18.5703125" style="25" customWidth="1"/>
    <col min="14597" max="14597" width="24.42578125" style="25" customWidth="1"/>
    <col min="14598" max="14598" width="21" style="25" customWidth="1"/>
    <col min="14599" max="14599" width="19" style="25" customWidth="1"/>
    <col min="14600" max="14600" width="21.28515625" style="25" customWidth="1"/>
    <col min="14601" max="14601" width="42.7109375" style="25" customWidth="1"/>
    <col min="14602" max="14602" width="16.7109375" style="25" customWidth="1"/>
    <col min="14603" max="14603" width="34" style="25" customWidth="1"/>
    <col min="14604" max="14611" width="0" style="25" hidden="1" customWidth="1"/>
    <col min="14612" max="14849" width="9.140625" style="25"/>
    <col min="14850" max="14850" width="22.7109375" style="25" customWidth="1"/>
    <col min="14851" max="14851" width="22.5703125" style="25" customWidth="1"/>
    <col min="14852" max="14852" width="18.5703125" style="25" customWidth="1"/>
    <col min="14853" max="14853" width="24.42578125" style="25" customWidth="1"/>
    <col min="14854" max="14854" width="21" style="25" customWidth="1"/>
    <col min="14855" max="14855" width="19" style="25" customWidth="1"/>
    <col min="14856" max="14856" width="21.28515625" style="25" customWidth="1"/>
    <col min="14857" max="14857" width="42.7109375" style="25" customWidth="1"/>
    <col min="14858" max="14858" width="16.7109375" style="25" customWidth="1"/>
    <col min="14859" max="14859" width="34" style="25" customWidth="1"/>
    <col min="14860" max="14867" width="0" style="25" hidden="1" customWidth="1"/>
    <col min="14868" max="15105" width="9.140625" style="25"/>
    <col min="15106" max="15106" width="22.7109375" style="25" customWidth="1"/>
    <col min="15107" max="15107" width="22.5703125" style="25" customWidth="1"/>
    <col min="15108" max="15108" width="18.5703125" style="25" customWidth="1"/>
    <col min="15109" max="15109" width="24.42578125" style="25" customWidth="1"/>
    <col min="15110" max="15110" width="21" style="25" customWidth="1"/>
    <col min="15111" max="15111" width="19" style="25" customWidth="1"/>
    <col min="15112" max="15112" width="21.28515625" style="25" customWidth="1"/>
    <col min="15113" max="15113" width="42.7109375" style="25" customWidth="1"/>
    <col min="15114" max="15114" width="16.7109375" style="25" customWidth="1"/>
    <col min="15115" max="15115" width="34" style="25" customWidth="1"/>
    <col min="15116" max="15123" width="0" style="25" hidden="1" customWidth="1"/>
    <col min="15124" max="15361" width="9.140625" style="25"/>
    <col min="15362" max="15362" width="22.7109375" style="25" customWidth="1"/>
    <col min="15363" max="15363" width="22.5703125" style="25" customWidth="1"/>
    <col min="15364" max="15364" width="18.5703125" style="25" customWidth="1"/>
    <col min="15365" max="15365" width="24.42578125" style="25" customWidth="1"/>
    <col min="15366" max="15366" width="21" style="25" customWidth="1"/>
    <col min="15367" max="15367" width="19" style="25" customWidth="1"/>
    <col min="15368" max="15368" width="21.28515625" style="25" customWidth="1"/>
    <col min="15369" max="15369" width="42.7109375" style="25" customWidth="1"/>
    <col min="15370" max="15370" width="16.7109375" style="25" customWidth="1"/>
    <col min="15371" max="15371" width="34" style="25" customWidth="1"/>
    <col min="15372" max="15379" width="0" style="25" hidden="1" customWidth="1"/>
    <col min="15380" max="15617" width="9.140625" style="25"/>
    <col min="15618" max="15618" width="22.7109375" style="25" customWidth="1"/>
    <col min="15619" max="15619" width="22.5703125" style="25" customWidth="1"/>
    <col min="15620" max="15620" width="18.5703125" style="25" customWidth="1"/>
    <col min="15621" max="15621" width="24.42578125" style="25" customWidth="1"/>
    <col min="15622" max="15622" width="21" style="25" customWidth="1"/>
    <col min="15623" max="15623" width="19" style="25" customWidth="1"/>
    <col min="15624" max="15624" width="21.28515625" style="25" customWidth="1"/>
    <col min="15625" max="15625" width="42.7109375" style="25" customWidth="1"/>
    <col min="15626" max="15626" width="16.7109375" style="25" customWidth="1"/>
    <col min="15627" max="15627" width="34" style="25" customWidth="1"/>
    <col min="15628" max="15635" width="0" style="25" hidden="1" customWidth="1"/>
    <col min="15636" max="15873" width="9.140625" style="25"/>
    <col min="15874" max="15874" width="22.7109375" style="25" customWidth="1"/>
    <col min="15875" max="15875" width="22.5703125" style="25" customWidth="1"/>
    <col min="15876" max="15876" width="18.5703125" style="25" customWidth="1"/>
    <col min="15877" max="15877" width="24.42578125" style="25" customWidth="1"/>
    <col min="15878" max="15878" width="21" style="25" customWidth="1"/>
    <col min="15879" max="15879" width="19" style="25" customWidth="1"/>
    <col min="15880" max="15880" width="21.28515625" style="25" customWidth="1"/>
    <col min="15881" max="15881" width="42.7109375" style="25" customWidth="1"/>
    <col min="15882" max="15882" width="16.7109375" style="25" customWidth="1"/>
    <col min="15883" max="15883" width="34" style="25" customWidth="1"/>
    <col min="15884" max="15891" width="0" style="25" hidden="1" customWidth="1"/>
    <col min="15892" max="16129" width="9.140625" style="25"/>
    <col min="16130" max="16130" width="22.7109375" style="25" customWidth="1"/>
    <col min="16131" max="16131" width="22.5703125" style="25" customWidth="1"/>
    <col min="16132" max="16132" width="18.5703125" style="25" customWidth="1"/>
    <col min="16133" max="16133" width="24.42578125" style="25" customWidth="1"/>
    <col min="16134" max="16134" width="21" style="25" customWidth="1"/>
    <col min="16135" max="16135" width="19" style="25" customWidth="1"/>
    <col min="16136" max="16136" width="21.28515625" style="25" customWidth="1"/>
    <col min="16137" max="16137" width="42.7109375" style="25" customWidth="1"/>
    <col min="16138" max="16138" width="16.7109375" style="25" customWidth="1"/>
    <col min="16139" max="16139" width="34" style="25" customWidth="1"/>
    <col min="16140" max="16147" width="0" style="25" hidden="1" customWidth="1"/>
    <col min="16148" max="16384" width="9.140625" style="25"/>
  </cols>
  <sheetData>
    <row r="1" spans="1:23" s="31" customFormat="1" ht="12.75" customHeight="1" x14ac:dyDescent="0.2">
      <c r="A1" s="165"/>
      <c r="B1" s="166"/>
      <c r="C1" s="166"/>
      <c r="D1" s="166"/>
      <c r="E1" s="166"/>
      <c r="F1" s="166"/>
      <c r="G1" s="167"/>
      <c r="H1" s="167"/>
      <c r="I1" s="166"/>
      <c r="J1" s="166"/>
    </row>
    <row r="2" spans="1:23" s="31" customFormat="1" ht="12.75" customHeight="1" x14ac:dyDescent="0.2">
      <c r="A2" s="165"/>
      <c r="B2" s="449"/>
      <c r="C2" s="450"/>
      <c r="D2" s="450"/>
      <c r="E2" s="450"/>
      <c r="F2" s="450"/>
      <c r="G2" s="450"/>
      <c r="H2" s="450"/>
      <c r="I2" s="451"/>
      <c r="J2" s="166"/>
    </row>
    <row r="3" spans="1:23" s="31" customFormat="1" ht="12.75" customHeight="1" x14ac:dyDescent="0.2">
      <c r="A3" s="165"/>
      <c r="B3" s="449"/>
      <c r="C3" s="450"/>
      <c r="D3" s="450"/>
      <c r="E3" s="450"/>
      <c r="F3" s="450"/>
      <c r="G3" s="450"/>
      <c r="H3" s="450"/>
      <c r="I3" s="451"/>
      <c r="J3" s="166"/>
    </row>
    <row r="4" spans="1:23" s="31" customFormat="1" ht="12.75" customHeight="1" x14ac:dyDescent="0.2">
      <c r="A4" s="165"/>
      <c r="B4" s="452" t="s">
        <v>371</v>
      </c>
      <c r="C4" s="453"/>
      <c r="D4" s="453"/>
      <c r="E4" s="453"/>
      <c r="F4" s="453"/>
      <c r="G4" s="453"/>
      <c r="H4" s="453"/>
      <c r="I4" s="454"/>
      <c r="J4" s="168"/>
    </row>
    <row r="5" spans="1:23" s="31" customFormat="1" ht="12.75" customHeight="1" x14ac:dyDescent="0.2">
      <c r="A5" s="165"/>
      <c r="B5" s="455"/>
      <c r="C5" s="456"/>
      <c r="D5" s="456"/>
      <c r="E5" s="456"/>
      <c r="F5" s="456"/>
      <c r="G5" s="456"/>
      <c r="H5" s="456"/>
      <c r="I5" s="457"/>
      <c r="J5" s="168"/>
    </row>
    <row r="6" spans="1:23" s="31" customFormat="1" ht="12.75" customHeight="1" thickBot="1" x14ac:dyDescent="0.25">
      <c r="A6" s="165"/>
      <c r="B6" s="455"/>
      <c r="C6" s="456"/>
      <c r="D6" s="456"/>
      <c r="E6" s="456"/>
      <c r="F6" s="456"/>
      <c r="G6" s="456"/>
      <c r="H6" s="456"/>
      <c r="I6" s="457"/>
      <c r="J6" s="168"/>
    </row>
    <row r="7" spans="1:23" s="31" customFormat="1" ht="12.75" customHeight="1" thickTop="1" x14ac:dyDescent="0.2">
      <c r="A7" s="165"/>
      <c r="B7" s="458" t="s">
        <v>203</v>
      </c>
      <c r="C7" s="459"/>
      <c r="D7" s="459"/>
      <c r="E7" s="459"/>
      <c r="F7" s="459"/>
      <c r="G7" s="459"/>
      <c r="H7" s="459"/>
      <c r="I7" s="460"/>
      <c r="J7" s="169"/>
    </row>
    <row r="8" spans="1:23" s="31" customFormat="1" ht="12.75" customHeight="1" x14ac:dyDescent="0.2">
      <c r="A8" s="165"/>
      <c r="B8" s="461"/>
      <c r="C8" s="462"/>
      <c r="D8" s="462"/>
      <c r="E8" s="462"/>
      <c r="F8" s="462"/>
      <c r="G8" s="462"/>
      <c r="H8" s="462"/>
      <c r="I8" s="463"/>
      <c r="J8" s="169"/>
    </row>
    <row r="9" spans="1:23" s="31" customFormat="1" ht="12.75" customHeight="1" x14ac:dyDescent="0.2">
      <c r="A9" s="165"/>
      <c r="B9" s="170"/>
      <c r="C9" s="240" t="s">
        <v>204</v>
      </c>
      <c r="D9" s="171" t="s">
        <v>216</v>
      </c>
      <c r="E9" s="172"/>
      <c r="F9" s="172"/>
      <c r="G9" s="173"/>
      <c r="H9" s="173"/>
      <c r="I9" s="174"/>
      <c r="J9" s="175"/>
    </row>
    <row r="10" spans="1:23" s="31" customFormat="1" ht="12.75" customHeight="1" thickBot="1" x14ac:dyDescent="0.25">
      <c r="A10" s="176"/>
      <c r="B10" s="183"/>
      <c r="C10" s="184"/>
      <c r="D10" s="185"/>
      <c r="E10" s="186"/>
      <c r="F10" s="186"/>
      <c r="G10" s="187"/>
      <c r="H10" s="187"/>
      <c r="I10" s="188"/>
      <c r="J10" s="175"/>
    </row>
    <row r="11" spans="1:23" s="31" customFormat="1" ht="12.75" customHeight="1" thickTop="1" x14ac:dyDescent="0.2">
      <c r="A11" s="176"/>
      <c r="B11" s="189"/>
      <c r="C11" s="189"/>
      <c r="D11" s="189"/>
      <c r="E11" s="189"/>
      <c r="F11" s="189"/>
      <c r="G11" s="190"/>
      <c r="H11" s="190"/>
      <c r="I11" s="189"/>
      <c r="J11" s="166"/>
    </row>
    <row r="12" spans="1:23" s="31" customFormat="1" ht="12.75" customHeight="1" x14ac:dyDescent="0.2">
      <c r="A12" s="232"/>
      <c r="B12" s="232"/>
      <c r="C12" s="232"/>
      <c r="D12" s="232"/>
      <c r="E12" s="232"/>
      <c r="F12" s="232"/>
      <c r="G12" s="233"/>
      <c r="H12" s="233"/>
      <c r="I12" s="232"/>
      <c r="J12" s="232"/>
    </row>
    <row r="13" spans="1:23" ht="18" customHeight="1" thickBot="1" x14ac:dyDescent="0.45">
      <c r="B13" s="35"/>
      <c r="F13" s="36"/>
      <c r="G13" s="37"/>
      <c r="H13" s="37"/>
    </row>
    <row r="14" spans="1:23" ht="13.5" thickBot="1" x14ac:dyDescent="0.25">
      <c r="B14" s="97" t="s">
        <v>374</v>
      </c>
      <c r="C14" s="81"/>
      <c r="D14" s="82"/>
      <c r="E14" s="82"/>
      <c r="F14" s="82"/>
      <c r="G14" s="82"/>
      <c r="H14" s="82"/>
      <c r="I14" s="82"/>
      <c r="J14" s="83"/>
    </row>
    <row r="15" spans="1:23" ht="13.5" thickTop="1" x14ac:dyDescent="0.2">
      <c r="B15" s="98"/>
      <c r="C15" s="38" t="s">
        <v>377</v>
      </c>
      <c r="D15" s="39" t="s">
        <v>49</v>
      </c>
      <c r="E15" s="39" t="s">
        <v>50</v>
      </c>
      <c r="F15" s="39" t="s">
        <v>51</v>
      </c>
      <c r="G15" s="39" t="s">
        <v>52</v>
      </c>
      <c r="H15" s="39" t="s">
        <v>53</v>
      </c>
      <c r="I15" s="39" t="s">
        <v>54</v>
      </c>
      <c r="J15" s="40" t="s">
        <v>55</v>
      </c>
    </row>
    <row r="16" spans="1:23" x14ac:dyDescent="0.2">
      <c r="B16" s="95" t="s">
        <v>40</v>
      </c>
      <c r="C16" s="41">
        <v>0</v>
      </c>
      <c r="D16" s="42" t="str">
        <f>DEC2HEX('Step2-DDR Timings'!G30)</f>
        <v>5</v>
      </c>
      <c r="E16" s="42" t="str">
        <f>DEC2HEX('Step2-DDR Timings'!G31)</f>
        <v>5</v>
      </c>
      <c r="F16" s="42" t="str">
        <f>DEC2HEX('Step2-DDR Timings'!G32)</f>
        <v>5</v>
      </c>
      <c r="G16" s="42" t="str">
        <f>DEC2HEX('Step2-DDR Timings'!G33)</f>
        <v>D</v>
      </c>
      <c r="H16" s="42" t="str">
        <f>DEC2HEX('Step2-DDR Timings'!G34)</f>
        <v>13</v>
      </c>
      <c r="I16" s="42" t="str">
        <f>DEC2HEX('Step2-DDR Timings'!G36)</f>
        <v>3</v>
      </c>
      <c r="J16" s="43" t="str">
        <f>DEC2HEX('Step2-DDR Timings'!G37)</f>
        <v>3</v>
      </c>
      <c r="R16" s="25" t="s">
        <v>41</v>
      </c>
      <c r="W16" s="25" t="s">
        <v>42</v>
      </c>
    </row>
    <row r="17" spans="2:23" ht="13.5" thickBot="1" x14ac:dyDescent="0.25">
      <c r="B17" s="96" t="s">
        <v>43</v>
      </c>
      <c r="C17" s="44" t="str">
        <f>HEX2BIN(C16,3)</f>
        <v>000</v>
      </c>
      <c r="D17" s="45" t="str">
        <f>HEX2BIN(D16,4)</f>
        <v>0101</v>
      </c>
      <c r="E17" s="45" t="str">
        <f>HEX2BIN(E16,4)</f>
        <v>0101</v>
      </c>
      <c r="F17" s="45" t="str">
        <f>HEX2BIN(F16,4)</f>
        <v>0101</v>
      </c>
      <c r="G17" s="45" t="str">
        <f>HEX2BIN(G16,5)</f>
        <v>01101</v>
      </c>
      <c r="H17" s="45" t="str">
        <f>HEX2BIN(H16,6)</f>
        <v>010011</v>
      </c>
      <c r="I17" s="45" t="str">
        <f>HEX2BIN(I16,3)</f>
        <v>011</v>
      </c>
      <c r="J17" s="46" t="str">
        <f>HEX2BIN(J16,3)</f>
        <v>011</v>
      </c>
      <c r="K17" s="47"/>
      <c r="L17" s="26"/>
      <c r="R17" s="25" t="str">
        <f>CONCATENATE(C17,D17,E17,F17,G17,H17,I17,J17)</f>
        <v>00001010101010101101010011011011</v>
      </c>
      <c r="W17" s="25" t="str">
        <f>CONCATENATE(C20,D20,E20,F20,G20,H20,I20,J20)</f>
        <v/>
      </c>
    </row>
    <row r="18" spans="2:23" ht="13.5" thickBot="1" x14ac:dyDescent="0.25">
      <c r="B18" s="48" t="s">
        <v>44</v>
      </c>
      <c r="C18" s="62" t="str">
        <f>CONCATENATE(R18,R19,R20,R21,R22,R23,R24,R25)</f>
        <v>0AAAD4DB</v>
      </c>
      <c r="K18" s="49"/>
      <c r="L18" s="26"/>
      <c r="R18" s="25" t="str">
        <f>BIN2HEX(RIGHT((LEFT(R17,4)),4))</f>
        <v>0</v>
      </c>
      <c r="W18" s="25" t="str">
        <f>BIN2HEX(RIGHT((LEFT(W17,4)),4))</f>
        <v>0</v>
      </c>
    </row>
    <row r="19" spans="2:23" x14ac:dyDescent="0.2">
      <c r="C19" s="58"/>
      <c r="D19" s="58"/>
      <c r="K19" s="50"/>
      <c r="L19" s="26"/>
      <c r="R19" s="25" t="str">
        <f>BIN2HEX(RIGHT((LEFT(R17,8)),4))</f>
        <v>A</v>
      </c>
      <c r="W19" s="25" t="str">
        <f>BIN2HEX(RIGHT((LEFT(W17,8)),4))</f>
        <v>0</v>
      </c>
    </row>
    <row r="20" spans="2:23" ht="13.5" thickBot="1" x14ac:dyDescent="0.25">
      <c r="B20" s="27"/>
      <c r="C20" s="50"/>
      <c r="D20" s="50"/>
      <c r="E20" s="50"/>
      <c r="F20" s="50"/>
      <c r="G20" s="50"/>
      <c r="H20" s="50"/>
      <c r="I20" s="50"/>
      <c r="J20" s="50"/>
      <c r="K20" s="50"/>
      <c r="L20" s="26"/>
      <c r="R20" s="25" t="str">
        <f>BIN2HEX(RIGHT((LEFT(R17,12)),4))</f>
        <v>A</v>
      </c>
      <c r="W20" s="25" t="str">
        <f>BIN2HEX(RIGHT((LEFT(W17,12)),4))</f>
        <v>0</v>
      </c>
    </row>
    <row r="21" spans="2:23" ht="13.5" thickBot="1" x14ac:dyDescent="0.25">
      <c r="B21" s="97" t="s">
        <v>375</v>
      </c>
      <c r="C21" s="82"/>
      <c r="D21" s="82"/>
      <c r="E21" s="82"/>
      <c r="F21" s="82"/>
      <c r="G21" s="82"/>
      <c r="H21" s="82"/>
      <c r="I21" s="83"/>
      <c r="J21" s="58"/>
      <c r="K21" s="50"/>
      <c r="L21" s="26"/>
      <c r="R21" s="25" t="str">
        <f>BIN2HEX(RIGHT((LEFT(R17,16)),4))</f>
        <v>A</v>
      </c>
      <c r="W21" s="25" t="str">
        <f>BIN2HEX(RIGHT((LEFT(W17,16)),4))</f>
        <v>0</v>
      </c>
    </row>
    <row r="22" spans="2:23" ht="13.5" thickTop="1" x14ac:dyDescent="0.2">
      <c r="B22" s="98"/>
      <c r="C22" s="52" t="s">
        <v>158</v>
      </c>
      <c r="D22" s="53" t="s">
        <v>56</v>
      </c>
      <c r="E22" s="53" t="s">
        <v>539</v>
      </c>
      <c r="F22" s="53" t="s">
        <v>57</v>
      </c>
      <c r="G22" s="53" t="s">
        <v>146</v>
      </c>
      <c r="H22" s="53" t="s">
        <v>58</v>
      </c>
      <c r="I22" s="54" t="s">
        <v>59</v>
      </c>
      <c r="K22" s="25"/>
      <c r="L22" s="26"/>
      <c r="R22" s="25" t="str">
        <f>BIN2HEX(RIGHT((LEFT(R17,20)),4))</f>
        <v>D</v>
      </c>
      <c r="W22" s="25" t="str">
        <f>BIN2HEX(RIGHT((LEFT(W17,20)),4))</f>
        <v>0</v>
      </c>
    </row>
    <row r="23" spans="2:23" x14ac:dyDescent="0.2">
      <c r="B23" s="95" t="s">
        <v>40</v>
      </c>
      <c r="C23" s="41">
        <v>0</v>
      </c>
      <c r="D23" s="42" t="str">
        <f>DEC2HEX('Step2-DDR Timings'!G38)</f>
        <v>2</v>
      </c>
      <c r="E23" s="42">
        <v>2</v>
      </c>
      <c r="F23" s="42" t="str">
        <f>DEC2HEX('Step2-DDR Timings'!G40)</f>
        <v>43</v>
      </c>
      <c r="G23" s="42" t="str">
        <f>IF('Step1-System Details'!E19="DDR3",DEC2HEX('Step2-DDR Timings'!G41),DEC2HEX('Step2-DDR Timings'!G40))</f>
        <v>1FF</v>
      </c>
      <c r="H23" s="42" t="str">
        <f>DEC2HEX('Step2-DDR Timings'!G42)</f>
        <v>3</v>
      </c>
      <c r="I23" s="43" t="str">
        <f>DEC2HEX('Step2-DDR Timings'!G43)</f>
        <v>2</v>
      </c>
      <c r="J23" s="51"/>
      <c r="K23" s="25"/>
      <c r="L23" s="26"/>
      <c r="R23" s="25" t="str">
        <f>BIN2HEX(RIGHT((LEFT(R17,24)),4))</f>
        <v>4</v>
      </c>
      <c r="W23" s="25" t="str">
        <f>BIN2HEX(RIGHT((LEFT(W17,24)),4))</f>
        <v>0</v>
      </c>
    </row>
    <row r="24" spans="2:23" ht="13.5" thickBot="1" x14ac:dyDescent="0.25">
      <c r="B24" s="99" t="s">
        <v>43</v>
      </c>
      <c r="C24" s="44">
        <v>0</v>
      </c>
      <c r="D24" s="45" t="str">
        <f>HEX2BIN(D23,3)</f>
        <v>010</v>
      </c>
      <c r="E24" s="322" t="str">
        <f>HEX2BIN(E23,3)</f>
        <v>010</v>
      </c>
      <c r="F24" s="45" t="str">
        <f>HEX2BIN(F23,9)</f>
        <v>001000011</v>
      </c>
      <c r="G24" s="45" t="str">
        <f>HEX2BIN(G23,10)</f>
        <v>0111111111</v>
      </c>
      <c r="H24" s="45" t="str">
        <f>HEX2BIN(H23,3)</f>
        <v>011</v>
      </c>
      <c r="I24" s="46" t="str">
        <f>HEX2BIN(I23,3)</f>
        <v>010</v>
      </c>
      <c r="J24" s="55"/>
      <c r="K24" s="25"/>
      <c r="L24" s="26"/>
      <c r="R24" s="25" t="str">
        <f>BIN2HEX(RIGHT((LEFT(R17,28)),4))</f>
        <v>D</v>
      </c>
      <c r="W24" s="25" t="str">
        <f>BIN2HEX(RIGHT((LEFT(W17,28)),4))</f>
        <v>0</v>
      </c>
    </row>
    <row r="25" spans="2:23" ht="13.5" thickBot="1" x14ac:dyDescent="0.25">
      <c r="B25" s="61" t="s">
        <v>44</v>
      </c>
      <c r="C25" s="62" t="str">
        <f>CONCATENATE(R29,R30,R31,R32,R33,R34,R35,R36)</f>
        <v>24437FDA</v>
      </c>
      <c r="J25" s="47"/>
      <c r="K25" s="25"/>
      <c r="L25" s="26"/>
      <c r="R25" s="25" t="str">
        <f>BIN2HEX(RIGHT((LEFT(R17,33)),4))</f>
        <v>B</v>
      </c>
      <c r="W25" s="25" t="str">
        <f>BIN2HEX(RIGHT((LEFT(W17,33)),4))</f>
        <v>0</v>
      </c>
    </row>
    <row r="26" spans="2:23" x14ac:dyDescent="0.2">
      <c r="J26" s="50"/>
      <c r="K26" s="56"/>
      <c r="L26" s="26"/>
    </row>
    <row r="27" spans="2:23" ht="13.5" thickBot="1" x14ac:dyDescent="0.25">
      <c r="K27" s="57"/>
      <c r="L27" s="26"/>
      <c r="R27" s="25" t="s">
        <v>45</v>
      </c>
      <c r="W27" s="25" t="s">
        <v>46</v>
      </c>
    </row>
    <row r="28" spans="2:23" ht="13.5" thickBot="1" x14ac:dyDescent="0.25">
      <c r="B28" s="97" t="s">
        <v>376</v>
      </c>
      <c r="C28" s="82"/>
      <c r="D28" s="82"/>
      <c r="E28" s="82"/>
      <c r="F28" s="82"/>
      <c r="G28" s="82"/>
      <c r="H28" s="83"/>
      <c r="I28" s="348"/>
      <c r="K28" s="50"/>
      <c r="L28" s="26"/>
      <c r="R28" s="25" t="str">
        <f>CONCATENATE(C24,D24,E24,F24,G24,H24,I24)</f>
        <v>00100100010000110111111111011010</v>
      </c>
      <c r="W28" s="25" t="e">
        <f>CONCATENATE(#REF!,#REF!,#REF!,#REF!,#REF!,#REF!,#REF!)</f>
        <v>#REF!</v>
      </c>
    </row>
    <row r="29" spans="2:23" ht="13.5" thickTop="1" x14ac:dyDescent="0.2">
      <c r="B29" s="98"/>
      <c r="C29" s="52" t="s">
        <v>60</v>
      </c>
      <c r="D29" s="59" t="s">
        <v>378</v>
      </c>
      <c r="E29" s="53" t="s">
        <v>61</v>
      </c>
      <c r="F29" s="53" t="str">
        <f>IF('Step1-System Details'!E19="DDR3","Reserved [14:13]","T_TDQSCKMAX [14:13]")</f>
        <v>Reserved [14:13]</v>
      </c>
      <c r="G29" s="53" t="s">
        <v>62</v>
      </c>
      <c r="H29" s="54" t="s">
        <v>63</v>
      </c>
      <c r="I29" s="57"/>
      <c r="K29" s="50"/>
      <c r="L29" s="26"/>
      <c r="R29" s="25" t="str">
        <f>BIN2HEX(RIGHT((LEFT(R28,4)),4))</f>
        <v>2</v>
      </c>
      <c r="W29" s="25" t="e">
        <f>BIN2HEX(RIGHT((LEFT(W28,4)),4))</f>
        <v>#REF!</v>
      </c>
    </row>
    <row r="30" spans="2:23" x14ac:dyDescent="0.2">
      <c r="B30" s="95" t="s">
        <v>40</v>
      </c>
      <c r="C30" s="41">
        <f>'Step2-DDR Timings'!G44</f>
        <v>5</v>
      </c>
      <c r="D30" s="372">
        <v>7</v>
      </c>
      <c r="E30" s="42" t="str">
        <f>DEC2HEX('Step2-DDR Timings'!G47)</f>
        <v>3F</v>
      </c>
      <c r="F30" s="372">
        <v>3</v>
      </c>
      <c r="G30" s="42" t="str">
        <f>DEC2HEX('Step2-DDR Timings'!G49)</f>
        <v>3F</v>
      </c>
      <c r="H30" s="43" t="str">
        <f>DEC2HEX('Step2-DDR Timings'!G50)</f>
        <v>F</v>
      </c>
      <c r="I30" s="50"/>
      <c r="K30" s="25"/>
      <c r="L30" s="26"/>
      <c r="R30" s="25" t="str">
        <f>BIN2HEX(RIGHT((LEFT(R28,8)),4))</f>
        <v>4</v>
      </c>
      <c r="W30" s="25" t="e">
        <f>BIN2HEX(RIGHT((LEFT(W28,8)),4))</f>
        <v>#REF!</v>
      </c>
    </row>
    <row r="31" spans="2:23" ht="13.5" thickBot="1" x14ac:dyDescent="0.25">
      <c r="B31" s="94" t="s">
        <v>43</v>
      </c>
      <c r="C31" s="60" t="str">
        <f>HEX2BIN(C30,4)</f>
        <v>0101</v>
      </c>
      <c r="D31" s="45" t="str">
        <f>HEX2BIN(D30,7)</f>
        <v>0000111</v>
      </c>
      <c r="E31" s="45" t="str">
        <f>HEX2BIN(E30,6)</f>
        <v>111111</v>
      </c>
      <c r="F31" s="45" t="str">
        <f>HEX2BIN(F30,2)</f>
        <v>11</v>
      </c>
      <c r="G31" s="45" t="str">
        <f>HEX2BIN(G30,9)</f>
        <v>000111111</v>
      </c>
      <c r="H31" s="46" t="str">
        <f>HEX2BIN(H30,4)</f>
        <v>1111</v>
      </c>
      <c r="I31" s="50"/>
      <c r="J31" s="57"/>
      <c r="K31" s="25"/>
      <c r="L31" s="26"/>
      <c r="R31" s="25" t="str">
        <f>BIN2HEX(RIGHT((LEFT(R28,12)),4))</f>
        <v>4</v>
      </c>
      <c r="W31" s="25" t="e">
        <f>BIN2HEX(RIGHT((LEFT(W28,12)),4))</f>
        <v>#REF!</v>
      </c>
    </row>
    <row r="32" spans="2:23" ht="13.5" thickBot="1" x14ac:dyDescent="0.25">
      <c r="B32" s="61" t="s">
        <v>44</v>
      </c>
      <c r="C32" s="62" t="str">
        <f>CONCATENATE(R41,R42,R43,R44,R45,R46,R47,R48)</f>
        <v>50FFE3FF</v>
      </c>
      <c r="J32" s="50"/>
      <c r="K32" s="56"/>
      <c r="L32" s="56"/>
      <c r="R32" s="25" t="str">
        <f>BIN2HEX(RIGHT((LEFT(R28,16)),4))</f>
        <v>3</v>
      </c>
      <c r="W32" s="25" t="e">
        <f>BIN2HEX(RIGHT((LEFT(W28,16)),4))</f>
        <v>#REF!</v>
      </c>
    </row>
    <row r="33" spans="2:23" x14ac:dyDescent="0.2">
      <c r="J33" s="50"/>
      <c r="K33" s="57"/>
      <c r="L33" s="57"/>
      <c r="R33" s="25" t="str">
        <f>BIN2HEX(RIGHT((LEFT(R28,20)),4))</f>
        <v>7</v>
      </c>
      <c r="W33" s="25" t="e">
        <f>BIN2HEX(RIGHT((LEFT(W28,20)),4))</f>
        <v>#REF!</v>
      </c>
    </row>
    <row r="34" spans="2:23" ht="13.5" thickBot="1" x14ac:dyDescent="0.25">
      <c r="K34" s="50"/>
      <c r="L34" s="50"/>
      <c r="R34" s="25" t="str">
        <f>BIN2HEX(RIGHT((LEFT(R28,24)),4))</f>
        <v>F</v>
      </c>
      <c r="W34" s="25" t="e">
        <f>BIN2HEX(RIGHT((LEFT(W28,24)),4))</f>
        <v>#REF!</v>
      </c>
    </row>
    <row r="35" spans="2:23" ht="13.5" thickBot="1" x14ac:dyDescent="0.25">
      <c r="B35" s="97" t="s">
        <v>154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R35" s="25" t="str">
        <f>BIN2HEX(RIGHT((LEFT(R28,28)),4))</f>
        <v>D</v>
      </c>
      <c r="W35" s="25" t="e">
        <f>BIN2HEX(RIGHT((LEFT(W28,28)),4))</f>
        <v>#REF!</v>
      </c>
    </row>
    <row r="36" spans="2:23" ht="13.5" thickTop="1" x14ac:dyDescent="0.2">
      <c r="B36" s="98"/>
      <c r="C36" s="100" t="s">
        <v>189</v>
      </c>
      <c r="D36" s="68" t="s">
        <v>190</v>
      </c>
      <c r="E36" s="68" t="s">
        <v>191</v>
      </c>
      <c r="F36" s="68" t="s">
        <v>540</v>
      </c>
      <c r="G36" s="68" t="s">
        <v>192</v>
      </c>
      <c r="H36" s="68" t="s">
        <v>193</v>
      </c>
      <c r="I36" s="68" t="s">
        <v>194</v>
      </c>
      <c r="J36" s="68" t="s">
        <v>195</v>
      </c>
      <c r="K36" s="69" t="s">
        <v>196</v>
      </c>
      <c r="L36" s="68" t="s">
        <v>197</v>
      </c>
      <c r="M36" s="68" t="s">
        <v>198</v>
      </c>
      <c r="N36" s="68" t="s">
        <v>199</v>
      </c>
      <c r="O36" s="68" t="s">
        <v>200</v>
      </c>
      <c r="P36" s="54" t="s">
        <v>201</v>
      </c>
      <c r="R36" s="25" t="str">
        <f>BIN2HEX(RIGHT((LEFT(R28,33)),4))</f>
        <v>A</v>
      </c>
      <c r="W36" s="25" t="e">
        <f>BIN2HEX(RIGHT((LEFT(W28,33)),4))</f>
        <v>#REF!</v>
      </c>
    </row>
    <row r="37" spans="2:23" x14ac:dyDescent="0.2">
      <c r="B37" s="95" t="s">
        <v>40</v>
      </c>
      <c r="C37" s="93" t="str">
        <f>DEC2HEX(IF('Step1-System Details'!E19="DDR3","3","4"))</f>
        <v>3</v>
      </c>
      <c r="D37" s="42">
        <v>0</v>
      </c>
      <c r="E37" s="42" t="str">
        <f>DEC2HEX(IF('Step1-System Details'!E47="Disable","0",IF('Step1-System Details'!E47="RZQ/4","1",IF('Step1-System Details'!E47="RZQ/2","2",IF('Step1-System Details'!E47="RZQ/6","3",IF('Step1-System Details'!E47="RZQ/12","4","5"))))))</f>
        <v>1</v>
      </c>
      <c r="F37" s="42" t="str">
        <f>DEC2HEX(IF('Step1-System Details'!E22="Single Ended",0,1))</f>
        <v>1</v>
      </c>
      <c r="G37" s="42" t="str">
        <f>DEC2HEX(IF('Step1-System Details'!E48="NA","0",IF('Step1-System Details'!E48="Disabled","0",IF('Step1-System Details'!E48="RZQ/4","1","2"))))</f>
        <v>1</v>
      </c>
      <c r="H37" s="42">
        <v>0</v>
      </c>
      <c r="I37" s="42" t="str">
        <f>DEC2HEX(IF('Step1-System Details'!E49="RZQ/6","0",IF('Step1-System Details'!E49="Normal","0","1")))</f>
        <v>0</v>
      </c>
      <c r="J37" s="42" t="str">
        <f>IF('Step1-System Details'!E19="DDR3",DEC2HEX(IF('Step2-DDR Timings'!G28=5,"0",IF('Step2-DDR Timings'!G28=6,"1",IF('Step2-DDR Timings'!G28=7,"2","3")))),"0")</f>
        <v>0</v>
      </c>
      <c r="K37" s="42" t="str">
        <f>DEC2HEX(IF('Step1-System Details'!E21=16,"1","0"))</f>
        <v>1</v>
      </c>
      <c r="L37" s="42" t="str">
        <f>DEC2HEX(IF('Step1-System Details'!E19="DDR3",IF('Step2-DDR Timings'!G27=5,"2",IF('Step2-DDR Timings'!G27=6,"4",IF('Step2-DDR Timings'!G27=7,"6",IF('Step2-DDR Timings'!G27=8,"8",IF('Step2-DDR Timings'!G27=9,"10",IF('Step2-DDR Timings'!G27=10,"12",IF('Step2-DDR Timings'!G27=11,"14","0"))))))),IF('Step2-DDR Timings'!G27=3,"3",IF('Step2-DDR Timings'!G27=4,"4",IF('Step2-DDR Timings'!G27=5,"5",IF('Step2-DDR Timings'!G27=6,"6",IF('Step2-DDR Timings'!G27=7,"7",IF('Step2-DDR Timings'!G27=8,"8","0"))))))))</f>
        <v>2</v>
      </c>
      <c r="M37" s="42" t="str">
        <f>DEC2HEX(IF('Step1-System Details'!E37=9,"0",IF('Step1-System Details'!E37=10,"1",IF('Step1-System Details'!E37=11,"2",IF('Step1-System Details'!E37=12,"3",IF('Step1-System Details'!E37=13,"4",IF('Step1-System Details'!E37=14,"5",IF('Step1-System Details'!E37=15,"6","7"))))))))</f>
        <v>7</v>
      </c>
      <c r="N37" s="42" t="str">
        <f>DEC2HEX(IF('Step1-System Details'!E39=1,"0",IF('Step1-System Details'!E39=2,"1",IF('Step1-System Details'!E39=4,"2","3"))))</f>
        <v>3</v>
      </c>
      <c r="O37" s="42" t="str">
        <f>DEC2HEX(IF('Step1-System Details'!E23="Dual Rank",1,0))</f>
        <v>0</v>
      </c>
      <c r="P37" s="43" t="str">
        <f>DEC2HEX(IF('Step1-System Details'!E38=8,"0",IF('Step1-System Details'!E38=9,"1",IF('Step1-System Details'!E38=10,"2","3"))))</f>
        <v>2</v>
      </c>
    </row>
    <row r="38" spans="2:23" ht="13.5" thickBot="1" x14ac:dyDescent="0.25">
      <c r="B38" s="99" t="s">
        <v>43</v>
      </c>
      <c r="C38" s="60" t="str">
        <f>HEX2BIN(C37,3)</f>
        <v>011</v>
      </c>
      <c r="D38" s="60" t="str">
        <f>HEX2BIN(D37,2)</f>
        <v>00</v>
      </c>
      <c r="E38" s="45" t="str">
        <f>HEX2BIN(E37,3)</f>
        <v>001</v>
      </c>
      <c r="F38" s="45" t="str">
        <f>HEX2BIN(F37,1)</f>
        <v>1</v>
      </c>
      <c r="G38" s="45" t="str">
        <f>HEX2BIN(G37,2)</f>
        <v>01</v>
      </c>
      <c r="H38" s="45" t="str">
        <f>HEX2BIN(H37,1)</f>
        <v>0</v>
      </c>
      <c r="I38" s="45" t="str">
        <f>HEX2BIN(I37,2)</f>
        <v>00</v>
      </c>
      <c r="J38" s="45" t="str">
        <f>HEX2BIN(J37,2)</f>
        <v>00</v>
      </c>
      <c r="K38" s="45" t="str">
        <f>HEX2BIN(K37,2)</f>
        <v>01</v>
      </c>
      <c r="L38" s="45" t="str">
        <f>HEX2BIN(L37,4)</f>
        <v>0010</v>
      </c>
      <c r="M38" s="45" t="str">
        <f>HEX2BIN(M37,3)</f>
        <v>111</v>
      </c>
      <c r="N38" s="45" t="str">
        <f>HEX2BIN(N37,3)</f>
        <v>011</v>
      </c>
      <c r="O38" s="45" t="str">
        <f>HEX2BIN(O37,1)</f>
        <v>0</v>
      </c>
      <c r="P38" s="46" t="str">
        <f>HEX2BIN(P37,3)</f>
        <v>010</v>
      </c>
    </row>
    <row r="39" spans="2:23" ht="13.5" thickBot="1" x14ac:dyDescent="0.25">
      <c r="B39" s="61" t="s">
        <v>44</v>
      </c>
      <c r="C39" s="62" t="str">
        <f>CONCATENATE(R54,R55,R56,R57,R58,R59,R60,R61)</f>
        <v>61A04BB2</v>
      </c>
      <c r="R39" s="25" t="s">
        <v>47</v>
      </c>
      <c r="W39" s="25" t="s">
        <v>48</v>
      </c>
    </row>
    <row r="40" spans="2:23" x14ac:dyDescent="0.2">
      <c r="R40" s="25" t="str">
        <f>CONCATENATE(C31,D31,E31,F31,G31,H31)</f>
        <v>01010000111111111110001111111111</v>
      </c>
      <c r="W40" s="25" t="e">
        <f>CONCATENATE(#REF!,#REF!,#REF!,#REF!,#REF!,#REF!,#REF!)</f>
        <v>#REF!</v>
      </c>
    </row>
    <row r="41" spans="2:23" ht="13.5" thickBot="1" x14ac:dyDescent="0.25">
      <c r="R41" s="25" t="str">
        <f>BIN2HEX(RIGHT((LEFT(R40,4)),4))</f>
        <v>5</v>
      </c>
      <c r="W41" s="25" t="e">
        <f>BIN2HEX(RIGHT((LEFT(W40,4)),4))</f>
        <v>#REF!</v>
      </c>
    </row>
    <row r="42" spans="2:23" ht="13.5" thickBot="1" x14ac:dyDescent="0.25">
      <c r="B42" s="97" t="s">
        <v>235</v>
      </c>
      <c r="C42" s="82"/>
      <c r="D42" s="82"/>
      <c r="E42" s="82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25" t="str">
        <f>BIN2HEX(RIGHT((LEFT(R40,8)),4))</f>
        <v>0</v>
      </c>
      <c r="W42" s="25" t="e">
        <f>BIN2HEX(RIGHT((LEFT(W40,8)),4))</f>
        <v>#REF!</v>
      </c>
    </row>
    <row r="43" spans="2:23" ht="13.5" thickTop="1" x14ac:dyDescent="0.2">
      <c r="B43" s="98"/>
      <c r="C43" s="100" t="s">
        <v>541</v>
      </c>
      <c r="D43" s="68" t="s">
        <v>236</v>
      </c>
      <c r="E43" s="68" t="s">
        <v>542</v>
      </c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25" t="str">
        <f>BIN2HEX(RIGHT((LEFT(R40,12)),4))</f>
        <v>F</v>
      </c>
      <c r="W43" s="25" t="e">
        <f>BIN2HEX(RIGHT((LEFT(W40,12)),4))</f>
        <v>#REF!</v>
      </c>
    </row>
    <row r="44" spans="2:23" x14ac:dyDescent="0.2">
      <c r="B44" s="95" t="s">
        <v>40</v>
      </c>
      <c r="C44" s="93">
        <v>0</v>
      </c>
      <c r="D44" s="42">
        <v>0</v>
      </c>
      <c r="E44" s="42">
        <v>0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25" t="str">
        <f>BIN2HEX(RIGHT((LEFT(R40,16)),4))</f>
        <v>F</v>
      </c>
      <c r="W44" s="25" t="e">
        <f>BIN2HEX(RIGHT((LEFT(W40,16)),4))</f>
        <v>#REF!</v>
      </c>
    </row>
    <row r="45" spans="2:23" ht="13.5" thickBot="1" x14ac:dyDescent="0.25">
      <c r="B45" s="99" t="s">
        <v>43</v>
      </c>
      <c r="C45" s="60" t="str">
        <f>HEX2BIN(C44,4)</f>
        <v>0000</v>
      </c>
      <c r="D45" s="45" t="str">
        <f>HEX2BIN(D44,1)</f>
        <v>0</v>
      </c>
      <c r="E45" s="322" t="s">
        <v>543</v>
      </c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25" t="str">
        <f>BIN2HEX(RIGHT((LEFT(R40,20)),4))</f>
        <v>E</v>
      </c>
      <c r="T45" s="26"/>
      <c r="W45" s="25" t="e">
        <f>BIN2HEX(RIGHT((LEFT(W40,20)),4))</f>
        <v>#REF!</v>
      </c>
    </row>
    <row r="46" spans="2:23" ht="13.5" thickBot="1" x14ac:dyDescent="0.25">
      <c r="B46" s="61" t="s">
        <v>44</v>
      </c>
      <c r="C46" s="62" t="str">
        <f>CONCATENATE(R65,R66,R67,R68,R69,R70,R71,R72)</f>
        <v>00000000</v>
      </c>
      <c r="R46" s="25" t="str">
        <f>BIN2HEX(RIGHT((LEFT(R40,24)),4))</f>
        <v>3</v>
      </c>
      <c r="W46" s="25" t="e">
        <f>BIN2HEX(RIGHT((LEFT(W40,24)),4))</f>
        <v>#REF!</v>
      </c>
    </row>
    <row r="47" spans="2:23" x14ac:dyDescent="0.2">
      <c r="R47" s="25" t="str">
        <f>BIN2HEX(RIGHT((LEFT(R40,28)),4))</f>
        <v>F</v>
      </c>
      <c r="W47" s="25" t="e">
        <f>BIN2HEX(RIGHT((LEFT(W40,28)),4))</f>
        <v>#REF!</v>
      </c>
    </row>
    <row r="48" spans="2:23" ht="13.5" thickBot="1" x14ac:dyDescent="0.25">
      <c r="R48" s="25" t="str">
        <f>BIN2HEX(RIGHT((LEFT(R40,33)),4))</f>
        <v>F</v>
      </c>
      <c r="W48" s="25" t="e">
        <f>BIN2HEX(RIGHT((LEFT(W40,33)),4))</f>
        <v>#REF!</v>
      </c>
    </row>
    <row r="49" spans="2:18" ht="13.5" thickBot="1" x14ac:dyDescent="0.25">
      <c r="B49" s="97" t="s">
        <v>179</v>
      </c>
      <c r="C49" s="82"/>
      <c r="D49" s="82"/>
      <c r="E49" s="82"/>
      <c r="F49" s="82"/>
      <c r="G49" s="82"/>
      <c r="H49" s="82"/>
      <c r="I49" s="82"/>
      <c r="J49" s="82"/>
      <c r="K49" s="83"/>
    </row>
    <row r="50" spans="2:18" ht="13.5" thickTop="1" x14ac:dyDescent="0.2">
      <c r="B50" s="98"/>
      <c r="C50" s="100" t="s">
        <v>180</v>
      </c>
      <c r="D50" s="68" t="s">
        <v>182</v>
      </c>
      <c r="E50" s="68" t="s">
        <v>181</v>
      </c>
      <c r="F50" s="68" t="s">
        <v>183</v>
      </c>
      <c r="G50" s="68" t="s">
        <v>184</v>
      </c>
      <c r="H50" s="68" t="s">
        <v>185</v>
      </c>
      <c r="I50" s="68" t="s">
        <v>186</v>
      </c>
      <c r="J50" s="68" t="s">
        <v>187</v>
      </c>
      <c r="K50" s="54" t="s">
        <v>188</v>
      </c>
    </row>
    <row r="51" spans="2:18" x14ac:dyDescent="0.2">
      <c r="B51" s="95" t="s">
        <v>40</v>
      </c>
      <c r="C51" s="93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 t="str">
        <f>LEFT(DEC2HEX('Step2-DDR Timings'!G51,4),2)</f>
        <v>06</v>
      </c>
      <c r="K51" s="43" t="str">
        <f>RIGHT(DEC2HEX('Step2-DDR Timings'!G51,4),2)</f>
        <v>18</v>
      </c>
    </row>
    <row r="52" spans="2:18" ht="13.5" thickBot="1" x14ac:dyDescent="0.25">
      <c r="B52" s="99" t="s">
        <v>43</v>
      </c>
      <c r="C52" s="60" t="str">
        <f>HEX2BIN(C51,1)</f>
        <v>0</v>
      </c>
      <c r="D52" s="60" t="str">
        <f>HEX2BIN(D51,1)</f>
        <v>0</v>
      </c>
      <c r="E52" s="45" t="str">
        <f>HEX2BIN(E51,1)</f>
        <v>0</v>
      </c>
      <c r="F52" s="45" t="str">
        <f>HEX2BIN(F51,1)</f>
        <v>0</v>
      </c>
      <c r="G52" s="45" t="str">
        <f>HEX2BIN(G51,1)</f>
        <v>0</v>
      </c>
      <c r="H52" s="45" t="str">
        <f>HEX2BIN(H51,3)</f>
        <v>000</v>
      </c>
      <c r="I52" s="45" t="str">
        <f>HEX2BIN(I51,8)</f>
        <v>00000000</v>
      </c>
      <c r="J52" s="45" t="str">
        <f>HEX2BIN(J51,8)</f>
        <v>00000110</v>
      </c>
      <c r="K52" s="46" t="str">
        <f>HEX2BIN(K51,8)</f>
        <v>00011000</v>
      </c>
      <c r="R52" s="25" t="s">
        <v>155</v>
      </c>
    </row>
    <row r="53" spans="2:18" ht="13.5" thickBot="1" x14ac:dyDescent="0.25">
      <c r="B53" s="61" t="s">
        <v>44</v>
      </c>
      <c r="C53" s="62" t="str">
        <f>CONCATENATE(R76,R77,R78,R79,R80,R81,R82,R83)</f>
        <v>00000618</v>
      </c>
      <c r="R53" s="25" t="str">
        <f>CONCATENATE(C38,D38,E38,F38,G38,H38,I38,J38,K38,L38,M38,N38,O38,P38)</f>
        <v>01100001101000000100101110110010</v>
      </c>
    </row>
    <row r="54" spans="2:18" x14ac:dyDescent="0.2">
      <c r="R54" s="25" t="str">
        <f>BIN2HEX(RIGHT((LEFT(R53,4)),4))</f>
        <v>6</v>
      </c>
    </row>
    <row r="55" spans="2:18" ht="13.5" thickBot="1" x14ac:dyDescent="0.25">
      <c r="R55" s="25" t="str">
        <f>BIN2HEX(RIGHT((LEFT(R53,8)),4))</f>
        <v>1</v>
      </c>
    </row>
    <row r="56" spans="2:18" ht="13.5" hidden="1" thickBot="1" x14ac:dyDescent="0.25">
      <c r="B56" s="97" t="s">
        <v>257</v>
      </c>
      <c r="C56" s="82"/>
      <c r="D56" s="82"/>
      <c r="E56" s="82"/>
      <c r="F56" s="82"/>
      <c r="G56" s="82"/>
      <c r="H56" s="83"/>
      <c r="R56" s="25" t="str">
        <f>BIN2HEX(RIGHT((LEFT(R53,12)),4))</f>
        <v>A</v>
      </c>
    </row>
    <row r="57" spans="2:18" ht="13.5" hidden="1" thickTop="1" x14ac:dyDescent="0.2">
      <c r="B57" s="98"/>
      <c r="C57" s="52" t="s">
        <v>258</v>
      </c>
      <c r="D57" s="156" t="s">
        <v>259</v>
      </c>
      <c r="E57" s="156" t="s">
        <v>260</v>
      </c>
      <c r="F57" s="156" t="s">
        <v>261</v>
      </c>
      <c r="G57" s="156" t="s">
        <v>262</v>
      </c>
      <c r="H57" s="54" t="s">
        <v>263</v>
      </c>
      <c r="R57" s="25" t="str">
        <f>BIN2HEX(RIGHT((LEFT(R53,16)),4))</f>
        <v>0</v>
      </c>
    </row>
    <row r="58" spans="2:18" hidden="1" x14ac:dyDescent="0.2">
      <c r="B58" s="95" t="s">
        <v>40</v>
      </c>
      <c r="C58" s="41" t="str">
        <f>DEC2HEX(IF('Step1-System Details'!E23="NA",0,IF('Step1-System Details'!E23="CS0",0,1)))</f>
        <v>1</v>
      </c>
      <c r="D58" s="42" t="str">
        <f>DEC2HEX(IF('Step1-System Details'!E24="NA",0,IF('Step1-System Details'!E24=0,0,1)))</f>
        <v>0</v>
      </c>
      <c r="E58" s="42">
        <v>0</v>
      </c>
      <c r="F58" s="42">
        <v>0</v>
      </c>
      <c r="G58" s="42">
        <v>0</v>
      </c>
      <c r="H58" s="43" t="str">
        <f>DEC2HEX(IF('Step1-System Details'!E25="NA","0",IF('Step1-System Details'!E25="MR1","1",IF('Step1-System Details'!E25="MR2","2","10"))))</f>
        <v>0</v>
      </c>
      <c r="R58" s="25" t="str">
        <f>BIN2HEX(RIGHT((LEFT(R53,20)),4))</f>
        <v>4</v>
      </c>
    </row>
    <row r="59" spans="2:18" ht="13.5" hidden="1" thickBot="1" x14ac:dyDescent="0.25">
      <c r="B59" s="94" t="s">
        <v>43</v>
      </c>
      <c r="C59" s="60" t="str">
        <f>HEX2BIN(C58,1)</f>
        <v>1</v>
      </c>
      <c r="D59" s="45" t="str">
        <f>HEX2BIN(D58,1)</f>
        <v>0</v>
      </c>
      <c r="E59" s="45" t="str">
        <f>HEX2BIN(E58,10)</f>
        <v>0000000000</v>
      </c>
      <c r="F59" s="45" t="str">
        <f>HEX2BIN(F58,10)</f>
        <v>0000000000</v>
      </c>
      <c r="G59" s="45" t="str">
        <f>HEX2BIN(G58,2)</f>
        <v>00</v>
      </c>
      <c r="H59" s="46" t="str">
        <f>HEX2BIN(H58,8)</f>
        <v>00000000</v>
      </c>
      <c r="R59" s="25" t="str">
        <f>BIN2HEX(RIGHT((LEFT(R53,24)),4))</f>
        <v>B</v>
      </c>
    </row>
    <row r="60" spans="2:18" ht="13.5" hidden="1" thickBot="1" x14ac:dyDescent="0.25">
      <c r="B60" s="61" t="s">
        <v>44</v>
      </c>
      <c r="C60" s="62" t="e">
        <f>CONCATENATE(#REF!,#REF!,#REF!,#REF!,#REF!,#REF!,#REF!,#REF!)</f>
        <v>#REF!</v>
      </c>
      <c r="R60" s="25" t="str">
        <f>BIN2HEX(RIGHT((LEFT(R53,28)),4))</f>
        <v>B</v>
      </c>
    </row>
    <row r="61" spans="2:18" hidden="1" x14ac:dyDescent="0.2">
      <c r="R61" s="160" t="str">
        <f>BIN2HEX(RIGHT((LEFT(R53,33)),4))</f>
        <v>2</v>
      </c>
    </row>
    <row r="62" spans="2:18" ht="13.5" hidden="1" thickBot="1" x14ac:dyDescent="0.25"/>
    <row r="63" spans="2:18" ht="13.5" thickBot="1" x14ac:dyDescent="0.25">
      <c r="B63" s="97" t="s">
        <v>379</v>
      </c>
      <c r="C63" s="82"/>
      <c r="D63" s="82"/>
      <c r="E63" s="82"/>
      <c r="F63" s="82"/>
      <c r="G63" s="82"/>
      <c r="H63" s="83"/>
      <c r="I63" s="348"/>
      <c r="R63" s="25" t="s">
        <v>240</v>
      </c>
    </row>
    <row r="64" spans="2:18" ht="13.5" thickTop="1" x14ac:dyDescent="0.2">
      <c r="B64" s="98"/>
      <c r="C64" s="52" t="s">
        <v>381</v>
      </c>
      <c r="D64" s="156" t="s">
        <v>380</v>
      </c>
      <c r="E64" s="156" t="s">
        <v>159</v>
      </c>
      <c r="F64" s="53" t="s">
        <v>160</v>
      </c>
      <c r="G64" s="53" t="s">
        <v>161</v>
      </c>
      <c r="H64" s="54" t="s">
        <v>162</v>
      </c>
      <c r="I64" s="57"/>
      <c r="R64" s="25" t="str">
        <f>CONCATENATE(C45,D45,E45)</f>
        <v>00000000000000000000000000000000</v>
      </c>
    </row>
    <row r="65" spans="2:18" x14ac:dyDescent="0.2">
      <c r="B65" s="95" t="s">
        <v>40</v>
      </c>
      <c r="C65" s="41">
        <v>0</v>
      </c>
      <c r="D65" s="42">
        <v>0</v>
      </c>
      <c r="E65" s="42" t="str">
        <f>DEC2HEX(IF('Step1-System Details'!E67="Fastest: SR[4:3] = 0b00","0",IF('Step1-System Details'!E67="Fast: SR[4:3] = 0b10","2",IF('Step1-System Details'!E67="Slow: SR[4:3] = 0b01","1","3"))))</f>
        <v>1</v>
      </c>
      <c r="F65" s="42" t="str">
        <f>DEC2HEX(IF('Step1-System Details'!E70=80,"0",IF('Step1-System Details'!E70=67,"1",IF('Step1-System Details'!E70=57,"2",IF('Step1-System Details'!E70=50,"3",IF('Step1-System Details'!E70=44,"4",IF('Step1-System Details'!E70=40,"5",IF('Step1-System Details'!E70=36,"6","7"))))))))</f>
        <v>4</v>
      </c>
      <c r="G65" s="42" t="str">
        <f>DEC2HEX(IF('Step1-System Details'!E68="Fastest: SR[4:3] = 0b00","0",IF('Step1-System Details'!E68="Fast: SR[4:3] = 0b10","2",IF('Step1-System Details'!E68="Slow: SR[4:3] = 0b01","1","3"))))</f>
        <v>1</v>
      </c>
      <c r="H65" s="43" t="str">
        <f>DEC2HEX(IF('Step1-System Details'!E71=80,"0",IF('Step1-System Details'!E71=67,"1",IF('Step1-System Details'!E71=57,"2",IF('Step1-System Details'!E71=50,"3",IF('Step1-System Details'!E71=44,"4",IF('Step1-System Details'!E71=40,"5",IF('Step1-System Details'!E71=36,"6","7"))))))))</f>
        <v>3</v>
      </c>
      <c r="I65" s="50"/>
      <c r="R65" s="25" t="str">
        <f>BIN2HEX(RIGHT((LEFT(R64,4)),4))</f>
        <v>0</v>
      </c>
    </row>
    <row r="66" spans="2:18" ht="13.5" thickBot="1" x14ac:dyDescent="0.25">
      <c r="B66" s="94" t="s">
        <v>43</v>
      </c>
      <c r="C66" s="349" t="s">
        <v>382</v>
      </c>
      <c r="D66" s="322" t="s">
        <v>382</v>
      </c>
      <c r="E66" s="45" t="str">
        <f>HEX2BIN(E65,2)</f>
        <v>01</v>
      </c>
      <c r="F66" s="45" t="str">
        <f>HEX2BIN(F65,3)</f>
        <v>100</v>
      </c>
      <c r="G66" s="45" t="str">
        <f>HEX2BIN(G65,2)</f>
        <v>01</v>
      </c>
      <c r="H66" s="46" t="str">
        <f>HEX2BIN(H65,3)</f>
        <v>011</v>
      </c>
      <c r="I66" s="50"/>
      <c r="R66" s="25" t="str">
        <f>BIN2HEX(RIGHT((LEFT(R64,8)),4))</f>
        <v>0</v>
      </c>
    </row>
    <row r="67" spans="2:18" ht="13.5" thickBot="1" x14ac:dyDescent="0.25">
      <c r="B67" s="61" t="s">
        <v>44</v>
      </c>
      <c r="C67" s="62" t="str">
        <f>CONCATENATE(R87,R88,R89,R90,R91,R92,R93,R94)</f>
        <v>0000018B</v>
      </c>
      <c r="R67" s="25" t="str">
        <f>BIN2HEX(RIGHT((LEFT(R64,12)),4))</f>
        <v>0</v>
      </c>
    </row>
    <row r="68" spans="2:18" x14ac:dyDescent="0.2">
      <c r="R68" s="25" t="str">
        <f>BIN2HEX(RIGHT((LEFT(R64,16)),4))</f>
        <v>0</v>
      </c>
    </row>
    <row r="69" spans="2:18" ht="13.5" thickBot="1" x14ac:dyDescent="0.25">
      <c r="R69" s="25" t="str">
        <f>BIN2HEX(RIGHT((LEFT(R64,20)),4))</f>
        <v>0</v>
      </c>
    </row>
    <row r="70" spans="2:18" ht="13.5" thickBot="1" x14ac:dyDescent="0.25">
      <c r="B70" s="97" t="s">
        <v>174</v>
      </c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3"/>
      <c r="R70" s="25" t="str">
        <f>BIN2HEX(RIGHT((LEFT(R64,24)),4))</f>
        <v>0</v>
      </c>
    </row>
    <row r="71" spans="2:18" ht="13.5" thickTop="1" x14ac:dyDescent="0.2">
      <c r="B71" s="98"/>
      <c r="C71" s="100" t="s">
        <v>164</v>
      </c>
      <c r="D71" s="68" t="s">
        <v>165</v>
      </c>
      <c r="E71" s="68" t="s">
        <v>166</v>
      </c>
      <c r="F71" s="68" t="s">
        <v>167</v>
      </c>
      <c r="G71" s="68" t="s">
        <v>168</v>
      </c>
      <c r="H71" s="68" t="s">
        <v>169</v>
      </c>
      <c r="I71" s="68" t="s">
        <v>170</v>
      </c>
      <c r="J71" s="68" t="s">
        <v>171</v>
      </c>
      <c r="K71" s="69" t="s">
        <v>160</v>
      </c>
      <c r="L71" s="68" t="s">
        <v>172</v>
      </c>
      <c r="M71" s="54" t="s">
        <v>173</v>
      </c>
      <c r="R71" s="25" t="str">
        <f>BIN2HEX(RIGHT((LEFT(R64,28)),4))</f>
        <v>0</v>
      </c>
    </row>
    <row r="72" spans="2:18" x14ac:dyDescent="0.2">
      <c r="B72" s="95" t="s">
        <v>40</v>
      </c>
      <c r="C72" s="93">
        <v>0</v>
      </c>
      <c r="D72" s="42">
        <f>IF('Step1-System Details'!E19="DDR3",0,1)</f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 t="str">
        <f>DEC2HEX(IF('Step1-System Details'!E69="Fastest: SR[4:3] = 0b00","0",IF('Step1-System Details'!E69="Fast: SR[4:3] = 0b10","2",IF('Step1-System Details'!E69="Slow: SR[4:3] = 0b01","1","3"))))</f>
        <v>1</v>
      </c>
      <c r="K72" s="42" t="str">
        <f>DEC2HEX(IF('Step1-System Details'!E72=80,"0",IF('Step1-System Details'!E72=67,"1",IF('Step1-System Details'!E72=57,"2",IF('Step1-System Details'!E72=50,"3",IF('Step1-System Details'!E72=44,"4",IF('Step1-System Details'!E72=40,"5",IF('Step1-System Details'!E72=36,"6","7"))))))))</f>
        <v>4</v>
      </c>
      <c r="L72" s="42" t="str">
        <f>DEC2HEX(IF('Step1-System Details'!E69="Fastest: SR[4:3] = 0b00","0",IF('Step1-System Details'!E69="Fast: SR[4:3] = 0b10","2",IF('Step1-System Details'!E69="Slow: SR[4:3] = 0b01","1","3"))))</f>
        <v>1</v>
      </c>
      <c r="M72" s="43" t="str">
        <f>DEC2HEX(IF('Step1-System Details'!E73=80,"0",IF('Step1-System Details'!E73=67,"1",IF('Step1-System Details'!E73=57,"2",IF('Step1-System Details'!E73=50,"3",IF('Step1-System Details'!E73=44,"4",IF('Step1-System Details'!E73=40,"5",IF('Step1-System Details'!E73=36,"6","7"))))))))</f>
        <v>3</v>
      </c>
      <c r="R72" s="160" t="str">
        <f>BIN2HEX(RIGHT((LEFT(R64,33)),4))</f>
        <v>0</v>
      </c>
    </row>
    <row r="73" spans="2:18" ht="13.5" thickBot="1" x14ac:dyDescent="0.25">
      <c r="B73" s="99" t="s">
        <v>43</v>
      </c>
      <c r="C73" s="60" t="str">
        <f>HEX2BIN(C72,2)</f>
        <v>00</v>
      </c>
      <c r="D73" s="60" t="str">
        <f>HEX2BIN(D72,1)</f>
        <v>0</v>
      </c>
      <c r="E73" s="45" t="str">
        <f>HEX2BIN(E72,1)</f>
        <v>0</v>
      </c>
      <c r="F73" s="45" t="str">
        <f>HEX2BIN(F72,8)</f>
        <v>00000000</v>
      </c>
      <c r="G73" s="45" t="str">
        <f>HEX2BIN(G72,1)</f>
        <v>0</v>
      </c>
      <c r="H73" s="45" t="str">
        <f>HEX2BIN(H72,1)</f>
        <v>0</v>
      </c>
      <c r="I73" s="45" t="str">
        <f>HEX2BIN(I72,8)</f>
        <v>00000000</v>
      </c>
      <c r="J73" s="45" t="str">
        <f>HEX2BIN(J72,2)</f>
        <v>01</v>
      </c>
      <c r="K73" s="45" t="str">
        <f>HEX2BIN(K72,3)</f>
        <v>100</v>
      </c>
      <c r="L73" s="45" t="str">
        <f>HEX2BIN(L72,2)</f>
        <v>01</v>
      </c>
      <c r="M73" s="46" t="str">
        <f>HEX2BIN(M72,3)</f>
        <v>011</v>
      </c>
    </row>
    <row r="74" spans="2:18" ht="13.5" thickBot="1" x14ac:dyDescent="0.25">
      <c r="B74" s="61" t="s">
        <v>44</v>
      </c>
      <c r="C74" s="62" t="str">
        <f>CONCATENATE(R98,R99,R100,R101,R102,R103,R104,R105)</f>
        <v>0000018B</v>
      </c>
      <c r="R74" s="25" t="s">
        <v>481</v>
      </c>
    </row>
    <row r="75" spans="2:18" x14ac:dyDescent="0.2">
      <c r="R75" s="25" t="str">
        <f>CONCATENATE(C52,D52,E52,F52,G52,H52,I52,J52,K52)</f>
        <v>00000000000000000000011000011000</v>
      </c>
    </row>
    <row r="76" spans="2:18" ht="13.5" thickBot="1" x14ac:dyDescent="0.25">
      <c r="R76" s="25" t="str">
        <f>BIN2HEX(RIGHT((LEFT(R75,4)),4))</f>
        <v>0</v>
      </c>
    </row>
    <row r="77" spans="2:18" ht="13.5" thickBot="1" x14ac:dyDescent="0.25">
      <c r="B77" s="97" t="s">
        <v>482</v>
      </c>
      <c r="C77" s="82"/>
      <c r="D77" s="82"/>
      <c r="E77" s="82"/>
      <c r="F77" s="82"/>
      <c r="G77" s="82"/>
      <c r="H77" s="82"/>
      <c r="I77" s="82"/>
      <c r="J77" s="82"/>
      <c r="K77" s="82"/>
      <c r="L77" s="83"/>
      <c r="M77" s="56"/>
      <c r="N77" s="56"/>
      <c r="O77" s="56"/>
      <c r="R77" s="25" t="str">
        <f>BIN2HEX(RIGHT((LEFT(R75,8)),4))</f>
        <v>0</v>
      </c>
    </row>
    <row r="78" spans="2:18" ht="13.5" thickTop="1" x14ac:dyDescent="0.2">
      <c r="B78" s="98"/>
      <c r="C78" s="68" t="s">
        <v>381</v>
      </c>
      <c r="D78" s="68" t="s">
        <v>484</v>
      </c>
      <c r="E78" s="68" t="s">
        <v>480</v>
      </c>
      <c r="F78" s="68" t="s">
        <v>479</v>
      </c>
      <c r="G78" s="68" t="s">
        <v>478</v>
      </c>
      <c r="H78" s="69" t="s">
        <v>477</v>
      </c>
      <c r="I78" s="68" t="s">
        <v>476</v>
      </c>
      <c r="J78" s="68" t="s">
        <v>475</v>
      </c>
      <c r="K78" s="68" t="s">
        <v>474</v>
      </c>
      <c r="L78" s="249" t="s">
        <v>473</v>
      </c>
      <c r="M78" s="366"/>
      <c r="N78" s="366"/>
      <c r="O78" s="366"/>
      <c r="R78" s="25" t="str">
        <f>BIN2HEX(RIGHT((LEFT(R75,12)),4))</f>
        <v>0</v>
      </c>
    </row>
    <row r="79" spans="2:18" x14ac:dyDescent="0.2">
      <c r="B79" s="95" t="s">
        <v>40</v>
      </c>
      <c r="C79" s="42">
        <f>IF('Step1-System Details'!E19="DDR3",0,1)</f>
        <v>0</v>
      </c>
      <c r="D79" s="42">
        <v>1</v>
      </c>
      <c r="E79" s="42">
        <f>IF('Step1-System Details'!E19="DDR3",0,1)</f>
        <v>0</v>
      </c>
      <c r="F79" s="42">
        <v>0</v>
      </c>
      <c r="G79" s="42">
        <f>IF('Step1-System Details'!E19="DDR3",0,1)</f>
        <v>0</v>
      </c>
      <c r="H79" s="42">
        <v>0</v>
      </c>
      <c r="I79" s="42">
        <v>0</v>
      </c>
      <c r="J79" s="372">
        <f>IF('Step1-System Details'!E66="Full Thevenin",2,IF('Step1-System Details'!E66="Half Thevenin",3,0))</f>
        <v>2</v>
      </c>
      <c r="K79" s="42">
        <v>0</v>
      </c>
      <c r="L79" s="43" t="str">
        <f>DEC2HEX(IF('Invert Clock'!$E$18=1,'Step2-DDR Timings'!G27+2,'Step2-DDR Timings'!G27+1))</f>
        <v>7</v>
      </c>
      <c r="M79" s="50"/>
      <c r="N79" s="50"/>
      <c r="O79" s="50"/>
      <c r="R79" s="25" t="str">
        <f>BIN2HEX(RIGHT((LEFT(R75,16)),4))</f>
        <v>0</v>
      </c>
    </row>
    <row r="80" spans="2:18" ht="13.5" thickBot="1" x14ac:dyDescent="0.25">
      <c r="B80" s="99" t="s">
        <v>43</v>
      </c>
      <c r="C80" s="322" t="s">
        <v>382</v>
      </c>
      <c r="D80" s="45" t="str">
        <f>HEX2BIN(D79,1)</f>
        <v>1</v>
      </c>
      <c r="E80" s="45" t="str">
        <f>HEX2BIN(E79,4)</f>
        <v>0000</v>
      </c>
      <c r="F80" s="45" t="str">
        <f>HEX2BIN(F79,1)</f>
        <v>0</v>
      </c>
      <c r="G80" s="45" t="str">
        <f>HEX2BIN(G79,1)</f>
        <v>0</v>
      </c>
      <c r="H80" s="45" t="str">
        <f>HEX2BIN(H79,2)</f>
        <v>00</v>
      </c>
      <c r="I80" s="45" t="str">
        <f>HEX2BIN(I79,2)</f>
        <v>00</v>
      </c>
      <c r="J80" s="45" t="str">
        <f>HEX2BIN(J79,2)</f>
        <v>10</v>
      </c>
      <c r="K80" s="45" t="str">
        <f>HEX2BIN(K79,3)</f>
        <v>000</v>
      </c>
      <c r="L80" s="46" t="str">
        <f>HEX2BIN(L79,5)</f>
        <v>00111</v>
      </c>
      <c r="M80" s="50"/>
      <c r="N80" s="50"/>
      <c r="O80" s="50"/>
      <c r="R80" s="25" t="str">
        <f>BIN2HEX(RIGHT((LEFT(R75,20)),4))</f>
        <v>0</v>
      </c>
    </row>
    <row r="81" spans="2:18" ht="13.5" thickBot="1" x14ac:dyDescent="0.25">
      <c r="B81" s="61" t="s">
        <v>44</v>
      </c>
      <c r="C81" s="62" t="str">
        <f>CONCATENATE(R109,R110,R111,R112,R113,R114,R115,R116)</f>
        <v>00100207</v>
      </c>
      <c r="R81" s="25" t="str">
        <f>BIN2HEX(RIGHT((LEFT(R75,24)),4))</f>
        <v>6</v>
      </c>
    </row>
    <row r="82" spans="2:18" x14ac:dyDescent="0.2">
      <c r="R82" s="25" t="str">
        <f>BIN2HEX(RIGHT((LEFT(R75,28)),4))</f>
        <v>1</v>
      </c>
    </row>
    <row r="83" spans="2:18" ht="13.5" thickBot="1" x14ac:dyDescent="0.25">
      <c r="R83" s="160" t="str">
        <f>BIN2HEX(RIGHT((LEFT(R75,33)),4))</f>
        <v>8</v>
      </c>
    </row>
    <row r="84" spans="2:18" ht="13.5" thickBot="1" x14ac:dyDescent="0.25">
      <c r="B84" s="97" t="s">
        <v>405</v>
      </c>
      <c r="C84" s="82"/>
      <c r="D84" s="82"/>
      <c r="E84" s="82"/>
      <c r="F84" s="82"/>
      <c r="G84" s="82"/>
      <c r="H84" s="82"/>
      <c r="I84" s="82"/>
      <c r="J84" s="82"/>
      <c r="K84" s="83"/>
    </row>
    <row r="85" spans="2:18" ht="13.5" thickTop="1" x14ac:dyDescent="0.2">
      <c r="B85" s="98"/>
      <c r="C85" s="310" t="s">
        <v>307</v>
      </c>
      <c r="D85" s="309" t="s">
        <v>308</v>
      </c>
      <c r="E85" s="308" t="s">
        <v>309</v>
      </c>
      <c r="F85" s="156" t="s">
        <v>310</v>
      </c>
      <c r="G85" s="53" t="s">
        <v>311</v>
      </c>
      <c r="H85" s="53" t="s">
        <v>312</v>
      </c>
      <c r="I85" s="53" t="s">
        <v>313</v>
      </c>
      <c r="J85" s="317" t="s">
        <v>326</v>
      </c>
      <c r="K85" s="316" t="s">
        <v>327</v>
      </c>
      <c r="R85" s="25" t="s">
        <v>163</v>
      </c>
    </row>
    <row r="86" spans="2:18" x14ac:dyDescent="0.2">
      <c r="B86" s="95" t="s">
        <v>40</v>
      </c>
      <c r="C86" s="93">
        <f>IF('Step1-System Details'!E23="Single Rank",0,1)</f>
        <v>0</v>
      </c>
      <c r="D86" s="42">
        <v>1</v>
      </c>
      <c r="E86" s="93">
        <v>0</v>
      </c>
      <c r="F86" s="42">
        <f>'Step1-System Details'!E55</f>
        <v>1</v>
      </c>
      <c r="G86" s="42">
        <v>0</v>
      </c>
      <c r="H86" s="42">
        <v>1</v>
      </c>
      <c r="I86" s="304">
        <v>3</v>
      </c>
      <c r="J86" s="42" t="str">
        <f>LEFT(DEC2HEX(ROUND(((0.5/(('Step1-System Details'!E56*'Step1-System Details'!E58)+('Step1-System Details'!E57*'Step1-System Details'!E59)))*1000)/('Step2-DDR Timings'!F51/1000000),0)),2)</f>
        <v>97</v>
      </c>
      <c r="K86" s="318" t="str">
        <f>RIGHT(DEC2HEX(ROUND(((0.5/(('Step1-System Details'!E56*'Step1-System Details'!E58)+('Step1-System Details'!E57*'Step1-System Details'!E59)))*1000)/('Step2-DDR Timings'!F51/1000000),0)),2)</f>
        <v>C2</v>
      </c>
      <c r="R86" s="25" t="str">
        <f>CONCATENATE(C66,D66,E66,F66,G66,H66)</f>
        <v>00000000000000000000000110001011</v>
      </c>
    </row>
    <row r="87" spans="2:18" ht="13.5" thickBot="1" x14ac:dyDescent="0.25">
      <c r="B87" s="99" t="s">
        <v>43</v>
      </c>
      <c r="C87" s="60" t="str">
        <f>HEX2BIN(C86,1)</f>
        <v>0</v>
      </c>
      <c r="D87" s="45" t="str">
        <f>HEX2BIN(D86,1)</f>
        <v>1</v>
      </c>
      <c r="E87" s="45" t="str">
        <f>HEX2BIN(E86,1)</f>
        <v>0</v>
      </c>
      <c r="F87" s="45" t="str">
        <f>HEX2BIN(F86,1)</f>
        <v>1</v>
      </c>
      <c r="G87" s="45" t="str">
        <f>HEX2BIN(G86,8)</f>
        <v>00000000</v>
      </c>
      <c r="H87" s="45" t="str">
        <f>HEX2BIN(H86,2)</f>
        <v>01</v>
      </c>
      <c r="I87" s="305" t="str">
        <f>HEX2BIN(I86,2)</f>
        <v>11</v>
      </c>
      <c r="J87" s="45" t="str">
        <f>HEX2BIN(J86,8)</f>
        <v>10010111</v>
      </c>
      <c r="K87" s="319" t="str">
        <f>HEX2BIN(K86,8)</f>
        <v>11000010</v>
      </c>
      <c r="R87" s="25" t="str">
        <f>BIN2HEX(RIGHT((LEFT(R86,4)),4))</f>
        <v>0</v>
      </c>
    </row>
    <row r="88" spans="2:18" ht="13.5" thickBot="1" x14ac:dyDescent="0.25">
      <c r="B88" s="306" t="s">
        <v>44</v>
      </c>
      <c r="C88" s="307" t="str">
        <f>CONCATENATE(R120,R121,R122,R123,R124,R125,R126,R127)</f>
        <v>500797C2</v>
      </c>
      <c r="R88" s="25" t="str">
        <f>BIN2HEX(RIGHT((LEFT(R86,8)),4))</f>
        <v>0</v>
      </c>
    </row>
    <row r="89" spans="2:18" x14ac:dyDescent="0.2">
      <c r="R89" s="25" t="str">
        <f>BIN2HEX(RIGHT((LEFT(R86,12)),4))</f>
        <v>0</v>
      </c>
    </row>
    <row r="90" spans="2:18" x14ac:dyDescent="0.2">
      <c r="R90" s="25" t="str">
        <f>BIN2HEX(RIGHT((LEFT(R86,16)),4))</f>
        <v>0</v>
      </c>
    </row>
    <row r="91" spans="2:18" x14ac:dyDescent="0.2">
      <c r="R91" s="25" t="str">
        <f>BIN2HEX(RIGHT((LEFT(R86,20)),4))</f>
        <v>0</v>
      </c>
    </row>
    <row r="92" spans="2:18" x14ac:dyDescent="0.2">
      <c r="R92" s="25" t="str">
        <f>BIN2HEX(RIGHT((LEFT(R86,24)),4))</f>
        <v>1</v>
      </c>
    </row>
    <row r="93" spans="2:18" x14ac:dyDescent="0.2">
      <c r="R93" s="25" t="str">
        <f>BIN2HEX(RIGHT((LEFT(R86,28)),4))</f>
        <v>8</v>
      </c>
    </row>
    <row r="94" spans="2:18" x14ac:dyDescent="0.2">
      <c r="R94" s="25" t="str">
        <f>BIN2HEX(RIGHT((LEFT(R86,33)),4))</f>
        <v>B</v>
      </c>
    </row>
    <row r="96" spans="2:18" x14ac:dyDescent="0.2">
      <c r="R96" s="25" t="s">
        <v>175</v>
      </c>
    </row>
    <row r="97" spans="18:18" x14ac:dyDescent="0.2">
      <c r="R97" s="25" t="str">
        <f>CONCATENATE(C73,D73,E73,F73,G73,H73,I73,J73,K73,L73,M73)</f>
        <v>00000000000000000000000110001011</v>
      </c>
    </row>
    <row r="98" spans="18:18" x14ac:dyDescent="0.2">
      <c r="R98" s="25" t="str">
        <f>BIN2HEX(RIGHT((LEFT(R97,4)),4))</f>
        <v>0</v>
      </c>
    </row>
    <row r="99" spans="18:18" x14ac:dyDescent="0.2">
      <c r="R99" s="25" t="str">
        <f>BIN2HEX(RIGHT((LEFT(R97,8)),4))</f>
        <v>0</v>
      </c>
    </row>
    <row r="100" spans="18:18" x14ac:dyDescent="0.2">
      <c r="R100" s="25" t="str">
        <f>BIN2HEX(RIGHT((LEFT(R97,12)),4))</f>
        <v>0</v>
      </c>
    </row>
    <row r="101" spans="18:18" x14ac:dyDescent="0.2">
      <c r="R101" s="25" t="str">
        <f>BIN2HEX(RIGHT((LEFT(R97,16)),4))</f>
        <v>0</v>
      </c>
    </row>
    <row r="102" spans="18:18" x14ac:dyDescent="0.2">
      <c r="R102" s="25" t="str">
        <f>BIN2HEX(RIGHT((LEFT(R97,20)),4))</f>
        <v>0</v>
      </c>
    </row>
    <row r="103" spans="18:18" x14ac:dyDescent="0.2">
      <c r="R103" s="25" t="str">
        <f>BIN2HEX(RIGHT((LEFT(R97,24)),4))</f>
        <v>1</v>
      </c>
    </row>
    <row r="104" spans="18:18" x14ac:dyDescent="0.2">
      <c r="R104" s="25" t="str">
        <f>BIN2HEX(RIGHT((LEFT(R97,28)),4))</f>
        <v>8</v>
      </c>
    </row>
    <row r="105" spans="18:18" x14ac:dyDescent="0.2">
      <c r="R105" s="25" t="str">
        <f>BIN2HEX(RIGHT((LEFT(R97,33)),4))</f>
        <v>B</v>
      </c>
    </row>
    <row r="107" spans="18:18" x14ac:dyDescent="0.2">
      <c r="R107" s="25" t="s">
        <v>483</v>
      </c>
    </row>
    <row r="108" spans="18:18" x14ac:dyDescent="0.2">
      <c r="R108" s="25" t="str">
        <f>CONCATENATE(C80,D80,E80,F80,G80,H80,I80,J80,K80,L80)</f>
        <v>00000000000100000000001000000111</v>
      </c>
    </row>
    <row r="109" spans="18:18" x14ac:dyDescent="0.2">
      <c r="R109" s="25" t="str">
        <f>BIN2HEX(RIGHT((LEFT(R108,4)),4))</f>
        <v>0</v>
      </c>
    </row>
    <row r="110" spans="18:18" x14ac:dyDescent="0.2">
      <c r="R110" s="25" t="str">
        <f>BIN2HEX(RIGHT((LEFT(R108,8)),4))</f>
        <v>0</v>
      </c>
    </row>
    <row r="111" spans="18:18" x14ac:dyDescent="0.2">
      <c r="R111" s="25" t="str">
        <f>BIN2HEX(RIGHT((LEFT(R108,12)),4))</f>
        <v>1</v>
      </c>
    </row>
    <row r="112" spans="18:18" x14ac:dyDescent="0.2">
      <c r="R112" s="25" t="str">
        <f>BIN2HEX(RIGHT((LEFT(R108,16)),4))</f>
        <v>0</v>
      </c>
    </row>
    <row r="113" spans="18:18" x14ac:dyDescent="0.2">
      <c r="R113" s="25" t="str">
        <f>BIN2HEX(RIGHT((LEFT(R108,20)),4))</f>
        <v>0</v>
      </c>
    </row>
    <row r="114" spans="18:18" x14ac:dyDescent="0.2">
      <c r="R114" s="25" t="str">
        <f>BIN2HEX(RIGHT((LEFT(R108,24)),4))</f>
        <v>2</v>
      </c>
    </row>
    <row r="115" spans="18:18" x14ac:dyDescent="0.2">
      <c r="R115" s="25" t="str">
        <f>BIN2HEX(RIGHT((LEFT(R108,28)),4))</f>
        <v>0</v>
      </c>
    </row>
    <row r="116" spans="18:18" x14ac:dyDescent="0.2">
      <c r="R116" s="25" t="str">
        <f>BIN2HEX(RIGHT((LEFT(R108,33)),4))</f>
        <v>7</v>
      </c>
    </row>
    <row r="118" spans="18:18" x14ac:dyDescent="0.2">
      <c r="R118" s="25" t="s">
        <v>328</v>
      </c>
    </row>
    <row r="119" spans="18:18" x14ac:dyDescent="0.2">
      <c r="R119" s="25" t="str">
        <f>CONCATENATE(C87,D87,E87,F87,G87,H87,I87,J87,K87)</f>
        <v>01010000000001111001011111000010</v>
      </c>
    </row>
    <row r="120" spans="18:18" x14ac:dyDescent="0.2">
      <c r="R120" s="25" t="str">
        <f>BIN2HEX(RIGHT((LEFT(R119,4)),4))</f>
        <v>5</v>
      </c>
    </row>
    <row r="121" spans="18:18" x14ac:dyDescent="0.2">
      <c r="R121" s="25" t="str">
        <f>BIN2HEX(RIGHT((LEFT(R119,8)),4))</f>
        <v>0</v>
      </c>
    </row>
    <row r="122" spans="18:18" x14ac:dyDescent="0.2">
      <c r="R122" s="25" t="str">
        <f>BIN2HEX(RIGHT((LEFT(R119,12)),4))</f>
        <v>0</v>
      </c>
    </row>
    <row r="123" spans="18:18" x14ac:dyDescent="0.2">
      <c r="R123" s="25" t="str">
        <f>BIN2HEX(RIGHT((LEFT(R119,16)),4))</f>
        <v>7</v>
      </c>
    </row>
    <row r="124" spans="18:18" x14ac:dyDescent="0.2">
      <c r="R124" s="25" t="str">
        <f>BIN2HEX(RIGHT((LEFT(R119,20)),4))</f>
        <v>9</v>
      </c>
    </row>
    <row r="125" spans="18:18" x14ac:dyDescent="0.2">
      <c r="R125" s="25" t="str">
        <f>BIN2HEX(RIGHT((LEFT(R119,24)),4))</f>
        <v>7</v>
      </c>
    </row>
    <row r="126" spans="18:18" x14ac:dyDescent="0.2">
      <c r="R126" s="25" t="str">
        <f>BIN2HEX(RIGHT((LEFT(R119,28)),4))</f>
        <v>C</v>
      </c>
    </row>
    <row r="127" spans="18:18" x14ac:dyDescent="0.2">
      <c r="R127" s="25" t="str">
        <f>BIN2HEX(RIGHT((LEFT(R119,33)),4))</f>
        <v>2</v>
      </c>
    </row>
  </sheetData>
  <sheetProtection password="D9FF" sheet="1" objects="1" scenarios="1"/>
  <mergeCells count="4">
    <mergeCell ref="B2:I2"/>
    <mergeCell ref="B3:I3"/>
    <mergeCell ref="B4:I6"/>
    <mergeCell ref="B7:I8"/>
  </mergeCells>
  <phoneticPr fontId="45"/>
  <pageMargins left="0.75" right="0.75" top="1" bottom="1" header="0.5" footer="0.5"/>
  <pageSetup orientation="portrait" r:id="rId1"/>
  <headerFooter alignWithMargins="0"/>
  <ignoredErrors>
    <ignoredError sqref="G8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O99"/>
  <sheetViews>
    <sheetView tabSelected="1" zoomScale="90" zoomScaleNormal="90" workbookViewId="0">
      <pane ySplit="11" topLeftCell="A37" activePane="bottomLeft" state="frozen"/>
      <selection pane="bottomLeft" activeCell="F58" sqref="F58"/>
    </sheetView>
  </sheetViews>
  <sheetFormatPr defaultColWidth="9.140625" defaultRowHeight="12.75" x14ac:dyDescent="0.2"/>
  <cols>
    <col min="1" max="1" width="3.140625" style="33" customWidth="1"/>
    <col min="2" max="2" width="58.28515625" style="33" bestFit="1" customWidth="1"/>
    <col min="3" max="3" width="15.85546875" style="33" customWidth="1"/>
    <col min="4" max="4" width="16" style="33" customWidth="1"/>
    <col min="5" max="5" width="9.140625" style="33"/>
    <col min="6" max="6" width="9.140625" style="33" customWidth="1"/>
    <col min="7" max="9" width="9.140625" style="33"/>
    <col min="10" max="10" width="10" style="33" customWidth="1"/>
    <col min="11" max="16384" width="9.140625" style="33"/>
  </cols>
  <sheetData>
    <row r="1" spans="1:15" s="31" customFormat="1" ht="12.75" customHeight="1" x14ac:dyDescent="0.2">
      <c r="A1" s="165"/>
      <c r="B1" s="166"/>
      <c r="C1" s="166"/>
      <c r="D1" s="166"/>
      <c r="E1" s="166"/>
      <c r="F1" s="166"/>
      <c r="G1" s="166"/>
      <c r="H1" s="167"/>
      <c r="I1" s="167"/>
      <c r="J1" s="166"/>
      <c r="K1" s="166"/>
    </row>
    <row r="2" spans="1:15" s="31" customFormat="1" ht="12.75" customHeight="1" x14ac:dyDescent="0.2">
      <c r="A2" s="165"/>
      <c r="B2" s="540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</row>
    <row r="3" spans="1:15" s="31" customFormat="1" ht="12.75" customHeight="1" x14ac:dyDescent="0.2">
      <c r="A3" s="165"/>
      <c r="B3" s="540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5" s="31" customFormat="1" ht="12.75" customHeight="1" x14ac:dyDescent="0.2">
      <c r="A4" s="165"/>
      <c r="B4" s="455" t="s">
        <v>372</v>
      </c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</row>
    <row r="5" spans="1:15" s="31" customFormat="1" ht="12.75" customHeight="1" x14ac:dyDescent="0.2">
      <c r="A5" s="165"/>
      <c r="B5" s="455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</row>
    <row r="6" spans="1:15" s="31" customFormat="1" ht="12.75" customHeight="1" thickBot="1" x14ac:dyDescent="0.25">
      <c r="A6" s="165"/>
      <c r="B6" s="455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</row>
    <row r="7" spans="1:15" s="31" customFormat="1" ht="12.75" customHeight="1" thickTop="1" x14ac:dyDescent="0.2">
      <c r="A7" s="165"/>
      <c r="B7" s="458" t="s">
        <v>203</v>
      </c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60"/>
    </row>
    <row r="8" spans="1:15" s="31" customFormat="1" ht="12.75" customHeight="1" x14ac:dyDescent="0.2">
      <c r="A8" s="165"/>
      <c r="B8" s="542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4"/>
    </row>
    <row r="9" spans="1:15" s="31" customFormat="1" ht="12.75" customHeight="1" x14ac:dyDescent="0.2">
      <c r="A9" s="165"/>
      <c r="B9" s="170" t="s">
        <v>204</v>
      </c>
      <c r="C9" s="171" t="s">
        <v>253</v>
      </c>
      <c r="D9" s="171"/>
      <c r="E9" s="171"/>
      <c r="F9" s="172"/>
      <c r="G9" s="172"/>
      <c r="H9" s="173"/>
      <c r="I9" s="173"/>
      <c r="J9" s="173"/>
      <c r="K9" s="173"/>
      <c r="L9" s="173"/>
      <c r="M9" s="173"/>
      <c r="N9" s="173"/>
      <c r="O9" s="234"/>
    </row>
    <row r="10" spans="1:15" s="31" customFormat="1" ht="12.75" customHeight="1" thickBot="1" x14ac:dyDescent="0.25">
      <c r="A10" s="176"/>
      <c r="B10" s="183"/>
      <c r="C10" s="295"/>
      <c r="D10" s="184"/>
      <c r="E10" s="185"/>
      <c r="F10" s="186"/>
      <c r="G10" s="186"/>
      <c r="H10" s="187"/>
      <c r="I10" s="187"/>
      <c r="J10" s="187"/>
      <c r="K10" s="187"/>
      <c r="L10" s="187"/>
      <c r="M10" s="187"/>
      <c r="N10" s="187"/>
      <c r="O10" s="235"/>
    </row>
    <row r="11" spans="1:15" s="31" customFormat="1" ht="12.75" customHeight="1" thickTop="1" x14ac:dyDescent="0.2">
      <c r="A11" s="176"/>
      <c r="B11" s="189"/>
      <c r="C11" s="189"/>
      <c r="D11" s="189"/>
      <c r="E11" s="189"/>
      <c r="F11" s="189"/>
      <c r="G11" s="189"/>
      <c r="H11" s="190"/>
      <c r="I11" s="190"/>
      <c r="J11" s="189"/>
      <c r="K11" s="189"/>
    </row>
    <row r="12" spans="1:15" ht="13.5" thickBot="1" x14ac:dyDescent="0.25"/>
    <row r="13" spans="1:15" x14ac:dyDescent="0.2">
      <c r="B13" s="569" t="s">
        <v>157</v>
      </c>
      <c r="C13" s="558"/>
      <c r="D13" s="570"/>
    </row>
    <row r="14" spans="1:15" ht="13.5" thickBot="1" x14ac:dyDescent="0.25">
      <c r="B14" s="90" t="s">
        <v>156</v>
      </c>
      <c r="C14" s="296" t="s">
        <v>278</v>
      </c>
      <c r="D14" s="91" t="s">
        <v>72</v>
      </c>
    </row>
    <row r="15" spans="1:15" x14ac:dyDescent="0.2">
      <c r="B15" s="88" t="s">
        <v>395</v>
      </c>
      <c r="C15" s="297" t="s">
        <v>279</v>
      </c>
      <c r="D15" s="89" t="str">
        <f>CONCATENATE("0x",'EMIF Tool'!C18)</f>
        <v>0x0AAAD4DB</v>
      </c>
    </row>
    <row r="16" spans="1:15" x14ac:dyDescent="0.2">
      <c r="B16" s="157" t="s">
        <v>396</v>
      </c>
      <c r="C16" s="298" t="s">
        <v>280</v>
      </c>
      <c r="D16" s="86" t="str">
        <f>CONCATENATE("0x",'EMIF Tool'!C18)</f>
        <v>0x0AAAD4DB</v>
      </c>
    </row>
    <row r="17" spans="2:4" x14ac:dyDescent="0.2">
      <c r="B17" s="85" t="s">
        <v>397</v>
      </c>
      <c r="C17" s="298" t="s">
        <v>281</v>
      </c>
      <c r="D17" s="86" t="str">
        <f>CONCATENATE("0x",'EMIF Tool'!C25)</f>
        <v>0x24437FDA</v>
      </c>
    </row>
    <row r="18" spans="2:4" x14ac:dyDescent="0.2">
      <c r="B18" s="157" t="s">
        <v>398</v>
      </c>
      <c r="C18" s="298" t="s">
        <v>283</v>
      </c>
      <c r="D18" s="86" t="str">
        <f>CONCATENATE("0x",'EMIF Tool'!C25)</f>
        <v>0x24437FDA</v>
      </c>
    </row>
    <row r="19" spans="2:4" x14ac:dyDescent="0.2">
      <c r="B19" s="85" t="s">
        <v>399</v>
      </c>
      <c r="C19" s="298" t="s">
        <v>284</v>
      </c>
      <c r="D19" s="86" t="str">
        <f>CONCATENATE("0x",'EMIF Tool'!C32)</f>
        <v>0x50FFE3FF</v>
      </c>
    </row>
    <row r="20" spans="2:4" x14ac:dyDescent="0.2">
      <c r="B20" s="157" t="s">
        <v>400</v>
      </c>
      <c r="C20" s="298" t="s">
        <v>285</v>
      </c>
      <c r="D20" s="86" t="str">
        <f>CONCATENATE("0x",'EMIF Tool'!C32)</f>
        <v>0x50FFE3FF</v>
      </c>
    </row>
    <row r="21" spans="2:4" x14ac:dyDescent="0.2">
      <c r="B21" s="157" t="s">
        <v>401</v>
      </c>
      <c r="C21" s="298" t="s">
        <v>286</v>
      </c>
      <c r="D21" s="86" t="str">
        <f>CONCATENATE("0x",'EMIF Tool'!C39)</f>
        <v>0x61A04BB2</v>
      </c>
    </row>
    <row r="22" spans="2:4" x14ac:dyDescent="0.2">
      <c r="B22" s="157" t="s">
        <v>402</v>
      </c>
      <c r="C22" s="298" t="s">
        <v>287</v>
      </c>
      <c r="D22" s="86" t="str">
        <f>CONCATENATE("0x",'EMIF Tool'!C46)</f>
        <v>0x00000000</v>
      </c>
    </row>
    <row r="23" spans="2:4" x14ac:dyDescent="0.2">
      <c r="B23" s="157" t="s">
        <v>403</v>
      </c>
      <c r="C23" s="300" t="s">
        <v>288</v>
      </c>
      <c r="D23" s="86" t="str">
        <f>CONCATENATE("0x",'EMIF Tool'!C53)</f>
        <v>0x00000618</v>
      </c>
    </row>
    <row r="24" spans="2:4" x14ac:dyDescent="0.2">
      <c r="B24" s="157" t="s">
        <v>404</v>
      </c>
      <c r="C24" s="300" t="s">
        <v>282</v>
      </c>
      <c r="D24" s="86" t="str">
        <f>CONCATENATE("0x",'EMIF Tool'!C53)</f>
        <v>0x00000618</v>
      </c>
    </row>
    <row r="25" spans="2:4" x14ac:dyDescent="0.2">
      <c r="B25" s="157" t="s">
        <v>491</v>
      </c>
      <c r="C25" s="300" t="s">
        <v>492</v>
      </c>
      <c r="D25" s="86" t="s">
        <v>493</v>
      </c>
    </row>
    <row r="26" spans="2:4" ht="13.5" thickBot="1" x14ac:dyDescent="0.25">
      <c r="B26" s="157" t="s">
        <v>405</v>
      </c>
      <c r="C26" s="300" t="s">
        <v>289</v>
      </c>
      <c r="D26" s="279" t="str">
        <f>CONCATENATE("0x",'EMIF Tool'!C88)</f>
        <v>0x500797C2</v>
      </c>
    </row>
    <row r="27" spans="2:4" hidden="1" x14ac:dyDescent="0.2">
      <c r="B27" s="157" t="s">
        <v>257</v>
      </c>
      <c r="C27" s="300" t="s">
        <v>290</v>
      </c>
      <c r="D27" s="279" t="e">
        <f>CONCATENATE("0x",'EMIF Tool'!C60)</f>
        <v>#REF!</v>
      </c>
    </row>
    <row r="28" spans="2:4" hidden="1" x14ac:dyDescent="0.2">
      <c r="B28" s="157" t="s">
        <v>270</v>
      </c>
      <c r="C28" s="300" t="s">
        <v>291</v>
      </c>
      <c r="D28" s="279" t="str">
        <f>CONCATENATE("0x",DEC2HEX(IF('Step1-System Details'!E26="NA",0,'Step1-System Details'!E26),8))</f>
        <v>0x00000000</v>
      </c>
    </row>
    <row r="29" spans="2:4" hidden="1" x14ac:dyDescent="0.2">
      <c r="B29" s="85" t="s">
        <v>294</v>
      </c>
      <c r="C29" s="300" t="s">
        <v>302</v>
      </c>
      <c r="D29" s="86" t="s">
        <v>306</v>
      </c>
    </row>
    <row r="30" spans="2:4" hidden="1" x14ac:dyDescent="0.2">
      <c r="B30" s="85" t="s">
        <v>295</v>
      </c>
      <c r="C30" s="300" t="s">
        <v>303</v>
      </c>
      <c r="D30" s="86"/>
    </row>
    <row r="31" spans="2:4" hidden="1" x14ac:dyDescent="0.2">
      <c r="B31" s="85" t="s">
        <v>406</v>
      </c>
      <c r="C31" s="300" t="s">
        <v>304</v>
      </c>
      <c r="D31" s="86"/>
    </row>
    <row r="32" spans="2:4" ht="13.5" hidden="1" thickBot="1" x14ac:dyDescent="0.25">
      <c r="B32" s="280" t="s">
        <v>407</v>
      </c>
      <c r="C32" s="303" t="s">
        <v>305</v>
      </c>
      <c r="D32" s="87"/>
    </row>
    <row r="33" spans="2:4" x14ac:dyDescent="0.2">
      <c r="B33" s="252" t="s">
        <v>176</v>
      </c>
      <c r="C33" s="301" t="s">
        <v>292</v>
      </c>
      <c r="D33" s="89" t="str">
        <f>CONCATENATE("0x",'EMIF Tool'!C81)</f>
        <v>0x00100207</v>
      </c>
    </row>
    <row r="34" spans="2:4" x14ac:dyDescent="0.2">
      <c r="B34" s="157" t="s">
        <v>485</v>
      </c>
      <c r="C34" s="300" t="s">
        <v>293</v>
      </c>
      <c r="D34" s="86" t="str">
        <f>CONCATENATE("0x",'EMIF Tool'!C81)</f>
        <v>0x00100207</v>
      </c>
    </row>
    <row r="35" spans="2:4" ht="13.5" thickBot="1" x14ac:dyDescent="0.25">
      <c r="D35" s="84"/>
    </row>
    <row r="36" spans="2:4" x14ac:dyDescent="0.2">
      <c r="B36" s="557" t="s">
        <v>178</v>
      </c>
      <c r="C36" s="571"/>
      <c r="D36" s="559"/>
    </row>
    <row r="37" spans="2:4" x14ac:dyDescent="0.2">
      <c r="B37" s="351" t="s">
        <v>156</v>
      </c>
      <c r="C37" s="352" t="s">
        <v>278</v>
      </c>
      <c r="D37" s="353" t="s">
        <v>72</v>
      </c>
    </row>
    <row r="38" spans="2:4" x14ac:dyDescent="0.2">
      <c r="B38" s="85" t="s">
        <v>410</v>
      </c>
      <c r="C38" s="294" t="s">
        <v>423</v>
      </c>
      <c r="D38" s="86" t="str">
        <f>CONCATENATE("0x",'Step3-Board Details'!$F$49)</f>
        <v>0x00000100</v>
      </c>
    </row>
    <row r="39" spans="2:4" hidden="1" x14ac:dyDescent="0.2">
      <c r="B39" s="85" t="s">
        <v>411</v>
      </c>
      <c r="C39" s="294" t="s">
        <v>424</v>
      </c>
      <c r="D39" s="86"/>
    </row>
    <row r="40" spans="2:4" x14ac:dyDescent="0.2">
      <c r="B40" s="85" t="s">
        <v>412</v>
      </c>
      <c r="C40" s="294" t="s">
        <v>425</v>
      </c>
      <c r="D40" s="86" t="str">
        <f>IF('Invert Clock'!$E$18=0,"0x00000000","0x00000001")</f>
        <v>0x00000001</v>
      </c>
    </row>
    <row r="41" spans="2:4" x14ac:dyDescent="0.2">
      <c r="B41" s="85" t="s">
        <v>413</v>
      </c>
      <c r="C41" s="294" t="s">
        <v>426</v>
      </c>
      <c r="D41" s="86" t="str">
        <f>CONCATENATE("0x",'Step3-Board Details'!$F$49)</f>
        <v>0x00000100</v>
      </c>
    </row>
    <row r="42" spans="2:4" hidden="1" x14ac:dyDescent="0.2">
      <c r="B42" s="85" t="s">
        <v>414</v>
      </c>
      <c r="C42" s="294" t="s">
        <v>427</v>
      </c>
      <c r="D42" s="86"/>
    </row>
    <row r="43" spans="2:4" x14ac:dyDescent="0.2">
      <c r="B43" s="85" t="s">
        <v>415</v>
      </c>
      <c r="C43" s="294" t="s">
        <v>428</v>
      </c>
      <c r="D43" s="86" t="str">
        <f>IF('Invert Clock'!$E$18=0,"0x00000000","0x00000001")</f>
        <v>0x00000001</v>
      </c>
    </row>
    <row r="44" spans="2:4" x14ac:dyDescent="0.2">
      <c r="B44" s="85" t="s">
        <v>416</v>
      </c>
      <c r="C44" s="294" t="s">
        <v>429</v>
      </c>
      <c r="D44" s="86" t="str">
        <f>CONCATENATE("0x",'Step3-Board Details'!$F$49)</f>
        <v>0x00000100</v>
      </c>
    </row>
    <row r="45" spans="2:4" hidden="1" x14ac:dyDescent="0.2">
      <c r="B45" s="85" t="s">
        <v>417</v>
      </c>
      <c r="C45" s="294" t="s">
        <v>430</v>
      </c>
      <c r="D45" s="86"/>
    </row>
    <row r="46" spans="2:4" x14ac:dyDescent="0.2">
      <c r="B46" s="85" t="s">
        <v>418</v>
      </c>
      <c r="C46" s="294" t="s">
        <v>431</v>
      </c>
      <c r="D46" s="86" t="str">
        <f>IF('Invert Clock'!$E$18=0,"0x00000000","0x00000001")</f>
        <v>0x00000001</v>
      </c>
    </row>
    <row r="47" spans="2:4" x14ac:dyDescent="0.2">
      <c r="B47" s="85" t="s">
        <v>419</v>
      </c>
      <c r="C47" s="294" t="s">
        <v>432</v>
      </c>
      <c r="D47" s="86" t="str">
        <f>CONCATENATE("0x",'Step3-Board Details'!$F$42)</f>
        <v>0x00000040</v>
      </c>
    </row>
    <row r="48" spans="2:4" x14ac:dyDescent="0.2">
      <c r="B48" s="85" t="s">
        <v>420</v>
      </c>
      <c r="C48" s="294" t="s">
        <v>433</v>
      </c>
      <c r="D48" s="86" t="str">
        <f>CONCATENATE("0x",'Step3-Board Details'!$F$44)</f>
        <v>0x00000081</v>
      </c>
    </row>
    <row r="49" spans="2:10" hidden="1" x14ac:dyDescent="0.2">
      <c r="B49" s="85" t="s">
        <v>421</v>
      </c>
      <c r="C49" s="294" t="s">
        <v>434</v>
      </c>
      <c r="D49" s="86"/>
      <c r="J49" s="293"/>
    </row>
    <row r="50" spans="2:10" hidden="1" x14ac:dyDescent="0.2">
      <c r="B50" s="85" t="s">
        <v>422</v>
      </c>
      <c r="C50" s="294" t="s">
        <v>435</v>
      </c>
      <c r="D50" s="86"/>
    </row>
    <row r="51" spans="2:10" hidden="1" x14ac:dyDescent="0.2">
      <c r="B51" s="85" t="s">
        <v>408</v>
      </c>
      <c r="C51" s="294" t="s">
        <v>436</v>
      </c>
      <c r="D51" s="86"/>
    </row>
    <row r="52" spans="2:10" hidden="1" x14ac:dyDescent="0.2">
      <c r="B52" s="85" t="s">
        <v>409</v>
      </c>
      <c r="C52" s="294" t="s">
        <v>437</v>
      </c>
      <c r="D52" s="86"/>
    </row>
    <row r="53" spans="2:10" x14ac:dyDescent="0.2">
      <c r="B53" s="85" t="s">
        <v>439</v>
      </c>
      <c r="C53" s="294" t="s">
        <v>443</v>
      </c>
      <c r="D53" s="86" t="str">
        <f>CONCATENATE("0x",'Step3-Board Details'!$F$43)</f>
        <v>0x00000103</v>
      </c>
    </row>
    <row r="54" spans="2:10" hidden="1" x14ac:dyDescent="0.2">
      <c r="B54" s="85" t="s">
        <v>440</v>
      </c>
      <c r="C54" s="294" t="s">
        <v>444</v>
      </c>
      <c r="D54" s="86"/>
    </row>
    <row r="55" spans="2:10" x14ac:dyDescent="0.2">
      <c r="B55" s="85" t="s">
        <v>441</v>
      </c>
      <c r="C55" s="294" t="s">
        <v>445</v>
      </c>
      <c r="D55" s="86" t="str">
        <f>CONCATENATE("0x",'Step3-Board Details'!$F$45)</f>
        <v>0x000000C1</v>
      </c>
    </row>
    <row r="56" spans="2:10" hidden="1" x14ac:dyDescent="0.2">
      <c r="B56" s="85" t="s">
        <v>442</v>
      </c>
      <c r="C56" s="294" t="s">
        <v>446</v>
      </c>
      <c r="D56" s="86"/>
    </row>
    <row r="57" spans="2:10" hidden="1" x14ac:dyDescent="0.2">
      <c r="B57" s="85" t="s">
        <v>438</v>
      </c>
      <c r="C57" s="294" t="s">
        <v>447</v>
      </c>
      <c r="D57" s="86"/>
    </row>
    <row r="58" spans="2:10" x14ac:dyDescent="0.2">
      <c r="B58" s="85" t="s">
        <v>458</v>
      </c>
      <c r="C58" s="294" t="s">
        <v>459</v>
      </c>
      <c r="D58" s="86" t="str">
        <f>CONCATENATE("0x",'Step3-Board Details'!$F$42)</f>
        <v>0x00000040</v>
      </c>
    </row>
    <row r="59" spans="2:10" x14ac:dyDescent="0.2">
      <c r="B59" s="85" t="s">
        <v>448</v>
      </c>
      <c r="C59" s="294" t="s">
        <v>460</v>
      </c>
      <c r="D59" s="86" t="str">
        <f>CONCATENATE("0x",'Step3-Board Details'!$F$44)</f>
        <v>0x00000081</v>
      </c>
    </row>
    <row r="60" spans="2:10" hidden="1" x14ac:dyDescent="0.2">
      <c r="B60" s="85" t="s">
        <v>449</v>
      </c>
      <c r="C60" s="294" t="s">
        <v>461</v>
      </c>
      <c r="D60" s="86"/>
    </row>
    <row r="61" spans="2:10" hidden="1" x14ac:dyDescent="0.2">
      <c r="B61" s="85" t="s">
        <v>450</v>
      </c>
      <c r="C61" s="294" t="s">
        <v>462</v>
      </c>
      <c r="D61" s="86"/>
    </row>
    <row r="62" spans="2:10" hidden="1" x14ac:dyDescent="0.2">
      <c r="B62" s="85" t="s">
        <v>451</v>
      </c>
      <c r="C62" s="294" t="s">
        <v>463</v>
      </c>
      <c r="D62" s="86"/>
    </row>
    <row r="63" spans="2:10" hidden="1" x14ac:dyDescent="0.2">
      <c r="B63" s="85" t="s">
        <v>452</v>
      </c>
      <c r="C63" s="294" t="s">
        <v>464</v>
      </c>
      <c r="D63" s="86"/>
    </row>
    <row r="64" spans="2:10" x14ac:dyDescent="0.2">
      <c r="B64" s="85" t="s">
        <v>453</v>
      </c>
      <c r="C64" s="294" t="s">
        <v>465</v>
      </c>
      <c r="D64" s="86" t="str">
        <f>CONCATENATE("0x",'Step3-Board Details'!$F$43)</f>
        <v>0x00000103</v>
      </c>
    </row>
    <row r="65" spans="2:4" hidden="1" x14ac:dyDescent="0.2">
      <c r="B65" s="85" t="s">
        <v>454</v>
      </c>
      <c r="C65" s="294" t="s">
        <v>466</v>
      </c>
      <c r="D65" s="86"/>
    </row>
    <row r="66" spans="2:4" x14ac:dyDescent="0.2">
      <c r="B66" s="85" t="s">
        <v>455</v>
      </c>
      <c r="C66" s="294" t="s">
        <v>467</v>
      </c>
      <c r="D66" s="86" t="str">
        <f>CONCATENATE("0x",'Step3-Board Details'!$F$45)</f>
        <v>0x000000C1</v>
      </c>
    </row>
    <row r="67" spans="2:4" hidden="1" x14ac:dyDescent="0.2">
      <c r="B67" s="85" t="s">
        <v>456</v>
      </c>
      <c r="C67" s="294" t="s">
        <v>468</v>
      </c>
      <c r="D67" s="86"/>
    </row>
    <row r="68" spans="2:4" ht="13.5" hidden="1" thickBot="1" x14ac:dyDescent="0.25">
      <c r="B68" s="280" t="s">
        <v>457</v>
      </c>
      <c r="C68" s="302" t="s">
        <v>469</v>
      </c>
      <c r="D68" s="87"/>
    </row>
    <row r="69" spans="2:4" x14ac:dyDescent="0.2">
      <c r="D69" s="84"/>
    </row>
    <row r="70" spans="2:4" ht="13.5" thickBot="1" x14ac:dyDescent="0.25"/>
    <row r="71" spans="2:4" x14ac:dyDescent="0.2">
      <c r="B71" s="557" t="s">
        <v>177</v>
      </c>
      <c r="C71" s="558"/>
      <c r="D71" s="559"/>
    </row>
    <row r="72" spans="2:4" ht="13.5" thickBot="1" x14ac:dyDescent="0.25">
      <c r="B72" s="356" t="s">
        <v>156</v>
      </c>
      <c r="C72" s="357" t="s">
        <v>278</v>
      </c>
      <c r="D72" s="358" t="s">
        <v>72</v>
      </c>
    </row>
    <row r="73" spans="2:4" x14ac:dyDescent="0.2">
      <c r="B73" s="362" t="s">
        <v>471</v>
      </c>
      <c r="C73" s="363" t="s">
        <v>472</v>
      </c>
      <c r="D73" s="361" t="s">
        <v>306</v>
      </c>
    </row>
    <row r="74" spans="2:4" x14ac:dyDescent="0.2">
      <c r="B74" s="359" t="s">
        <v>394</v>
      </c>
      <c r="C74" s="360" t="s">
        <v>349</v>
      </c>
      <c r="D74" s="361" t="s">
        <v>336</v>
      </c>
    </row>
    <row r="75" spans="2:4" x14ac:dyDescent="0.2">
      <c r="B75" s="85" t="s">
        <v>389</v>
      </c>
      <c r="C75" s="294" t="s">
        <v>297</v>
      </c>
      <c r="D75" s="86" t="str">
        <f>CONCATENATE("0x",'EMIF Tool'!C67)</f>
        <v>0x0000018B</v>
      </c>
    </row>
    <row r="76" spans="2:4" x14ac:dyDescent="0.2">
      <c r="B76" s="85" t="s">
        <v>390</v>
      </c>
      <c r="C76" s="294" t="s">
        <v>298</v>
      </c>
      <c r="D76" s="86" t="str">
        <f>CONCATENATE("0x",'EMIF Tool'!C67)</f>
        <v>0x0000018B</v>
      </c>
    </row>
    <row r="77" spans="2:4" x14ac:dyDescent="0.2">
      <c r="B77" s="85" t="s">
        <v>391</v>
      </c>
      <c r="C77" s="294" t="s">
        <v>299</v>
      </c>
      <c r="D77" s="86" t="str">
        <f>CONCATENATE("0x",'EMIF Tool'!C67)</f>
        <v>0x0000018B</v>
      </c>
    </row>
    <row r="78" spans="2:4" x14ac:dyDescent="0.2">
      <c r="B78" s="157" t="s">
        <v>392</v>
      </c>
      <c r="C78" s="294" t="s">
        <v>300</v>
      </c>
      <c r="D78" s="86" t="str">
        <f>CONCATENATE("0x",'EMIF Tool'!C74)</f>
        <v>0x0000018B</v>
      </c>
    </row>
    <row r="79" spans="2:4" x14ac:dyDescent="0.2">
      <c r="B79" s="157" t="s">
        <v>393</v>
      </c>
      <c r="C79" s="294" t="s">
        <v>301</v>
      </c>
      <c r="D79" s="86" t="str">
        <f>CONCATENATE("0x",'EMIF Tool'!C74)</f>
        <v>0x0000018B</v>
      </c>
    </row>
    <row r="80" spans="2:4" x14ac:dyDescent="0.2">
      <c r="B80" s="92"/>
      <c r="C80" s="92"/>
      <c r="D80" s="299"/>
    </row>
    <row r="82" spans="2:11" hidden="1" x14ac:dyDescent="0.2">
      <c r="B82" s="557" t="s">
        <v>333</v>
      </c>
      <c r="C82" s="558"/>
      <c r="D82" s="559"/>
    </row>
    <row r="83" spans="2:11" ht="13.5" hidden="1" thickBot="1" x14ac:dyDescent="0.25">
      <c r="B83" s="158" t="s">
        <v>156</v>
      </c>
      <c r="C83" s="296" t="s">
        <v>278</v>
      </c>
      <c r="D83" s="159" t="s">
        <v>72</v>
      </c>
    </row>
    <row r="84" spans="2:11" hidden="1" x14ac:dyDescent="0.2">
      <c r="B84" s="88" t="s">
        <v>257</v>
      </c>
      <c r="C84" s="321" t="s">
        <v>290</v>
      </c>
      <c r="D84" s="320" t="s">
        <v>334</v>
      </c>
      <c r="F84" s="560" t="s">
        <v>341</v>
      </c>
      <c r="G84" s="561"/>
      <c r="H84" s="561"/>
      <c r="I84" s="561"/>
      <c r="J84" s="561"/>
      <c r="K84" s="562"/>
    </row>
    <row r="85" spans="2:11" hidden="1" x14ac:dyDescent="0.2">
      <c r="B85" s="85" t="s">
        <v>270</v>
      </c>
      <c r="C85" s="300" t="s">
        <v>291</v>
      </c>
      <c r="D85" s="279" t="s">
        <v>335</v>
      </c>
      <c r="F85" s="563" t="s">
        <v>342</v>
      </c>
      <c r="G85" s="564"/>
      <c r="H85" s="564"/>
      <c r="I85" s="564"/>
      <c r="J85" s="564"/>
      <c r="K85" s="565"/>
    </row>
    <row r="86" spans="2:11" hidden="1" x14ac:dyDescent="0.2">
      <c r="B86" s="85" t="s">
        <v>257</v>
      </c>
      <c r="C86" s="300" t="s">
        <v>290</v>
      </c>
      <c r="D86" s="86" t="str">
        <f>IF('Step1-System Details'!E23="Single Rank","Not Required","0x8000000A")</f>
        <v>Not Required</v>
      </c>
      <c r="F86" s="566" t="s">
        <v>340</v>
      </c>
      <c r="G86" s="567"/>
      <c r="H86" s="567"/>
      <c r="I86" s="567"/>
      <c r="J86" s="567"/>
      <c r="K86" s="568"/>
    </row>
    <row r="87" spans="2:11" hidden="1" x14ac:dyDescent="0.2">
      <c r="B87" s="85" t="s">
        <v>270</v>
      </c>
      <c r="C87" s="300" t="s">
        <v>291</v>
      </c>
      <c r="D87" s="279" t="str">
        <f>IF('Step1-System Details'!E23="Single Rank","Not Required","0x00000056")</f>
        <v>Not Required</v>
      </c>
    </row>
    <row r="88" spans="2:11" hidden="1" x14ac:dyDescent="0.2">
      <c r="B88" s="85" t="s">
        <v>257</v>
      </c>
      <c r="C88" s="300" t="s">
        <v>290</v>
      </c>
      <c r="D88" s="86" t="s">
        <v>336</v>
      </c>
    </row>
    <row r="89" spans="2:11" hidden="1" x14ac:dyDescent="0.2">
      <c r="B89" s="85" t="s">
        <v>270</v>
      </c>
      <c r="C89" s="300" t="s">
        <v>291</v>
      </c>
      <c r="D89" s="279" t="s">
        <v>337</v>
      </c>
    </row>
    <row r="90" spans="2:11" hidden="1" x14ac:dyDescent="0.2">
      <c r="B90" s="85" t="s">
        <v>257</v>
      </c>
      <c r="C90" s="300" t="s">
        <v>290</v>
      </c>
      <c r="D90" s="86" t="str">
        <f>IF('Step1-System Details'!E23="Single Rank","Not Required","0x80000001")</f>
        <v>Not Required</v>
      </c>
    </row>
    <row r="91" spans="2:11" hidden="1" x14ac:dyDescent="0.2">
      <c r="B91" s="85" t="s">
        <v>270</v>
      </c>
      <c r="C91" s="300" t="s">
        <v>291</v>
      </c>
      <c r="D91" s="279" t="str">
        <f>IF('Step1-System Details'!E23="Single Rank","Not Required","0x00000043")</f>
        <v>Not Required</v>
      </c>
    </row>
    <row r="92" spans="2:11" hidden="1" x14ac:dyDescent="0.2">
      <c r="B92" s="85" t="s">
        <v>257</v>
      </c>
      <c r="C92" s="300" t="s">
        <v>290</v>
      </c>
      <c r="D92" s="279" t="s">
        <v>338</v>
      </c>
    </row>
    <row r="93" spans="2:11" hidden="1" x14ac:dyDescent="0.2">
      <c r="B93" s="85" t="s">
        <v>270</v>
      </c>
      <c r="C93" s="300" t="s">
        <v>291</v>
      </c>
      <c r="D93" s="279" t="s">
        <v>338</v>
      </c>
    </row>
    <row r="94" spans="2:11" hidden="1" x14ac:dyDescent="0.2">
      <c r="B94" s="85" t="s">
        <v>257</v>
      </c>
      <c r="C94" s="300" t="s">
        <v>290</v>
      </c>
      <c r="D94" s="86" t="str">
        <f>IF('Step1-System Details'!E23="Single Rank","Not Required","0x80000002")</f>
        <v>Not Required</v>
      </c>
    </row>
    <row r="95" spans="2:11" hidden="1" x14ac:dyDescent="0.2">
      <c r="B95" s="85" t="s">
        <v>270</v>
      </c>
      <c r="C95" s="300" t="s">
        <v>291</v>
      </c>
      <c r="D95" s="279" t="str">
        <f>IF('Step1-System Details'!E23="Single Rank","Not Required","0x00000002")</f>
        <v>Not Required</v>
      </c>
    </row>
    <row r="96" spans="2:11" hidden="1" x14ac:dyDescent="0.2">
      <c r="B96" s="85" t="s">
        <v>257</v>
      </c>
      <c r="C96" s="300" t="s">
        <v>290</v>
      </c>
      <c r="D96" s="86" t="s">
        <v>339</v>
      </c>
    </row>
    <row r="97" spans="2:4" hidden="1" x14ac:dyDescent="0.2">
      <c r="B97" s="85" t="s">
        <v>270</v>
      </c>
      <c r="C97" s="300" t="s">
        <v>291</v>
      </c>
      <c r="D97" s="279" t="s">
        <v>338</v>
      </c>
    </row>
    <row r="98" spans="2:4" hidden="1" x14ac:dyDescent="0.2">
      <c r="B98" s="85" t="s">
        <v>257</v>
      </c>
      <c r="C98" s="300" t="s">
        <v>290</v>
      </c>
      <c r="D98" s="86" t="str">
        <f>IF('Step1-System Details'!E23="Single Rank","Not Required","0xC0000002")</f>
        <v>Not Required</v>
      </c>
    </row>
    <row r="99" spans="2:4" ht="13.5" hidden="1" thickBot="1" x14ac:dyDescent="0.25">
      <c r="B99" s="280" t="s">
        <v>270</v>
      </c>
      <c r="C99" s="303" t="s">
        <v>291</v>
      </c>
      <c r="D99" s="278" t="str">
        <f>IF('Step1-System Details'!E23="Single Rank","Not Required","0x00000002")</f>
        <v>Not Required</v>
      </c>
    </row>
  </sheetData>
  <sheetProtection password="D9FF" sheet="1" objects="1" scenarios="1"/>
  <mergeCells count="11">
    <mergeCell ref="B82:D82"/>
    <mergeCell ref="F84:K84"/>
    <mergeCell ref="F85:K85"/>
    <mergeCell ref="F86:K86"/>
    <mergeCell ref="B2:O2"/>
    <mergeCell ref="B7:O8"/>
    <mergeCell ref="B71:D71"/>
    <mergeCell ref="B13:D13"/>
    <mergeCell ref="B36:D36"/>
    <mergeCell ref="B4:O6"/>
    <mergeCell ref="B3:O3"/>
  </mergeCells>
  <phoneticPr fontId="45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workbookViewId="0">
      <selection activeCell="I35" sqref="I35"/>
    </sheetView>
  </sheetViews>
  <sheetFormatPr defaultRowHeight="12.75" x14ac:dyDescent="0.2"/>
  <cols>
    <col min="8" max="8" width="12.85546875" customWidth="1"/>
    <col min="9" max="9" width="46.85546875" customWidth="1"/>
  </cols>
  <sheetData>
    <row r="1" spans="1:10" s="31" customFormat="1" ht="12.75" customHeight="1" x14ac:dyDescent="0.2">
      <c r="A1" s="165"/>
      <c r="B1" s="166"/>
      <c r="C1" s="166"/>
      <c r="D1" s="166"/>
      <c r="E1" s="166"/>
      <c r="F1" s="166"/>
      <c r="G1" s="167"/>
      <c r="H1" s="167"/>
      <c r="I1" s="166"/>
      <c r="J1" s="166"/>
    </row>
    <row r="2" spans="1:10" s="31" customFormat="1" ht="12.75" customHeight="1" x14ac:dyDescent="0.2">
      <c r="A2" s="165"/>
      <c r="B2" s="449"/>
      <c r="C2" s="450"/>
      <c r="D2" s="450"/>
      <c r="E2" s="450"/>
      <c r="F2" s="450"/>
      <c r="G2" s="450"/>
      <c r="H2" s="450"/>
      <c r="I2" s="451"/>
      <c r="J2" s="166"/>
    </row>
    <row r="3" spans="1:10" s="31" customFormat="1" ht="12.75" customHeight="1" x14ac:dyDescent="0.2">
      <c r="A3" s="165"/>
      <c r="B3" s="449"/>
      <c r="C3" s="450"/>
      <c r="D3" s="450"/>
      <c r="E3" s="450"/>
      <c r="F3" s="450"/>
      <c r="G3" s="450"/>
      <c r="H3" s="450"/>
      <c r="I3" s="451"/>
      <c r="J3" s="166"/>
    </row>
    <row r="4" spans="1:10" s="31" customFormat="1" ht="12.75" customHeight="1" x14ac:dyDescent="0.2">
      <c r="A4" s="165"/>
      <c r="B4" s="452" t="s">
        <v>545</v>
      </c>
      <c r="C4" s="453"/>
      <c r="D4" s="453"/>
      <c r="E4" s="453"/>
      <c r="F4" s="453"/>
      <c r="G4" s="453"/>
      <c r="H4" s="453"/>
      <c r="I4" s="454"/>
      <c r="J4" s="168"/>
    </row>
    <row r="5" spans="1:10" s="31" customFormat="1" ht="12.75" customHeight="1" x14ac:dyDescent="0.2">
      <c r="A5" s="165"/>
      <c r="B5" s="455"/>
      <c r="C5" s="456"/>
      <c r="D5" s="456"/>
      <c r="E5" s="456"/>
      <c r="F5" s="456"/>
      <c r="G5" s="456"/>
      <c r="H5" s="456"/>
      <c r="I5" s="457"/>
      <c r="J5" s="168"/>
    </row>
    <row r="6" spans="1:10" s="31" customFormat="1" ht="12.75" customHeight="1" thickBot="1" x14ac:dyDescent="0.25">
      <c r="A6" s="165"/>
      <c r="B6" s="455"/>
      <c r="C6" s="456"/>
      <c r="D6" s="456"/>
      <c r="E6" s="456"/>
      <c r="F6" s="456"/>
      <c r="G6" s="456"/>
      <c r="H6" s="456"/>
      <c r="I6" s="457"/>
      <c r="J6" s="168"/>
    </row>
    <row r="7" spans="1:10" s="31" customFormat="1" ht="12.75" customHeight="1" thickTop="1" x14ac:dyDescent="0.2">
      <c r="A7" s="165"/>
      <c r="B7" s="458" t="s">
        <v>203</v>
      </c>
      <c r="C7" s="459"/>
      <c r="D7" s="459"/>
      <c r="E7" s="459"/>
      <c r="F7" s="459"/>
      <c r="G7" s="459"/>
      <c r="H7" s="459"/>
      <c r="I7" s="460"/>
      <c r="J7" s="169"/>
    </row>
    <row r="8" spans="1:10" s="31" customFormat="1" ht="12.75" customHeight="1" x14ac:dyDescent="0.2">
      <c r="A8" s="165"/>
      <c r="B8" s="461"/>
      <c r="C8" s="462"/>
      <c r="D8" s="462"/>
      <c r="E8" s="462"/>
      <c r="F8" s="462"/>
      <c r="G8" s="462"/>
      <c r="H8" s="462"/>
      <c r="I8" s="463"/>
      <c r="J8" s="169"/>
    </row>
    <row r="9" spans="1:10" s="31" customFormat="1" ht="12.75" customHeight="1" x14ac:dyDescent="0.2">
      <c r="A9" s="165"/>
      <c r="B9" s="170" t="s">
        <v>204</v>
      </c>
      <c r="C9" s="171" t="s">
        <v>546</v>
      </c>
      <c r="D9" s="171"/>
      <c r="E9" s="172"/>
      <c r="F9" s="172"/>
      <c r="G9" s="173"/>
      <c r="H9" s="173"/>
      <c r="I9" s="174"/>
      <c r="J9" s="175"/>
    </row>
    <row r="10" spans="1:10" s="31" customFormat="1" ht="12.75" customHeight="1" thickBot="1" x14ac:dyDescent="0.25">
      <c r="A10" s="176"/>
      <c r="B10" s="183"/>
      <c r="C10" s="184"/>
      <c r="D10" s="185"/>
      <c r="E10" s="186"/>
      <c r="F10" s="186"/>
      <c r="G10" s="187"/>
      <c r="H10" s="187"/>
      <c r="I10" s="188"/>
      <c r="J10" s="175"/>
    </row>
    <row r="11" spans="1:10" s="31" customFormat="1" ht="12.75" customHeight="1" thickTop="1" x14ac:dyDescent="0.2">
      <c r="A11" s="176"/>
      <c r="B11" s="189"/>
      <c r="C11" s="189"/>
      <c r="D11" s="189"/>
      <c r="E11" s="189"/>
      <c r="F11" s="189"/>
      <c r="G11" s="190"/>
      <c r="H11" s="190"/>
      <c r="I11" s="189"/>
      <c r="J11" s="166"/>
    </row>
    <row r="14" spans="1:10" x14ac:dyDescent="0.2">
      <c r="C14" t="s">
        <v>494</v>
      </c>
    </row>
    <row r="15" spans="1:10" x14ac:dyDescent="0.2">
      <c r="C15" t="s">
        <v>495</v>
      </c>
    </row>
    <row r="16" spans="1:10" x14ac:dyDescent="0.2">
      <c r="C16" t="s">
        <v>496</v>
      </c>
    </row>
    <row r="18" spans="3:8" x14ac:dyDescent="0.2">
      <c r="C18" t="s">
        <v>503</v>
      </c>
      <c r="H18" t="str">
        <f>Registers!D38</f>
        <v>0x00000100</v>
      </c>
    </row>
    <row r="19" spans="3:8" x14ac:dyDescent="0.2">
      <c r="C19" t="s">
        <v>504</v>
      </c>
      <c r="H19" t="str">
        <f>Registers!D40</f>
        <v>0x00000001</v>
      </c>
    </row>
    <row r="21" spans="3:8" x14ac:dyDescent="0.2">
      <c r="C21" t="s">
        <v>499</v>
      </c>
      <c r="H21" t="str">
        <f>Registers!D47</f>
        <v>0x00000040</v>
      </c>
    </row>
    <row r="22" spans="3:8" x14ac:dyDescent="0.2">
      <c r="C22" t="s">
        <v>500</v>
      </c>
      <c r="H22" t="str">
        <f>Registers!D53</f>
        <v>0x00000103</v>
      </c>
    </row>
    <row r="23" spans="3:8" x14ac:dyDescent="0.2">
      <c r="C23" t="s">
        <v>501</v>
      </c>
      <c r="H23" t="str">
        <f>Registers!D48</f>
        <v>0x00000081</v>
      </c>
    </row>
    <row r="24" spans="3:8" x14ac:dyDescent="0.2">
      <c r="C24" t="s">
        <v>502</v>
      </c>
      <c r="H24" t="str">
        <f>Registers!D55</f>
        <v>0x000000C1</v>
      </c>
    </row>
    <row r="26" spans="3:8" x14ac:dyDescent="0.2">
      <c r="C26" t="s">
        <v>505</v>
      </c>
      <c r="H26" t="str">
        <f>Registers!D75</f>
        <v>0x0000018B</v>
      </c>
    </row>
    <row r="28" spans="3:8" x14ac:dyDescent="0.2">
      <c r="C28" t="s">
        <v>497</v>
      </c>
    </row>
    <row r="29" spans="3:8" x14ac:dyDescent="0.2">
      <c r="C29" t="s">
        <v>498</v>
      </c>
    </row>
    <row r="30" spans="3:8" x14ac:dyDescent="0.2">
      <c r="C30" t="s">
        <v>497</v>
      </c>
    </row>
    <row r="31" spans="3:8" x14ac:dyDescent="0.2">
      <c r="C31" t="s">
        <v>506</v>
      </c>
      <c r="H31" t="str">
        <f>'EMIF Tool'!L79</f>
        <v>7</v>
      </c>
    </row>
    <row r="32" spans="3:8" x14ac:dyDescent="0.2">
      <c r="C32" t="s">
        <v>507</v>
      </c>
      <c r="H32" t="str">
        <f>Registers!D15</f>
        <v>0x0AAAD4DB</v>
      </c>
    </row>
    <row r="33" spans="3:8" x14ac:dyDescent="0.2">
      <c r="C33" t="s">
        <v>508</v>
      </c>
      <c r="H33" t="str">
        <f>Registers!D17</f>
        <v>0x24437FDA</v>
      </c>
    </row>
    <row r="34" spans="3:8" x14ac:dyDescent="0.2">
      <c r="C34" t="s">
        <v>509</v>
      </c>
      <c r="H34" t="str">
        <f>Registers!D19</f>
        <v>0x50FFE3FF</v>
      </c>
    </row>
    <row r="36" spans="3:8" x14ac:dyDescent="0.2">
      <c r="C36" t="s">
        <v>510</v>
      </c>
      <c r="H36" t="str">
        <f>Registers!D21</f>
        <v>0x61A04BB2</v>
      </c>
    </row>
    <row r="37" spans="3:8" x14ac:dyDescent="0.2">
      <c r="C37" t="s">
        <v>511</v>
      </c>
      <c r="H37" t="str">
        <f>Registers!D23</f>
        <v>0x00000618</v>
      </c>
    </row>
    <row r="38" spans="3:8" x14ac:dyDescent="0.2">
      <c r="C38" t="s">
        <v>512</v>
      </c>
      <c r="H38" t="str">
        <f>Registers!D26</f>
        <v>0x500797C2</v>
      </c>
    </row>
  </sheetData>
  <sheetProtection password="D9FF" sheet="1" objects="1" scenarios="1"/>
  <mergeCells count="4">
    <mergeCell ref="B2:I2"/>
    <mergeCell ref="B3:I3"/>
    <mergeCell ref="B4:I6"/>
    <mergeCell ref="B7:I8"/>
  </mergeCells>
  <phoneticPr fontId="45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93"/>
  <sheetViews>
    <sheetView workbookViewId="0">
      <selection activeCell="D72" sqref="D72"/>
    </sheetView>
  </sheetViews>
  <sheetFormatPr defaultRowHeight="12.75" x14ac:dyDescent="0.2"/>
  <cols>
    <col min="2" max="2" width="18.7109375" customWidth="1"/>
    <col min="3" max="3" width="25.42578125" customWidth="1"/>
    <col min="4" max="4" width="35.28515625" customWidth="1"/>
    <col min="5" max="5" width="11.85546875" customWidth="1"/>
    <col min="6" max="6" width="11" customWidth="1"/>
    <col min="7" max="7" width="21.28515625" customWidth="1"/>
    <col min="8" max="8" width="12.7109375" customWidth="1"/>
    <col min="9" max="9" width="26.140625" customWidth="1"/>
  </cols>
  <sheetData>
    <row r="1" spans="1:10" s="31" customFormat="1" ht="12.75" customHeight="1" x14ac:dyDescent="0.2">
      <c r="A1" s="165"/>
      <c r="B1" s="166"/>
      <c r="C1" s="166"/>
      <c r="D1" s="166"/>
      <c r="E1" s="166"/>
      <c r="F1" s="166"/>
      <c r="G1" s="167"/>
      <c r="H1" s="167"/>
      <c r="I1" s="166"/>
      <c r="J1" s="166"/>
    </row>
    <row r="2" spans="1:10" s="31" customFormat="1" ht="12.75" customHeight="1" x14ac:dyDescent="0.2">
      <c r="A2" s="165"/>
      <c r="B2" s="449"/>
      <c r="C2" s="450"/>
      <c r="D2" s="450"/>
      <c r="E2" s="450"/>
      <c r="F2" s="450"/>
      <c r="G2" s="450"/>
      <c r="H2" s="450"/>
      <c r="I2" s="451"/>
      <c r="J2" s="166"/>
    </row>
    <row r="3" spans="1:10" s="31" customFormat="1" ht="12.75" customHeight="1" x14ac:dyDescent="0.2">
      <c r="A3" s="165"/>
      <c r="B3" s="449"/>
      <c r="C3" s="450"/>
      <c r="D3" s="450"/>
      <c r="E3" s="450"/>
      <c r="F3" s="450"/>
      <c r="G3" s="450"/>
      <c r="H3" s="450"/>
      <c r="I3" s="451"/>
      <c r="J3" s="166"/>
    </row>
    <row r="4" spans="1:10" s="31" customFormat="1" ht="12.75" customHeight="1" x14ac:dyDescent="0.2">
      <c r="A4" s="165"/>
      <c r="B4" s="452" t="s">
        <v>547</v>
      </c>
      <c r="C4" s="453"/>
      <c r="D4" s="453"/>
      <c r="E4" s="453"/>
      <c r="F4" s="453"/>
      <c r="G4" s="453"/>
      <c r="H4" s="453"/>
      <c r="I4" s="454"/>
      <c r="J4" s="168"/>
    </row>
    <row r="5" spans="1:10" s="31" customFormat="1" ht="12.75" customHeight="1" x14ac:dyDescent="0.2">
      <c r="A5" s="165"/>
      <c r="B5" s="455"/>
      <c r="C5" s="456"/>
      <c r="D5" s="456"/>
      <c r="E5" s="456"/>
      <c r="F5" s="456"/>
      <c r="G5" s="456"/>
      <c r="H5" s="456"/>
      <c r="I5" s="457"/>
      <c r="J5" s="168"/>
    </row>
    <row r="6" spans="1:10" s="31" customFormat="1" ht="12.75" customHeight="1" thickBot="1" x14ac:dyDescent="0.25">
      <c r="A6" s="165"/>
      <c r="B6" s="455"/>
      <c r="C6" s="456"/>
      <c r="D6" s="456"/>
      <c r="E6" s="456"/>
      <c r="F6" s="456"/>
      <c r="G6" s="456"/>
      <c r="H6" s="456"/>
      <c r="I6" s="457"/>
      <c r="J6" s="168"/>
    </row>
    <row r="7" spans="1:10" s="31" customFormat="1" ht="12.75" customHeight="1" thickTop="1" x14ac:dyDescent="0.2">
      <c r="A7" s="165"/>
      <c r="B7" s="458" t="s">
        <v>203</v>
      </c>
      <c r="C7" s="459"/>
      <c r="D7" s="459"/>
      <c r="E7" s="459"/>
      <c r="F7" s="459"/>
      <c r="G7" s="459"/>
      <c r="H7" s="459"/>
      <c r="I7" s="460"/>
      <c r="J7" s="169"/>
    </row>
    <row r="8" spans="1:10" s="31" customFormat="1" ht="12.75" customHeight="1" x14ac:dyDescent="0.2">
      <c r="A8" s="165"/>
      <c r="B8" s="461"/>
      <c r="C8" s="462"/>
      <c r="D8" s="462"/>
      <c r="E8" s="462"/>
      <c r="F8" s="462"/>
      <c r="G8" s="462"/>
      <c r="H8" s="462"/>
      <c r="I8" s="463"/>
      <c r="J8" s="169"/>
    </row>
    <row r="9" spans="1:10" s="31" customFormat="1" ht="12.75" customHeight="1" x14ac:dyDescent="0.2">
      <c r="A9" s="165"/>
      <c r="B9" s="170" t="s">
        <v>204</v>
      </c>
      <c r="C9" s="171" t="s">
        <v>591</v>
      </c>
      <c r="D9" s="171"/>
      <c r="E9" s="172"/>
      <c r="F9" s="172"/>
      <c r="G9" s="173"/>
      <c r="H9" s="173"/>
      <c r="I9" s="174"/>
      <c r="J9" s="175"/>
    </row>
    <row r="10" spans="1:10" s="31" customFormat="1" ht="12.75" customHeight="1" thickBot="1" x14ac:dyDescent="0.25">
      <c r="A10" s="176"/>
      <c r="B10" s="183"/>
      <c r="C10" s="184"/>
      <c r="D10" s="185"/>
      <c r="E10" s="186"/>
      <c r="F10" s="186"/>
      <c r="G10" s="187"/>
      <c r="H10" s="187"/>
      <c r="I10" s="188"/>
      <c r="J10" s="175"/>
    </row>
    <row r="11" spans="1:10" s="31" customFormat="1" ht="12.75" customHeight="1" thickTop="1" x14ac:dyDescent="0.2">
      <c r="A11" s="176"/>
      <c r="B11" s="189"/>
      <c r="C11" s="189"/>
      <c r="D11" s="189"/>
      <c r="E11" s="189"/>
      <c r="F11" s="189"/>
      <c r="G11" s="190"/>
      <c r="H11" s="190"/>
      <c r="I11" s="189"/>
      <c r="J11" s="166"/>
    </row>
    <row r="13" spans="1:10" ht="15.75" x14ac:dyDescent="0.25">
      <c r="B13" s="388" t="s">
        <v>589</v>
      </c>
    </row>
    <row r="14" spans="1:10" x14ac:dyDescent="0.2">
      <c r="B14" s="385" t="s">
        <v>590</v>
      </c>
    </row>
    <row r="16" spans="1:10" x14ac:dyDescent="0.2">
      <c r="B16" s="385" t="s">
        <v>588</v>
      </c>
    </row>
    <row r="17" spans="3:8" x14ac:dyDescent="0.2">
      <c r="C17" s="391" t="s">
        <v>551</v>
      </c>
      <c r="D17" s="391" t="str">
        <f>CONCATENATE("ddr3_", 'Step1-System Details'!$E$18,"_ddr_data")</f>
        <v>ddr3_AM335xSKEVM_ddr_data</v>
      </c>
      <c r="E17" s="392" t="s">
        <v>552</v>
      </c>
      <c r="F17" s="391"/>
    </row>
    <row r="18" spans="3:8" x14ac:dyDescent="0.2">
      <c r="C18" s="391"/>
      <c r="D18" s="391" t="s">
        <v>520</v>
      </c>
      <c r="E18" s="391" t="str">
        <f>Registers!D47</f>
        <v>0x00000040</v>
      </c>
      <c r="F18" s="391" t="s">
        <v>516</v>
      </c>
      <c r="H18" s="386"/>
    </row>
    <row r="19" spans="3:8" x14ac:dyDescent="0.2">
      <c r="C19" s="391"/>
      <c r="D19" s="391" t="s">
        <v>519</v>
      </c>
      <c r="E19" s="391" t="str">
        <f>Registers!D48</f>
        <v>0x00000081</v>
      </c>
      <c r="F19" s="391" t="s">
        <v>516</v>
      </c>
      <c r="H19" s="386"/>
    </row>
    <row r="20" spans="3:8" x14ac:dyDescent="0.2">
      <c r="C20" s="391"/>
      <c r="D20" s="391" t="s">
        <v>518</v>
      </c>
      <c r="E20" s="391" t="str">
        <f>Registers!D53</f>
        <v>0x00000103</v>
      </c>
      <c r="F20" s="391" t="s">
        <v>516</v>
      </c>
      <c r="H20" s="386"/>
    </row>
    <row r="21" spans="3:8" x14ac:dyDescent="0.2">
      <c r="C21" s="391"/>
      <c r="D21" s="391" t="s">
        <v>517</v>
      </c>
      <c r="E21" s="391" t="str">
        <f>Registers!D55</f>
        <v>0x000000C1</v>
      </c>
      <c r="F21" s="391" t="s">
        <v>516</v>
      </c>
      <c r="H21" s="386"/>
    </row>
    <row r="22" spans="3:8" x14ac:dyDescent="0.2">
      <c r="C22" s="391" t="s">
        <v>515</v>
      </c>
      <c r="D22" s="391"/>
      <c r="E22" s="391"/>
      <c r="F22" s="391"/>
      <c r="H22" s="386"/>
    </row>
    <row r="23" spans="3:8" x14ac:dyDescent="0.2">
      <c r="C23" s="391"/>
      <c r="D23" s="391"/>
      <c r="E23" s="391"/>
      <c r="F23" s="391"/>
      <c r="H23" s="386"/>
    </row>
    <row r="24" spans="3:8" x14ac:dyDescent="0.2">
      <c r="C24" s="391" t="s">
        <v>553</v>
      </c>
      <c r="D24" s="391" t="str">
        <f>CONCATENATE("ddr3_", 'Step1-System Details'!$E$18,"_cmd_ctrl_data")</f>
        <v>ddr3_AM335xSKEVM_cmd_ctrl_data</v>
      </c>
      <c r="E24" s="392" t="s">
        <v>552</v>
      </c>
      <c r="F24" s="391"/>
    </row>
    <row r="25" spans="3:8" x14ac:dyDescent="0.2">
      <c r="C25" s="391"/>
      <c r="D25" s="391" t="s">
        <v>521</v>
      </c>
      <c r="E25" s="391" t="str">
        <f>Registers!D38</f>
        <v>0x00000100</v>
      </c>
      <c r="F25" s="391" t="s">
        <v>516</v>
      </c>
      <c r="H25" s="386"/>
    </row>
    <row r="26" spans="3:8" x14ac:dyDescent="0.2">
      <c r="C26" s="391"/>
      <c r="D26" s="391" t="s">
        <v>522</v>
      </c>
      <c r="E26" s="391" t="str">
        <f>Registers!D40</f>
        <v>0x00000001</v>
      </c>
      <c r="F26" s="391" t="s">
        <v>516</v>
      </c>
      <c r="H26" s="386"/>
    </row>
    <row r="27" spans="3:8" x14ac:dyDescent="0.2">
      <c r="C27" s="391"/>
      <c r="D27" s="391" t="s">
        <v>523</v>
      </c>
      <c r="E27" s="391" t="str">
        <f>Registers!D41</f>
        <v>0x00000100</v>
      </c>
      <c r="F27" s="391" t="s">
        <v>516</v>
      </c>
      <c r="H27" s="386"/>
    </row>
    <row r="28" spans="3:8" x14ac:dyDescent="0.2">
      <c r="C28" s="391"/>
      <c r="D28" s="391" t="s">
        <v>524</v>
      </c>
      <c r="E28" s="391" t="str">
        <f>Registers!D43</f>
        <v>0x00000001</v>
      </c>
      <c r="F28" s="391" t="s">
        <v>516</v>
      </c>
      <c r="H28" s="386"/>
    </row>
    <row r="29" spans="3:8" x14ac:dyDescent="0.2">
      <c r="C29" s="391"/>
      <c r="D29" s="391" t="s">
        <v>525</v>
      </c>
      <c r="E29" s="391" t="str">
        <f>Registers!D44</f>
        <v>0x00000100</v>
      </c>
      <c r="F29" s="391" t="s">
        <v>516</v>
      </c>
      <c r="H29" s="386"/>
    </row>
    <row r="30" spans="3:8" x14ac:dyDescent="0.2">
      <c r="C30" s="391"/>
      <c r="D30" s="391" t="s">
        <v>526</v>
      </c>
      <c r="E30" s="391" t="str">
        <f>Registers!D46</f>
        <v>0x00000001</v>
      </c>
      <c r="F30" s="391" t="s">
        <v>516</v>
      </c>
      <c r="H30" s="386"/>
    </row>
    <row r="31" spans="3:8" x14ac:dyDescent="0.2">
      <c r="C31" s="391" t="s">
        <v>515</v>
      </c>
      <c r="D31" s="391"/>
      <c r="E31" s="391"/>
      <c r="F31" s="391"/>
      <c r="H31" s="386"/>
    </row>
    <row r="32" spans="3:8" x14ac:dyDescent="0.2">
      <c r="C32" s="391"/>
      <c r="D32" s="391"/>
      <c r="E32" s="391"/>
      <c r="F32" s="391"/>
      <c r="H32" s="386"/>
    </row>
    <row r="33" spans="3:8" x14ac:dyDescent="0.2">
      <c r="C33" s="391" t="s">
        <v>554</v>
      </c>
      <c r="D33" s="391" t="str">
        <f>CONCATENATE("ddr3_", 'Step1-System Details'!$E$18,"_emif_reg_data")</f>
        <v>ddr3_AM335xSKEVM_emif_reg_data</v>
      </c>
      <c r="E33" s="392" t="s">
        <v>552</v>
      </c>
      <c r="F33" s="391"/>
    </row>
    <row r="34" spans="3:8" x14ac:dyDescent="0.2">
      <c r="C34" s="391"/>
      <c r="D34" s="391" t="s">
        <v>527</v>
      </c>
      <c r="E34" s="391" t="str">
        <f>Registers!D21</f>
        <v>0x61A04BB2</v>
      </c>
      <c r="F34" s="391" t="s">
        <v>516</v>
      </c>
      <c r="H34" s="386"/>
    </row>
    <row r="35" spans="3:8" x14ac:dyDescent="0.2">
      <c r="C35" s="391"/>
      <c r="D35" s="391" t="s">
        <v>528</v>
      </c>
      <c r="E35" s="391" t="str">
        <f>Registers!D23</f>
        <v>0x00000618</v>
      </c>
      <c r="F35" s="391" t="s">
        <v>516</v>
      </c>
      <c r="H35" s="386"/>
    </row>
    <row r="36" spans="3:8" x14ac:dyDescent="0.2">
      <c r="C36" s="391"/>
      <c r="D36" s="391" t="s">
        <v>529</v>
      </c>
      <c r="E36" s="391" t="str">
        <f>Registers!D15</f>
        <v>0x0AAAD4DB</v>
      </c>
      <c r="F36" s="391" t="s">
        <v>516</v>
      </c>
      <c r="H36" s="386"/>
    </row>
    <row r="37" spans="3:8" x14ac:dyDescent="0.2">
      <c r="C37" s="391"/>
      <c r="D37" s="391" t="s">
        <v>531</v>
      </c>
      <c r="E37" s="391" t="str">
        <f>Registers!D17</f>
        <v>0x24437FDA</v>
      </c>
      <c r="F37" s="391" t="s">
        <v>516</v>
      </c>
      <c r="H37" s="386"/>
    </row>
    <row r="38" spans="3:8" x14ac:dyDescent="0.2">
      <c r="C38" s="391"/>
      <c r="D38" s="391" t="s">
        <v>530</v>
      </c>
      <c r="E38" s="391" t="str">
        <f>Registers!D19</f>
        <v>0x50FFE3FF</v>
      </c>
      <c r="F38" s="391" t="s">
        <v>516</v>
      </c>
      <c r="H38" s="386"/>
    </row>
    <row r="39" spans="3:8" x14ac:dyDescent="0.2">
      <c r="C39" s="391"/>
      <c r="D39" s="391" t="s">
        <v>532</v>
      </c>
      <c r="E39" s="391" t="str">
        <f>Registers!D26</f>
        <v>0x500797C2</v>
      </c>
      <c r="F39" s="391" t="s">
        <v>516</v>
      </c>
      <c r="H39" s="386"/>
    </row>
    <row r="40" spans="3:8" x14ac:dyDescent="0.2">
      <c r="C40" s="391"/>
      <c r="D40" s="391" t="s">
        <v>533</v>
      </c>
      <c r="E40" s="391" t="str">
        <f>Registers!D33</f>
        <v>0x00100207</v>
      </c>
      <c r="F40" s="391" t="s">
        <v>516</v>
      </c>
      <c r="H40" s="386"/>
    </row>
    <row r="41" spans="3:8" x14ac:dyDescent="0.2">
      <c r="C41" s="391" t="s">
        <v>515</v>
      </c>
      <c r="D41" s="391"/>
      <c r="E41" s="391"/>
      <c r="F41" s="391"/>
      <c r="H41" s="386"/>
    </row>
    <row r="42" spans="3:8" x14ac:dyDescent="0.2">
      <c r="C42" s="391"/>
      <c r="D42" s="391"/>
      <c r="E42" s="391"/>
      <c r="F42" s="391"/>
      <c r="H42" s="386"/>
    </row>
    <row r="43" spans="3:8" x14ac:dyDescent="0.2">
      <c r="C43" s="391" t="s">
        <v>555</v>
      </c>
      <c r="D43" s="391" t="str">
        <f>CONCATENATE("ddr3_", 'Step1-System Details'!$E$18,"_ioregs_data")</f>
        <v>ddr3_AM335xSKEVM_ioregs_data</v>
      </c>
      <c r="E43" s="392" t="s">
        <v>552</v>
      </c>
      <c r="F43" s="391"/>
    </row>
    <row r="44" spans="3:8" x14ac:dyDescent="0.2">
      <c r="C44" s="391"/>
      <c r="D44" s="391" t="s">
        <v>534</v>
      </c>
      <c r="E44" s="391" t="str">
        <f>Registers!D75</f>
        <v>0x0000018B</v>
      </c>
      <c r="F44" s="391" t="s">
        <v>516</v>
      </c>
      <c r="H44" s="386"/>
    </row>
    <row r="45" spans="3:8" x14ac:dyDescent="0.2">
      <c r="C45" s="391"/>
      <c r="D45" s="391" t="s">
        <v>535</v>
      </c>
      <c r="E45" s="391" t="str">
        <f>Registers!D76</f>
        <v>0x0000018B</v>
      </c>
      <c r="F45" s="391" t="s">
        <v>516</v>
      </c>
      <c r="H45" s="386"/>
    </row>
    <row r="46" spans="3:8" x14ac:dyDescent="0.2">
      <c r="C46" s="391"/>
      <c r="D46" s="391" t="s">
        <v>536</v>
      </c>
      <c r="E46" s="391" t="str">
        <f>Registers!D77</f>
        <v>0x0000018B</v>
      </c>
      <c r="F46" s="391" t="s">
        <v>516</v>
      </c>
      <c r="H46" s="386"/>
    </row>
    <row r="47" spans="3:8" x14ac:dyDescent="0.2">
      <c r="C47" s="391"/>
      <c r="D47" s="391" t="s">
        <v>537</v>
      </c>
      <c r="E47" s="391" t="str">
        <f>Registers!D78</f>
        <v>0x0000018B</v>
      </c>
      <c r="F47" s="391" t="s">
        <v>516</v>
      </c>
      <c r="H47" s="386"/>
    </row>
    <row r="48" spans="3:8" x14ac:dyDescent="0.2">
      <c r="C48" s="391"/>
      <c r="D48" s="391" t="s">
        <v>538</v>
      </c>
      <c r="E48" s="391" t="str">
        <f>Registers!D79</f>
        <v>0x0000018B</v>
      </c>
      <c r="F48" s="391" t="s">
        <v>516</v>
      </c>
      <c r="H48" s="386"/>
    </row>
    <row r="49" spans="2:6" x14ac:dyDescent="0.2">
      <c r="C49" s="391" t="s">
        <v>515</v>
      </c>
      <c r="D49" s="391"/>
      <c r="E49" s="391"/>
      <c r="F49" s="391"/>
    </row>
    <row r="50" spans="2:6" x14ac:dyDescent="0.2">
      <c r="C50" s="391"/>
      <c r="D50" s="391"/>
      <c r="E50" s="391"/>
      <c r="F50" s="391"/>
    </row>
    <row r="51" spans="2:6" x14ac:dyDescent="0.2">
      <c r="C51" s="391" t="s">
        <v>559</v>
      </c>
      <c r="D51" s="393">
        <f>'Step1-System Details'!E20</f>
        <v>400</v>
      </c>
      <c r="E51" s="391" t="s">
        <v>516</v>
      </c>
      <c r="F51" s="391"/>
    </row>
    <row r="52" spans="2:6" x14ac:dyDescent="0.2">
      <c r="C52" s="391"/>
      <c r="D52" s="391" t="str">
        <f>CONCATENATE("&amp;",D43)</f>
        <v>&amp;ddr3_AM335xSKEVM_ioregs_data</v>
      </c>
      <c r="E52" s="391" t="s">
        <v>516</v>
      </c>
      <c r="F52" s="391"/>
    </row>
    <row r="53" spans="2:6" x14ac:dyDescent="0.2">
      <c r="C53" s="391"/>
      <c r="D53" s="391" t="str">
        <f>CONCATENATE("&amp;",D17)</f>
        <v>&amp;ddr3_AM335xSKEVM_ddr_data</v>
      </c>
      <c r="E53" s="391" t="s">
        <v>516</v>
      </c>
      <c r="F53" s="391"/>
    </row>
    <row r="54" spans="2:6" x14ac:dyDescent="0.2">
      <c r="C54" s="391"/>
      <c r="D54" s="391" t="str">
        <f>CONCATENATE("&amp;",D24)</f>
        <v>&amp;ddr3_AM335xSKEVM_cmd_ctrl_data</v>
      </c>
      <c r="E54" s="391" t="s">
        <v>516</v>
      </c>
      <c r="F54" s="391"/>
    </row>
    <row r="55" spans="2:6" x14ac:dyDescent="0.2">
      <c r="C55" s="391"/>
      <c r="D55" s="391" t="str">
        <f>CONCATENATE("&amp;",D33,",0")</f>
        <v>&amp;ddr3_AM335xSKEVM_emif_reg_data,0</v>
      </c>
      <c r="E55" s="391" t="s">
        <v>560</v>
      </c>
      <c r="F55" s="391"/>
    </row>
    <row r="57" spans="2:6" ht="15.75" x14ac:dyDescent="0.25">
      <c r="B57" s="388" t="s">
        <v>568</v>
      </c>
    </row>
    <row r="58" spans="2:6" ht="15" x14ac:dyDescent="0.25">
      <c r="B58" s="390" t="s">
        <v>592</v>
      </c>
    </row>
    <row r="59" spans="2:6" x14ac:dyDescent="0.2">
      <c r="C59" s="385"/>
      <c r="D59" s="385"/>
      <c r="E59" s="385"/>
    </row>
    <row r="60" spans="2:6" x14ac:dyDescent="0.2">
      <c r="B60" s="385" t="s">
        <v>588</v>
      </c>
    </row>
    <row r="61" spans="2:6" x14ac:dyDescent="0.2">
      <c r="C61" s="387" t="s">
        <v>565</v>
      </c>
      <c r="D61" s="385"/>
      <c r="E61" s="385"/>
    </row>
    <row r="62" spans="2:6" x14ac:dyDescent="0.2">
      <c r="C62" s="387" t="s">
        <v>566</v>
      </c>
      <c r="D62" s="385"/>
      <c r="E62" s="385"/>
    </row>
    <row r="63" spans="2:6" x14ac:dyDescent="0.2">
      <c r="C63" s="387" t="s">
        <v>569</v>
      </c>
      <c r="D63" s="385"/>
      <c r="E63" s="385"/>
    </row>
    <row r="64" spans="2:6" x14ac:dyDescent="0.2">
      <c r="C64" s="387"/>
      <c r="D64" s="385"/>
      <c r="E64" s="385"/>
    </row>
    <row r="65" spans="2:5" x14ac:dyDescent="0.2">
      <c r="C65" s="389" t="str">
        <f>CONCATENATE("     return &amp;dpll_ddr3_",'Step1-System Details'!E20,"MHz[ind];")</f>
        <v xml:space="preserve">     return &amp;dpll_ddr3_400MHz[ind];</v>
      </c>
      <c r="D65" s="385"/>
      <c r="E65" s="385"/>
    </row>
    <row r="66" spans="2:5" x14ac:dyDescent="0.2">
      <c r="C66" s="389"/>
      <c r="D66" s="385"/>
      <c r="E66" s="385"/>
    </row>
    <row r="67" spans="2:5" x14ac:dyDescent="0.2">
      <c r="C67" s="394" t="s">
        <v>570</v>
      </c>
      <c r="D67" s="385"/>
      <c r="E67" s="385"/>
    </row>
    <row r="68" spans="2:5" x14ac:dyDescent="0.2">
      <c r="C68" s="394" t="s">
        <v>571</v>
      </c>
      <c r="D68" s="385"/>
      <c r="E68" s="385"/>
    </row>
    <row r="69" spans="2:5" x14ac:dyDescent="0.2">
      <c r="C69" s="394" t="s">
        <v>572</v>
      </c>
      <c r="D69" s="385"/>
      <c r="E69" s="385"/>
    </row>
    <row r="70" spans="2:5" x14ac:dyDescent="0.2">
      <c r="C70" s="394" t="s">
        <v>573</v>
      </c>
      <c r="D70" s="385"/>
      <c r="E70" s="385"/>
    </row>
    <row r="71" spans="2:5" x14ac:dyDescent="0.2">
      <c r="C71" s="394" t="s">
        <v>574</v>
      </c>
      <c r="D71" s="385"/>
      <c r="E71" s="385"/>
    </row>
    <row r="72" spans="2:5" x14ac:dyDescent="0.2">
      <c r="C72" s="394" t="s">
        <v>571</v>
      </c>
      <c r="D72" s="385"/>
      <c r="E72" s="385"/>
    </row>
    <row r="73" spans="2:5" x14ac:dyDescent="0.2">
      <c r="C73" s="395"/>
      <c r="D73" s="385"/>
      <c r="E73" s="385"/>
    </row>
    <row r="74" spans="2:5" x14ac:dyDescent="0.2">
      <c r="C74" s="394" t="s">
        <v>575</v>
      </c>
      <c r="D74" s="385"/>
      <c r="E74" s="385"/>
    </row>
    <row r="75" spans="2:5" x14ac:dyDescent="0.2">
      <c r="C75" s="394" t="s">
        <v>576</v>
      </c>
      <c r="D75" s="385"/>
      <c r="E75" s="385"/>
    </row>
    <row r="76" spans="2:5" x14ac:dyDescent="0.2">
      <c r="C76" s="387" t="s">
        <v>567</v>
      </c>
      <c r="D76" s="385"/>
      <c r="E76" s="385"/>
    </row>
    <row r="77" spans="2:5" x14ac:dyDescent="0.2">
      <c r="C77" s="385"/>
      <c r="D77" s="385"/>
    </row>
    <row r="78" spans="2:5" x14ac:dyDescent="0.2">
      <c r="C78" s="385"/>
      <c r="D78" s="385"/>
    </row>
    <row r="79" spans="2:5" x14ac:dyDescent="0.2">
      <c r="B79" s="385" t="s">
        <v>587</v>
      </c>
    </row>
    <row r="80" spans="2:5" x14ac:dyDescent="0.2">
      <c r="B80" s="385"/>
    </row>
    <row r="81" spans="3:6" x14ac:dyDescent="0.2">
      <c r="C81" s="387" t="s">
        <v>577</v>
      </c>
      <c r="D81" s="385"/>
      <c r="E81" s="385"/>
      <c r="F81" s="385"/>
    </row>
    <row r="82" spans="3:6" x14ac:dyDescent="0.2">
      <c r="C82" s="387" t="s">
        <v>578</v>
      </c>
      <c r="D82" s="385"/>
      <c r="E82" s="385"/>
      <c r="F82" s="385"/>
    </row>
    <row r="83" spans="3:6" x14ac:dyDescent="0.2">
      <c r="C83" s="387" t="s">
        <v>579</v>
      </c>
      <c r="D83" s="385"/>
      <c r="E83" s="385"/>
      <c r="F83" s="385"/>
    </row>
    <row r="84" spans="3:6" x14ac:dyDescent="0.2">
      <c r="C84" s="387" t="s">
        <v>580</v>
      </c>
      <c r="D84" s="385"/>
      <c r="E84" s="385"/>
      <c r="F84" s="385"/>
    </row>
    <row r="85" spans="3:6" x14ac:dyDescent="0.2">
      <c r="C85" s="387" t="s">
        <v>581</v>
      </c>
      <c r="D85" s="385"/>
      <c r="E85" s="385"/>
      <c r="F85" s="385"/>
    </row>
    <row r="86" spans="3:6" x14ac:dyDescent="0.2">
      <c r="C86" s="387" t="s">
        <v>515</v>
      </c>
      <c r="D86" s="385"/>
      <c r="E86" s="385"/>
      <c r="F86" s="385"/>
    </row>
    <row r="87" spans="3:6" x14ac:dyDescent="0.2">
      <c r="C87" s="387"/>
      <c r="D87" s="385"/>
      <c r="E87" s="385"/>
      <c r="F87" s="385"/>
    </row>
    <row r="88" spans="3:6" x14ac:dyDescent="0.2">
      <c r="C88" s="387" t="s">
        <v>582</v>
      </c>
      <c r="D88" s="385"/>
      <c r="E88" s="385"/>
      <c r="F88" s="385"/>
    </row>
    <row r="89" spans="3:6" x14ac:dyDescent="0.2">
      <c r="C89" s="387" t="s">
        <v>583</v>
      </c>
      <c r="D89" s="385"/>
      <c r="E89" s="385"/>
      <c r="F89" s="385"/>
    </row>
    <row r="90" spans="3:6" x14ac:dyDescent="0.2">
      <c r="C90" s="387" t="s">
        <v>584</v>
      </c>
      <c r="D90" s="385"/>
      <c r="E90" s="385"/>
      <c r="F90" s="385"/>
    </row>
    <row r="91" spans="3:6" x14ac:dyDescent="0.2">
      <c r="C91" s="387" t="s">
        <v>585</v>
      </c>
      <c r="D91" s="385"/>
      <c r="E91" s="385"/>
      <c r="F91" s="385"/>
    </row>
    <row r="92" spans="3:6" x14ac:dyDescent="0.2">
      <c r="C92" s="387" t="s">
        <v>586</v>
      </c>
      <c r="D92" s="385"/>
      <c r="E92" s="385"/>
      <c r="F92" s="385"/>
    </row>
    <row r="93" spans="3:6" x14ac:dyDescent="0.2">
      <c r="C93" s="387" t="s">
        <v>515</v>
      </c>
      <c r="D93" s="385"/>
      <c r="E93" s="385"/>
      <c r="F93" s="385"/>
    </row>
  </sheetData>
  <sheetProtection password="D9FF" sheet="1" objects="1" scenarios="1"/>
  <mergeCells count="4">
    <mergeCell ref="B2:I2"/>
    <mergeCell ref="B3:I3"/>
    <mergeCell ref="B4:I6"/>
    <mergeCell ref="B7:I8"/>
  </mergeCells>
  <phoneticPr fontId="4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59</vt:i4>
      </vt:variant>
    </vt:vector>
  </HeadingPairs>
  <TitlesOfParts>
    <vt:vector size="68" baseType="lpstr">
      <vt:lpstr>Title-README</vt:lpstr>
      <vt:lpstr>Step1-System Details</vt:lpstr>
      <vt:lpstr>Step2-DDR Timings</vt:lpstr>
      <vt:lpstr>Step3-Board Details</vt:lpstr>
      <vt:lpstr>Invert Clock</vt:lpstr>
      <vt:lpstr>EMIF Tool</vt:lpstr>
      <vt:lpstr>Registers</vt:lpstr>
      <vt:lpstr>GEL</vt:lpstr>
      <vt:lpstr>u-boot</vt:lpstr>
      <vt:lpstr>CL_1066</vt:lpstr>
      <vt:lpstr>CL_1333</vt:lpstr>
      <vt:lpstr>CL_1600</vt:lpstr>
      <vt:lpstr>CL_1866</vt:lpstr>
      <vt:lpstr>CL_2133</vt:lpstr>
      <vt:lpstr>CL_800</vt:lpstr>
      <vt:lpstr>CLK_PERIOD</vt:lpstr>
      <vt:lpstr>DDR_Type</vt:lpstr>
      <vt:lpstr>DDR3_1600_CL</vt:lpstr>
      <vt:lpstr>DDR3_1866_CL</vt:lpstr>
      <vt:lpstr>DDR3_2133_CL</vt:lpstr>
      <vt:lpstr>DDR3_Addr</vt:lpstr>
      <vt:lpstr>DDR3_CL</vt:lpstr>
      <vt:lpstr>DDR3_CL_Max</vt:lpstr>
      <vt:lpstr>DDR3_CL_Min</vt:lpstr>
      <vt:lpstr>DDR3_CS</vt:lpstr>
      <vt:lpstr>DDR3_CWL</vt:lpstr>
      <vt:lpstr>DDR3_Data</vt:lpstr>
      <vt:lpstr>DDR3_DQS</vt:lpstr>
      <vt:lpstr>DDR3_DYN_ODT</vt:lpstr>
      <vt:lpstr>DDR3_L</vt:lpstr>
      <vt:lpstr>DDR3_Max</vt:lpstr>
      <vt:lpstr>DDR3_Min</vt:lpstr>
      <vt:lpstr>DDR3_NVM_RDB</vt:lpstr>
      <vt:lpstr>DDR3_NVM_RDB_Size</vt:lpstr>
      <vt:lpstr>DDR3_Refresh</vt:lpstr>
      <vt:lpstr>DDR3_Width</vt:lpstr>
      <vt:lpstr>DDR3_ZQ_Tsens_Max</vt:lpstr>
      <vt:lpstr>DDR3_ZQ_Tsens_Min</vt:lpstr>
      <vt:lpstr>DDR3_ZQ_Vsens_Max</vt:lpstr>
      <vt:lpstr>DDR3_ZQ_Vsens_Min</vt:lpstr>
      <vt:lpstr>INVERT_CLK</vt:lpstr>
      <vt:lpstr>LPDDR2</vt:lpstr>
      <vt:lpstr>LPDDR2_1066_CL</vt:lpstr>
      <vt:lpstr>LPDDR2_533_CL</vt:lpstr>
      <vt:lpstr>LPDDR2_667_CL</vt:lpstr>
      <vt:lpstr>LPDDR2_800_CL</vt:lpstr>
      <vt:lpstr>LPDDR2_933_CL</vt:lpstr>
      <vt:lpstr>LPDDR2_Addr</vt:lpstr>
      <vt:lpstr>LPDDR2_CL_Max</vt:lpstr>
      <vt:lpstr>LPDDR2_CL_Min</vt:lpstr>
      <vt:lpstr>LPDDR2_CS</vt:lpstr>
      <vt:lpstr>LPDDR2_CWL</vt:lpstr>
      <vt:lpstr>LPDDR2_Data</vt:lpstr>
      <vt:lpstr>LPDDR2_DQS</vt:lpstr>
      <vt:lpstr>LPDDR2_DYN_ODT</vt:lpstr>
      <vt:lpstr>LPDDR2_Max</vt:lpstr>
      <vt:lpstr>LPDDR2_Min</vt:lpstr>
      <vt:lpstr>LPDDR2_NVM_RDB</vt:lpstr>
      <vt:lpstr>LPDDR2_NVM_RDB_Size</vt:lpstr>
      <vt:lpstr>LPDDR2_Refresh</vt:lpstr>
      <vt:lpstr>LPDDR2_Width</vt:lpstr>
      <vt:lpstr>LPDDR2_ZQ_Tsens_Max</vt:lpstr>
      <vt:lpstr>LPDDR2_ZQ_Tsens_Min</vt:lpstr>
      <vt:lpstr>LPDDR2_ZQ_Vsens_Max</vt:lpstr>
      <vt:lpstr>LPDDR2_ZQ_Vsens_Min</vt:lpstr>
      <vt:lpstr>NA</vt:lpstr>
      <vt:lpstr>Speed_Bin_CL</vt:lpstr>
      <vt:lpstr>Speed_Bin_CL_DDR3</vt:lpstr>
    </vt:vector>
  </TitlesOfParts>
  <Company>Texas Instruments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Hansen</dc:creator>
  <cp:lastModifiedBy>西潟 弘司</cp:lastModifiedBy>
  <cp:lastPrinted>2009-09-15T15:48:00Z</cp:lastPrinted>
  <dcterms:created xsi:type="dcterms:W3CDTF">2009-01-21T14:50:02Z</dcterms:created>
  <dcterms:modified xsi:type="dcterms:W3CDTF">2020-10-08T04:57:53Z</dcterms:modified>
</cp:coreProperties>
</file>