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codeName="{B7FE6334-C1A2-E50D-BD3D-5F4D41BBC2E3}"/>
  <workbookPr codeName="ThisWorkbook" defaultThemeVersion="124226"/>
  <bookViews>
    <workbookView xWindow="0" yWindow="300" windowWidth="19200" windowHeight="11070" tabRatio="659" firstSheet="3" activeTab="3"/>
  </bookViews>
  <sheets>
    <sheet name="Version" sheetId="13" state="hidden" r:id="rId1"/>
    <sheet name="Info" sheetId="1" state="hidden" r:id="rId2"/>
    <sheet name="Revision History" sheetId="16" state="hidden" r:id="rId3"/>
    <sheet name="AM572x PET" sheetId="17" r:id="rId4"/>
    <sheet name="Vayu Power" sheetId="2" state="veryHidden" r:id="rId5"/>
    <sheet name="Power Results" sheetId="12" state="veryHidden" r:id="rId6"/>
    <sheet name="SoC Data" sheetId="3" state="hidden" r:id="rId7"/>
    <sheet name="DPLL Map" sheetId="14" state="hidden" r:id="rId8"/>
    <sheet name="Clock Domain Map" sheetId="9" state="hidden" r:id="rId9"/>
    <sheet name="Power Domain Map" sheetId="10" state="hidden" r:id="rId10"/>
    <sheet name="Voltage Domain Map" sheetId="11" state="hidden" r:id="rId11"/>
    <sheet name="IP Dynamic Power Data" sheetId="5" state="veryHidden" r:id="rId12"/>
    <sheet name="SoC Leakage" sheetId="7" state="hidden" r:id="rId13"/>
    <sheet name="Hard IP Leakage Data" sheetId="6" state="hidden" r:id="rId14"/>
    <sheet name="TI Important Notice" sheetId="18" r:id="rId15"/>
  </sheets>
  <definedNames>
    <definedName name="Array_Process_coeff">'Vayu Power'!$C$104</definedName>
    <definedName name="AVS_CLASS">'Vayu Power'!$C$2</definedName>
    <definedName name="BB2D_ACTIVITY">'Vayu Power'!$K$37</definedName>
    <definedName name="BB2D_PROFILE">'Vayu Power'!$J$37</definedName>
    <definedName name="BB2D_STATE">'Vayu Power'!$H$37</definedName>
    <definedName name="CORE_AVS_VOLTAGE">'Vayu Power'!$H$118</definedName>
    <definedName name="CORE_BB_FACTOR">'Vayu Power'!$E$118</definedName>
    <definedName name="CORE_C0_AVS_TBL">'SoC Data'!$N$39:$P$40</definedName>
    <definedName name="CORE_C1_AVS_TBL">'SoC Data'!$T$39:$V$40</definedName>
    <definedName name="CORE_NO_AVS_TBL">'SoC Data'!$H$39:$J$40</definedName>
    <definedName name="CORE_OPP">'Vayu Power'!$C$24</definedName>
    <definedName name="CRYPTO_ACTIVITY">'Vayu Power'!$K$44</definedName>
    <definedName name="CRYPTO_PROFILE">'Vayu Power'!$J$44</definedName>
    <definedName name="CRYPTO_STATE">'Vayu Power'!$H$44</definedName>
    <definedName name="DCAN1_ACTIVITY">'Vayu Power'!$K$57</definedName>
    <definedName name="DCAN1_PROFILE">'Vayu Power'!$J$57</definedName>
    <definedName name="DCAN1_STATE">'Vayu Power'!$H$57</definedName>
    <definedName name="DCAN2_ACTIVITY">'Vayu Power'!$K$58</definedName>
    <definedName name="DCAN2_PROFILE">'Vayu Power'!$J$58</definedName>
    <definedName name="DCAN2_STATE">'Vayu Power'!$H$58</definedName>
    <definedName name="DDR_FREQ">'Vayu Power'!$C$5</definedName>
    <definedName name="DDR_TYPE">'Vayu Power'!$C$1</definedName>
    <definedName name="DDR_WIDTH">'Vayu Power'!$C$7</definedName>
    <definedName name="DSP1_ACTIVITY">'Vayu Power'!$K$14</definedName>
    <definedName name="DSP1_DDR_READ">'Vayu Power'!$L$14</definedName>
    <definedName name="DSP1_DDR_WRITE">'Vayu Power'!$M$14</definedName>
    <definedName name="DSP1_PROFILE">'Vayu Power'!$J$14</definedName>
    <definedName name="DSP1_STATE">'Vayu Power'!$H$14</definedName>
    <definedName name="DSP2_ACTIVITY">'Vayu Power'!$K$15</definedName>
    <definedName name="DSP2_DDR_READ">'Vayu Power'!$L$15</definedName>
    <definedName name="DSP2_DDR_WRITE">'Vayu Power'!$M$15</definedName>
    <definedName name="DSP2_PROFILE">'Vayu Power'!$J$15</definedName>
    <definedName name="DSP2_STATE">'Vayu Power'!$H$15</definedName>
    <definedName name="DSPEVE_AVS_VOLTAGE">'Vayu Power'!$H$120</definedName>
    <definedName name="DSPEVE_BB_FACTOR">'Vayu Power'!$E$120</definedName>
    <definedName name="DSPEVE_C0_AVS_TBL">'SoC Data'!$N$23:$Q$24</definedName>
    <definedName name="DSPEVE_C1_AVS_TBL">'SoC Data'!$T$23:$W$24</definedName>
    <definedName name="DSPEVE_NO_AVS_TBL">'SoC Data'!$H$23:$K$24</definedName>
    <definedName name="DSPEVE_OPP">'Vayu Power'!$C$14</definedName>
    <definedName name="ECC">'Vayu Power'!$E$7</definedName>
    <definedName name="ECC_ENABLED">'Vayu Power'!$B$83</definedName>
    <definedName name="Eff_N2P">'Vayu Power'!$C$107</definedName>
    <definedName name="EN_BB">'Vayu Power'!$C$114</definedName>
    <definedName name="EN_Therm">'Vayu Power'!$C$125</definedName>
    <definedName name="EVE1_ACTIVITY">'Vayu Power'!$K$16</definedName>
    <definedName name="EVE1_DDR_READ">'Vayu Power'!$L$16</definedName>
    <definedName name="EVE1_DDR_WRITE">'Vayu Power'!$M$16</definedName>
    <definedName name="EVE1_PROFILE">'Vayu Power'!$J$16</definedName>
    <definedName name="EVE1_STATE">'Vayu Power'!$H$16</definedName>
    <definedName name="EVE2_ACTIVITY">'Vayu Power'!$K$17</definedName>
    <definedName name="EVE2_DDR_READ">'Vayu Power'!$L$17</definedName>
    <definedName name="EVE2_DDR_WRITE">'Vayu Power'!$M$17</definedName>
    <definedName name="EVE2_PROFILE">'Vayu Power'!$J$17</definedName>
    <definedName name="EVE2_STATE">'Vayu Power'!$H$17</definedName>
    <definedName name="EVE3_ACTIVITY">'Vayu Power'!$K$18</definedName>
    <definedName name="EVE3_DDR_READ">'Vayu Power'!$L$18</definedName>
    <definedName name="EVE3_DDR_WRITE">'Vayu Power'!$M$18</definedName>
    <definedName name="EVE3_PROFILE">'Vayu Power'!$J$18</definedName>
    <definedName name="EVE3_STATE">'Vayu Power'!$H$18</definedName>
    <definedName name="EVE4_ACTIVITY">'Vayu Power'!$K$19</definedName>
    <definedName name="EVE4_DDR_READ">'Vayu Power'!$L$19</definedName>
    <definedName name="EVE4_DDR_WRITE">'Vayu Power'!$M$19</definedName>
    <definedName name="EVE4_PROFILE">'Vayu Power'!$J$19</definedName>
    <definedName name="EVE4_STATE">'Vayu Power'!$H$19</definedName>
    <definedName name="GMAC_SW0_ACTIVITY">'Vayu Power'!$K$50</definedName>
    <definedName name="GMAC_SW0_PROFILE">'Vayu Power'!$J$50</definedName>
    <definedName name="GMAC_SW0_STATE">'Vayu Power'!$H$50</definedName>
    <definedName name="GMAC_SW1_ACTIVITY">'Vayu Power'!$K$51</definedName>
    <definedName name="GMAC_SW1_PROFILE">'Vayu Power'!$J$51</definedName>
    <definedName name="GMAC_SW1_STATE">'Vayu Power'!$H$51</definedName>
    <definedName name="GMAC0_FREQ">'Vayu Power'!$N$50</definedName>
    <definedName name="GMAC0_RD_BW">'Vayu Power'!$L$50</definedName>
    <definedName name="GMAC0_WR_BW">'Vayu Power'!$M$50</definedName>
    <definedName name="GMAC1_FREQ">'Vayu Power'!$N$51</definedName>
    <definedName name="GMAC1_RD_BW">'Vayu Power'!$L$51</definedName>
    <definedName name="GMAC1_WR_BW">'Vayu Power'!$M$51</definedName>
    <definedName name="GPMC_ACTIVITY">'Vayu Power'!$K$68</definedName>
    <definedName name="GPMC_FREQ">'Vayu Power'!$N$68</definedName>
    <definedName name="GPMC_PROFILE">'Vayu Power'!$J$68</definedName>
    <definedName name="GPMC_RD_BW">'Vayu Power'!$L$68</definedName>
    <definedName name="GPMC_STATE">'Vayu Power'!$H$68</definedName>
    <definedName name="GPMC_WR_BW">'Vayu Power'!$M$68</definedName>
    <definedName name="GPU_ACTIVITY">'Vayu Power'!$K$21</definedName>
    <definedName name="GPU_AVS_VOLTAGE">'Vayu Power'!$H$122</definedName>
    <definedName name="GPU_BB_FACTOR">'Vayu Power'!$E$122</definedName>
    <definedName name="GPU_C0_AVS_TBL">'SoC Data'!$N$35:$P$36</definedName>
    <definedName name="GPU_C1_AVS_TBL">'SoC Data'!$T$35:$V$36</definedName>
    <definedName name="GPU_DDR_READ">'Vayu Power'!$L$21</definedName>
    <definedName name="GPU_DDR_WRITE">'Vayu Power'!$M$21</definedName>
    <definedName name="GPU_NO_AVS_TBL">'SoC Data'!$H$35:$J$36</definedName>
    <definedName name="GPU_OPP">'Vayu Power'!$C$21</definedName>
    <definedName name="GPU_PROFILE">'Vayu Power'!$J$21</definedName>
    <definedName name="GPU_STATE">'Vayu Power'!$H$21</definedName>
    <definedName name="HDMI_ACTIVITY">'Vayu Power'!$K$43</definedName>
    <definedName name="HDMI_Freq">'Vayu Power'!$N$43</definedName>
    <definedName name="HDMI_PROFILE">'Vayu Power'!$J$43</definedName>
    <definedName name="HDMI_RD_BW">'Vayu Power'!$L$43</definedName>
    <definedName name="HDMI_STATE">'Vayu Power'!$H$43</definedName>
    <definedName name="ICSS1_ACTIVITY">'Vayu Power'!$K$48</definedName>
    <definedName name="ICSS1_PROFILE">'Vayu Power'!$J$48</definedName>
    <definedName name="ICSS1_STATE">'Vayu Power'!$H$48</definedName>
    <definedName name="ICSS2_ACTIVITY">'Vayu Power'!$K$49</definedName>
    <definedName name="ICSS2_PROFILE">'Vayu Power'!$J$49</definedName>
    <definedName name="ICSS2_STATE">'Vayu Power'!$H$49</definedName>
    <definedName name="IMPORT_DATA">'Vayu Power'!$Q$5</definedName>
    <definedName name="IPU1_ACTIVITY">'Vayu Power'!$K$24</definedName>
    <definedName name="IPU1_PROFILE">'Vayu Power'!$J$24</definedName>
    <definedName name="IPU1_STATE">'Vayu Power'!$H$24</definedName>
    <definedName name="IPU2_ACTIVITY">'Vayu Power'!$K$25</definedName>
    <definedName name="IPU2_PROFILE">'Vayu Power'!$J$25</definedName>
    <definedName name="IPU2_STATE">'Vayu Power'!$H$25</definedName>
    <definedName name="IVA_ACTIVITY">'Vayu Power'!$K$20</definedName>
    <definedName name="IVA_AVS_VOLTAGE">'Vayu Power'!$H$121</definedName>
    <definedName name="IVA_BB_FACTOR">'Vayu Power'!$E$121</definedName>
    <definedName name="IVA_C0_AVS_TBL">'SoC Data'!$N$31:$P$32</definedName>
    <definedName name="IVA_C1_AVS_TBL">'SoC Data'!$T$31:$V$32</definedName>
    <definedName name="IVA_DDR_READ">'Vayu Power'!$L$20</definedName>
    <definedName name="IVA_DDR_WRITE">'Vayu Power'!$M$20</definedName>
    <definedName name="IVA_NO_AVS_TBL">'SoC Data'!$H$31:$J$32</definedName>
    <definedName name="IVA_OPP">'Vayu Power'!$C$20</definedName>
    <definedName name="IVA_PROFILE">'Vayu Power'!$J$20</definedName>
    <definedName name="IVA_STATE">'Vayu Power'!$H$20</definedName>
    <definedName name="Lkg_Process_Factor">'Vayu Power'!$C$109</definedName>
    <definedName name="Lkg_Process_Factor_Array">'Vayu Power'!$C$110</definedName>
    <definedName name="Lkg_Process_Factor_VDD_CORE">'Vayu Power'!$C$109</definedName>
    <definedName name="Lkg_Process_Factor_VDD_DSPEVE">'Vayu Power'!$E$109</definedName>
    <definedName name="Lkg_Process_Factor_VDD_GPU">'Vayu Power'!$H$109</definedName>
    <definedName name="Lkg_Process_Factor_VDD_IVA">'Vayu Power'!$F$109</definedName>
    <definedName name="Lkg_Process_Factor_VDD_MPU">'Vayu Power'!$D$109</definedName>
    <definedName name="MCASP1_ACTIVITY">'Vayu Power'!$K$59</definedName>
    <definedName name="MCASP1_FREQ">'Vayu Power'!$N$59</definedName>
    <definedName name="MCASP1_PROFILE">'Vayu Power'!$J$59</definedName>
    <definedName name="MCASP1_RD_BW">'Vayu Power'!$L$59</definedName>
    <definedName name="MCASP1_STATE">'Vayu Power'!$H$59</definedName>
    <definedName name="MCASP1_WR_BW">'Vayu Power'!$M$59</definedName>
    <definedName name="MCASP2_ACTIVITY">'Vayu Power'!$K$60</definedName>
    <definedName name="MCASP2_FREQ">'Vayu Power'!$N$60</definedName>
    <definedName name="MCASP2_PROFILE">'Vayu Power'!$J$60</definedName>
    <definedName name="MCASP2_RD_BW">'Vayu Power'!$L$60</definedName>
    <definedName name="MCASP2_STATE">'Vayu Power'!$H$60</definedName>
    <definedName name="MCASP2_WR_BW">'Vayu Power'!$M$60</definedName>
    <definedName name="MCASP3_ACTIVITY">'Vayu Power'!$K$61</definedName>
    <definedName name="MCASP3_FREQ">'Vayu Power'!$N$61</definedName>
    <definedName name="MCASP3_PROFILE">'Vayu Power'!$J$61</definedName>
    <definedName name="MCASP3_RD_BW">'Vayu Power'!$L$61</definedName>
    <definedName name="MCASP3_STATE">'Vayu Power'!$H$61</definedName>
    <definedName name="MCASP3_WR_BW">'Vayu Power'!$M$61</definedName>
    <definedName name="MCASP4_ACTIVITY">'Vayu Power'!$K$62</definedName>
    <definedName name="MCASP4_FREQ">'Vayu Power'!$N$62</definedName>
    <definedName name="MCASP4_PROFILE">'Vayu Power'!$J$62</definedName>
    <definedName name="MCASP4_RD_BW">'Vayu Power'!$L$62</definedName>
    <definedName name="MCASP4_STATE">'Vayu Power'!$H$62</definedName>
    <definedName name="MCASP4_WR_BW">'Vayu Power'!$M$62</definedName>
    <definedName name="MCASP5_ACTIVITY">'Vayu Power'!$K$63</definedName>
    <definedName name="MCASP5_FREQ">'Vayu Power'!$N$63</definedName>
    <definedName name="MCASP5_PROFILE">'Vayu Power'!$J$63</definedName>
    <definedName name="MCASP5_RD_BW">'Vayu Power'!$L$63</definedName>
    <definedName name="MCASP5_STATE">'Vayu Power'!$H$63</definedName>
    <definedName name="MCASP5_WR_BW">'Vayu Power'!$M$63</definedName>
    <definedName name="MCASP6_ACTIVITY">'Vayu Power'!$K$64</definedName>
    <definedName name="MCASP6_FREQ">'Vayu Power'!$N$64</definedName>
    <definedName name="MCASP6_PROFILE">'Vayu Power'!$J$64</definedName>
    <definedName name="MCASP6_RD_BW">'Vayu Power'!$L$64</definedName>
    <definedName name="MCASP6_STATE">'Vayu Power'!$H$64</definedName>
    <definedName name="MCASP6_WR_BW">'Vayu Power'!$M$64</definedName>
    <definedName name="MCASP7_ACTIVITY">'Vayu Power'!$K$65</definedName>
    <definedName name="MCASP7_FREQ">'Vayu Power'!$N$65</definedName>
    <definedName name="MCASP7_PROFILE">'Vayu Power'!$J$65</definedName>
    <definedName name="MCASP7_RD_BW">'Vayu Power'!$L$65</definedName>
    <definedName name="MCASP7_STATE">'Vayu Power'!$H$65</definedName>
    <definedName name="MCASP7_WR_BW">'Vayu Power'!$M$65</definedName>
    <definedName name="MCASP8_ACTIVITY">'Vayu Power'!$K$66</definedName>
    <definedName name="MCASP8_FREQ">'Vayu Power'!$N$66</definedName>
    <definedName name="MCASP8_PROFILE">'Vayu Power'!$J$66</definedName>
    <definedName name="MCASP8_RD_BW">'Vayu Power'!$L$66</definedName>
    <definedName name="MCASP8_STATE">'Vayu Power'!$H$66</definedName>
    <definedName name="MCASP8_WR_BW">'Vayu Power'!$M$66</definedName>
    <definedName name="MLB_ACTIVITY">'Vayu Power'!$K$67</definedName>
    <definedName name="MLB_FREQ">'Vayu Power'!$N$67</definedName>
    <definedName name="MLB_PROFILE">'Vayu Power'!$J$67</definedName>
    <definedName name="MLB_RD_BW">'Vayu Power'!$L$67</definedName>
    <definedName name="MLB_STATE">'Vayu Power'!$H$67</definedName>
    <definedName name="MLB_WR_BW">'Vayu Power'!$M$67</definedName>
    <definedName name="MMC1_ACTIVITY">'Vayu Power'!$K$69</definedName>
    <definedName name="MMC1_FREQ">'Vayu Power'!$N$69</definedName>
    <definedName name="MMC1_PROFILE">'Vayu Power'!$J$69</definedName>
    <definedName name="MMC1_RD_BW">'Vayu Power'!$L$69</definedName>
    <definedName name="MMC1_STATE">'Vayu Power'!$H$69</definedName>
    <definedName name="MMC1_WR_BW">'Vayu Power'!$M$69</definedName>
    <definedName name="MMC2_ACTIVITY">'Vayu Power'!$K$70</definedName>
    <definedName name="MMC2_FREQ">'Vayu Power'!$N$70</definedName>
    <definedName name="MMC2_PROFILE">'Vayu Power'!$J$70</definedName>
    <definedName name="MMC2_RD_BW">'Vayu Power'!$L$70</definedName>
    <definedName name="MMC2_STATE">'Vayu Power'!$H$70</definedName>
    <definedName name="MMC2_WR_BW">'Vayu Power'!$M$70</definedName>
    <definedName name="MMC3_ACTIVITY">'Vayu Power'!$K$71</definedName>
    <definedName name="MMC3_FREQ">'Vayu Power'!$N$71</definedName>
    <definedName name="MMC3_PROFILE">'Vayu Power'!$J$71</definedName>
    <definedName name="MMC3_RD_BW">'Vayu Power'!$L$71</definedName>
    <definedName name="MMC3_STATE">'Vayu Power'!$H$71</definedName>
    <definedName name="MMC3_WR_BW">'Vayu Power'!$M$71</definedName>
    <definedName name="MMC4_ACTIVITY">'Vayu Power'!$K$72</definedName>
    <definedName name="MMC4_FREQ">'Vayu Power'!$N$72</definedName>
    <definedName name="MMC4_PROFILE">'Vayu Power'!$J$72</definedName>
    <definedName name="MMC4_RD_BW">'Vayu Power'!$L$72</definedName>
    <definedName name="MMC4_STATE">'Vayu Power'!$H$72</definedName>
    <definedName name="MMC4_WR_BW">'Vayu Power'!$M$72</definedName>
    <definedName name="MPU_AVS_VOLTAGE">'Vayu Power'!$H$119</definedName>
    <definedName name="MPU_BB_FACTOR">'Vayu Power'!$E$119</definedName>
    <definedName name="MPU_C0_ACTIVITY">'Vayu Power'!$K$11</definedName>
    <definedName name="MPU_C0_AVS_TBL">'SoC Data'!$N$16:$R$17</definedName>
    <definedName name="MPU_C0_DDR_READ">'Vayu Power'!$L$11</definedName>
    <definedName name="MPU_C0_DDR_WRITE">'Vayu Power'!$M$11</definedName>
    <definedName name="MPU_C0_PROFILE">'Vayu Power'!$J$11</definedName>
    <definedName name="MPU_C0_STATE">'Vayu Power'!$H$11</definedName>
    <definedName name="MPU_C1_ACTIVITY">'Vayu Power'!$K$12</definedName>
    <definedName name="MPU_C1_AVS_TBL">'SoC Data'!$T$16:$X$17</definedName>
    <definedName name="MPU_C1_DDR_READ">'Vayu Power'!$L$12</definedName>
    <definedName name="MPU_C1_DDR_WRITE">'Vayu Power'!$M$12</definedName>
    <definedName name="MPU_C1_PROFILE">'Vayu Power'!$J$12</definedName>
    <definedName name="MPU_C1_STATE">'Vayu Power'!$H$12</definedName>
    <definedName name="MPU_NO_AVS_TBL">'SoC Data'!$H$16:$L$17</definedName>
    <definedName name="MPU_OPP">'Vayu Power'!$C$11</definedName>
    <definedName name="N2P_Override">'Vayu Power'!$C$105</definedName>
    <definedName name="NUM_DDR_CH">'Vayu Power'!$C$6</definedName>
    <definedName name="PCI1_FREQ">'Vayu Power'!$N$45</definedName>
    <definedName name="PCI1_RD_BW">'Vayu Power'!$L$45</definedName>
    <definedName name="PCI1_WR_BW">'Vayu Power'!$M$45</definedName>
    <definedName name="PCI2_FREQ">'Vayu Power'!$N$46</definedName>
    <definedName name="PCI2_RD_BW">'Vayu Power'!$L$46</definedName>
    <definedName name="PCI2_WR_BW">'Vayu Power'!$M$46</definedName>
    <definedName name="PCIE_SS1_ACTIVITY">'Vayu Power'!$K$45</definedName>
    <definedName name="PCIE_SS1_PROFILE">'Vayu Power'!$J$45</definedName>
    <definedName name="PCIE_SS1_STATE">'Vayu Power'!$H$45</definedName>
    <definedName name="PCIE_SS2_ACTIVITY">'Vayu Power'!$K$46</definedName>
    <definedName name="PCIE_SS2_PROFILE">'Vayu Power'!$J$46</definedName>
    <definedName name="PCIE_SS2_STATE">'Vayu Power'!$H$46</definedName>
    <definedName name="PERIPH_DDR_READ">'Vayu Power'!$L$74</definedName>
    <definedName name="PERIPH_DDR_WRITE">'Vayu Power'!$M$74</definedName>
    <definedName name="PROCESS">'Vayu Power'!$C$4</definedName>
    <definedName name="Process_coeff">'Vayu Power'!$C$103</definedName>
    <definedName name="Process_coeff_VDD_CORE">'Vayu Power'!$C$103</definedName>
    <definedName name="Process_coeff_VDD_DSPEVE">'Vayu Power'!$E$103</definedName>
    <definedName name="Process_coeff_VDD_GPU">'Vayu Power'!$H$103</definedName>
    <definedName name="Process_coeff_VDD_IVA">'Vayu Power'!$F$103</definedName>
    <definedName name="Process_coeff_VDD_MPU">'Vayu Power'!$D$103</definedName>
    <definedName name="QSPI_ACTIVITY">'Vayu Power'!$K$56</definedName>
    <definedName name="QSPI_FREQ">'Vayu Power'!$N$56</definedName>
    <definedName name="QSPI_PROFILE">'Vayu Power'!$J$56</definedName>
    <definedName name="QSPI_RD_BW">'Vayu Power'!$L$56</definedName>
    <definedName name="QSPI_STATE">'Vayu Power'!$H$56</definedName>
    <definedName name="QSPI_WR_BW">'Vayu Power'!$M$56</definedName>
    <definedName name="SATA_ACTIVITY">'Vayu Power'!$K$47</definedName>
    <definedName name="SATA_FREQ">'Vayu Power'!$N$47</definedName>
    <definedName name="SATA_PROFILE">'Vayu Power'!$J$47</definedName>
    <definedName name="SATA_RD_BW">'Vayu Power'!$L$47</definedName>
    <definedName name="SATA_STATE">'Vayu Power'!$H$47</definedName>
    <definedName name="SATA_WR_BW">'Vayu Power'!$M$47</definedName>
    <definedName name="SPI_ACTIVITY">'Vayu Power'!$K$73</definedName>
    <definedName name="SPI_FREQ">'Vayu Power'!$N$73</definedName>
    <definedName name="SPI_PROFILE">'Vayu Power'!$J$73</definedName>
    <definedName name="SPI_RD_BW">'Vayu Power'!$L$73</definedName>
    <definedName name="SPI_STATE">'Vayu Power'!$H$73</definedName>
    <definedName name="SPI_WR_BW">'Vayu Power'!$M$73</definedName>
    <definedName name="SVT_TYP">'Vayu Power'!$D$100</definedName>
    <definedName name="SVT_USL">'Vayu Power'!$E$100</definedName>
    <definedName name="TEMP1">'Vayu Power'!$B$87</definedName>
    <definedName name="TEMP2">'Vayu Power'!$B$88</definedName>
    <definedName name="ThetaJ">'Vayu Power'!$C$127</definedName>
    <definedName name="Tj">'Vayu Power'!$C$3</definedName>
    <definedName name="Tj_eff">'Vayu Power'!$C$126</definedName>
    <definedName name="Total_Power">'Vayu Power'!$K$3</definedName>
    <definedName name="UART_I2C_GPIO_ACTIVITY">'Vayu Power'!$K$74</definedName>
    <definedName name="UART_I2C_GPIO_PROFILE">'Vayu Power'!$J$74</definedName>
    <definedName name="UART_I2C_GPIO_STATE">'Vayu Power'!$H$74</definedName>
    <definedName name="USB1_ACTIVITY">'Vayu Power'!$K$52</definedName>
    <definedName name="USB1_FREQ">'Vayu Power'!$N$52</definedName>
    <definedName name="USB1_PROFILE">'Vayu Power'!$J$52</definedName>
    <definedName name="USB1_RD_BW">'Vayu Power'!$L$52</definedName>
    <definedName name="USB1_STATE">'Vayu Power'!$H$52</definedName>
    <definedName name="USB1_WR_BW">'Vayu Power'!$M$52</definedName>
    <definedName name="USB2_ACTIVITY">'Vayu Power'!$K$53</definedName>
    <definedName name="USB2_FREQ">'Vayu Power'!$N$53</definedName>
    <definedName name="USB2_PROFILE">'Vayu Power'!$J$53</definedName>
    <definedName name="USB2_RD_BW">'Vayu Power'!$L$53</definedName>
    <definedName name="USB2_STATE">'Vayu Power'!$H$53</definedName>
    <definedName name="USB2_WR_BW">'Vayu Power'!$M$53</definedName>
    <definedName name="USB3_ACTIVITY">'Vayu Power'!$K$54</definedName>
    <definedName name="USB3_FREQ">'Vayu Power'!$N$54</definedName>
    <definedName name="USB3_PROFILE">'Vayu Power'!$J$54</definedName>
    <definedName name="USB3_RD_BW">'Vayu Power'!$L$54</definedName>
    <definedName name="USB3_STATE">'Vayu Power'!$H$54</definedName>
    <definedName name="USB3_WR_BW">'Vayu Power'!$M$54</definedName>
    <definedName name="USB4_ACTIVITY">'Vayu Power'!$K$55</definedName>
    <definedName name="USB4_FREQ">'Vayu Power'!$N$55</definedName>
    <definedName name="USB4_PROFILE">'Vayu Power'!$J$55</definedName>
    <definedName name="USB4_RD_BW">'Vayu Power'!$L$55</definedName>
    <definedName name="USB4_STATE">'Vayu Power'!$H$55</definedName>
    <definedName name="USB4_WR_BW">'Vayu Power'!$M$55</definedName>
    <definedName name="User_N2P">'Vayu Power'!$E$105</definedName>
    <definedName name="VCP1_ACTIVITY">'Vayu Power'!$K$38</definedName>
    <definedName name="VCP1_PROFILE">'Vayu Power'!$J$38</definedName>
    <definedName name="VCP1_STATE">'Vayu Power'!$H$38</definedName>
    <definedName name="VCP2_ACTIVITY">'Vayu Power'!$K$39</definedName>
    <definedName name="VCP2_PROFILE">'Vayu Power'!$J$39</definedName>
    <definedName name="VCP2_STATE">'Vayu Power'!$H$39</definedName>
    <definedName name="VDD_CORE_MARGIN">'Vayu Power'!$H$2</definedName>
    <definedName name="VDD_DSPEVE_MARGIN">'Vayu Power'!$H$4</definedName>
    <definedName name="VDD_GPU_MARGIN">'Vayu Power'!$H$6</definedName>
    <definedName name="VDD_IVA_MARGIN">'Vayu Power'!$H$5</definedName>
    <definedName name="VDD_MPU_MARGIN">'Vayu Power'!$H$3</definedName>
    <definedName name="VIN1_ACTIVITY">'Vayu Power'!$K$30</definedName>
    <definedName name="VIN1_BitW">'Vayu Power'!$P$30</definedName>
    <definedName name="VIN1_Freq">'Vayu Power'!$N$30</definedName>
    <definedName name="VIN1_PROFILE">'Vayu Power'!$J$30</definedName>
    <definedName name="VIN1_STATE">'Vayu Power'!$H$30</definedName>
    <definedName name="VIN1_WR_BW">'Vayu Power'!$M$30</definedName>
    <definedName name="VIN2_ACTIVITY">'Vayu Power'!$K$31</definedName>
    <definedName name="VIN2_BitW">'Vayu Power'!$P$31</definedName>
    <definedName name="VIN2_Freq">'Vayu Power'!$N$31</definedName>
    <definedName name="VIN2_PROFILE">'Vayu Power'!$J$31</definedName>
    <definedName name="VIN2_STATE">'Vayu Power'!$H$31</definedName>
    <definedName name="VIN2_WR_BW">'Vayu Power'!$M$31</definedName>
    <definedName name="VIN3_ACTIVITY">'Vayu Power'!$K$32</definedName>
    <definedName name="VIN3_BitW">'Vayu Power'!$P$32</definedName>
    <definedName name="VIN3_Freq">'Vayu Power'!$N$32</definedName>
    <definedName name="VIN3_PROFILE">'Vayu Power'!$J$32</definedName>
    <definedName name="VIN3_STATE">'Vayu Power'!$H$32</definedName>
    <definedName name="VIN3_WR_BW">'Vayu Power'!$M$32</definedName>
    <definedName name="VIN4_ACTIVITY">'Vayu Power'!$K$33</definedName>
    <definedName name="VIN4_BitW">'Vayu Power'!$P$33</definedName>
    <definedName name="VIN4_Freq">'Vayu Power'!$N$33</definedName>
    <definedName name="VIN4_PROFILE">'Vayu Power'!$J$33</definedName>
    <definedName name="VIN4_STATE">'Vayu Power'!$H$33</definedName>
    <definedName name="VIN4_WR_BW">'Vayu Power'!$M$33</definedName>
    <definedName name="VIN5_ACTIVITY">'Vayu Power'!$K$34</definedName>
    <definedName name="VIN5_BitW">'Vayu Power'!$P$34</definedName>
    <definedName name="VIN5_Freq">'Vayu Power'!$N$34</definedName>
    <definedName name="VIN5_PROFILE">'Vayu Power'!$J$34</definedName>
    <definedName name="VIN5_STATE">'Vayu Power'!$H$34</definedName>
    <definedName name="VIN5_WR_BW">'Vayu Power'!$M$34</definedName>
    <definedName name="VIN6_ACTIVITY">'Vayu Power'!$K$35</definedName>
    <definedName name="VIN6_BitW">'Vayu Power'!$P$35</definedName>
    <definedName name="VIN6_Freq">'Vayu Power'!$N$35</definedName>
    <definedName name="VIN6_PROFILE">'Vayu Power'!$J$35</definedName>
    <definedName name="VIN6_STATE">'Vayu Power'!$H$35</definedName>
    <definedName name="VIN6_WR_BW">'Vayu Power'!$M$35</definedName>
    <definedName name="VOUT1_ACTIVITY">'Vayu Power'!$K$40</definedName>
    <definedName name="VOUT1_BitW">'Vayu Power'!$S$40</definedName>
    <definedName name="VOUT1_Freq">'Vayu Power'!$N$40</definedName>
    <definedName name="VOUT1_PROFILE">'Vayu Power'!$J$40</definedName>
    <definedName name="VOUT1_RD_BW">'Vayu Power'!$L$40</definedName>
    <definedName name="VOUT1_STATE">'Vayu Power'!$H$40</definedName>
    <definedName name="VOUT2_ACTIVITY">'Vayu Power'!$K$41</definedName>
    <definedName name="VOUT2_BitW">'Vayu Power'!$S$41</definedName>
    <definedName name="VOUT2_Freq">'Vayu Power'!$N$41</definedName>
    <definedName name="VOUT2_PROFILE">'Vayu Power'!$J$41</definedName>
    <definedName name="VOUT2_RD_BW">'Vayu Power'!$L$41</definedName>
    <definedName name="VOUT2_STATE">'Vayu Power'!$H$41</definedName>
    <definedName name="VOUT3_ACTIVITY">'Vayu Power'!$K$42</definedName>
    <definedName name="VOUT3_BitW">'Vayu Power'!$S$42</definedName>
    <definedName name="VOUT3_Freq">'Vayu Power'!$N$42</definedName>
    <definedName name="VOUT3_PROFILE">'Vayu Power'!$J$42</definedName>
    <definedName name="VOUT3_RD_BW">'Vayu Power'!$L$42</definedName>
    <definedName name="VOUT3_STATE">'Vayu Power'!$H$42</definedName>
    <definedName name="VPE_ACTIVITY">'Vayu Power'!$K$36</definedName>
    <definedName name="VPE_PROFILE">'Vayu Power'!$J$36</definedName>
    <definedName name="VPE_STATE">'Vayu Power'!$H$36</definedName>
  </definedNames>
  <calcPr calcId="125725" iterate="1" iterateCount="10000" iterateDelta="0.001"/>
</workbook>
</file>

<file path=xl/sharedStrings.xml><?xml version="1.0" encoding="utf-8"?>
<sst xmlns="http://schemas.openxmlformats.org/spreadsheetml/2006/main" count="1970" uniqueCount="458">
  <si>
    <t>IP</t>
  </si>
  <si>
    <t>Frequency (MHz)</t>
  </si>
  <si>
    <t>OPP</t>
  </si>
  <si>
    <t>Reference profile</t>
  </si>
  <si>
    <t>Processing</t>
  </si>
  <si>
    <t>Read (MB/s)</t>
  </si>
  <si>
    <t>Write (MB/s)</t>
  </si>
  <si>
    <t>Task</t>
  </si>
  <si>
    <t>Voltage Domain</t>
  </si>
  <si>
    <t>IVA</t>
  </si>
  <si>
    <t>VPE</t>
  </si>
  <si>
    <t>Power state</t>
  </si>
  <si>
    <t>Auto</t>
  </si>
  <si>
    <t>Disabled</t>
  </si>
  <si>
    <t>Always enabled</t>
  </si>
  <si>
    <t>BB2D</t>
  </si>
  <si>
    <t>DSS</t>
  </si>
  <si>
    <t>SATA</t>
  </si>
  <si>
    <t>GMAC</t>
  </si>
  <si>
    <t>USB3</t>
  </si>
  <si>
    <t>QSPI</t>
  </si>
  <si>
    <t>MLB</t>
  </si>
  <si>
    <t>GPMC</t>
  </si>
  <si>
    <t>CRYPTO</t>
  </si>
  <si>
    <t>SPI</t>
  </si>
  <si>
    <t>Power states</t>
  </si>
  <si>
    <t>MPU OPP</t>
  </si>
  <si>
    <t>DSPEVE_OPP</t>
  </si>
  <si>
    <t>IVA_OPP</t>
  </si>
  <si>
    <t>GPU_OPP</t>
  </si>
  <si>
    <t>CORE_OPP</t>
  </si>
  <si>
    <t>OPP_NOM1</t>
  </si>
  <si>
    <t>OPP_NOM2</t>
  </si>
  <si>
    <t>OPP_OD</t>
  </si>
  <si>
    <t>OPP_HIGH</t>
  </si>
  <si>
    <t>OPP_NOM</t>
  </si>
  <si>
    <t>DSPEVE OPP</t>
  </si>
  <si>
    <t>IVA OPP</t>
  </si>
  <si>
    <t>GPU OPP</t>
  </si>
  <si>
    <t>CORE OPP</t>
  </si>
  <si>
    <t>L3</t>
  </si>
  <si>
    <t>USB2</t>
  </si>
  <si>
    <t>Power</t>
  </si>
  <si>
    <t>Total Power</t>
  </si>
  <si>
    <t>Dynamic Power</t>
  </si>
  <si>
    <t>Leakage Power</t>
  </si>
  <si>
    <t>Voltage Rail</t>
  </si>
  <si>
    <t>Voltage value</t>
  </si>
  <si>
    <t>Total Current</t>
  </si>
  <si>
    <t>Leakage Current</t>
  </si>
  <si>
    <t>Dynamic Current</t>
  </si>
  <si>
    <t>DDR Type</t>
  </si>
  <si>
    <t>DDR2</t>
  </si>
  <si>
    <t>DDR3</t>
  </si>
  <si>
    <t>DDR3L</t>
  </si>
  <si>
    <t>Utilization (% Active)</t>
  </si>
  <si>
    <t>I/O Voltage</t>
  </si>
  <si>
    <t>No AVS</t>
  </si>
  <si>
    <t>Class 0</t>
  </si>
  <si>
    <t>Class 1</t>
  </si>
  <si>
    <t>AVS Class</t>
  </si>
  <si>
    <t>None</t>
  </si>
  <si>
    <t>Voltage (V)</t>
  </si>
  <si>
    <t>Transfer (DDR or I/O)</t>
  </si>
  <si>
    <t>idle</t>
  </si>
  <si>
    <t>max</t>
  </si>
  <si>
    <t>fft</t>
  </si>
  <si>
    <t>encode</t>
  </si>
  <si>
    <t>decode</t>
  </si>
  <si>
    <t>typ</t>
  </si>
  <si>
    <t>mac</t>
  </si>
  <si>
    <t>Clock Domain</t>
  </si>
  <si>
    <t>CD_DSP0</t>
  </si>
  <si>
    <t>CD_DSP1</t>
  </si>
  <si>
    <t>CD_EVE0</t>
  </si>
  <si>
    <t>CD_EVE1</t>
  </si>
  <si>
    <t>CD_EVE2</t>
  </si>
  <si>
    <t>CD_EVE3</t>
  </si>
  <si>
    <t>Power Domain</t>
  </si>
  <si>
    <t>PD_MPU</t>
  </si>
  <si>
    <t>PD_DSP0</t>
  </si>
  <si>
    <t>PD_DSP1</t>
  </si>
  <si>
    <t>PD_EVE0</t>
  </si>
  <si>
    <t>PD_EVE1</t>
  </si>
  <si>
    <t>PD_EVE2</t>
  </si>
  <si>
    <t>PD_EVE3</t>
  </si>
  <si>
    <t>SoC</t>
  </si>
  <si>
    <t>Vayu</t>
  </si>
  <si>
    <t># 0 0 - Disabled</t>
  </si>
  <si>
    <t># 0 1 - Auto</t>
  </si>
  <si>
    <t>CD Status</t>
  </si>
  <si>
    <t># if cd is always on, pow = d*refpow + (1-d)*idle</t>
  </si>
  <si>
    <t># if cd is auto, pow = d*refpow</t>
  </si>
  <si>
    <t># if cd is off, pow = 0</t>
  </si>
  <si>
    <t># 1 0 - Always enabled</t>
  </si>
  <si>
    <t>Activity</t>
  </si>
  <si>
    <t>Stat1</t>
  </si>
  <si>
    <t>Stat0</t>
  </si>
  <si>
    <t>CD_IVA</t>
  </si>
  <si>
    <t>CD_GPU</t>
  </si>
  <si>
    <t>CD_CORE</t>
  </si>
  <si>
    <t>CD_IPU</t>
  </si>
  <si>
    <t>CD_VIP</t>
  </si>
  <si>
    <t>CD_VPE</t>
  </si>
  <si>
    <t>CD_DSS</t>
  </si>
  <si>
    <t>CD_L4SEC</t>
  </si>
  <si>
    <t>CD_PCIE</t>
  </si>
  <si>
    <t>CD_SATA</t>
  </si>
  <si>
    <t>CD_L4PER</t>
  </si>
  <si>
    <t>CD_GMAC</t>
  </si>
  <si>
    <t>CD_L3INIT</t>
  </si>
  <si>
    <t>PD_IVA</t>
  </si>
  <si>
    <t>PD_GPU</t>
  </si>
  <si>
    <t>PD_CORE</t>
  </si>
  <si>
    <t>PD_IPU</t>
  </si>
  <si>
    <t>PD_CAM</t>
  </si>
  <si>
    <t>PD_DSS</t>
  </si>
  <si>
    <t>PD_L4PER</t>
  </si>
  <si>
    <t>PD_L3INIT</t>
  </si>
  <si>
    <t>PD Status</t>
  </si>
  <si>
    <t>PD State</t>
  </si>
  <si>
    <t>Profile</t>
  </si>
  <si>
    <t>Use mA</t>
  </si>
  <si>
    <t>Idle mA</t>
  </si>
  <si>
    <t>Voltage</t>
  </si>
  <si>
    <t>Frequency</t>
  </si>
  <si>
    <t>VDD_MPU</t>
  </si>
  <si>
    <t>VDD_DSPEVE</t>
  </si>
  <si>
    <t>VDD_IVA</t>
  </si>
  <si>
    <t>VDD_GPU</t>
  </si>
  <si>
    <t>VDD_CORE</t>
  </si>
  <si>
    <t>VDD_RTC</t>
  </si>
  <si>
    <t>VDDS18V</t>
  </si>
  <si>
    <t>VDDA_USB1</t>
  </si>
  <si>
    <t>VDDA_ABE_PER</t>
  </si>
  <si>
    <t>VDDA_DDR</t>
  </si>
  <si>
    <t>VDDA_DEBUG</t>
  </si>
  <si>
    <t>VDDA_DSP_EVE</t>
  </si>
  <si>
    <t>VDDA_GMAC_CORE</t>
  </si>
  <si>
    <t>VDDA_GPU</t>
  </si>
  <si>
    <t>VDDA_HDMI</t>
  </si>
  <si>
    <t>VDDA_IVA</t>
  </si>
  <si>
    <t>VDDA_PCIE</t>
  </si>
  <si>
    <t>VDDA_PCIE0</t>
  </si>
  <si>
    <t>VDDA_USB3</t>
  </si>
  <si>
    <t>VDDA_VIDEO</t>
  </si>
  <si>
    <t>VDDA_MPU</t>
  </si>
  <si>
    <t>VDDA_RTC</t>
  </si>
  <si>
    <t>VDDA_OSC</t>
  </si>
  <si>
    <t>VDDS_DDR1</t>
  </si>
  <si>
    <t>VDDA_PCIE1</t>
  </si>
  <si>
    <t>VDDA_SATA</t>
  </si>
  <si>
    <t>VDDA_USB2</t>
  </si>
  <si>
    <t>VDDA_33v_USB1</t>
  </si>
  <si>
    <t>VDDA_33v_USB2</t>
  </si>
  <si>
    <t>VDDS_DDR2</t>
  </si>
  <si>
    <t>VDDS_MLBP</t>
  </si>
  <si>
    <t>VDDS_18V_DDR1</t>
  </si>
  <si>
    <t>VDDSHV1</t>
  </si>
  <si>
    <t>VDDSHV2</t>
  </si>
  <si>
    <t>VDDSHV3</t>
  </si>
  <si>
    <t>VDDSHV4</t>
  </si>
  <si>
    <t>VDDSHV5</t>
  </si>
  <si>
    <t>VDDSHV6</t>
  </si>
  <si>
    <t>VDDSHV7</t>
  </si>
  <si>
    <t>VDDSHV8</t>
  </si>
  <si>
    <t>VDDSHV9</t>
  </si>
  <si>
    <t>VDDSHV10</t>
  </si>
  <si>
    <t>VDDSHV11</t>
  </si>
  <si>
    <t>DSP1</t>
  </si>
  <si>
    <t>DSP2</t>
  </si>
  <si>
    <t>EVE1</t>
  </si>
  <si>
    <t>EVE2</t>
  </si>
  <si>
    <t>EVE3</t>
  </si>
  <si>
    <t>EVE4</t>
  </si>
  <si>
    <t>IPU1</t>
  </si>
  <si>
    <t>IPU2</t>
  </si>
  <si>
    <t>DCAN1</t>
  </si>
  <si>
    <t>DCAN2</t>
  </si>
  <si>
    <t>USB1</t>
  </si>
  <si>
    <t>USB4</t>
  </si>
  <si>
    <t>ICSS1</t>
  </si>
  <si>
    <t>ICSS2</t>
  </si>
  <si>
    <t>GMAC_SW0</t>
  </si>
  <si>
    <t>GMAC_SW1</t>
  </si>
  <si>
    <t>MCASP1</t>
  </si>
  <si>
    <t>MCASP2</t>
  </si>
  <si>
    <t>MCASP3</t>
  </si>
  <si>
    <t>MCASP4</t>
  </si>
  <si>
    <t>MCASP5</t>
  </si>
  <si>
    <t>MCASP6</t>
  </si>
  <si>
    <t>MCASP7</t>
  </si>
  <si>
    <t>MCASP8</t>
  </si>
  <si>
    <t>MMC1</t>
  </si>
  <si>
    <t>MMC2</t>
  </si>
  <si>
    <t>MMC3</t>
  </si>
  <si>
    <t>MMC4</t>
  </si>
  <si>
    <t>PCIe_SS1</t>
  </si>
  <si>
    <t>PCIe_SS2</t>
  </si>
  <si>
    <t>VOUT1</t>
  </si>
  <si>
    <t>VOUT2</t>
  </si>
  <si>
    <t>VOUT3</t>
  </si>
  <si>
    <t>HDMI</t>
  </si>
  <si>
    <t>VCP1</t>
  </si>
  <si>
    <t>VCP2</t>
  </si>
  <si>
    <t>VIN1</t>
  </si>
  <si>
    <t>VIN2</t>
  </si>
  <si>
    <t>VIN3</t>
  </si>
  <si>
    <t>VIN4</t>
  </si>
  <si>
    <t>VIN5</t>
  </si>
  <si>
    <t>VIN6</t>
  </si>
  <si>
    <t>UART_I2C_GPIO</t>
  </si>
  <si>
    <t>VDDS_18V_DDR2</t>
  </si>
  <si>
    <t>RTCSS</t>
  </si>
  <si>
    <t>RTC OPP</t>
  </si>
  <si>
    <t>CD_RTC</t>
  </si>
  <si>
    <t>PD_RTC</t>
  </si>
  <si>
    <t>RTC_OPP</t>
  </si>
  <si>
    <t>Temperature</t>
  </si>
  <si>
    <t>Process</t>
  </si>
  <si>
    <t>Nom</t>
  </si>
  <si>
    <t>Strong</t>
  </si>
  <si>
    <t>Func</t>
  </si>
  <si>
    <t>VIP1</t>
  </si>
  <si>
    <t>VIP2</t>
  </si>
  <si>
    <t>VIP3</t>
  </si>
  <si>
    <t>Clock Domain State</t>
  </si>
  <si>
    <t>Power Domain State</t>
  </si>
  <si>
    <t>MPU_C0</t>
  </si>
  <si>
    <t>MPU_C1</t>
  </si>
  <si>
    <t>MPU_SS</t>
  </si>
  <si>
    <t>Sub-mode</t>
  </si>
  <si>
    <t>Type</t>
  </si>
  <si>
    <t>Core</t>
  </si>
  <si>
    <t>IO</t>
  </si>
  <si>
    <t>DDR Read</t>
  </si>
  <si>
    <t>DDR Write</t>
  </si>
  <si>
    <t>DDR Freq</t>
  </si>
  <si>
    <t>Num DDR Channels</t>
  </si>
  <si>
    <t>CD_MPU_C0</t>
  </si>
  <si>
    <t>CD_MPU_C1</t>
  </si>
  <si>
    <t>CD_MPU_SS</t>
  </si>
  <si>
    <t>EMIF1</t>
  </si>
  <si>
    <t>EMIF2</t>
  </si>
  <si>
    <t>CD_EMIF</t>
  </si>
  <si>
    <t>DMM</t>
  </si>
  <si>
    <t>DDR width</t>
  </si>
  <si>
    <t>EMIFIO1_1p5</t>
  </si>
  <si>
    <t>EMIFIO1_1p8</t>
  </si>
  <si>
    <t>EMIFIO2_1p5</t>
  </si>
  <si>
    <t>EMIFIO2_1p8</t>
  </si>
  <si>
    <t>Mem Dynamic Power</t>
  </si>
  <si>
    <t>Mem Leakage Power</t>
  </si>
  <si>
    <t>Mem Use mA</t>
  </si>
  <si>
    <t>Mem Idle mA</t>
  </si>
  <si>
    <t>Mem Arr Volt</t>
  </si>
  <si>
    <t>Mem Dynamic</t>
  </si>
  <si>
    <t>Mem Leakage</t>
  </si>
  <si>
    <t>Total Dynamic</t>
  </si>
  <si>
    <t>Total Leakage</t>
  </si>
  <si>
    <t>a</t>
  </si>
  <si>
    <t>b</t>
  </si>
  <si>
    <t>m</t>
  </si>
  <si>
    <t>c</t>
  </si>
  <si>
    <t>SOC_TOP</t>
  </si>
  <si>
    <t>IO_PER</t>
  </si>
  <si>
    <t>OCMC2</t>
  </si>
  <si>
    <t>OCMC3</t>
  </si>
  <si>
    <t>PCIE_SS1</t>
  </si>
  <si>
    <t>PCIE_SS2</t>
  </si>
  <si>
    <t>I/O Frequency</t>
  </si>
  <si>
    <t>CD Activity</t>
  </si>
  <si>
    <t>CD Activity time</t>
  </si>
  <si>
    <t>OPP_NOM3</t>
  </si>
  <si>
    <t>I/O Load</t>
  </si>
  <si>
    <t>Version</t>
  </si>
  <si>
    <t>Date</t>
  </si>
  <si>
    <t>Author</t>
  </si>
  <si>
    <t>Comments</t>
  </si>
  <si>
    <t>Sanju Nair</t>
  </si>
  <si>
    <t>First version</t>
  </si>
  <si>
    <t>Updated SGX leakage power</t>
  </si>
  <si>
    <t>stall</t>
  </si>
  <si>
    <t>mem_cpy</t>
  </si>
  <si>
    <t>nop</t>
  </si>
  <si>
    <t>wfi1</t>
  </si>
  <si>
    <t>wfi2</t>
  </si>
  <si>
    <t>GPU_HYDRA</t>
  </si>
  <si>
    <t>GPU_CORE0</t>
  </si>
  <si>
    <t>GPU_CORE1</t>
  </si>
  <si>
    <t>Updated AVS Class to Class 0 in use-case definitions</t>
  </si>
  <si>
    <t>I/O Group</t>
  </si>
  <si>
    <t>ECC Enabled</t>
  </si>
  <si>
    <t>DPLL</t>
  </si>
  <si>
    <t>DPLL_MPU</t>
  </si>
  <si>
    <t>DPLL_DSP</t>
  </si>
  <si>
    <t>DPLL_EVE</t>
  </si>
  <si>
    <t>DPLL_IVA</t>
  </si>
  <si>
    <t>DPLL_GPU</t>
  </si>
  <si>
    <t>DPLL_ABE</t>
  </si>
  <si>
    <t>DPLL_CORE</t>
  </si>
  <si>
    <t>DPLL_HDMI</t>
  </si>
  <si>
    <t>DPLL_PCIE_REF</t>
  </si>
  <si>
    <t>DPLL_SATA</t>
  </si>
  <si>
    <t>DPLL_GMAC</t>
  </si>
  <si>
    <t>DPLL_PER</t>
  </si>
  <si>
    <t>DPLL_DDR</t>
  </si>
  <si>
    <t>OSC</t>
  </si>
  <si>
    <t>VDDA_PCI</t>
  </si>
  <si>
    <t>RTC_OSC</t>
  </si>
  <si>
    <t>DEBUG</t>
  </si>
  <si>
    <t>DPLL_DEBUG</t>
  </si>
  <si>
    <t>DPLL_VIDEO</t>
  </si>
  <si>
    <t>PCI0_SERDES</t>
  </si>
  <si>
    <t>PCI1_SERDES</t>
  </si>
  <si>
    <t>USB3_PHY_1p8</t>
  </si>
  <si>
    <t>USB3_PHY_3p3</t>
  </si>
  <si>
    <t>USB2_PHY_3p3</t>
  </si>
  <si>
    <t>USB2_PHY_1p8</t>
  </si>
  <si>
    <t>VDD  Supply</t>
  </si>
  <si>
    <t>PLL/PHY Enabled</t>
  </si>
  <si>
    <t>1. Added DDR ECC modeling</t>
  </si>
  <si>
    <t>2. Added LVCMOS I/O Power modeling</t>
  </si>
  <si>
    <t>3. Added DPLL and PHY power models</t>
  </si>
  <si>
    <t>4. Added nominal leakage corner</t>
  </si>
  <si>
    <t>VDDA33v_USB2</t>
  </si>
  <si>
    <t>Input clock pins</t>
  </si>
  <si>
    <t>Output clock pins</t>
  </si>
  <si>
    <t>Otuput data pins</t>
  </si>
  <si>
    <t>Output control pins</t>
  </si>
  <si>
    <t>Input data+control pins</t>
  </si>
  <si>
    <t>Inactive current</t>
  </si>
  <si>
    <t>Active current</t>
  </si>
  <si>
    <t>Current</t>
  </si>
  <si>
    <t>Import File:</t>
  </si>
  <si>
    <t>dhrystone</t>
  </si>
  <si>
    <t>David Derrick</t>
  </si>
  <si>
    <t>1. Fixed power result bug for VIN2 and VDDS18V</t>
  </si>
  <si>
    <t>2. Added macro to move data in from customer sheet</t>
  </si>
  <si>
    <t>1. Corrected voltage for VDDA_DSPEVE, VDDA_GPU, VDDA_33V_USB1/2</t>
  </si>
  <si>
    <t>2. Removed extra VDDA_USB1 of row 11 in Power Results</t>
  </si>
  <si>
    <t>Manolo Arana</t>
  </si>
  <si>
    <t>3. Mapped DCAN IO's into VDDSHV3 as default</t>
  </si>
  <si>
    <t>Corrected macros misspelling of dhrystone</t>
  </si>
  <si>
    <t>Description</t>
  </si>
  <si>
    <t>AVS CORE</t>
  </si>
  <si>
    <t>AVS MPU</t>
  </si>
  <si>
    <t>AVS DSPEVE</t>
  </si>
  <si>
    <t>AVS IVA</t>
  </si>
  <si>
    <t>AVS GPU</t>
  </si>
  <si>
    <t>RTC</t>
  </si>
  <si>
    <t>1.8V</t>
  </si>
  <si>
    <t>DDR1 bias</t>
  </si>
  <si>
    <t>DDR2 bias</t>
  </si>
  <si>
    <t>DDR1</t>
  </si>
  <si>
    <t>Analog supply for DPLLs</t>
  </si>
  <si>
    <t>Dual Voltage IO</t>
  </si>
  <si>
    <t>MLBP IO</t>
  </si>
  <si>
    <t>RTC bias</t>
  </si>
  <si>
    <t>Analog Supply</t>
  </si>
  <si>
    <t>Analog Supply for USB</t>
  </si>
  <si>
    <t>Added voltage rail description (+ colors for better visualization)</t>
  </si>
  <si>
    <t>Corrected macros making assumption of processor utilizaton based on activity</t>
  </si>
  <si>
    <t>Modified 'Import' macro to copy results into new sheet in the loading xls</t>
  </si>
  <si>
    <t>1. Added OCMC and USB leakage power that were missing</t>
  </si>
  <si>
    <t>2. Corrected PCI, USB and SATA clock frequencies</t>
  </si>
  <si>
    <t>3. Corrected GPU typ and max numbers - these were swapped earlier</t>
  </si>
  <si>
    <t>`</t>
  </si>
  <si>
    <t>Voltage Margin</t>
  </si>
  <si>
    <t>Process variation data</t>
  </si>
  <si>
    <t>SVT N2P</t>
  </si>
  <si>
    <t>LSL</t>
  </si>
  <si>
    <t>Target</t>
  </si>
  <si>
    <t>USL</t>
  </si>
  <si>
    <t>LVT N2P</t>
  </si>
  <si>
    <t>Process variation coeff</t>
  </si>
  <si>
    <t>N2P Override</t>
  </si>
  <si>
    <t>Effective N2P</t>
  </si>
  <si>
    <t>N2P Override Value</t>
  </si>
  <si>
    <t>Process factor</t>
  </si>
  <si>
    <t>Array Process variation coeff</t>
  </si>
  <si>
    <t>Array Process factor</t>
  </si>
  <si>
    <t>Body Bias modeling</t>
  </si>
  <si>
    <t>Enable Body Bias</t>
  </si>
  <si>
    <t>BB Delta voltages</t>
  </si>
  <si>
    <t>AVS Voltage</t>
  </si>
  <si>
    <t>Body bias coeff</t>
  </si>
  <si>
    <t>BB factor</t>
  </si>
  <si>
    <t>Eff AVS voltage</t>
  </si>
  <si>
    <t>Default AVS voltage</t>
  </si>
  <si>
    <t>1. Fixed bugs with MPU "Always Enabled" mode</t>
  </si>
  <si>
    <t>3. Added voltage margin knob to control each AVS supply independently</t>
  </si>
  <si>
    <t>4. Added placeholder models for process and ABB modeling</t>
  </si>
  <si>
    <t>5. Added knobs to enable automatic frequency and bandwidth computation based on resolution and frame rate input for video input and output (based on Steve Reis's feedback)</t>
  </si>
  <si>
    <t>2. Fixed bug with PCI and USB I/O power modeling; added mode based power modeling (Manfred feedback)</t>
  </si>
  <si>
    <t>6. Fixed OPP defnitions to match TRM (Steve Reis feedback)</t>
  </si>
  <si>
    <t>x2</t>
  </si>
  <si>
    <t>x</t>
  </si>
  <si>
    <t>AutoCG</t>
  </si>
  <si>
    <t>AutoPD with Ret</t>
  </si>
  <si>
    <t>PD_MPU_C0</t>
  </si>
  <si>
    <t>PD_MPU_C1</t>
  </si>
  <si>
    <t>Thermal Resistance</t>
  </si>
  <si>
    <t>Effective Tj</t>
  </si>
  <si>
    <t>Tj</t>
  </si>
  <si>
    <t>Enable Thermal Modeling (Steady State)</t>
  </si>
  <si>
    <t>Thetaja</t>
  </si>
  <si>
    <t>Thetajb</t>
  </si>
  <si>
    <t>R = Thetaj | Thetajb</t>
  </si>
  <si>
    <t>DDR_CMD_PHY</t>
  </si>
  <si>
    <t>DDR_DATA_PHY</t>
  </si>
  <si>
    <t>DLL</t>
  </si>
  <si>
    <t>DSP</t>
  </si>
  <si>
    <t>MPU</t>
  </si>
  <si>
    <t>v1p0</t>
  </si>
  <si>
    <t>Sanju</t>
  </si>
  <si>
    <t>Latest release</t>
  </si>
  <si>
    <t>v1p1</t>
  </si>
  <si>
    <t>Iván</t>
  </si>
  <si>
    <t>Locked sheets/project and fixed lock error when opening sheet</t>
  </si>
  <si>
    <t>v1p2</t>
  </si>
  <si>
    <t>Locked sheets/project and fixed lock error when opening sheet (different variable needed to get fixed)</t>
  </si>
  <si>
    <t>No</t>
  </si>
  <si>
    <t>VayuResourceLoading_v1p2.xlsx</t>
  </si>
  <si>
    <t xml:space="preserve">      AM572x Power Estimation Spreadsheet</t>
  </si>
  <si>
    <t>NOTE:  This power estimation spreadsheet is preliminary and subject to change.</t>
  </si>
  <si>
    <t>General</t>
  </si>
  <si>
    <t>IO Voltage (V)</t>
  </si>
  <si>
    <t>AM572x Power Consumption</t>
  </si>
  <si>
    <t>Power Supply</t>
  </si>
  <si>
    <t>Current (mA)</t>
  </si>
  <si>
    <t>Power (mW)</t>
  </si>
  <si>
    <t>Estimation Mode</t>
  </si>
  <si>
    <t>DDR Configuraion</t>
  </si>
  <si>
    <t>VDDS_DDRx</t>
  </si>
  <si>
    <t>Channels</t>
  </si>
  <si>
    <t>1.8V Analog PHYs</t>
  </si>
  <si>
    <t>Width</t>
  </si>
  <si>
    <t>1.8V Analog DPLLs</t>
  </si>
  <si>
    <t>3.3V Analog</t>
  </si>
  <si>
    <t>1.8V IO</t>
  </si>
  <si>
    <t>Operating Performance Point</t>
  </si>
  <si>
    <t>3.3V IO</t>
  </si>
  <si>
    <t xml:space="preserve">VDD_MPU </t>
  </si>
  <si>
    <t>VDD_DSP</t>
  </si>
  <si>
    <t>Use Case Input</t>
  </si>
  <si>
    <t>Module</t>
  </si>
  <si>
    <t>State</t>
  </si>
  <si>
    <t>Utilization (%)</t>
  </si>
  <si>
    <t>I/O Pins</t>
  </si>
  <si>
    <t>MPU1</t>
  </si>
  <si>
    <t>MPU2</t>
  </si>
  <si>
    <t>GPU</t>
  </si>
  <si>
    <t>CORE</t>
  </si>
  <si>
    <t xml:space="preserve">NOTE:  This power estimation spreadsheet provides power consumption estimates based on measured and simulated data; they are provided “as is” and are not guaranteed within a specified precision. Power consumption depends on electrical parameters, silicon process variations, environmental conditions, and uses cases running on the processor during operation.  Actual power consumption should be verified in the real system.  </t>
  </si>
  <si>
    <t>Release Date: 4/28/2015</t>
  </si>
  <si>
    <t>Max</t>
  </si>
  <si>
    <t>Enabled</t>
  </si>
</sst>
</file>

<file path=xl/styles.xml><?xml version="1.0" encoding="utf-8"?>
<styleSheet xmlns="http://schemas.openxmlformats.org/spreadsheetml/2006/main">
  <numFmts count="2">
    <numFmt numFmtId="164" formatCode="0.0"/>
    <numFmt numFmtId="165" formatCode="0.000"/>
  </numFmts>
  <fonts count="15">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b/>
      <sz val="18"/>
      <color theme="3"/>
      <name val="Cambria"/>
      <family val="2"/>
      <scheme val="major"/>
    </font>
    <font>
      <sz val="11"/>
      <color rgb="FFFF0000"/>
      <name val="Calibri"/>
      <family val="2"/>
      <scheme val="minor"/>
    </font>
    <font>
      <b/>
      <sz val="22"/>
      <color theme="3"/>
      <name val="Cambria"/>
      <family val="2"/>
      <scheme val="major"/>
    </font>
    <font>
      <b/>
      <sz val="11"/>
      <name val="Arial"/>
      <family val="2"/>
    </font>
    <font>
      <b/>
      <sz val="12"/>
      <color theme="1"/>
      <name val="Calibri"/>
      <family val="2"/>
      <scheme val="minor"/>
    </font>
    <font>
      <sz val="11"/>
      <color rgb="FF000000"/>
      <name val="Calibri"/>
      <family val="2"/>
      <scheme val="minor"/>
    </font>
    <font>
      <b/>
      <sz val="16"/>
      <color rgb="FF000000"/>
      <name val="Calibri"/>
      <family val="2"/>
      <scheme val="minor"/>
    </font>
    <font>
      <b/>
      <sz val="14"/>
      <color rgb="FF000000"/>
      <name val="Calibri"/>
      <family val="2"/>
      <scheme val="minor"/>
    </font>
    <font>
      <sz val="11"/>
      <color rgb="FF000000"/>
      <name val="Calibri"/>
      <family val="2"/>
    </font>
    <font>
      <sz val="16"/>
      <color rgb="FF000000"/>
      <name val="Calibri"/>
      <family val="2"/>
    </font>
    <font>
      <sz val="14"/>
      <color rgb="FF000000"/>
      <name val="Calibri"/>
      <family val="2"/>
    </font>
  </fonts>
  <fills count="18">
    <fill>
      <patternFill/>
    </fill>
    <fill>
      <patternFill patternType="gray125"/>
    </fill>
    <fill>
      <patternFill patternType="solid">
        <fgColor theme="4" tint="0.5999900102615356"/>
        <bgColor indexed="64"/>
      </patternFill>
    </fill>
    <fill>
      <patternFill patternType="solid">
        <fgColor theme="1" tint="0.34999001026153564"/>
        <bgColor indexed="64"/>
      </patternFill>
    </fill>
    <fill>
      <patternFill patternType="solid">
        <fgColor theme="2"/>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9" tint="0.7999799847602844"/>
        <bgColor indexed="64"/>
      </patternFill>
    </fill>
  </fills>
  <borders count="36">
    <border>
      <left/>
      <right/>
      <top/>
      <bottom/>
      <diagonal/>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bottom style="thin"/>
    </border>
    <border>
      <left style="thin"/>
      <right style="thin"/>
      <top style="thin"/>
      <bottom/>
    </border>
    <border>
      <left style="thin"/>
      <right style="thin"/>
      <top/>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medium"/>
      <right style="medium"/>
      <top style="thin"/>
      <bottom style="thin"/>
    </border>
    <border>
      <left style="thin"/>
      <right style="medium"/>
      <top/>
      <bottom style="thin"/>
    </border>
    <border>
      <left style="thin"/>
      <right style="medium"/>
      <top style="thin"/>
      <bottom style="thin"/>
    </border>
    <border>
      <left style="thin"/>
      <right style="medium"/>
      <top style="thin"/>
      <bottom/>
    </border>
    <border>
      <left/>
      <right style="medium"/>
      <top style="medium"/>
      <bottom style="mediu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style="thin"/>
      <top style="thin"/>
      <bottom/>
    </border>
    <border>
      <left style="medium"/>
      <right/>
      <top style="medium"/>
      <bottom style="medium"/>
    </border>
    <border>
      <left/>
      <right/>
      <top style="medium"/>
      <bottom style="medium"/>
    </border>
    <border>
      <left style="thin"/>
      <right/>
      <top style="thin"/>
      <bottom style="thin"/>
    </border>
    <border>
      <left/>
      <right/>
      <top style="thin"/>
      <bottom style="thin"/>
    </border>
    <border>
      <left style="medium"/>
      <right style="medium"/>
      <top style="medium"/>
      <bottom style="thin"/>
    </border>
    <border>
      <left style="medium"/>
      <right style="medium"/>
      <top style="thin"/>
      <bottom style="medium"/>
    </border>
    <border>
      <left style="medium"/>
      <right style="medium"/>
      <top/>
      <bottom style="thin"/>
    </border>
    <border>
      <left/>
      <right style="thin"/>
      <top style="medium"/>
      <bottom style="thin"/>
    </border>
    <border>
      <left/>
      <right style="thin"/>
      <top style="thin"/>
      <bottom style="medium"/>
    </border>
    <border>
      <left/>
      <right style="thin"/>
      <top style="thin"/>
      <bottom/>
    </border>
    <border>
      <left/>
      <right style="thin"/>
      <top/>
      <bottom/>
    </border>
    <border>
      <left/>
      <right style="thin"/>
      <top/>
      <bottom style="medium"/>
    </border>
    <border>
      <left style="medium"/>
      <right style="thin"/>
      <top/>
      <bottom style="medium"/>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0" fillId="2" borderId="0" applyNumberFormat="0" applyBorder="0" applyAlignment="0" applyProtection="0"/>
  </cellStyleXfs>
  <cellXfs count="185">
    <xf numFmtId="0" fontId="0" fillId="0" borderId="0" xfId="0"/>
    <xf numFmtId="0" fontId="0" fillId="0" borderId="1" xfId="0" applyBorder="1"/>
    <xf numFmtId="0" fontId="0" fillId="0" borderId="2" xfId="0" applyBorder="1"/>
    <xf numFmtId="0" fontId="2" fillId="0" borderId="3" xfId="0" applyFont="1" applyBorder="1"/>
    <xf numFmtId="0" fontId="2" fillId="0" borderId="0" xfId="0" applyFont="1"/>
    <xf numFmtId="0" fontId="0" fillId="0" borderId="0" xfId="0" applyBorder="1"/>
    <xf numFmtId="0" fontId="0" fillId="0" borderId="0" xfId="0" applyBorder="1" applyAlignment="1">
      <alignment wrapText="1"/>
    </xf>
    <xf numFmtId="2" fontId="0" fillId="0" borderId="0" xfId="0" applyNumberFormat="1"/>
    <xf numFmtId="2" fontId="0" fillId="0" borderId="1" xfId="0" applyNumberFormat="1" applyBorder="1"/>
    <xf numFmtId="0" fontId="2" fillId="0" borderId="0" xfId="0" applyFont="1" applyFill="1" applyBorder="1"/>
    <xf numFmtId="0" fontId="0" fillId="0" borderId="0" xfId="0" applyFill="1" applyBorder="1"/>
    <xf numFmtId="0" fontId="0" fillId="0" borderId="4" xfId="0" applyBorder="1" applyAlignment="1">
      <alignment vertical="center"/>
    </xf>
    <xf numFmtId="0" fontId="0" fillId="0" borderId="0" xfId="0" applyFont="1"/>
    <xf numFmtId="2" fontId="0" fillId="0" borderId="0" xfId="0" applyNumberFormat="1" applyFont="1"/>
    <xf numFmtId="11" fontId="0" fillId="0" borderId="0" xfId="0" applyNumberFormat="1"/>
    <xf numFmtId="0" fontId="0" fillId="3" borderId="5" xfId="0" applyFill="1" applyBorder="1" applyAlignment="1">
      <alignment wrapText="1"/>
    </xf>
    <xf numFmtId="0" fontId="0" fillId="3" borderId="5" xfId="0" applyFill="1" applyBorder="1"/>
    <xf numFmtId="164" fontId="0" fillId="0" borderId="0" xfId="0" applyNumberFormat="1"/>
    <xf numFmtId="0" fontId="2" fillId="0" borderId="0" xfId="0" applyFont="1" applyAlignment="1">
      <alignment horizontal="center"/>
    </xf>
    <xf numFmtId="15" fontId="0" fillId="0" borderId="0" xfId="0" applyNumberFormat="1"/>
    <xf numFmtId="0" fontId="0" fillId="3" borderId="6" xfId="0" applyFill="1" applyBorder="1" applyAlignment="1">
      <alignment wrapText="1"/>
    </xf>
    <xf numFmtId="0" fontId="0" fillId="3" borderId="6" xfId="0" applyFill="1" applyBorder="1"/>
    <xf numFmtId="0" fontId="0" fillId="0" borderId="2" xfId="0" applyBorder="1" applyAlignment="1">
      <alignment wrapText="1"/>
    </xf>
    <xf numFmtId="0" fontId="0" fillId="0" borderId="1" xfId="0" applyBorder="1" applyAlignment="1">
      <alignment vertical="center"/>
    </xf>
    <xf numFmtId="0" fontId="0" fillId="0" borderId="4" xfId="0" applyBorder="1"/>
    <xf numFmtId="0" fontId="2" fillId="0" borderId="7" xfId="0" applyFont="1" applyBorder="1"/>
    <xf numFmtId="0" fontId="2" fillId="0" borderId="8" xfId="0" applyFont="1" applyBorder="1"/>
    <xf numFmtId="2" fontId="2" fillId="0" borderId="9" xfId="0" applyNumberFormat="1" applyFont="1" applyBorder="1"/>
    <xf numFmtId="2" fontId="2" fillId="0" borderId="2" xfId="0" applyNumberFormat="1" applyFont="1" applyBorder="1"/>
    <xf numFmtId="2" fontId="2" fillId="0" borderId="10" xfId="0" applyNumberFormat="1" applyFont="1" applyBorder="1"/>
    <xf numFmtId="0" fontId="2" fillId="0" borderId="0" xfId="0" applyFont="1" applyBorder="1" applyAlignment="1">
      <alignment horizontal="center"/>
    </xf>
    <xf numFmtId="0" fontId="3" fillId="0" borderId="0" xfId="0" applyFont="1" applyBorder="1" applyAlignment="1">
      <alignment wrapText="1"/>
    </xf>
    <xf numFmtId="0" fontId="0" fillId="3" borderId="0" xfId="0" applyFill="1" applyBorder="1"/>
    <xf numFmtId="0" fontId="2" fillId="0" borderId="1" xfId="0" applyFont="1" applyFill="1" applyBorder="1" applyAlignment="1">
      <alignment horizontal="center" vertical="center" wrapText="1"/>
    </xf>
    <xf numFmtId="0" fontId="2" fillId="0" borderId="1" xfId="0" applyFont="1" applyBorder="1"/>
    <xf numFmtId="0" fontId="2" fillId="0" borderId="1" xfId="0" applyFont="1" applyFill="1" applyBorder="1"/>
    <xf numFmtId="0" fontId="2" fillId="0" borderId="2" xfId="0" applyFont="1" applyFill="1" applyBorder="1"/>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wrapText="1"/>
    </xf>
    <xf numFmtId="0" fontId="0" fillId="5" borderId="11" xfId="0" applyFill="1" applyBorder="1" applyAlignment="1">
      <alignment horizontal="center"/>
    </xf>
    <xf numFmtId="0" fontId="0" fillId="6" borderId="11" xfId="0" applyFill="1" applyBorder="1" applyAlignment="1">
      <alignment horizontal="center"/>
    </xf>
    <xf numFmtId="0" fontId="0" fillId="7" borderId="11" xfId="0" applyFill="1" applyBorder="1" applyAlignment="1">
      <alignment horizontal="center" vertical="center"/>
    </xf>
    <xf numFmtId="0" fontId="0" fillId="8" borderId="11" xfId="0" applyFill="1" applyBorder="1" applyAlignment="1">
      <alignment horizontal="center" vertical="center"/>
    </xf>
    <xf numFmtId="0" fontId="3" fillId="4" borderId="2" xfId="0" applyFont="1" applyFill="1" applyBorder="1" applyAlignment="1">
      <alignment wrapText="1"/>
    </xf>
    <xf numFmtId="0" fontId="3" fillId="4" borderId="2" xfId="0" applyFont="1" applyFill="1" applyBorder="1"/>
    <xf numFmtId="0" fontId="3" fillId="4" borderId="10" xfId="0" applyFont="1" applyFill="1" applyBorder="1" applyAlignment="1">
      <alignment wrapText="1"/>
    </xf>
    <xf numFmtId="0" fontId="2" fillId="9" borderId="12" xfId="0" applyFont="1" applyFill="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5" xfId="0" applyBorder="1"/>
    <xf numFmtId="0" fontId="0" fillId="0" borderId="5" xfId="0" applyFill="1" applyBorder="1"/>
    <xf numFmtId="0" fontId="0" fillId="0" borderId="7" xfId="0" applyBorder="1"/>
    <xf numFmtId="0" fontId="0" fillId="0" borderId="4" xfId="0" applyBorder="1" applyAlignment="1" applyProtection="1">
      <alignment horizontal="center" vertical="center"/>
      <protection hidden="1"/>
    </xf>
    <xf numFmtId="0" fontId="0" fillId="0" borderId="4" xfId="0" applyBorder="1" applyProtection="1">
      <protection hidden="1"/>
    </xf>
    <xf numFmtId="0" fontId="0" fillId="0" borderId="1" xfId="0" applyBorder="1" applyAlignment="1" applyProtection="1">
      <alignment horizontal="center" vertical="center"/>
      <protection hidden="1"/>
    </xf>
    <xf numFmtId="0" fontId="0" fillId="0" borderId="1" xfId="0" applyBorder="1" applyProtection="1">
      <protection hidden="1"/>
    </xf>
    <xf numFmtId="0" fontId="0" fillId="0" borderId="2" xfId="0" applyBorder="1" applyProtection="1">
      <protection hidden="1"/>
    </xf>
    <xf numFmtId="0" fontId="0" fillId="3" borderId="4" xfId="0" applyFill="1" applyBorder="1" applyProtection="1">
      <protection hidden="1"/>
    </xf>
    <xf numFmtId="0" fontId="0" fillId="3" borderId="1" xfId="0" applyFill="1" applyBorder="1" applyProtection="1">
      <protection hidden="1"/>
    </xf>
    <xf numFmtId="0" fontId="0" fillId="0" borderId="5" xfId="0" applyBorder="1" applyProtection="1">
      <protection hidden="1"/>
    </xf>
    <xf numFmtId="0" fontId="0" fillId="0" borderId="7" xfId="0" applyBorder="1" applyProtection="1">
      <protection hidden="1"/>
    </xf>
    <xf numFmtId="0" fontId="0" fillId="0" borderId="4" xfId="0" applyBorder="1" applyProtection="1">
      <protection locked="0"/>
    </xf>
    <xf numFmtId="0" fontId="0" fillId="0" borderId="1" xfId="0" applyBorder="1" applyProtection="1">
      <protection locked="0"/>
    </xf>
    <xf numFmtId="0" fontId="0" fillId="3" borderId="1" xfId="0" applyFill="1" applyBorder="1" applyProtection="1">
      <protection locked="0"/>
    </xf>
    <xf numFmtId="0" fontId="0" fillId="0" borderId="2" xfId="0" applyBorder="1" applyProtection="1">
      <protection locked="0"/>
    </xf>
    <xf numFmtId="0" fontId="0" fillId="3" borderId="6" xfId="0" applyFill="1" applyBorder="1" applyProtection="1">
      <protection locked="0"/>
    </xf>
    <xf numFmtId="0" fontId="0" fillId="3" borderId="5" xfId="0" applyFill="1" applyBorder="1" applyProtection="1">
      <protection locked="0"/>
    </xf>
    <xf numFmtId="0" fontId="0" fillId="0" borderId="5" xfId="0" applyBorder="1" applyProtection="1">
      <protection locked="0"/>
    </xf>
    <xf numFmtId="0" fontId="0" fillId="0" borderId="7" xfId="0" applyBorder="1" applyProtection="1">
      <protection locked="0"/>
    </xf>
    <xf numFmtId="0" fontId="0" fillId="3" borderId="13" xfId="0" applyFill="1" applyBorder="1" applyProtection="1">
      <protection locked="0"/>
    </xf>
    <xf numFmtId="0" fontId="0" fillId="0" borderId="14" xfId="0" applyBorder="1" applyProtection="1">
      <protection locked="0"/>
    </xf>
    <xf numFmtId="0" fontId="0" fillId="0" borderId="15" xfId="0" applyBorder="1" applyProtection="1">
      <protection locked="0"/>
    </xf>
    <xf numFmtId="2" fontId="0" fillId="0" borderId="1" xfId="0" applyNumberFormat="1" applyBorder="1" applyProtection="1">
      <protection hidden="1"/>
    </xf>
    <xf numFmtId="2" fontId="0" fillId="0" borderId="14" xfId="0" applyNumberFormat="1" applyBorder="1" applyProtection="1">
      <protection hidden="1"/>
    </xf>
    <xf numFmtId="2" fontId="0" fillId="0" borderId="2" xfId="0" applyNumberFormat="1" applyBorder="1" applyProtection="1">
      <protection hidden="1"/>
    </xf>
    <xf numFmtId="2" fontId="0" fillId="0" borderId="10" xfId="0" applyNumberFormat="1" applyBorder="1" applyProtection="1">
      <protection hidden="1"/>
    </xf>
    <xf numFmtId="0" fontId="0" fillId="0" borderId="13" xfId="0" applyBorder="1" applyProtection="1">
      <protection locked="0"/>
    </xf>
    <xf numFmtId="0" fontId="0" fillId="3" borderId="14" xfId="0" applyFill="1" applyBorder="1" applyProtection="1">
      <protection locked="0"/>
    </xf>
    <xf numFmtId="0" fontId="0" fillId="0" borderId="8" xfId="0" applyBorder="1" applyProtection="1">
      <protection locked="0"/>
    </xf>
    <xf numFmtId="0" fontId="0" fillId="0" borderId="10" xfId="0" applyBorder="1" applyProtection="1">
      <protection locked="0"/>
    </xf>
    <xf numFmtId="0" fontId="0" fillId="0" borderId="0" xfId="0" applyProtection="1">
      <protection locked="0"/>
    </xf>
    <xf numFmtId="0" fontId="2" fillId="0" borderId="0" xfId="0" applyFont="1" applyAlignment="1">
      <alignment horizontal="right"/>
    </xf>
    <xf numFmtId="0" fontId="0" fillId="0" borderId="0" xfId="0" applyAlignment="1">
      <alignment wrapText="1"/>
    </xf>
    <xf numFmtId="165" fontId="0" fillId="0" borderId="0" xfId="0" applyNumberFormat="1"/>
    <xf numFmtId="0" fontId="0" fillId="0" borderId="6" xfId="0" applyBorder="1"/>
    <xf numFmtId="0" fontId="0" fillId="0" borderId="6" xfId="0" applyBorder="1" applyProtection="1">
      <protection locked="0"/>
    </xf>
    <xf numFmtId="16" fontId="0" fillId="0" borderId="0" xfId="0" applyNumberFormat="1"/>
    <xf numFmtId="0" fontId="7" fillId="0" borderId="16" xfId="0" applyFont="1" applyBorder="1" applyAlignment="1" applyProtection="1">
      <alignment horizontal="left" vertical="center" wrapText="1" indent="1"/>
      <protection/>
    </xf>
    <xf numFmtId="0" fontId="0" fillId="0" borderId="0" xfId="0" applyFont="1" applyProtection="1">
      <protection/>
    </xf>
    <xf numFmtId="0" fontId="5" fillId="0" borderId="0" xfId="0" applyFont="1" applyAlignment="1" applyProtection="1">
      <alignment horizontal="right" vertical="center"/>
      <protection/>
    </xf>
    <xf numFmtId="0" fontId="0" fillId="2" borderId="0" xfId="21" applyProtection="1">
      <protection/>
    </xf>
    <xf numFmtId="0" fontId="0" fillId="2" borderId="0" xfId="21" applyFont="1" applyProtection="1">
      <protection/>
    </xf>
    <xf numFmtId="0" fontId="0" fillId="0" borderId="1" xfId="0" applyFont="1" applyBorder="1" applyProtection="1">
      <protection/>
    </xf>
    <xf numFmtId="0" fontId="0" fillId="10" borderId="1" xfId="0" applyFont="1" applyFill="1" applyBorder="1" applyAlignment="1" applyProtection="1">
      <alignment horizontal="center"/>
      <protection locked="0"/>
    </xf>
    <xf numFmtId="0" fontId="0" fillId="0" borderId="1" xfId="0" applyFont="1" applyBorder="1" applyAlignment="1" applyProtection="1">
      <alignment horizontal="center"/>
      <protection/>
    </xf>
    <xf numFmtId="0" fontId="0" fillId="0" borderId="1" xfId="0" applyFont="1" applyBorder="1" applyAlignment="1" applyProtection="1">
      <alignment horizontal="left"/>
      <protection/>
    </xf>
    <xf numFmtId="0" fontId="0" fillId="0" borderId="1" xfId="0" applyFont="1" applyBorder="1" applyAlignment="1" applyProtection="1">
      <alignment horizontal="center" vertical="center"/>
      <protection/>
    </xf>
    <xf numFmtId="1" fontId="0" fillId="0" borderId="1" xfId="0" applyNumberFormat="1" applyFont="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1" xfId="0" applyFont="1" applyFill="1" applyBorder="1" applyAlignment="1" applyProtection="1">
      <alignment vertical="center"/>
      <protection/>
    </xf>
    <xf numFmtId="0" fontId="0" fillId="0" borderId="1" xfId="0" applyFont="1" applyFill="1" applyBorder="1" applyAlignment="1" applyProtection="1">
      <alignment horizontal="center" vertical="center"/>
      <protection/>
    </xf>
    <xf numFmtId="1" fontId="0" fillId="0" borderId="1" xfId="0" applyNumberFormat="1" applyFont="1" applyFill="1" applyBorder="1" applyAlignment="1" applyProtection="1">
      <alignment horizontal="center" vertical="center"/>
      <protection/>
    </xf>
    <xf numFmtId="1" fontId="0" fillId="0" borderId="1" xfId="0" applyNumberFormat="1" applyFont="1" applyBorder="1" applyAlignment="1" applyProtection="1">
      <alignment horizontal="center"/>
      <protection/>
    </xf>
    <xf numFmtId="0" fontId="0" fillId="0" borderId="1" xfId="0" applyFont="1" applyFill="1" applyBorder="1" applyAlignment="1" applyProtection="1">
      <alignment horizontal="left"/>
      <protection/>
    </xf>
    <xf numFmtId="1" fontId="8" fillId="0" borderId="1" xfId="0" applyNumberFormat="1" applyFont="1" applyBorder="1" applyAlignment="1" applyProtection="1">
      <alignment horizontal="center"/>
      <protection/>
    </xf>
    <xf numFmtId="0" fontId="0" fillId="0" borderId="0" xfId="0" applyFont="1" applyFill="1" applyBorder="1" applyAlignment="1" applyProtection="1">
      <alignment horizontal="left"/>
      <protection/>
    </xf>
    <xf numFmtId="164" fontId="0" fillId="0" borderId="0" xfId="0" applyNumberFormat="1" applyFont="1" applyAlignment="1" applyProtection="1">
      <alignment horizontal="center"/>
      <protection/>
    </xf>
    <xf numFmtId="0" fontId="0" fillId="11" borderId="1" xfId="0" applyFont="1" applyFill="1" applyBorder="1" applyAlignment="1" applyProtection="1">
      <alignment horizontal="center"/>
      <protection/>
    </xf>
    <xf numFmtId="0" fontId="0" fillId="12" borderId="1" xfId="0" applyFill="1" applyBorder="1" applyAlignment="1" applyProtection="1">
      <alignment horizontal="left" vertical="center"/>
      <protection locked="0"/>
    </xf>
    <xf numFmtId="0" fontId="0" fillId="0" borderId="4" xfId="0" applyBorder="1" applyProtection="1">
      <protection locked="0"/>
    </xf>
    <xf numFmtId="0" fontId="0" fillId="0" borderId="1" xfId="0" applyBorder="1" applyProtection="1">
      <protection locked="0"/>
    </xf>
    <xf numFmtId="0" fontId="0" fillId="3" borderId="1" xfId="0" applyFill="1" applyBorder="1" applyProtection="1">
      <protection locked="0"/>
    </xf>
    <xf numFmtId="0" fontId="0" fillId="0" borderId="2" xfId="0" applyBorder="1" applyProtection="1">
      <protection locked="0"/>
    </xf>
    <xf numFmtId="0" fontId="0" fillId="3" borderId="6" xfId="0" applyFill="1" applyBorder="1" applyProtection="1">
      <protection locked="0"/>
    </xf>
    <xf numFmtId="0" fontId="0" fillId="3" borderId="5" xfId="0" applyFill="1" applyBorder="1" applyProtection="1">
      <protection locked="0"/>
    </xf>
    <xf numFmtId="0" fontId="0" fillId="0" borderId="5" xfId="0" applyBorder="1" applyProtection="1">
      <protection locked="0"/>
    </xf>
    <xf numFmtId="0" fontId="0" fillId="0" borderId="7" xfId="0" applyBorder="1" applyProtection="1">
      <protection locked="0"/>
    </xf>
    <xf numFmtId="0" fontId="0" fillId="3" borderId="13" xfId="0" applyFill="1"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7" xfId="0" applyFill="1" applyBorder="1" applyProtection="1">
      <protection locked="0"/>
    </xf>
    <xf numFmtId="0" fontId="0" fillId="0" borderId="2" xfId="0" applyFill="1" applyBorder="1" applyProtection="1">
      <protection locked="0"/>
    </xf>
    <xf numFmtId="0" fontId="0" fillId="12" borderId="1" xfId="0" applyFill="1" applyBorder="1" applyProtection="1">
      <protection locked="0"/>
    </xf>
    <xf numFmtId="0" fontId="0" fillId="12" borderId="17" xfId="0" applyFill="1" applyBorder="1" applyAlignment="1" applyProtection="1">
      <alignment horizontal="center"/>
      <protection locked="0"/>
    </xf>
    <xf numFmtId="0" fontId="0" fillId="12" borderId="4" xfId="0" applyFill="1" applyBorder="1" applyProtection="1">
      <protection locked="0"/>
    </xf>
    <xf numFmtId="0" fontId="0" fillId="12" borderId="2" xfId="0" applyFill="1" applyBorder="1" applyProtection="1">
      <protection locked="0"/>
    </xf>
    <xf numFmtId="0" fontId="0" fillId="12" borderId="14" xfId="0" applyFill="1" applyBorder="1" applyProtection="1">
      <protection locked="0"/>
    </xf>
    <xf numFmtId="0" fontId="0" fillId="12" borderId="18" xfId="0" applyFill="1" applyBorder="1" applyAlignment="1" applyProtection="1">
      <alignment horizontal="center"/>
      <protection locked="0"/>
    </xf>
    <xf numFmtId="0" fontId="0" fillId="12" borderId="19" xfId="0" applyFill="1" applyBorder="1" applyAlignment="1" applyProtection="1">
      <alignment horizontal="center"/>
      <protection locked="0"/>
    </xf>
    <xf numFmtId="0" fontId="0" fillId="12" borderId="20" xfId="0" applyFill="1" applyBorder="1" applyAlignment="1" applyProtection="1">
      <alignment horizontal="center"/>
      <protection locked="0"/>
    </xf>
    <xf numFmtId="0" fontId="0" fillId="12" borderId="21" xfId="0" applyFill="1" applyBorder="1" applyAlignment="1" applyProtection="1">
      <alignment horizontal="center"/>
      <protection locked="0"/>
    </xf>
    <xf numFmtId="0" fontId="0" fillId="12" borderId="21" xfId="0" applyFill="1" applyBorder="1" applyAlignment="1" applyProtection="1">
      <alignment horizontal="center" vertical="center"/>
      <protection locked="0"/>
    </xf>
    <xf numFmtId="0" fontId="0" fillId="12" borderId="19" xfId="0" applyFill="1" applyBorder="1" applyAlignment="1" applyProtection="1">
      <alignment horizontal="center" vertical="center"/>
      <protection locked="0"/>
    </xf>
    <xf numFmtId="0" fontId="0" fillId="12" borderId="20" xfId="0" applyFill="1" applyBorder="1" applyAlignment="1" applyProtection="1">
      <alignment horizontal="center" vertical="center"/>
      <protection locked="0"/>
    </xf>
    <xf numFmtId="0" fontId="0" fillId="12" borderId="6" xfId="0" applyFill="1" applyBorder="1" applyProtection="1">
      <protection locked="0"/>
    </xf>
    <xf numFmtId="0" fontId="0" fillId="12" borderId="5" xfId="0" applyFill="1" applyBorder="1" applyProtection="1">
      <protection locked="0"/>
    </xf>
    <xf numFmtId="0" fontId="0" fillId="12" borderId="7" xfId="0" applyFill="1" applyBorder="1" applyProtection="1">
      <protection locked="0"/>
    </xf>
    <xf numFmtId="0" fontId="0" fillId="13" borderId="1" xfId="0" applyFill="1" applyBorder="1"/>
    <xf numFmtId="0" fontId="0" fillId="13" borderId="1" xfId="0" applyFill="1" applyBorder="1" applyAlignment="1" applyProtection="1">
      <alignment horizontal="center" vertical="center"/>
      <protection hidden="1"/>
    </xf>
    <xf numFmtId="0" fontId="0" fillId="13" borderId="1" xfId="0" applyFill="1" applyBorder="1" applyProtection="1">
      <protection hidden="1"/>
    </xf>
    <xf numFmtId="0" fontId="0" fillId="13" borderId="4" xfId="0" applyFill="1" applyBorder="1" applyProtection="1">
      <protection locked="0"/>
    </xf>
    <xf numFmtId="0" fontId="0" fillId="13" borderId="1" xfId="0" applyFill="1" applyBorder="1" applyProtection="1">
      <protection locked="0"/>
    </xf>
    <xf numFmtId="0" fontId="0" fillId="0" borderId="1" xfId="0" applyFont="1" applyBorder="1" applyAlignment="1" applyProtection="1">
      <alignment horizontal="center" vertical="center"/>
      <protection/>
    </xf>
    <xf numFmtId="0" fontId="8" fillId="0" borderId="0" xfId="0" applyFont="1" applyAlignment="1">
      <alignment horizontal="left" vertical="top" wrapText="1"/>
    </xf>
    <xf numFmtId="0" fontId="6" fillId="0" borderId="22" xfId="20" applyFont="1" applyBorder="1" applyAlignment="1" applyProtection="1">
      <alignment horizontal="center" vertical="center"/>
      <protection/>
    </xf>
    <xf numFmtId="0" fontId="6" fillId="0" borderId="23" xfId="20" applyFont="1" applyBorder="1" applyAlignment="1" applyProtection="1">
      <alignment horizontal="center" vertical="center"/>
      <protection/>
    </xf>
    <xf numFmtId="0" fontId="8" fillId="0" borderId="1" xfId="0" applyFont="1" applyFill="1" applyBorder="1" applyAlignment="1" applyProtection="1">
      <alignment horizontal="center"/>
      <protection/>
    </xf>
    <xf numFmtId="0" fontId="0" fillId="0" borderId="1" xfId="0" applyFont="1" applyBorder="1" applyAlignment="1" applyProtection="1">
      <alignment horizontal="center"/>
      <protection/>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7" xfId="0" applyBorder="1" applyAlignment="1" applyProtection="1">
      <alignment horizontal="center"/>
      <protection locked="0"/>
    </xf>
    <xf numFmtId="0" fontId="2" fillId="0" borderId="0" xfId="0" applyFont="1" applyAlignment="1">
      <alignment horizontal="center"/>
    </xf>
    <xf numFmtId="0" fontId="2" fillId="14" borderId="12" xfId="0" applyFont="1" applyFill="1" applyBorder="1" applyAlignment="1">
      <alignment horizontal="center" vertic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12"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 fillId="7" borderId="21"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4"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5" xfId="0" applyFont="1" applyFill="1" applyBorder="1" applyAlignment="1">
      <alignment horizontal="center" vertical="center"/>
    </xf>
    <xf numFmtId="0" fontId="0" fillId="14" borderId="11" xfId="0" applyFill="1" applyBorder="1" applyAlignment="1">
      <alignment horizontal="center" vertical="center" wrapText="1"/>
    </xf>
    <xf numFmtId="0" fontId="0" fillId="9" borderId="11" xfId="0" applyFill="1" applyBorder="1" applyAlignment="1">
      <alignment horizontal="center" vertical="center"/>
    </xf>
    <xf numFmtId="0" fontId="2" fillId="15" borderId="1" xfId="0" applyFont="1" applyFill="1" applyBorder="1" applyAlignment="1">
      <alignment horizont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16" borderId="11" xfId="0" applyFill="1" applyBorder="1" applyAlignment="1">
      <alignment horizontal="center" vertical="center"/>
    </xf>
    <xf numFmtId="0" fontId="0" fillId="16" borderId="9" xfId="0" applyFill="1" applyBorder="1" applyAlignment="1">
      <alignment horizontal="center" vertical="center"/>
    </xf>
    <xf numFmtId="0" fontId="0" fillId="17" borderId="11" xfId="0"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Title" xfId="20"/>
    <cellStyle name="40% - Accent1" xfId="21"/>
  </cellStyles>
  <dxfs count="1">
    <dxf>
      <fill>
        <patternFill>
          <bgColor theme="1" tint="0.3499900102615356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114300</xdr:rowOff>
    </xdr:from>
    <xdr:to>
      <xdr:col>1</xdr:col>
      <xdr:colOff>428625</xdr:colOff>
      <xdr:row>0</xdr:row>
      <xdr:rowOff>447675</xdr:rowOff>
    </xdr:to>
    <xdr:pic>
      <xdr:nvPicPr>
        <xdr:cNvPr id="2" name="Picture 1" descr="ti.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14300"/>
          <a:ext cx="14097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600075</xdr:colOff>
      <xdr:row>37</xdr:row>
      <xdr:rowOff>133350</xdr:rowOff>
    </xdr:to>
    <xdr:pic>
      <xdr:nvPicPr>
        <xdr:cNvPr id="2" name="Picture 1"/>
        <xdr:cNvPicPr preferRelativeResize="1">
          <a:picLocks noChangeAspect="1"/>
        </xdr:cNvPicPr>
      </xdr:nvPicPr>
      <xdr:blipFill>
        <a:blip r:embed="rId1"/>
        <a:stretch>
          <a:fillRect/>
        </a:stretch>
      </xdr:blipFill>
      <xdr:spPr>
        <a:xfrm>
          <a:off x="0" y="0"/>
          <a:ext cx="6086475" cy="71818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2.xml" /><Relationship Id="rId5"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D26"/>
  <sheetViews>
    <sheetView workbookViewId="0" topLeftCell="A1">
      <selection activeCell="D27" sqref="D27"/>
    </sheetView>
  </sheetViews>
  <sheetFormatPr defaultColWidth="9.140625" defaultRowHeight="15"/>
  <cols>
    <col min="2" max="2" width="9.57421875" style="0" bestFit="1" customWidth="1"/>
    <col min="3" max="3" width="14.28125" style="0" customWidth="1"/>
    <col min="4" max="4" width="82.00390625" style="0" customWidth="1"/>
  </cols>
  <sheetData>
    <row r="1" spans="1:4" ht="15">
      <c r="A1" t="s">
        <v>275</v>
      </c>
      <c r="B1" t="s">
        <v>276</v>
      </c>
      <c r="C1" t="s">
        <v>277</v>
      </c>
      <c r="D1" t="s">
        <v>278</v>
      </c>
    </row>
    <row r="2" spans="1:4" ht="15">
      <c r="A2">
        <v>0.5</v>
      </c>
      <c r="B2" s="19">
        <v>41372</v>
      </c>
      <c r="C2" t="s">
        <v>279</v>
      </c>
      <c r="D2" t="s">
        <v>280</v>
      </c>
    </row>
    <row r="3" spans="1:4" ht="15">
      <c r="A3">
        <v>0.6</v>
      </c>
      <c r="B3" s="19">
        <v>41430</v>
      </c>
      <c r="C3" t="s">
        <v>279</v>
      </c>
      <c r="D3" t="s">
        <v>281</v>
      </c>
    </row>
    <row r="4" ht="15">
      <c r="D4" t="s">
        <v>290</v>
      </c>
    </row>
    <row r="5" spans="1:4" ht="15">
      <c r="A5">
        <v>0.8</v>
      </c>
      <c r="B5" s="19">
        <v>41486</v>
      </c>
      <c r="C5" t="s">
        <v>279</v>
      </c>
      <c r="D5" t="s">
        <v>321</v>
      </c>
    </row>
    <row r="6" ht="15">
      <c r="D6" t="s">
        <v>322</v>
      </c>
    </row>
    <row r="7" ht="15">
      <c r="D7" t="s">
        <v>323</v>
      </c>
    </row>
    <row r="8" ht="15">
      <c r="D8" t="s">
        <v>324</v>
      </c>
    </row>
    <row r="9" spans="1:4" ht="15">
      <c r="A9">
        <v>0.9</v>
      </c>
      <c r="B9" s="19">
        <v>41543</v>
      </c>
      <c r="C9" t="s">
        <v>279</v>
      </c>
      <c r="D9" t="s">
        <v>337</v>
      </c>
    </row>
    <row r="10" spans="3:4" ht="15">
      <c r="C10" t="s">
        <v>336</v>
      </c>
      <c r="D10" t="s">
        <v>338</v>
      </c>
    </row>
    <row r="11" spans="1:4" ht="15">
      <c r="A11">
        <v>0.91</v>
      </c>
      <c r="B11" s="19">
        <v>41548</v>
      </c>
      <c r="C11" t="s">
        <v>336</v>
      </c>
      <c r="D11" t="s">
        <v>339</v>
      </c>
    </row>
    <row r="12" spans="3:4" ht="15">
      <c r="C12" t="s">
        <v>341</v>
      </c>
      <c r="D12" t="s">
        <v>340</v>
      </c>
    </row>
    <row r="13" spans="3:4" ht="15">
      <c r="C13" t="s">
        <v>341</v>
      </c>
      <c r="D13" t="s">
        <v>342</v>
      </c>
    </row>
    <row r="14" spans="1:4" ht="15">
      <c r="A14">
        <v>0.92</v>
      </c>
      <c r="B14" s="19">
        <v>41548</v>
      </c>
      <c r="C14" t="s">
        <v>336</v>
      </c>
      <c r="D14" t="s">
        <v>343</v>
      </c>
    </row>
    <row r="15" spans="1:4" ht="15">
      <c r="A15">
        <v>0.93</v>
      </c>
      <c r="B15" s="19">
        <v>41549</v>
      </c>
      <c r="C15" t="s">
        <v>336</v>
      </c>
      <c r="D15" t="s">
        <v>361</v>
      </c>
    </row>
    <row r="16" spans="1:4" ht="15">
      <c r="A16">
        <v>0.94</v>
      </c>
      <c r="B16" s="19">
        <v>41618</v>
      </c>
      <c r="C16" t="s">
        <v>336</v>
      </c>
      <c r="D16" t="s">
        <v>362</v>
      </c>
    </row>
    <row r="17" spans="1:4" ht="15">
      <c r="A17">
        <v>0.95</v>
      </c>
      <c r="B17" s="19">
        <v>41620</v>
      </c>
      <c r="C17" t="s">
        <v>336</v>
      </c>
      <c r="D17" t="s">
        <v>363</v>
      </c>
    </row>
    <row r="18" spans="1:4" ht="15">
      <c r="A18">
        <v>0.96</v>
      </c>
      <c r="B18" s="19">
        <v>41656</v>
      </c>
      <c r="C18" t="s">
        <v>279</v>
      </c>
      <c r="D18" t="s">
        <v>364</v>
      </c>
    </row>
    <row r="19" ht="15">
      <c r="D19" t="s">
        <v>365</v>
      </c>
    </row>
    <row r="20" ht="15">
      <c r="D20" t="s">
        <v>366</v>
      </c>
    </row>
    <row r="21" spans="1:4" ht="15">
      <c r="A21">
        <v>0.99</v>
      </c>
      <c r="B21" s="19">
        <v>41757</v>
      </c>
      <c r="C21" t="s">
        <v>279</v>
      </c>
      <c r="D21" t="s">
        <v>390</v>
      </c>
    </row>
    <row r="22" ht="15">
      <c r="D22" t="s">
        <v>394</v>
      </c>
    </row>
    <row r="23" ht="15">
      <c r="D23" t="s">
        <v>391</v>
      </c>
    </row>
    <row r="24" ht="15">
      <c r="D24" t="s">
        <v>392</v>
      </c>
    </row>
    <row r="25" ht="15">
      <c r="D25" t="s">
        <v>393</v>
      </c>
    </row>
    <row r="26" ht="15">
      <c r="D26" t="s">
        <v>395</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6"/>
  <dimension ref="A1:K26"/>
  <sheetViews>
    <sheetView workbookViewId="0" topLeftCell="A1">
      <selection activeCell="H13" sqref="H13"/>
    </sheetView>
  </sheetViews>
  <sheetFormatPr defaultColWidth="9.140625" defaultRowHeight="15"/>
  <cols>
    <col min="1" max="2" width="13.140625" style="0" bestFit="1" customWidth="1"/>
    <col min="3" max="3" width="9.8515625" style="0" bestFit="1" customWidth="1"/>
    <col min="4" max="4" width="9.8515625" style="0" customWidth="1"/>
    <col min="8" max="8" width="14.8515625" style="0" bestFit="1" customWidth="1"/>
    <col min="9" max="9" width="14.421875" style="0" bestFit="1" customWidth="1"/>
    <col min="10" max="10" width="20.00390625" style="0" bestFit="1" customWidth="1"/>
    <col min="11" max="11" width="19.57421875" style="0" bestFit="1" customWidth="1"/>
  </cols>
  <sheetData>
    <row r="1" spans="1:11" ht="15">
      <c r="A1" t="s">
        <v>71</v>
      </c>
      <c r="B1" t="s">
        <v>78</v>
      </c>
      <c r="C1" t="s">
        <v>90</v>
      </c>
      <c r="D1" t="s">
        <v>272</v>
      </c>
      <c r="E1" t="s">
        <v>96</v>
      </c>
      <c r="F1" t="s">
        <v>97</v>
      </c>
      <c r="G1" t="s">
        <v>119</v>
      </c>
      <c r="H1" t="s">
        <v>44</v>
      </c>
      <c r="I1" t="s">
        <v>45</v>
      </c>
      <c r="J1" t="s">
        <v>251</v>
      </c>
      <c r="K1" t="s">
        <v>252</v>
      </c>
    </row>
    <row r="2" spans="1:11" ht="15">
      <c r="A2" t="s">
        <v>239</v>
      </c>
      <c r="B2" t="s">
        <v>400</v>
      </c>
      <c r="C2" t="str">
        <f ca="1">IF(SUM(rngFindAll($A2,'Clock Domain Map'!$C$1:$C$122,'Clock Domain Map'!$H$1:$H$122)),"AlwaysOn",(IF(SUM(rngFindAll($A2,'Clock Domain Map'!$C$1:$C$122,'Clock Domain Map'!$I$1:$I$122)),"Auto","Disabled")))</f>
        <v>AlwaysOn</v>
      </c>
      <c r="D2" s="17">
        <f ca="1">IF(C2="Auto",(rngFindMax($A2,'Clock Domain Map'!$C$1:$C$122,'Clock Domain Map'!$G$1:$G$122)+IF(rngFindAll($A2,'Clock Domain Map'!$C$1:$C$122,'Clock Domain Map'!$G$1:$G$122)&gt;100,100,rngFindMax($A2,'Clock Domain Map'!$C$1:$C$122,'Clock Domain Map'!$G$1:$G$122)))/2,IF(C2="AlwaysOn",100,0))</f>
        <v>100</v>
      </c>
      <c r="E2">
        <f ca="1">IF(C2="AlwaysOn",1,0)</f>
        <v>1</v>
      </c>
      <c r="F2">
        <f ca="1">IF(C2="Auto",1,0)</f>
        <v>0</v>
      </c>
      <c r="G2" t="str">
        <f ca="1">OFFSET('Voltage Domain Map'!$A$1,MATCH($B2,'Voltage Domain Map'!$A:$A,0)-1,2,1,1)</f>
        <v>AlwaysOn</v>
      </c>
      <c r="H2" s="7">
        <f ca="1">SUM(rngFindAll($A2,'Clock Domain Map'!$C$1:$C$206,'Clock Domain Map'!$P$1:$P$206))</f>
        <v>1726.6559999999997</v>
      </c>
      <c r="I2" s="7">
        <f ca="1">SUM(rngFindAll($A2,'Clock Domain Map'!$C$1:$C$106,'Clock Domain Map'!$Q$1:$Q$106))*IF($G2="Off",0,1)</f>
        <v>386.8032564224925</v>
      </c>
      <c r="J2" s="7">
        <f ca="1">SUM(rngFindAll($A2,'Clock Domain Map'!$C$1:$C$206,'Clock Domain Map'!$X$1:$X$206))</f>
        <v>91.25249999999998</v>
      </c>
      <c r="K2" s="7">
        <f ca="1">SUM(rngFindAll($A2,'Clock Domain Map'!$C$1:$C$106,'Clock Domain Map'!$Y$1:$Y$106))*IF($G2="Off",0.05,1)</f>
        <v>5.39076846236998</v>
      </c>
    </row>
    <row r="3" spans="1:11" ht="15">
      <c r="A3" t="s">
        <v>240</v>
      </c>
      <c r="B3" t="s">
        <v>401</v>
      </c>
      <c r="C3" t="str">
        <f ca="1">IF(SUM(rngFindAll($A3,'Clock Domain Map'!$C$1:$C$122,'Clock Domain Map'!$H$1:$H$122)),"AlwaysOn",(IF(SUM(rngFindAll($A3,'Clock Domain Map'!$C$1:$C$122,'Clock Domain Map'!$I$1:$I$122)),"Auto","Disabled")))</f>
        <v>AlwaysOn</v>
      </c>
      <c r="D3" s="17">
        <f ca="1">IF(C3="Auto",(rngFindMax($A3,'Clock Domain Map'!$C$1:$C$122,'Clock Domain Map'!$G$1:$G$122)+IF(rngFindAll($A3,'Clock Domain Map'!$C$1:$C$122,'Clock Domain Map'!$G$1:$G$122)&gt;100,100,rngFindMax($A3,'Clock Domain Map'!$C$1:$C$122,'Clock Domain Map'!$G$1:$G$122)))/2,IF(C3="AlwaysOn",100,0))</f>
        <v>100</v>
      </c>
      <c r="E3">
        <f ca="1">IF(C3="AlwaysOn",1,0)</f>
        <v>1</v>
      </c>
      <c r="F3">
        <f ca="1">IF(C3="Auto",1,0)</f>
        <v>0</v>
      </c>
      <c r="G3" t="str">
        <f ca="1">OFFSET('Voltage Domain Map'!$A$1,MATCH($B3,'Voltage Domain Map'!$A:$A,0)-1,2,1,1)</f>
        <v>AlwaysOn</v>
      </c>
      <c r="H3" s="7">
        <f ca="1">SUM(rngFindAll($A3,'Clock Domain Map'!$C$1:$C$206,'Clock Domain Map'!$P$1:$P$206))</f>
        <v>1726.6559999999997</v>
      </c>
      <c r="I3" s="7">
        <f ca="1">SUM(rngFindAll($A3,'Clock Domain Map'!$C$1:$C$106,'Clock Domain Map'!$Q$1:$Q$106))*IF($G3="Off",0,1)</f>
        <v>386.8032564224925</v>
      </c>
      <c r="J3" s="7">
        <f ca="1">SUM(rngFindAll($A3,'Clock Domain Map'!$C$1:$C$206,'Clock Domain Map'!$X$1:$X$206))</f>
        <v>91.25249999999998</v>
      </c>
      <c r="K3" s="7">
        <f ca="1">SUM(rngFindAll($A3,'Clock Domain Map'!$C$1:$C$106,'Clock Domain Map'!$Y$1:$Y$106))*IF($G3="Off",0.05,1)</f>
        <v>5.39076846236998</v>
      </c>
    </row>
    <row r="4" spans="1:11" ht="15">
      <c r="A4" s="12" t="s">
        <v>241</v>
      </c>
      <c r="B4" s="12" t="s">
        <v>79</v>
      </c>
      <c r="C4" s="12" t="str">
        <f ca="1">IF(SUM(rngFindAll($A4,'Clock Domain Map'!$C$1:$C$122,'Clock Domain Map'!$H$1:$H$122)),"AlwaysOn",(IF(SUM(rngFindAll($A4,'Clock Domain Map'!$C$1:$C$122,'Clock Domain Map'!$I$1:$I$122)),"Auto","Disabled")))</f>
        <v>AlwaysOn</v>
      </c>
      <c r="D4" s="17">
        <f ca="1">IF(C4="Auto",(rngFindMax($A4,'Clock Domain Map'!$C$1:$C$122,'Clock Domain Map'!$G$1:$G$122)+IF(rngFindAll($A4,'Clock Domain Map'!$C$1:$C$122,'Clock Domain Map'!$G$1:$G$122)&gt;100,100,rngFindMax($A4,'Clock Domain Map'!$C$1:$C$122,'Clock Domain Map'!$G$1:$G$122)))/2,IF(C4="AlwaysOn",100,0))</f>
        <v>100</v>
      </c>
      <c r="E4" s="12">
        <f ca="1">IF(C4="AlwaysOn",1,0)</f>
        <v>1</v>
      </c>
      <c r="F4" s="12">
        <f ca="1">IF(C4="Auto",1,0)</f>
        <v>0</v>
      </c>
      <c r="G4" s="12" t="str">
        <f ca="1">OFFSET('Voltage Domain Map'!$A$1,MATCH($B4,'Voltage Domain Map'!$A:$A,0)-1,2,1,1)</f>
        <v>AlwaysOn</v>
      </c>
      <c r="H4" s="13">
        <f ca="1">SUM(rngFindAll($A4,'Clock Domain Map'!$C$1:$C$206,'Clock Domain Map'!$P$1:$P$206))</f>
        <v>225.75074999999998</v>
      </c>
      <c r="I4" s="7">
        <f ca="1">SUM(rngFindAll($A4,'Clock Domain Map'!$C$1:$C$106,'Clock Domain Map'!$Q$1:$Q$106))*IF($G4="Off",0.25,1)</f>
        <v>207.98699648872156</v>
      </c>
      <c r="J4" s="7">
        <f ca="1">SUM(rngFindAll($A4,'Clock Domain Map'!$C$1:$C$206,'Clock Domain Map'!$X$1:$X$206))</f>
        <v>91.25249999999998</v>
      </c>
      <c r="K4" s="7">
        <f ca="1">SUM(rngFindAll($A4,'Clock Domain Map'!$C$1:$C$106,'Clock Domain Map'!$Y$1:$Y$106))*IF($G4="Off",0.05,1)</f>
        <v>20.964634170310987</v>
      </c>
    </row>
    <row r="5" spans="1:11" ht="15">
      <c r="A5" t="s">
        <v>72</v>
      </c>
      <c r="B5" t="s">
        <v>80</v>
      </c>
      <c r="C5" t="str">
        <f ca="1">IF(SUM(rngFindAll($A5,'Clock Domain Map'!$C$1:$C$122,'Clock Domain Map'!$H$1:$H$122)),"AlwaysOn",(IF(SUM(rngFindAll($A5,'Clock Domain Map'!$C$1:$C$122,'Clock Domain Map'!$I$1:$I$122)),"Auto","Disabled")))</f>
        <v>AlwaysOn</v>
      </c>
      <c r="D5" s="17">
        <f ca="1">IF(C5="Auto",(rngFindMax($A5,'Clock Domain Map'!$C$1:$C$122,'Clock Domain Map'!$G$1:$G$122)+IF(rngFindAll($A5,'Clock Domain Map'!$C$1:$C$122,'Clock Domain Map'!$G$1:$G$122)&gt;100,100,rngFindMax($A5,'Clock Domain Map'!$C$1:$C$122,'Clock Domain Map'!$G$1:$G$122)))/2,IF(C5="AlwaysOn",100,0))</f>
        <v>100</v>
      </c>
      <c r="E5">
        <f aca="true" t="shared" si="0" ref="E5:E23">IF(C5="AlwaysOn",1,0)</f>
        <v>1</v>
      </c>
      <c r="F5">
        <f aca="true" t="shared" si="1" ref="F5:F23">IF(C5="Auto",1,0)</f>
        <v>0</v>
      </c>
      <c r="G5" t="str">
        <f ca="1">OFFSET('Voltage Domain Map'!$A$1,MATCH($B5,'Voltage Domain Map'!$A:$A,0)-1,2,1,1)</f>
        <v>AlwaysOn</v>
      </c>
      <c r="H5" s="7">
        <f ca="1">SUM(rngFindAll($A5,'Clock Domain Map'!$C$1:$C$206,'Clock Domain Map'!$P$1:$P$206))</f>
        <v>642.7349999999998</v>
      </c>
      <c r="I5" s="7">
        <f ca="1">SUM(rngFindAll($A5,'Clock Domain Map'!$C$1:$C$106,'Clock Domain Map'!$Q$1:$Q$106))*IF($G5="Off",0.05,1)</f>
        <v>146.2693413718662</v>
      </c>
      <c r="J5" s="7">
        <f ca="1">SUM(rngFindAll($A5,'Clock Domain Map'!$C$1:$C$206,'Clock Domain Map'!$X$1:$X$206))</f>
        <v>0</v>
      </c>
      <c r="K5" s="7">
        <f ca="1">SUM(rngFindAll($A5,'Clock Domain Map'!$C$1:$C$106,'Clock Domain Map'!$Y$1:$Y$106))*IF($G5="Off",0.05,1)</f>
        <v>6.120898388563255</v>
      </c>
    </row>
    <row r="6" spans="1:11" ht="15">
      <c r="A6" t="s">
        <v>73</v>
      </c>
      <c r="B6" t="s">
        <v>81</v>
      </c>
      <c r="C6" t="str">
        <f ca="1">IF(SUM(rngFindAll($A6,'Clock Domain Map'!$C$1:$C$122,'Clock Domain Map'!$H$1:$H$122)),"AlwaysOn",(IF(SUM(rngFindAll($A6,'Clock Domain Map'!$C$1:$C$122,'Clock Domain Map'!$I$1:$I$122)),"Auto","Disabled")))</f>
        <v>AlwaysOn</v>
      </c>
      <c r="D6" s="17">
        <f ca="1">IF(C6="Auto",(rngFindMax($A6,'Clock Domain Map'!$C$1:$C$122,'Clock Domain Map'!$G$1:$G$122)+IF(rngFindAll($A6,'Clock Domain Map'!$C$1:$C$122,'Clock Domain Map'!$G$1:$G$122)&gt;100,100,rngFindMax($A6,'Clock Domain Map'!$C$1:$C$122,'Clock Domain Map'!$G$1:$G$122)))/2,IF(C6="AlwaysOn",100,0))</f>
        <v>100</v>
      </c>
      <c r="E6">
        <f ca="1" t="shared" si="0"/>
        <v>1</v>
      </c>
      <c r="F6">
        <f ca="1" t="shared" si="1"/>
        <v>0</v>
      </c>
      <c r="G6" t="str">
        <f ca="1">OFFSET('Voltage Domain Map'!$A$1,MATCH($B6,'Voltage Domain Map'!$A:$A,0)-1,2,1,1)</f>
        <v>AlwaysOn</v>
      </c>
      <c r="H6" s="7">
        <f ca="1">SUM(rngFindAll($A6,'Clock Domain Map'!$C$1:$C$206,'Clock Domain Map'!$P$1:$P$206))</f>
        <v>642.7349999999998</v>
      </c>
      <c r="I6" s="7">
        <f ca="1">SUM(rngFindAll($A6,'Clock Domain Map'!$C$1:$C$106,'Clock Domain Map'!$Q$1:$Q$106))*IF($G6="Off",0.05,1)</f>
        <v>146.2693413718662</v>
      </c>
      <c r="J6" s="7">
        <f ca="1">SUM(rngFindAll($A6,'Clock Domain Map'!$C$1:$C$206,'Clock Domain Map'!$X$1:$X$206))</f>
        <v>0</v>
      </c>
      <c r="K6" s="7">
        <f ca="1">SUM(rngFindAll($A6,'Clock Domain Map'!$C$1:$C$106,'Clock Domain Map'!$Y$1:$Y$106))*IF($G6="Off",0.05,1)</f>
        <v>6.120898388563255</v>
      </c>
    </row>
    <row r="7" spans="1:11" ht="15">
      <c r="A7" t="s">
        <v>74</v>
      </c>
      <c r="B7" t="s">
        <v>82</v>
      </c>
      <c r="C7" t="str">
        <f ca="1">IF(SUM(rngFindAll($A7,'Clock Domain Map'!$C$1:$C$122,'Clock Domain Map'!$H$1:$H$122)),"AlwaysOn",(IF(SUM(rngFindAll($A7,'Clock Domain Map'!$C$1:$C$122,'Clock Domain Map'!$I$1:$I$122)),"Auto","Disabled")))</f>
        <v>Disabled</v>
      </c>
      <c r="D7" s="17">
        <f ca="1">IF(C7="Auto",(rngFindMax($A7,'Clock Domain Map'!$C$1:$C$122,'Clock Domain Map'!$G$1:$G$122)+IF(rngFindAll($A7,'Clock Domain Map'!$C$1:$C$122,'Clock Domain Map'!$G$1:$G$122)&gt;100,100,rngFindMax($A7,'Clock Domain Map'!$C$1:$C$122,'Clock Domain Map'!$G$1:$G$122)))/2,IF(C7="AlwaysOn",100,0))</f>
        <v>0</v>
      </c>
      <c r="E7">
        <f ca="1" t="shared" si="0"/>
        <v>0</v>
      </c>
      <c r="F7">
        <f ca="1" t="shared" si="1"/>
        <v>0</v>
      </c>
      <c r="G7" t="str">
        <f ca="1">OFFSET('Voltage Domain Map'!$A$1,MATCH($B7,'Voltage Domain Map'!$A:$A,0)-1,2,1,1)</f>
        <v>Off</v>
      </c>
      <c r="H7" s="7">
        <f ca="1">SUM(rngFindAll($A7,'Clock Domain Map'!$C$1:$C$206,'Clock Domain Map'!$P$1:$P$206))</f>
        <v>0</v>
      </c>
      <c r="I7" s="7">
        <f ca="1">SUM(rngFindAll($A7,'Clock Domain Map'!$C$1:$C$106,'Clock Domain Map'!$Q$1:$Q$106))*IF($G7="Off",0.05,1)</f>
        <v>3.6974460867274277</v>
      </c>
      <c r="J7" s="7">
        <f ca="1">SUM(rngFindAll($A7,'Clock Domain Map'!$C$1:$C$206,'Clock Domain Map'!$X$1:$X$206))</f>
        <v>0</v>
      </c>
      <c r="K7" s="7">
        <f ca="1">SUM(rngFindAll($A7,'Clock Domain Map'!$C$1:$C$106,'Clock Domain Map'!$Y$1:$Y$106))*IF($G7="Off",0.05,1)</f>
        <v>0.3295181389368795</v>
      </c>
    </row>
    <row r="8" spans="1:11" ht="15">
      <c r="A8" t="s">
        <v>75</v>
      </c>
      <c r="B8" t="s">
        <v>83</v>
      </c>
      <c r="C8" t="str">
        <f ca="1">IF(SUM(rngFindAll($A8,'Clock Domain Map'!$C$1:$C$122,'Clock Domain Map'!$H$1:$H$122)),"AlwaysOn",(IF(SUM(rngFindAll($A8,'Clock Domain Map'!$C$1:$C$122,'Clock Domain Map'!$I$1:$I$122)),"Auto","Disabled")))</f>
        <v>Disabled</v>
      </c>
      <c r="D8" s="17">
        <f ca="1">IF(C8="Auto",(rngFindMax($A8,'Clock Domain Map'!$C$1:$C$122,'Clock Domain Map'!$G$1:$G$122)+IF(rngFindAll($A8,'Clock Domain Map'!$C$1:$C$122,'Clock Domain Map'!$G$1:$G$122)&gt;100,100,rngFindMax($A8,'Clock Domain Map'!$C$1:$C$122,'Clock Domain Map'!$G$1:$G$122)))/2,IF(C8="AlwaysOn",100,0))</f>
        <v>0</v>
      </c>
      <c r="E8">
        <f ca="1" t="shared" si="0"/>
        <v>0</v>
      </c>
      <c r="F8">
        <f ca="1" t="shared" si="1"/>
        <v>0</v>
      </c>
      <c r="G8" t="str">
        <f ca="1">OFFSET('Voltage Domain Map'!$A$1,MATCH($B8,'Voltage Domain Map'!$A:$A,0)-1,2,1,1)</f>
        <v>Off</v>
      </c>
      <c r="H8" s="7">
        <f ca="1">SUM(rngFindAll($A8,'Clock Domain Map'!$C$1:$C$206,'Clock Domain Map'!$P$1:$P$206))</f>
        <v>0</v>
      </c>
      <c r="I8" s="7">
        <f ca="1">SUM(rngFindAll($A8,'Clock Domain Map'!$C$1:$C$106,'Clock Domain Map'!$Q$1:$Q$106))*IF($G8="Off",0.05,1)</f>
        <v>3.6974460867274277</v>
      </c>
      <c r="J8" s="7">
        <f ca="1">SUM(rngFindAll($A8,'Clock Domain Map'!$C$1:$C$206,'Clock Domain Map'!$X$1:$X$206))</f>
        <v>0</v>
      </c>
      <c r="K8" s="7">
        <f ca="1">SUM(rngFindAll($A8,'Clock Domain Map'!$C$1:$C$106,'Clock Domain Map'!$Y$1:$Y$106))*IF($G8="Off",0.05,1)</f>
        <v>0.3295181389368795</v>
      </c>
    </row>
    <row r="9" spans="1:11" ht="15">
      <c r="A9" t="s">
        <v>76</v>
      </c>
      <c r="B9" t="s">
        <v>84</v>
      </c>
      <c r="C9" t="str">
        <f ca="1">IF(SUM(rngFindAll($A9,'Clock Domain Map'!$C$1:$C$122,'Clock Domain Map'!$H$1:$H$122)),"AlwaysOn",(IF(SUM(rngFindAll($A9,'Clock Domain Map'!$C$1:$C$122,'Clock Domain Map'!$I$1:$I$122)),"Auto","Disabled")))</f>
        <v>Disabled</v>
      </c>
      <c r="D9" s="17">
        <f ca="1">IF(C9="Auto",(rngFindMax($A9,'Clock Domain Map'!$C$1:$C$122,'Clock Domain Map'!$G$1:$G$122)+IF(rngFindAll($A9,'Clock Domain Map'!$C$1:$C$122,'Clock Domain Map'!$G$1:$G$122)&gt;100,100,rngFindMax($A9,'Clock Domain Map'!$C$1:$C$122,'Clock Domain Map'!$G$1:$G$122)))/2,IF(C9="AlwaysOn",100,0))</f>
        <v>0</v>
      </c>
      <c r="E9">
        <f ca="1" t="shared" si="0"/>
        <v>0</v>
      </c>
      <c r="F9">
        <f ca="1" t="shared" si="1"/>
        <v>0</v>
      </c>
      <c r="G9" t="str">
        <f ca="1">OFFSET('Voltage Domain Map'!$A$1,MATCH($B9,'Voltage Domain Map'!$A:$A,0)-1,2,1,1)</f>
        <v>Off</v>
      </c>
      <c r="H9" s="7">
        <f ca="1">SUM(rngFindAll($A9,'Clock Domain Map'!$C$1:$C$206,'Clock Domain Map'!$P$1:$P$206))</f>
        <v>0</v>
      </c>
      <c r="I9" s="7">
        <f ca="1">SUM(rngFindAll($A9,'Clock Domain Map'!$C$1:$C$106,'Clock Domain Map'!$Q$1:$Q$106))*IF($G9="Off",0.05,1)</f>
        <v>3.6974460867274277</v>
      </c>
      <c r="J9" s="7">
        <f ca="1">SUM(rngFindAll($A9,'Clock Domain Map'!$C$1:$C$206,'Clock Domain Map'!$X$1:$X$206))</f>
        <v>0</v>
      </c>
      <c r="K9" s="7">
        <f ca="1">SUM(rngFindAll($A9,'Clock Domain Map'!$C$1:$C$106,'Clock Domain Map'!$Y$1:$Y$106))*IF($G9="Off",0.05,1)</f>
        <v>0.3295181389368795</v>
      </c>
    </row>
    <row r="10" spans="1:11" ht="15">
      <c r="A10" t="s">
        <v>77</v>
      </c>
      <c r="B10" t="s">
        <v>85</v>
      </c>
      <c r="C10" t="str">
        <f ca="1">IF(SUM(rngFindAll($A10,'Clock Domain Map'!$C$1:$C$122,'Clock Domain Map'!$H$1:$H$122)),"AlwaysOn",(IF(SUM(rngFindAll($A10,'Clock Domain Map'!$C$1:$C$122,'Clock Domain Map'!$I$1:$I$122)),"Auto","Disabled")))</f>
        <v>Disabled</v>
      </c>
      <c r="D10" s="17">
        <f ca="1">IF(C10="Auto",(rngFindMax($A10,'Clock Domain Map'!$C$1:$C$122,'Clock Domain Map'!$G$1:$G$122)+IF(rngFindAll($A10,'Clock Domain Map'!$C$1:$C$122,'Clock Domain Map'!$G$1:$G$122)&gt;100,100,rngFindMax($A10,'Clock Domain Map'!$C$1:$C$122,'Clock Domain Map'!$G$1:$G$122)))/2,IF(C10="AlwaysOn",100,0))</f>
        <v>0</v>
      </c>
      <c r="E10">
        <f ca="1" t="shared" si="0"/>
        <v>0</v>
      </c>
      <c r="F10">
        <f ca="1" t="shared" si="1"/>
        <v>0</v>
      </c>
      <c r="G10" t="str">
        <f ca="1">OFFSET('Voltage Domain Map'!$A$1,MATCH($B10,'Voltage Domain Map'!$A:$A,0)-1,2,1,1)</f>
        <v>Off</v>
      </c>
      <c r="H10" s="7">
        <f ca="1">SUM(rngFindAll($A10,'Clock Domain Map'!$C$1:$C$206,'Clock Domain Map'!$P$1:$P$206))</f>
        <v>0</v>
      </c>
      <c r="I10" s="7">
        <f ca="1">SUM(rngFindAll($A10,'Clock Domain Map'!$C$1:$C$106,'Clock Domain Map'!$Q$1:$Q$106))*IF($G10="Off",0.05,1)</f>
        <v>3.6974460867274277</v>
      </c>
      <c r="J10" s="7">
        <f ca="1">SUM(rngFindAll($A10,'Clock Domain Map'!$C$1:$C$206,'Clock Domain Map'!$X$1:$X$206))</f>
        <v>0</v>
      </c>
      <c r="K10" s="7">
        <f ca="1">SUM(rngFindAll($A10,'Clock Domain Map'!$C$1:$C$106,'Clock Domain Map'!$Y$1:$Y$106))*IF($G10="Off",0.05,1)</f>
        <v>0.3295181389368795</v>
      </c>
    </row>
    <row r="11" spans="1:11" ht="15">
      <c r="A11" t="s">
        <v>98</v>
      </c>
      <c r="B11" t="s">
        <v>111</v>
      </c>
      <c r="C11" t="str">
        <f ca="1">IF(SUM(rngFindAll($A11,'Clock Domain Map'!$C$1:$C$122,'Clock Domain Map'!$H$1:$H$122)),"AlwaysOn",(IF(SUM(rngFindAll($A11,'Clock Domain Map'!$C$1:$C$122,'Clock Domain Map'!$I$1:$I$122)),"Auto","Disabled")))</f>
        <v>AlwaysOn</v>
      </c>
      <c r="D11" s="17">
        <f ca="1">IF(C11="Auto",(rngFindMax($A11,'Clock Domain Map'!$C$1:$C$122,'Clock Domain Map'!$G$1:$G$122)+IF(rngFindAll($A11,'Clock Domain Map'!$C$1:$C$122,'Clock Domain Map'!$G$1:$G$122)&gt;100,100,rngFindMax($A11,'Clock Domain Map'!$C$1:$C$122,'Clock Domain Map'!$G$1:$G$122)))/2,IF(C11="AlwaysOn",100,0))</f>
        <v>100</v>
      </c>
      <c r="E11">
        <f ca="1" t="shared" si="0"/>
        <v>1</v>
      </c>
      <c r="F11">
        <f ca="1" t="shared" si="1"/>
        <v>0</v>
      </c>
      <c r="G11" t="str">
        <f ca="1">OFFSET('Voltage Domain Map'!$A$1,MATCH($B11,'Voltage Domain Map'!$A:$A,0)-1,2,1,1)</f>
        <v>AlwaysOn</v>
      </c>
      <c r="H11" s="7">
        <f ca="1">SUM(rngFindAll($A11,'Clock Domain Map'!$C$1:$C$206,'Clock Domain Map'!$P$1:$P$206))</f>
        <v>254.69233999999997</v>
      </c>
      <c r="I11" s="7">
        <f ca="1">SUM(rngFindAll($A11,'Clock Domain Map'!$C$1:$C$106,'Clock Domain Map'!$Q$1:$Q$106))*IF($G11="Off",0.05,1)</f>
        <v>76.09865420561438</v>
      </c>
      <c r="J11" s="7">
        <f ca="1">SUM(rngFindAll($A11,'Clock Domain Map'!$C$1:$C$206,'Clock Domain Map'!$X$1:$X$206))</f>
        <v>0</v>
      </c>
      <c r="K11" s="7">
        <f ca="1">SUM(rngFindAll($A11,'Clock Domain Map'!$C$1:$C$106,'Clock Domain Map'!$Y$1:$Y$106))*IF($G11="Off",0.05,1)</f>
        <v>3.625097264932754</v>
      </c>
    </row>
    <row r="12" spans="1:11" ht="15">
      <c r="A12" t="s">
        <v>99</v>
      </c>
      <c r="B12" t="s">
        <v>112</v>
      </c>
      <c r="C12" t="str">
        <f ca="1">IF(SUM(rngFindAll($A12,'Clock Domain Map'!$C$1:$C$122,'Clock Domain Map'!$H$1:$H$122)),"AlwaysOn",(IF(SUM(rngFindAll($A12,'Clock Domain Map'!$C$1:$C$122,'Clock Domain Map'!$I$1:$I$122)),"Auto","Disabled")))</f>
        <v>Disabled</v>
      </c>
      <c r="D12" s="17">
        <f ca="1">IF(C12="Auto",(rngFindMax($A12,'Clock Domain Map'!$C$1:$C$122,'Clock Domain Map'!$G$1:$G$122)+IF(rngFindAll($A12,'Clock Domain Map'!$C$1:$C$122,'Clock Domain Map'!$G$1:$G$122)&gt;100,100,rngFindMax($A12,'Clock Domain Map'!$C$1:$C$122,'Clock Domain Map'!$G$1:$G$122)))/2,IF(C12="AlwaysOn",100,0))</f>
        <v>0</v>
      </c>
      <c r="E12">
        <f ca="1" t="shared" si="0"/>
        <v>0</v>
      </c>
      <c r="F12">
        <f ca="1" t="shared" si="1"/>
        <v>0</v>
      </c>
      <c r="G12" t="str">
        <f ca="1">OFFSET('Voltage Domain Map'!$A$1,MATCH($B12,'Voltage Domain Map'!$A:$A,0)-1,2,1,1)</f>
        <v>Off</v>
      </c>
      <c r="H12" s="7">
        <f ca="1">SUM(rngFindAll($A12,'Clock Domain Map'!$C$1:$C$206,'Clock Domain Map'!$P$1:$P$206))</f>
        <v>0</v>
      </c>
      <c r="I12" s="7">
        <f ca="1">SUM(rngFindAll($A12,'Clock Domain Map'!$C$1:$C$106,'Clock Domain Map'!$Q$1:$Q$106))*IF($G12="Off",0.05,1)</f>
        <v>36.93724138245573</v>
      </c>
      <c r="J12" s="7">
        <f ca="1">SUM(rngFindAll($A12,'Clock Domain Map'!$C$1:$C$206,'Clock Domain Map'!$X$1:$X$206))</f>
        <v>0</v>
      </c>
      <c r="K12" s="7">
        <f ca="1">SUM(rngFindAll($A12,'Clock Domain Map'!$C$1:$C$106,'Clock Domain Map'!$Y$1:$Y$106))*IF($G12="Off",0.05,1)</f>
        <v>0.3887231027978668</v>
      </c>
    </row>
    <row r="13" spans="1:11" ht="15">
      <c r="A13" t="s">
        <v>100</v>
      </c>
      <c r="B13" t="s">
        <v>113</v>
      </c>
      <c r="C13" t="str">
        <f ca="1">IF(SUM(rngFindAll($A13,'Clock Domain Map'!$C$1:$C$122,'Clock Domain Map'!$H$1:$H$122)),"AlwaysOn",(IF(SUM(rngFindAll($A13,'Clock Domain Map'!$C$1:$C$122,'Clock Domain Map'!$I$1:$I$122)),"Auto","Disabled")))</f>
        <v>AlwaysOn</v>
      </c>
      <c r="D13" s="17">
        <f ca="1">IF(C13="Auto",(rngFindMax($A13,'Clock Domain Map'!$C$1:$C$122,'Clock Domain Map'!$G$1:$G$122)+IF(rngFindAll($A13,'Clock Domain Map'!$C$1:$C$122,'Clock Domain Map'!$G$1:$G$122)&gt;100,100,rngFindMax($A13,'Clock Domain Map'!$C$1:$C$122,'Clock Domain Map'!$G$1:$G$122)))/2,IF(C13="AlwaysOn",100,0))</f>
        <v>100</v>
      </c>
      <c r="E13">
        <f ca="1" t="shared" si="0"/>
        <v>1</v>
      </c>
      <c r="F13">
        <f ca="1" t="shared" si="1"/>
        <v>0</v>
      </c>
      <c r="G13" t="str">
        <f ca="1">OFFSET('Voltage Domain Map'!$A$1,MATCH($B13,'Voltage Domain Map'!$A:$A,0)-1,2,1,1)</f>
        <v>AlwaysOn</v>
      </c>
      <c r="H13" s="7">
        <f ca="1">SUM(rngFindAll($A13,'Clock Domain Map'!$C$1:$C$206,'Clock Domain Map'!$P$1:$P$206))</f>
        <v>296.3360291583999</v>
      </c>
      <c r="I13" s="7">
        <f ca="1">SUM(rngFindAll($A13,'Clock Domain Map'!$C$1:$C$106,'Clock Domain Map'!$Q$1:$Q$106))*IF($G13="Off",0.05,1)</f>
        <v>114.37835310070155</v>
      </c>
      <c r="J13" s="7">
        <f ca="1">SUM(rngFindAll($A13,'Clock Domain Map'!$C$1:$C$206,'Clock Domain Map'!$X$1:$X$206))</f>
        <v>14.071399999999997</v>
      </c>
      <c r="K13" s="7">
        <f ca="1">SUM(rngFindAll($A13,'Clock Domain Map'!$C$1:$C$106,'Clock Domain Map'!$Y$1:$Y$106))*IF($G13="Off",0.05,1)</f>
        <v>19.59718614416076</v>
      </c>
    </row>
    <row r="14" spans="1:11" ht="15">
      <c r="A14" t="s">
        <v>101</v>
      </c>
      <c r="B14" t="s">
        <v>114</v>
      </c>
      <c r="C14" t="str">
        <f ca="1">IF(SUM(rngFindAll($A14,'Clock Domain Map'!$C$1:$C$122,'Clock Domain Map'!$H$1:$H$122)),"AlwaysOn",(IF(SUM(rngFindAll($A14,'Clock Domain Map'!$C$1:$C$122,'Clock Domain Map'!$I$1:$I$122)),"Auto","Disabled")))</f>
        <v>AlwaysOn</v>
      </c>
      <c r="D14" s="17">
        <f ca="1">IF(C14="Auto",(rngFindMax($A14,'Clock Domain Map'!$C$1:$C$122,'Clock Domain Map'!$G$1:$G$122)+IF(rngFindAll($A14,'Clock Domain Map'!$C$1:$C$122,'Clock Domain Map'!$G$1:$G$122)&gt;100,100,rngFindMax($A14,'Clock Domain Map'!$C$1:$C$122,'Clock Domain Map'!$G$1:$G$122)))/2,IF(C14="AlwaysOn",100,0))</f>
        <v>100</v>
      </c>
      <c r="E14">
        <f ca="1" t="shared" si="0"/>
        <v>1</v>
      </c>
      <c r="F14">
        <f ca="1" t="shared" si="1"/>
        <v>0</v>
      </c>
      <c r="G14" t="str">
        <f ca="1">OFFSET('Voltage Domain Map'!$A$1,MATCH($B14,'Voltage Domain Map'!$A:$A,0)-1,2,1,1)</f>
        <v>AlwaysOn</v>
      </c>
      <c r="H14" s="7">
        <f ca="1">SUM(rngFindAll($A14,'Clock Domain Map'!$C$1:$C$206,'Clock Domain Map'!$P$1:$P$206))</f>
        <v>12.656605158400001</v>
      </c>
      <c r="I14" s="7">
        <f ca="1">SUM(rngFindAll($A14,'Clock Domain Map'!$C$1:$C$106,'Clock Domain Map'!$Q$1:$Q$106))*IF($G14="Off",0.05,1)</f>
        <v>5.962593092532034</v>
      </c>
      <c r="J14" s="7">
        <f ca="1">SUM(rngFindAll($A14,'Clock Domain Map'!$C$1:$C$206,'Clock Domain Map'!$X$1:$X$206))</f>
        <v>0</v>
      </c>
      <c r="K14" s="7">
        <f ca="1">SUM(rngFindAll($A14,'Clock Domain Map'!$C$1:$C$106,'Clock Domain Map'!$Y$1:$Y$106))*IF($G14="Off",0.05,1)</f>
        <v>1.8494272886876288</v>
      </c>
    </row>
    <row r="15" spans="1:11" ht="15">
      <c r="A15" t="s">
        <v>102</v>
      </c>
      <c r="B15" t="s">
        <v>115</v>
      </c>
      <c r="C15" t="str">
        <f ca="1">IF(SUM(rngFindAll($A15,'Clock Domain Map'!$C$1:$C$122,'Clock Domain Map'!$H$1:$H$122)),"AlwaysOn",(IF(SUM(rngFindAll($A15,'Clock Domain Map'!$C$1:$C$122,'Clock Domain Map'!$I$1:$I$122)),"Auto","Disabled")))</f>
        <v>AlwaysOn</v>
      </c>
      <c r="D15" s="17">
        <f ca="1">IF(C15="Auto",(rngFindMax($A15,'Clock Domain Map'!$C$1:$C$122,'Clock Domain Map'!$G$1:$G$122)+IF(rngFindAll($A15,'Clock Domain Map'!$C$1:$C$122,'Clock Domain Map'!$G$1:$G$122)&gt;100,100,rngFindMax($A15,'Clock Domain Map'!$C$1:$C$122,'Clock Domain Map'!$G$1:$G$122)))/2,IF(C15="AlwaysOn",100,0))</f>
        <v>100</v>
      </c>
      <c r="E15">
        <f ca="1" t="shared" si="0"/>
        <v>1</v>
      </c>
      <c r="F15">
        <f ca="1" t="shared" si="1"/>
        <v>0</v>
      </c>
      <c r="G15" t="str">
        <f ca="1">OFFSET('Voltage Domain Map'!$A$1,MATCH($B15,'Voltage Domain Map'!$A:$A,0)-1,2,1,1)</f>
        <v>AlwaysOn</v>
      </c>
      <c r="H15" s="7">
        <f ca="1">SUM(rngFindAll($A15,'Clock Domain Map'!$C$1:$C$206,'Clock Domain Map'!$P$1:$P$206))</f>
        <v>63.12451200000001</v>
      </c>
      <c r="I15" s="7">
        <f ca="1">SUM(rngFindAll($A15,'Clock Domain Map'!$C$1:$C$106,'Clock Domain Map'!$Q$1:$Q$106))*IF($G15="Off",0.05,1)</f>
        <v>26.75252217043593</v>
      </c>
      <c r="J15" s="7">
        <f ca="1">SUM(rngFindAll($A15,'Clock Domain Map'!$C$1:$C$206,'Clock Domain Map'!$X$1:$X$206))</f>
        <v>0</v>
      </c>
      <c r="K15" s="7">
        <f ca="1">SUM(rngFindAll($A15,'Clock Domain Map'!$C$1:$C$106,'Clock Domain Map'!$Y$1:$Y$106))*IF($G15="Off",0.05,1)</f>
        <v>4.3191635801080634</v>
      </c>
    </row>
    <row r="16" spans="1:11" ht="15">
      <c r="A16" t="s">
        <v>103</v>
      </c>
      <c r="B16" t="s">
        <v>115</v>
      </c>
      <c r="C16" t="str">
        <f ca="1">IF(SUM(rngFindAll($A16,'Clock Domain Map'!$C$1:$C$122,'Clock Domain Map'!$H$1:$H$122)),"AlwaysOn",(IF(SUM(rngFindAll($A16,'Clock Domain Map'!$C$1:$C$122,'Clock Domain Map'!$I$1:$I$122)),"Auto","Disabled")))</f>
        <v>AlwaysOn</v>
      </c>
      <c r="D16" s="17">
        <f ca="1">IF(C16="Auto",(rngFindMax($A16,'Clock Domain Map'!$C$1:$C$122,'Clock Domain Map'!$G$1:$G$122)+IF(rngFindAll($A16,'Clock Domain Map'!$C$1:$C$122,'Clock Domain Map'!$G$1:$G$122)&gt;100,100,rngFindMax($A16,'Clock Domain Map'!$C$1:$C$122,'Clock Domain Map'!$G$1:$G$122)))/2,IF(C16="AlwaysOn",100,0))</f>
        <v>100</v>
      </c>
      <c r="E16">
        <f ca="1" t="shared" si="0"/>
        <v>1</v>
      </c>
      <c r="F16">
        <f ca="1" t="shared" si="1"/>
        <v>0</v>
      </c>
      <c r="G16" t="str">
        <f ca="1">OFFSET('Voltage Domain Map'!$A$1,MATCH($B16,'Voltage Domain Map'!$A:$A,0)-1,2,1,1)</f>
        <v>AlwaysOn</v>
      </c>
      <c r="H16" s="7">
        <f ca="1">SUM(rngFindAll($A16,'Clock Domain Map'!$C$1:$C$206,'Clock Domain Map'!$P$1:$P$206))</f>
        <v>114.51792000000002</v>
      </c>
      <c r="I16" s="7">
        <f ca="1">SUM(rngFindAll($A16,'Clock Domain Map'!$C$1:$C$106,'Clock Domain Map'!$Q$1:$Q$106))*IF($G16="Off",0.05,1)</f>
        <v>5.882051400654387</v>
      </c>
      <c r="J16" s="7">
        <f ca="1">SUM(rngFindAll($A16,'Clock Domain Map'!$C$1:$C$206,'Clock Domain Map'!$X$1:$X$206))</f>
        <v>0</v>
      </c>
      <c r="K16" s="7">
        <f ca="1">SUM(rngFindAll($A16,'Clock Domain Map'!$C$1:$C$106,'Clock Domain Map'!$Y$1:$Y$106))*IF($G16="Off",0.05,1)</f>
        <v>1.6360313812141498</v>
      </c>
    </row>
    <row r="17" spans="1:11" ht="15">
      <c r="A17" t="s">
        <v>104</v>
      </c>
      <c r="B17" t="s">
        <v>116</v>
      </c>
      <c r="C17" t="str">
        <f ca="1">IF(SUM(rngFindAll($A17,'Clock Domain Map'!$C$1:$C$122,'Clock Domain Map'!$H$1:$H$122)),"AlwaysOn",(IF(SUM(rngFindAll($A17,'Clock Domain Map'!$C$1:$C$122,'Clock Domain Map'!$I$1:$I$122)),"Auto","Disabled")))</f>
        <v>AlwaysOn</v>
      </c>
      <c r="D17" s="17">
        <f ca="1">IF(C17="Auto",(rngFindMax($A17,'Clock Domain Map'!$C$1:$C$122,'Clock Domain Map'!$G$1:$G$122)+IF(rngFindAll($A17,'Clock Domain Map'!$C$1:$C$122,'Clock Domain Map'!$G$1:$G$122)&gt;100,100,rngFindMax($A17,'Clock Domain Map'!$C$1:$C$122,'Clock Domain Map'!$G$1:$G$122)))/2,IF(C17="AlwaysOn",100,0))</f>
        <v>100</v>
      </c>
      <c r="E17">
        <f ca="1" t="shared" si="0"/>
        <v>1</v>
      </c>
      <c r="F17">
        <f ca="1" t="shared" si="1"/>
        <v>0</v>
      </c>
      <c r="G17" t="str">
        <f ca="1">OFFSET('Voltage Domain Map'!$A$1,MATCH($B17,'Voltage Domain Map'!$A:$A,0)-1,2,1,1)</f>
        <v>AlwaysOn</v>
      </c>
      <c r="H17" s="7">
        <f ca="1">SUM(rngFindAll($A17,'Clock Domain Map'!$C$1:$C$206,'Clock Domain Map'!$P$1:$P$206))</f>
        <v>73.05447680000002</v>
      </c>
      <c r="I17" s="7">
        <f ca="1">SUM(rngFindAll($A17,'Clock Domain Map'!$C$1:$C$106,'Clock Domain Map'!$Q$1:$Q$106))*IF($G17="Off",0.05,1)</f>
        <v>23.8097364093654</v>
      </c>
      <c r="J17" s="7">
        <f ca="1">SUM(rngFindAll($A17,'Clock Domain Map'!$C$1:$C$206,'Clock Domain Map'!$X$1:$X$206))</f>
        <v>0</v>
      </c>
      <c r="K17" s="7">
        <f ca="1">SUM(rngFindAll($A17,'Clock Domain Map'!$C$1:$C$106,'Clock Domain Map'!$Y$1:$Y$106))*IF($G17="Off",0.05,1)</f>
        <v>0</v>
      </c>
    </row>
    <row r="18" spans="1:11" ht="15">
      <c r="A18" t="s">
        <v>105</v>
      </c>
      <c r="B18" t="s">
        <v>117</v>
      </c>
      <c r="C18" t="str">
        <f ca="1">IF(SUM(rngFindAll($A18,'Clock Domain Map'!$C$1:$C$122,'Clock Domain Map'!$H$1:$H$122)),"AlwaysOn",(IF(SUM(rngFindAll($A18,'Clock Domain Map'!$C$1:$C$122,'Clock Domain Map'!$I$1:$I$122)),"Auto","Disabled")))</f>
        <v>Disabled</v>
      </c>
      <c r="D18" s="17">
        <f ca="1">IF(C18="Auto",(rngFindMax($A18,'Clock Domain Map'!$C$1:$C$122,'Clock Domain Map'!$G$1:$G$122)+IF(rngFindAll($A18,'Clock Domain Map'!$C$1:$C$122,'Clock Domain Map'!$G$1:$G$122)&gt;100,100,rngFindMax($A18,'Clock Domain Map'!$C$1:$C$122,'Clock Domain Map'!$G$1:$G$122)))/2,IF(C18="AlwaysOn",100,0))</f>
        <v>0</v>
      </c>
      <c r="E18">
        <f ca="1" t="shared" si="0"/>
        <v>0</v>
      </c>
      <c r="F18">
        <f ca="1" t="shared" si="1"/>
        <v>0</v>
      </c>
      <c r="G18" t="str">
        <f ca="1">OFFSET('Voltage Domain Map'!$A$1,MATCH($B18,'Voltage Domain Map'!$A:$A,0)-1,2,1,1)</f>
        <v>AlwaysOn</v>
      </c>
      <c r="H18" s="7">
        <f ca="1">SUM(rngFindAll($A18,'Clock Domain Map'!$C$1:$C$206,'Clock Domain Map'!$P$1:$P$206))</f>
        <v>0</v>
      </c>
      <c r="I18" s="7">
        <f ca="1">SUM(rngFindAll($A18,'Clock Domain Map'!$C$1:$C$106,'Clock Domain Map'!$Q$1:$Q$106))*IF($G18="Off",0.05,1)</f>
        <v>0</v>
      </c>
      <c r="J18" s="7">
        <f ca="1">SUM(rngFindAll($A18,'Clock Domain Map'!$C$1:$C$206,'Clock Domain Map'!$X$1:$X$206))</f>
        <v>0</v>
      </c>
      <c r="K18" s="7">
        <f ca="1">SUM(rngFindAll($A18,'Clock Domain Map'!$C$1:$C$106,'Clock Domain Map'!$Y$1:$Y$106))*IF($G18="Off",0.05,1)</f>
        <v>0</v>
      </c>
    </row>
    <row r="19" spans="1:11" ht="15">
      <c r="A19" t="s">
        <v>106</v>
      </c>
      <c r="B19" t="s">
        <v>118</v>
      </c>
      <c r="C19" t="str">
        <f ca="1">IF(SUM(rngFindAll($A19,'Clock Domain Map'!$C$1:$C$122,'Clock Domain Map'!$H$1:$H$122)),"AlwaysOn",(IF(SUM(rngFindAll($A19,'Clock Domain Map'!$C$1:$C$122,'Clock Domain Map'!$I$1:$I$122)),"Auto","Disabled")))</f>
        <v>Disabled</v>
      </c>
      <c r="D19" s="17">
        <f ca="1">IF(C19="Auto",(rngFindMax($A19,'Clock Domain Map'!$C$1:$C$122,'Clock Domain Map'!$G$1:$G$122)+IF(rngFindAll($A19,'Clock Domain Map'!$C$1:$C$122,'Clock Domain Map'!$G$1:$G$122)&gt;100,100,rngFindMax($A19,'Clock Domain Map'!$C$1:$C$122,'Clock Domain Map'!$G$1:$G$122)))/2,IF(C19="AlwaysOn",100,0))</f>
        <v>0</v>
      </c>
      <c r="E19">
        <f ca="1" t="shared" si="0"/>
        <v>0</v>
      </c>
      <c r="F19">
        <f ca="1" t="shared" si="1"/>
        <v>0</v>
      </c>
      <c r="G19" t="str">
        <f ca="1">OFFSET('Voltage Domain Map'!$A$1,MATCH($B19,'Voltage Domain Map'!$A:$A,0)-1,2,1,1)</f>
        <v>AlwaysOn</v>
      </c>
      <c r="H19" s="7">
        <f ca="1">SUM(rngFindAll($A19,'Clock Domain Map'!$C$1:$C$206,'Clock Domain Map'!$P$1:$P$206))</f>
        <v>0</v>
      </c>
      <c r="I19" s="7">
        <f ca="1">SUM(rngFindAll($A19,'Clock Domain Map'!$C$1:$C$106,'Clock Domain Map'!$Q$1:$Q$106))*IF($G19="Off",0.05,1)</f>
        <v>4.382920166681156</v>
      </c>
      <c r="J19" s="7">
        <f ca="1">SUM(rngFindAll($A19,'Clock Domain Map'!$C$1:$C$206,'Clock Domain Map'!$X$1:$X$206))</f>
        <v>0</v>
      </c>
      <c r="K19" s="7">
        <f ca="1">SUM(rngFindAll($A19,'Clock Domain Map'!$C$1:$C$106,'Clock Domain Map'!$Y$1:$Y$106))*IF($G19="Off",0.05,1)</f>
        <v>0.5232033301845929</v>
      </c>
    </row>
    <row r="20" spans="1:11" ht="15">
      <c r="A20" t="s">
        <v>109</v>
      </c>
      <c r="B20" t="s">
        <v>118</v>
      </c>
      <c r="C20" t="str">
        <f ca="1">IF(SUM(rngFindAll($A20,'Clock Domain Map'!$C$1:$C$122,'Clock Domain Map'!$H$1:$H$122)),"AlwaysOn",(IF(SUM(rngFindAll($A20,'Clock Domain Map'!$C$1:$C$122,'Clock Domain Map'!$I$1:$I$122)),"Auto","Disabled")))</f>
        <v>AlwaysOn</v>
      </c>
      <c r="D20" s="17">
        <f ca="1">IF(C20="Auto",(rngFindMax($A20,'Clock Domain Map'!$C$1:$C$122,'Clock Domain Map'!$G$1:$G$122)+IF(rngFindAll($A20,'Clock Domain Map'!$C$1:$C$122,'Clock Domain Map'!$G$1:$G$122)&gt;100,100,rngFindMax($A20,'Clock Domain Map'!$C$1:$C$122,'Clock Domain Map'!$G$1:$G$122)))/2,IF(C20="AlwaysOn",100,0))</f>
        <v>100</v>
      </c>
      <c r="E20">
        <f ca="1" t="shared" si="0"/>
        <v>1</v>
      </c>
      <c r="F20">
        <f ca="1" t="shared" si="1"/>
        <v>0</v>
      </c>
      <c r="G20" t="str">
        <f ca="1">OFFSET('Voltage Domain Map'!$A$1,MATCH($B20,'Voltage Domain Map'!$A:$A,0)-1,2,1,1)</f>
        <v>AlwaysOn</v>
      </c>
      <c r="H20" s="7">
        <f ca="1">SUM(rngFindAll($A20,'Clock Domain Map'!$C$1:$C$206,'Clock Domain Map'!$P$1:$P$206))</f>
        <v>126.96000000000001</v>
      </c>
      <c r="I20" s="7">
        <f ca="1">SUM(rngFindAll($A20,'Clock Domain Map'!$C$1:$C$106,'Clock Domain Map'!$Q$1:$Q$106))*IF($G20="Off",0.05,1)</f>
        <v>2.4578057335368597</v>
      </c>
      <c r="J20" s="7">
        <f ca="1">SUM(rngFindAll($A20,'Clock Domain Map'!$C$1:$C$206,'Clock Domain Map'!$X$1:$X$206))</f>
        <v>0</v>
      </c>
      <c r="K20" s="7">
        <f ca="1">SUM(rngFindAll($A20,'Clock Domain Map'!$C$1:$C$106,'Clock Domain Map'!$Y$1:$Y$106))*IF($G20="Off",0.05,1)</f>
        <v>0</v>
      </c>
    </row>
    <row r="21" spans="1:11" ht="15">
      <c r="A21" t="s">
        <v>110</v>
      </c>
      <c r="B21" t="s">
        <v>118</v>
      </c>
      <c r="C21" t="str">
        <f ca="1">IF(SUM(rngFindAll($A21,'Clock Domain Map'!$C$1:$C$122,'Clock Domain Map'!$H$1:$H$122)),"AlwaysOn",(IF(SUM(rngFindAll($A21,'Clock Domain Map'!$C$1:$C$122,'Clock Domain Map'!$I$1:$I$122)),"Auto","Disabled")))</f>
        <v>AlwaysOn</v>
      </c>
      <c r="D21" s="17">
        <f ca="1">IF(C21="Auto",(rngFindMax($A21,'Clock Domain Map'!$C$1:$C$122,'Clock Domain Map'!$G$1:$G$122)+IF(rngFindAll($A21,'Clock Domain Map'!$C$1:$C$122,'Clock Domain Map'!$G$1:$G$122)&gt;100,100,rngFindMax($A21,'Clock Domain Map'!$C$1:$C$122,'Clock Domain Map'!$G$1:$G$122)))/2,IF(C21="AlwaysOn",100,0))</f>
        <v>100</v>
      </c>
      <c r="E21">
        <f ca="1" t="shared" si="0"/>
        <v>1</v>
      </c>
      <c r="F21">
        <f ca="1" t="shared" si="1"/>
        <v>0</v>
      </c>
      <c r="G21" t="str">
        <f ca="1">OFFSET('Voltage Domain Map'!$A$1,MATCH($B21,'Voltage Domain Map'!$A:$A,0)-1,2,1,1)</f>
        <v>AlwaysOn</v>
      </c>
      <c r="H21" s="7">
        <f ca="1">SUM(rngFindAll($A21,'Clock Domain Map'!$C$1:$C$206,'Clock Domain Map'!$P$1:$P$206))</f>
        <v>2.1329280000000006</v>
      </c>
      <c r="I21" s="7">
        <f ca="1">SUM(rngFindAll($A21,'Clock Domain Map'!$C$1:$C$106,'Clock Domain Map'!$Q$1:$Q$106))*IF($G21="Off",0.05,1)</f>
        <v>18.020349794254273</v>
      </c>
      <c r="J21" s="7">
        <f ca="1">SUM(rngFindAll($A21,'Clock Domain Map'!$C$1:$C$206,'Clock Domain Map'!$X$1:$X$206))</f>
        <v>0</v>
      </c>
      <c r="K21" s="7">
        <f ca="1">SUM(rngFindAll($A21,'Clock Domain Map'!$C$1:$C$106,'Clock Domain Map'!$Y$1:$Y$106))*IF($G21="Off",0.05,1)</f>
        <v>0.915223077326782</v>
      </c>
    </row>
    <row r="22" spans="1:11" ht="15">
      <c r="A22" t="s">
        <v>107</v>
      </c>
      <c r="B22" t="s">
        <v>118</v>
      </c>
      <c r="C22" t="str">
        <f ca="1">IF(SUM(rngFindAll($A22,'Clock Domain Map'!$C$1:$C$122,'Clock Domain Map'!$H$1:$H$122)),"AlwaysOn",(IF(SUM(rngFindAll($A22,'Clock Domain Map'!$C$1:$C$122,'Clock Domain Map'!$I$1:$I$122)),"Auto","Disabled")))</f>
        <v>AlwaysOn</v>
      </c>
      <c r="D22" s="17">
        <f ca="1">IF(C22="Auto",(rngFindMax($A22,'Clock Domain Map'!$C$1:$C$122,'Clock Domain Map'!$G$1:$G$122)+IF(rngFindAll($A22,'Clock Domain Map'!$C$1:$C$122,'Clock Domain Map'!$G$1:$G$122)&gt;100,100,rngFindMax($A22,'Clock Domain Map'!$C$1:$C$122,'Clock Domain Map'!$G$1:$G$122)))/2,IF(C22="AlwaysOn",100,0))</f>
        <v>100</v>
      </c>
      <c r="E22">
        <f ca="1" t="shared" si="0"/>
        <v>1</v>
      </c>
      <c r="F22">
        <f ca="1" t="shared" si="1"/>
        <v>0</v>
      </c>
      <c r="G22" t="str">
        <f ca="1">OFFSET('Voltage Domain Map'!$A$1,MATCH($B22,'Voltage Domain Map'!$A:$A,0)-1,2,1,1)</f>
        <v>AlwaysOn</v>
      </c>
      <c r="H22" s="7">
        <f ca="1">SUM(rngFindAll($A22,'Clock Domain Map'!$C$1:$C$206,'Clock Domain Map'!$P$1:$P$206))</f>
        <v>25.392000000000003</v>
      </c>
      <c r="I22" s="7">
        <f ca="1">SUM(rngFindAll($A22,'Clock Domain Map'!$C$1:$C$106,'Clock Domain Map'!$Q$1:$Q$106))*IF($G22="Off",0.05,1)</f>
        <v>0.5367463923170627</v>
      </c>
      <c r="J22" s="7">
        <f ca="1">SUM(rngFindAll($A22,'Clock Domain Map'!$C$1:$C$206,'Clock Domain Map'!$X$1:$X$206))</f>
        <v>0</v>
      </c>
      <c r="K22" s="7">
        <f ca="1">SUM(rngFindAll($A22,'Clock Domain Map'!$C$1:$C$106,'Clock Domain Map'!$Y$1:$Y$106))*IF($G22="Off",0.05,1)</f>
        <v>0</v>
      </c>
    </row>
    <row r="23" spans="1:11" ht="15">
      <c r="A23" t="s">
        <v>108</v>
      </c>
      <c r="B23" t="s">
        <v>117</v>
      </c>
      <c r="C23" t="str">
        <f ca="1">IF(SUM(rngFindAll($A23,'Clock Domain Map'!$C$1:$C$122,'Clock Domain Map'!$H$1:$H$122)),"AlwaysOn",(IF(SUM(rngFindAll($A23,'Clock Domain Map'!$C$1:$C$122,'Clock Domain Map'!$I$1:$I$122)),"Auto","Disabled")))</f>
        <v>AlwaysOn</v>
      </c>
      <c r="D23" s="17">
        <f ca="1">IF(C23="Auto",(rngFindMax($A23,'Clock Domain Map'!$C$1:$C$122,'Clock Domain Map'!$G$1:$G$122)+IF(rngFindAll($A23,'Clock Domain Map'!$C$1:$C$122,'Clock Domain Map'!$G$1:$G$122)&gt;100,100,rngFindMax($A23,'Clock Domain Map'!$C$1:$C$122,'Clock Domain Map'!$G$1:$G$122)))/2,IF(C23="AlwaysOn",100,0))</f>
        <v>100</v>
      </c>
      <c r="E23">
        <f ca="1" t="shared" si="0"/>
        <v>1</v>
      </c>
      <c r="F23">
        <f ca="1" t="shared" si="1"/>
        <v>0</v>
      </c>
      <c r="G23" t="str">
        <f ca="1">OFFSET('Voltage Domain Map'!$A$1,MATCH($B23,'Voltage Domain Map'!$A:$A,0)-1,2,1,1)</f>
        <v>AlwaysOn</v>
      </c>
      <c r="H23" s="7">
        <f ca="1">SUM(rngFindAll($A23,'Clock Domain Map'!$C$1:$C$206,'Clock Domain Map'!$P$1:$P$206))</f>
        <v>13.624500799999998</v>
      </c>
      <c r="I23" s="7">
        <f ca="1">SUM(rngFindAll($A23,'Clock Domain Map'!$C$1:$C$106,'Clock Domain Map'!$Q$1:$Q$106))*IF($G23="Off",0.05,1)</f>
        <v>27.956751519540113</v>
      </c>
      <c r="J23" s="7">
        <f ca="1">SUM(rngFindAll($A23,'Clock Domain Map'!$C$1:$C$206,'Clock Domain Map'!$X$1:$X$206))</f>
        <v>0</v>
      </c>
      <c r="K23" s="7">
        <f ca="1">SUM(rngFindAll($A23,'Clock Domain Map'!$C$1:$C$106,'Clock Domain Map'!$Y$1:$Y$106))*IF($G23="Off",0.05,1)</f>
        <v>4.144886194846529</v>
      </c>
    </row>
    <row r="24" spans="1:11" ht="15">
      <c r="A24" t="s">
        <v>215</v>
      </c>
      <c r="B24" t="s">
        <v>216</v>
      </c>
      <c r="C24" t="str">
        <f ca="1">IF(SUM(rngFindAll($A24,'Clock Domain Map'!$C$1:$C$122,'Clock Domain Map'!$H$1:$H$122)),"AlwaysOn",(IF(SUM(rngFindAll($A24,'Clock Domain Map'!$C$1:$C$122,'Clock Domain Map'!$I$1:$I$122)),"Auto","Disabled")))</f>
        <v>AlwaysOn</v>
      </c>
      <c r="D24" s="17">
        <f ca="1">IF(C24="Auto",(rngFindMax($A24,'Clock Domain Map'!$C$1:$C$122,'Clock Domain Map'!$G$1:$G$122)+IF(rngFindAll($A24,'Clock Domain Map'!$C$1:$C$122,'Clock Domain Map'!$G$1:$G$122)&gt;100,100,rngFindMax($A24,'Clock Domain Map'!$C$1:$C$122,'Clock Domain Map'!$G$1:$G$122)))/2,IF(C24="AlwaysOn",100,0))</f>
        <v>100</v>
      </c>
      <c r="E24">
        <f aca="true" t="shared" si="2" ref="E24">IF(C24="AlwaysOn",1,0)</f>
        <v>1</v>
      </c>
      <c r="F24">
        <f aca="true" t="shared" si="3" ref="F24">IF(C24="Auto",1,0)</f>
        <v>0</v>
      </c>
      <c r="G24" t="str">
        <f ca="1">OFFSET('Voltage Domain Map'!$A$1,MATCH($B24,'Voltage Domain Map'!$A:$A,0)-1,2,1,1)</f>
        <v>AlwaysOn</v>
      </c>
      <c r="H24" s="7">
        <f ca="1">SUM(rngFindAll($A24,'Clock Domain Map'!$C$1:$C$206,'Clock Domain Map'!$P$1:$P$206))</f>
        <v>0</v>
      </c>
      <c r="I24" s="7">
        <f ca="1">SUM(rngFindAll($A24,'Clock Domain Map'!$C$1:$C$106,'Clock Domain Map'!$Q$1:$Q$106))*IF($G24="Off",0.05,1)</f>
        <v>0</v>
      </c>
      <c r="J24" s="7">
        <f ca="1">SUM(rngFindAll($A24,'Clock Domain Map'!$C$1:$C$206,'Clock Domain Map'!$X$1:$X$206))</f>
        <v>0</v>
      </c>
      <c r="K24" s="7">
        <f ca="1">SUM(rngFindAll($A24,'Clock Domain Map'!$C$1:$C$106,'Clock Domain Map'!$Y$1:$Y$106))*IF($G24="Off",0.05,1)</f>
        <v>0</v>
      </c>
    </row>
    <row r="25" spans="1:11" ht="15">
      <c r="A25" t="s">
        <v>244</v>
      </c>
      <c r="B25" t="s">
        <v>113</v>
      </c>
      <c r="C25" t="str">
        <f ca="1">IF(SUM(rngFindAll($A25,'Clock Domain Map'!$C$1:$C$122,'Clock Domain Map'!$H$1:$H$122)),"AlwaysOn",(IF(SUM(rngFindAll($A25,'Clock Domain Map'!$C$1:$C$122,'Clock Domain Map'!$I$1:$I$122)),"Auto","Disabled")))</f>
        <v>AlwaysOn</v>
      </c>
      <c r="D25" s="17">
        <f ca="1">IF(C25="Auto",(rngFindMax($A25,'Clock Domain Map'!$C$1:$C$122,'Clock Domain Map'!$G$1:$G$122)+IF(rngFindAll($A25,'Clock Domain Map'!$C$1:$C$122,'Clock Domain Map'!$G$1:$G$122)&gt;100,100,rngFindMax($A25,'Clock Domain Map'!$C$1:$C$122,'Clock Domain Map'!$G$1:$G$122)))/2,IF(C25="AlwaysOn",100,0))</f>
        <v>100</v>
      </c>
      <c r="E25">
        <f aca="true" t="shared" si="4" ref="E25">IF(C25="AlwaysOn",1,0)</f>
        <v>1</v>
      </c>
      <c r="F25">
        <f aca="true" t="shared" si="5" ref="F25">IF(C25="Auto",1,0)</f>
        <v>0</v>
      </c>
      <c r="G25" t="str">
        <f ca="1">OFFSET('Voltage Domain Map'!$A$1,MATCH($B25,'Voltage Domain Map'!$A:$A,0)-1,2,1,1)</f>
        <v>AlwaysOn</v>
      </c>
      <c r="H25" s="7">
        <f ca="1">SUM(rngFindAll($A25,'Clock Domain Map'!$C$1:$C$206,'Clock Domain Map'!$P$1:$P$206))</f>
        <v>64.165584</v>
      </c>
      <c r="I25" s="7">
        <f ca="1">SUM(rngFindAll($A25,'Clock Domain Map'!$C$1:$C$106,'Clock Domain Map'!$Q$1:$Q$106))*IF($G25="Off",0.05,1)</f>
        <v>16.678712827403583</v>
      </c>
      <c r="J25" s="7">
        <f ca="1">SUM(rngFindAll($A25,'Clock Domain Map'!$C$1:$C$206,'Clock Domain Map'!$X$1:$X$206))</f>
        <v>0</v>
      </c>
      <c r="K25" s="7">
        <f ca="1">SUM(rngFindAll($A25,'Clock Domain Map'!$C$1:$C$106,'Clock Domain Map'!$Y$1:$Y$106))*IF($G25="Off",0.05,1)</f>
        <v>0</v>
      </c>
    </row>
    <row r="26" ht="15">
      <c r="J26" s="7"/>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7"/>
  <dimension ref="A1:G19"/>
  <sheetViews>
    <sheetView workbookViewId="0" topLeftCell="A1">
      <selection activeCell="C2" sqref="C2"/>
    </sheetView>
  </sheetViews>
  <sheetFormatPr defaultColWidth="9.140625" defaultRowHeight="15"/>
  <cols>
    <col min="1" max="1" width="14.140625" style="0" bestFit="1" customWidth="1"/>
    <col min="2" max="2" width="15.28125" style="0" bestFit="1" customWidth="1"/>
    <col min="3" max="3" width="9.8515625" style="0" bestFit="1" customWidth="1"/>
    <col min="4" max="4" width="14.8515625" style="0" bestFit="1" customWidth="1"/>
    <col min="5" max="5" width="14.421875" style="0" bestFit="1" customWidth="1"/>
    <col min="6" max="6" width="20.00390625" style="0" bestFit="1" customWidth="1"/>
    <col min="7" max="7" width="19.57421875" style="0" bestFit="1" customWidth="1"/>
  </cols>
  <sheetData>
    <row r="1" spans="1:7" ht="15">
      <c r="A1" t="s">
        <v>78</v>
      </c>
      <c r="B1" t="s">
        <v>8</v>
      </c>
      <c r="C1" t="s">
        <v>120</v>
      </c>
      <c r="D1" t="s">
        <v>44</v>
      </c>
      <c r="E1" t="s">
        <v>45</v>
      </c>
      <c r="F1" t="s">
        <v>251</v>
      </c>
      <c r="G1" t="s">
        <v>252</v>
      </c>
    </row>
    <row r="2" spans="1:7" ht="15">
      <c r="A2" t="s">
        <v>79</v>
      </c>
      <c r="B2" t="s">
        <v>126</v>
      </c>
      <c r="C2" t="str">
        <f ca="1">IF(SUM(rngFindAll($A2,'Power Domain Map'!$B$1:$B$102,'Power Domain Map'!$E$1:$E$102)),"AlwaysOn",(IF(SUM(rngFindAll($A2,'Power Domain Map'!$B$1:$B$102,'Power Domain Map'!$F$1:$F$102)),"Auto","Off")))</f>
        <v>AlwaysOn</v>
      </c>
      <c r="D2" s="7">
        <f ca="1">SUM(rngFindAll($A2,'Power Domain Map'!$B$1:$B$102,'Power Domain Map'!$H$1:$H$102))</f>
        <v>225.75074999999998</v>
      </c>
      <c r="E2" s="7">
        <f ca="1">SUM(rngFindAll($A2,'Power Domain Map'!$B$1:$B$102,'Power Domain Map'!$I$1:$I$102))</f>
        <v>207.98699648872156</v>
      </c>
      <c r="F2" s="7">
        <f ca="1">SUM(rngFindAll($A2,'Power Domain Map'!$B$1:$B$102,'Power Domain Map'!$J$1:$J$102))</f>
        <v>91.25249999999998</v>
      </c>
      <c r="G2" s="7">
        <f ca="1">SUM(rngFindAll($A2,'Power Domain Map'!$B$1:$B$102,'Power Domain Map'!$K$1:$K$102))</f>
        <v>20.964634170310987</v>
      </c>
    </row>
    <row r="3" spans="1:7" ht="15">
      <c r="A3" t="s">
        <v>400</v>
      </c>
      <c r="B3" t="s">
        <v>126</v>
      </c>
      <c r="C3" t="str">
        <f ca="1">IF(SUM(rngFindAll($A3,'Power Domain Map'!$B$1:$B$102,'Power Domain Map'!$E$1:$E$102)),"AlwaysOn",(IF(SUM(rngFindAll($A3,'Power Domain Map'!$B$1:$B$102,'Power Domain Map'!$F$1:$F$102)),"Auto","Off")))</f>
        <v>AlwaysOn</v>
      </c>
      <c r="D3" s="7">
        <f ca="1">SUM(rngFindAll($A3,'Power Domain Map'!$B$1:$B$102,'Power Domain Map'!$H$1:$H$102))</f>
        <v>1726.6559999999997</v>
      </c>
      <c r="E3" s="7">
        <f ca="1">SUM(rngFindAll($A3,'Power Domain Map'!$B$1:$B$102,'Power Domain Map'!$I$1:$I$102))</f>
        <v>386.8032564224925</v>
      </c>
      <c r="F3" s="7">
        <f ca="1">SUM(rngFindAll($A3,'Power Domain Map'!$B$1:$B$102,'Power Domain Map'!$J$1:$J$102))</f>
        <v>91.25249999999998</v>
      </c>
      <c r="G3" s="7">
        <f ca="1">SUM(rngFindAll($A3,'Power Domain Map'!$B$1:$B$102,'Power Domain Map'!$K$1:$K$102))</f>
        <v>5.39076846236998</v>
      </c>
    </row>
    <row r="4" spans="1:7" ht="15">
      <c r="A4" t="s">
        <v>401</v>
      </c>
      <c r="B4" t="s">
        <v>126</v>
      </c>
      <c r="C4" t="str">
        <f ca="1">IF(SUM(rngFindAll($A4,'Power Domain Map'!$B$1:$B$102,'Power Domain Map'!$E$1:$E$102)),"AlwaysOn",(IF(SUM(rngFindAll($A4,'Power Domain Map'!$B$1:$B$102,'Power Domain Map'!$F$1:$F$102)),"Auto","Off")))</f>
        <v>AlwaysOn</v>
      </c>
      <c r="D4" s="7">
        <f ca="1">SUM(rngFindAll($A4,'Power Domain Map'!$B$1:$B$102,'Power Domain Map'!$H$1:$H$102))</f>
        <v>1726.6559999999997</v>
      </c>
      <c r="E4" s="7">
        <f ca="1">SUM(rngFindAll($A4,'Power Domain Map'!$B$1:$B$102,'Power Domain Map'!$I$1:$I$102))</f>
        <v>386.8032564224925</v>
      </c>
      <c r="F4" s="7">
        <f ca="1">SUM(rngFindAll($A4,'Power Domain Map'!$B$1:$B$102,'Power Domain Map'!$J$1:$J$102))</f>
        <v>91.25249999999998</v>
      </c>
      <c r="G4" s="7">
        <f ca="1">SUM(rngFindAll($A4,'Power Domain Map'!$B$1:$B$102,'Power Domain Map'!$K$1:$K$102))</f>
        <v>5.39076846236998</v>
      </c>
    </row>
    <row r="5" spans="1:7" ht="15">
      <c r="A5" t="s">
        <v>80</v>
      </c>
      <c r="B5" t="s">
        <v>127</v>
      </c>
      <c r="C5" t="str">
        <f ca="1">IF(SUM(rngFindAll($A5,'Power Domain Map'!$B$1:$B$102,'Power Domain Map'!$E$1:$E$102)),"AlwaysOn",(IF(SUM(rngFindAll($A5,'Power Domain Map'!$B$1:$B$102,'Power Domain Map'!$F$1:$F$102)),"AlwaysOn","Off")))</f>
        <v>AlwaysOn</v>
      </c>
      <c r="D5" s="7">
        <f ca="1">SUM(rngFindAll($A5,'Power Domain Map'!$B$1:$B$102,'Power Domain Map'!$H$1:$H$102))</f>
        <v>642.7349999999998</v>
      </c>
      <c r="E5" s="7">
        <f ca="1">SUM(rngFindAll($A5,'Power Domain Map'!$B$1:$B$102,'Power Domain Map'!$I$1:$I$102))</f>
        <v>146.2693413718662</v>
      </c>
      <c r="F5" s="7">
        <f ca="1">SUM(rngFindAll($A5,'Power Domain Map'!$B$1:$B$102,'Power Domain Map'!$J$1:$J$102))</f>
        <v>0</v>
      </c>
      <c r="G5" s="7">
        <f ca="1">SUM(rngFindAll($A5,'Power Domain Map'!$B$1:$B$102,'Power Domain Map'!$K$1:$K$102))</f>
        <v>6.120898388563255</v>
      </c>
    </row>
    <row r="6" spans="1:7" ht="15">
      <c r="A6" t="s">
        <v>81</v>
      </c>
      <c r="B6" t="s">
        <v>127</v>
      </c>
      <c r="C6" t="str">
        <f ca="1">IF(SUM(rngFindAll($A6,'Power Domain Map'!$B$1:$B$102,'Power Domain Map'!$E$1:$E$102)),"AlwaysOn",(IF(SUM(rngFindAll($A6,'Power Domain Map'!$B$1:$B$102,'Power Domain Map'!$F$1:$F$102)),"AlwaysOn","Off")))</f>
        <v>AlwaysOn</v>
      </c>
      <c r="D6" s="7">
        <f ca="1">SUM(rngFindAll($A6,'Power Domain Map'!$B$1:$B$102,'Power Domain Map'!$H$1:$H$102))</f>
        <v>642.7349999999998</v>
      </c>
      <c r="E6" s="7">
        <f ca="1">SUM(rngFindAll($A6,'Power Domain Map'!$B$1:$B$102,'Power Domain Map'!$I$1:$I$102))</f>
        <v>146.2693413718662</v>
      </c>
      <c r="F6" s="7">
        <f ca="1">SUM(rngFindAll($A6,'Power Domain Map'!$B$1:$B$102,'Power Domain Map'!$J$1:$J$102))</f>
        <v>0</v>
      </c>
      <c r="G6" s="7">
        <f ca="1">SUM(rngFindAll($A6,'Power Domain Map'!$B$1:$B$102,'Power Domain Map'!$K$1:$K$102))</f>
        <v>6.120898388563255</v>
      </c>
    </row>
    <row r="7" spans="1:7" ht="15">
      <c r="A7" t="s">
        <v>82</v>
      </c>
      <c r="B7" t="s">
        <v>127</v>
      </c>
      <c r="C7" t="str">
        <f ca="1">IF(SUM(rngFindAll($A7,'Power Domain Map'!$B$1:$B$102,'Power Domain Map'!$E$1:$E$102)),"AlwaysOn",(IF(SUM(rngFindAll($A7,'Power Domain Map'!$B$1:$B$102,'Power Domain Map'!$F$1:$F$102)),"AlwaysOn","Off")))</f>
        <v>Off</v>
      </c>
      <c r="D7" s="7">
        <f ca="1">SUM(rngFindAll($A7,'Power Domain Map'!$B$1:$B$102,'Power Domain Map'!$H$1:$H$102))</f>
        <v>0</v>
      </c>
      <c r="E7" s="7">
        <f ca="1">SUM(rngFindAll($A7,'Power Domain Map'!$B$1:$B$102,'Power Domain Map'!$I$1:$I$102))</f>
        <v>3.6974460867274277</v>
      </c>
      <c r="F7" s="7">
        <f ca="1">SUM(rngFindAll($A7,'Power Domain Map'!$B$1:$B$102,'Power Domain Map'!$J$1:$J$102))</f>
        <v>0</v>
      </c>
      <c r="G7" s="7">
        <f ca="1">SUM(rngFindAll($A7,'Power Domain Map'!$B$1:$B$102,'Power Domain Map'!$K$1:$K$102))</f>
        <v>0.3295181389368795</v>
      </c>
    </row>
    <row r="8" spans="1:7" ht="15">
      <c r="A8" t="s">
        <v>83</v>
      </c>
      <c r="B8" t="s">
        <v>127</v>
      </c>
      <c r="C8" t="str">
        <f ca="1">IF(SUM(rngFindAll($A8,'Power Domain Map'!$B$1:$B$102,'Power Domain Map'!$E$1:$E$102)),"AlwaysOn",(IF(SUM(rngFindAll($A8,'Power Domain Map'!$B$1:$B$102,'Power Domain Map'!$F$1:$F$102)),"AlwaysOn","Off")))</f>
        <v>Off</v>
      </c>
      <c r="D8" s="7">
        <f ca="1">SUM(rngFindAll($A8,'Power Domain Map'!$B$1:$B$102,'Power Domain Map'!$H$1:$H$102))</f>
        <v>0</v>
      </c>
      <c r="E8" s="7">
        <f ca="1">SUM(rngFindAll($A8,'Power Domain Map'!$B$1:$B$102,'Power Domain Map'!$I$1:$I$102))</f>
        <v>3.6974460867274277</v>
      </c>
      <c r="F8" s="7">
        <f ca="1">SUM(rngFindAll($A8,'Power Domain Map'!$B$1:$B$102,'Power Domain Map'!$J$1:$J$102))</f>
        <v>0</v>
      </c>
      <c r="G8" s="7">
        <f ca="1">SUM(rngFindAll($A8,'Power Domain Map'!$B$1:$B$102,'Power Domain Map'!$K$1:$K$102))</f>
        <v>0.3295181389368795</v>
      </c>
    </row>
    <row r="9" spans="1:7" ht="15">
      <c r="A9" t="s">
        <v>84</v>
      </c>
      <c r="B9" t="s">
        <v>127</v>
      </c>
      <c r="C9" t="str">
        <f ca="1">IF(SUM(rngFindAll($A9,'Power Domain Map'!$B$1:$B$102,'Power Domain Map'!$E$1:$E$102)),"AlwaysOn",(IF(SUM(rngFindAll($A9,'Power Domain Map'!$B$1:$B$102,'Power Domain Map'!$F$1:$F$102)),"AlwaysOn","Off")))</f>
        <v>Off</v>
      </c>
      <c r="D9" s="7">
        <f ca="1">SUM(rngFindAll($A9,'Power Domain Map'!$B$1:$B$102,'Power Domain Map'!$H$1:$H$102))</f>
        <v>0</v>
      </c>
      <c r="E9" s="7">
        <f ca="1">SUM(rngFindAll($A9,'Power Domain Map'!$B$1:$B$102,'Power Domain Map'!$I$1:$I$102))</f>
        <v>3.6974460867274277</v>
      </c>
      <c r="F9" s="7">
        <f ca="1">SUM(rngFindAll($A9,'Power Domain Map'!$B$1:$B$102,'Power Domain Map'!$J$1:$J$102))</f>
        <v>0</v>
      </c>
      <c r="G9" s="7">
        <f ca="1">SUM(rngFindAll($A9,'Power Domain Map'!$B$1:$B$102,'Power Domain Map'!$K$1:$K$102))</f>
        <v>0.3295181389368795</v>
      </c>
    </row>
    <row r="10" spans="1:7" ht="15">
      <c r="A10" t="s">
        <v>85</v>
      </c>
      <c r="B10" t="s">
        <v>127</v>
      </c>
      <c r="C10" t="str">
        <f ca="1">IF(SUM(rngFindAll($A10,'Power Domain Map'!$B$1:$B$102,'Power Domain Map'!$E$1:$E$102)),"AlwaysOn",(IF(SUM(rngFindAll($A10,'Power Domain Map'!$B$1:$B$102,'Power Domain Map'!$F$1:$F$102)),"AlwaysOn","Off")))</f>
        <v>Off</v>
      </c>
      <c r="D10" s="7">
        <f ca="1">SUM(rngFindAll($A10,'Power Domain Map'!$B$1:$B$102,'Power Domain Map'!$H$1:$H$102))</f>
        <v>0</v>
      </c>
      <c r="E10" s="7">
        <f ca="1">SUM(rngFindAll($A10,'Power Domain Map'!$B$1:$B$102,'Power Domain Map'!$I$1:$I$102))</f>
        <v>3.6974460867274277</v>
      </c>
      <c r="F10" s="7">
        <f ca="1">SUM(rngFindAll($A10,'Power Domain Map'!$B$1:$B$102,'Power Domain Map'!$J$1:$J$102))</f>
        <v>0</v>
      </c>
      <c r="G10" s="7">
        <f ca="1">SUM(rngFindAll($A10,'Power Domain Map'!$B$1:$B$102,'Power Domain Map'!$K$1:$K$102))</f>
        <v>0.3295181389368795</v>
      </c>
    </row>
    <row r="11" spans="1:7" ht="15">
      <c r="A11" t="s">
        <v>111</v>
      </c>
      <c r="B11" t="s">
        <v>128</v>
      </c>
      <c r="C11" t="str">
        <f ca="1">IF(SUM(rngFindAll($A11,'Power Domain Map'!$B$1:$B$102,'Power Domain Map'!$E$1:$E$102)),"AlwaysOn",(IF(SUM(rngFindAll($A11,'Power Domain Map'!$B$1:$B$102,'Power Domain Map'!$F$1:$F$102)),"AlwaysOn","Off")))</f>
        <v>AlwaysOn</v>
      </c>
      <c r="D11" s="7">
        <f ca="1">SUM(rngFindAll($A11,'Power Domain Map'!$B$1:$B$102,'Power Domain Map'!$H$1:$H$102))</f>
        <v>254.69233999999997</v>
      </c>
      <c r="E11" s="7">
        <f ca="1">SUM(rngFindAll($A11,'Power Domain Map'!$B$1:$B$102,'Power Domain Map'!$I$1:$I$102))</f>
        <v>76.09865420561438</v>
      </c>
      <c r="F11" s="7">
        <f ca="1">SUM(rngFindAll($A11,'Power Domain Map'!$B$1:$B$102,'Power Domain Map'!$J$1:$J$102))</f>
        <v>0</v>
      </c>
      <c r="G11" s="7">
        <f ca="1">SUM(rngFindAll($A11,'Power Domain Map'!$B$1:$B$102,'Power Domain Map'!$K$1:$K$102))</f>
        <v>3.625097264932754</v>
      </c>
    </row>
    <row r="12" spans="1:7" ht="15">
      <c r="A12" t="s">
        <v>112</v>
      </c>
      <c r="B12" t="s">
        <v>129</v>
      </c>
      <c r="C12" t="str">
        <f ca="1">IF(SUM(rngFindAll($A12,'Power Domain Map'!$B$1:$B$102,'Power Domain Map'!$E$1:$E$102)),"AlwaysOn",(IF(SUM(rngFindAll($A12,'Power Domain Map'!$B$1:$B$102,'Power Domain Map'!$F$1:$F$102)),"AlwaysOn","Off")))</f>
        <v>Off</v>
      </c>
      <c r="D12" s="7">
        <f ca="1">SUM(rngFindAll($A12,'Power Domain Map'!$B$1:$B$102,'Power Domain Map'!$H$1:$H$102))</f>
        <v>0</v>
      </c>
      <c r="E12" s="7">
        <f ca="1">SUM(rngFindAll($A12,'Power Domain Map'!$B$1:$B$102,'Power Domain Map'!$I$1:$I$102))</f>
        <v>36.93724138245573</v>
      </c>
      <c r="F12" s="7">
        <f ca="1">SUM(rngFindAll($A12,'Power Domain Map'!$B$1:$B$102,'Power Domain Map'!$J$1:$J$102))</f>
        <v>0</v>
      </c>
      <c r="G12" s="7">
        <f ca="1">SUM(rngFindAll($A12,'Power Domain Map'!$B$1:$B$102,'Power Domain Map'!$K$1:$K$102))</f>
        <v>0.3887231027978668</v>
      </c>
    </row>
    <row r="13" spans="1:7" ht="15">
      <c r="A13" t="s">
        <v>113</v>
      </c>
      <c r="B13" t="s">
        <v>130</v>
      </c>
      <c r="C13" t="str">
        <f ca="1">IF(SUM(rngFindAll($A13,'Power Domain Map'!$B$1:$B$102,'Power Domain Map'!$E$1:$E$102)),"AlwaysOn",(IF(SUM(rngFindAll($A13,'Power Domain Map'!$B$1:$B$102,'Power Domain Map'!$F$1:$F$102)),"AlwaysOn","Off")))</f>
        <v>AlwaysOn</v>
      </c>
      <c r="D13" s="7">
        <f ca="1">SUM(rngFindAll($A13,'Power Domain Map'!$B$1:$B$102,'Power Domain Map'!$H$1:$H$102))</f>
        <v>360.5016131583999</v>
      </c>
      <c r="E13" s="7">
        <f ca="1">SUM(rngFindAll($A13,'Power Domain Map'!$B$1:$B$102,'Power Domain Map'!$I$1:$I$102))</f>
        <v>131.05706592810512</v>
      </c>
      <c r="F13" s="7">
        <f ca="1">SUM(rngFindAll($A13,'Power Domain Map'!$B$1:$B$102,'Power Domain Map'!$J$1:$J$102))</f>
        <v>14.071399999999997</v>
      </c>
      <c r="G13" s="7">
        <f ca="1">SUM(rngFindAll($A13,'Power Domain Map'!$B$1:$B$102,'Power Domain Map'!$K$1:$K$102))</f>
        <v>19.59718614416076</v>
      </c>
    </row>
    <row r="14" spans="1:7" ht="15">
      <c r="A14" t="s">
        <v>114</v>
      </c>
      <c r="B14" t="s">
        <v>130</v>
      </c>
      <c r="C14" t="str">
        <f ca="1">IF(SUM(rngFindAll($A14,'Power Domain Map'!$B$1:$B$102,'Power Domain Map'!$E$1:$E$102)),"AlwaysOn",(IF(SUM(rngFindAll($A14,'Power Domain Map'!$B$1:$B$102,'Power Domain Map'!$F$1:$F$102)),"AlwaysOn","Off")))</f>
        <v>AlwaysOn</v>
      </c>
      <c r="D14" s="7">
        <f ca="1">SUM(rngFindAll($A14,'Power Domain Map'!$B$1:$B$102,'Power Domain Map'!$H$1:$H$102))</f>
        <v>12.656605158400001</v>
      </c>
      <c r="E14" s="7">
        <f ca="1">SUM(rngFindAll($A14,'Power Domain Map'!$B$1:$B$102,'Power Domain Map'!$I$1:$I$102))</f>
        <v>5.962593092532034</v>
      </c>
      <c r="F14" s="7">
        <f ca="1">SUM(rngFindAll($A14,'Power Domain Map'!$B$1:$B$102,'Power Domain Map'!$J$1:$J$102))</f>
        <v>0</v>
      </c>
      <c r="G14" s="7">
        <f ca="1">SUM(rngFindAll($A14,'Power Domain Map'!$B$1:$B$102,'Power Domain Map'!$K$1:$K$102))</f>
        <v>1.8494272886876288</v>
      </c>
    </row>
    <row r="15" spans="1:7" ht="15">
      <c r="A15" t="s">
        <v>115</v>
      </c>
      <c r="B15" t="s">
        <v>130</v>
      </c>
      <c r="C15" t="str">
        <f ca="1">IF(SUM(rngFindAll($A15,'Power Domain Map'!$B$1:$B$102,'Power Domain Map'!$E$1:$E$102)),"AlwaysOn",(IF(SUM(rngFindAll($A15,'Power Domain Map'!$B$1:$B$102,'Power Domain Map'!$F$1:$F$102)),"AlwaysOn","Off")))</f>
        <v>AlwaysOn</v>
      </c>
      <c r="D15" s="7">
        <f ca="1">SUM(rngFindAll($A15,'Power Domain Map'!$B$1:$B$102,'Power Domain Map'!$H$1:$H$102))</f>
        <v>177.64243200000004</v>
      </c>
      <c r="E15" s="7">
        <f ca="1">SUM(rngFindAll($A15,'Power Domain Map'!$B$1:$B$102,'Power Domain Map'!$I$1:$I$102))</f>
        <v>32.634573571090314</v>
      </c>
      <c r="F15" s="7">
        <f ca="1">SUM(rngFindAll($A15,'Power Domain Map'!$B$1:$B$102,'Power Domain Map'!$J$1:$J$102))</f>
        <v>0</v>
      </c>
      <c r="G15" s="7">
        <f ca="1">SUM(rngFindAll($A15,'Power Domain Map'!$B$1:$B$102,'Power Domain Map'!$K$1:$K$102))</f>
        <v>5.9551949613222135</v>
      </c>
    </row>
    <row r="16" spans="1:7" ht="15">
      <c r="A16" t="s">
        <v>116</v>
      </c>
      <c r="B16" t="s">
        <v>130</v>
      </c>
      <c r="C16" t="str">
        <f ca="1">IF(SUM(rngFindAll($A16,'Power Domain Map'!$B$1:$B$102,'Power Domain Map'!$E$1:$E$102)),"AlwaysOn",(IF(SUM(rngFindAll($A16,'Power Domain Map'!$B$1:$B$102,'Power Domain Map'!$F$1:$F$102)),"AlwaysOn","Off")))</f>
        <v>AlwaysOn</v>
      </c>
      <c r="D16" s="7">
        <f ca="1">SUM(rngFindAll($A16,'Power Domain Map'!$B$1:$B$102,'Power Domain Map'!$H$1:$H$102))</f>
        <v>73.05447680000002</v>
      </c>
      <c r="E16" s="7">
        <f ca="1">SUM(rngFindAll($A16,'Power Domain Map'!$B$1:$B$102,'Power Domain Map'!$I$1:$I$102))</f>
        <v>23.8097364093654</v>
      </c>
      <c r="F16" s="7">
        <f ca="1">SUM(rngFindAll($A16,'Power Domain Map'!$B$1:$B$102,'Power Domain Map'!$J$1:$J$102))</f>
        <v>0</v>
      </c>
      <c r="G16" s="7">
        <f ca="1">SUM(rngFindAll($A16,'Power Domain Map'!$B$1:$B$102,'Power Domain Map'!$K$1:$K$102))</f>
        <v>0</v>
      </c>
    </row>
    <row r="17" spans="1:7" ht="15">
      <c r="A17" t="s">
        <v>117</v>
      </c>
      <c r="B17" t="s">
        <v>130</v>
      </c>
      <c r="C17" t="str">
        <f ca="1">IF(SUM(rngFindAll($A17,'Power Domain Map'!$B$1:$B$102,'Power Domain Map'!$E$1:$E$102)),"AlwaysOn",(IF(SUM(rngFindAll($A17,'Power Domain Map'!$B$1:$B$102,'Power Domain Map'!$F$1:$F$102)),"AlwaysOn","Off")))</f>
        <v>AlwaysOn</v>
      </c>
      <c r="D17" s="7">
        <f ca="1">SUM(rngFindAll($A17,'Power Domain Map'!$B$1:$B$102,'Power Domain Map'!$H$1:$H$102))</f>
        <v>13.624500799999998</v>
      </c>
      <c r="E17" s="7">
        <f ca="1">SUM(rngFindAll($A17,'Power Domain Map'!$B$1:$B$102,'Power Domain Map'!$I$1:$I$102))</f>
        <v>27.956751519540113</v>
      </c>
      <c r="F17" s="7">
        <f ca="1">SUM(rngFindAll($A17,'Power Domain Map'!$B$1:$B$102,'Power Domain Map'!$J$1:$J$102))</f>
        <v>0</v>
      </c>
      <c r="G17" s="7">
        <f ca="1">SUM(rngFindAll($A17,'Power Domain Map'!$B$1:$B$102,'Power Domain Map'!$K$1:$K$102))</f>
        <v>4.144886194846529</v>
      </c>
    </row>
    <row r="18" spans="1:7" ht="15">
      <c r="A18" t="s">
        <v>118</v>
      </c>
      <c r="B18" t="s">
        <v>130</v>
      </c>
      <c r="C18" t="str">
        <f ca="1">IF(SUM(rngFindAll($A18,'Power Domain Map'!$B$1:$B$102,'Power Domain Map'!$E$1:$E$102)),"AlwaysOn",(IF(SUM(rngFindAll($A18,'Power Domain Map'!$B$1:$B$102,'Power Domain Map'!$F$1:$F$102)),"AlwaysOn","Off")))</f>
        <v>AlwaysOn</v>
      </c>
      <c r="D18" s="7">
        <f ca="1">SUM(rngFindAll($A18,'Power Domain Map'!$B$1:$B$102,'Power Domain Map'!$H$1:$H$102))</f>
        <v>154.484928</v>
      </c>
      <c r="E18" s="7">
        <f ca="1">SUM(rngFindAll($A18,'Power Domain Map'!$B$1:$B$102,'Power Domain Map'!$I$1:$I$102))</f>
        <v>25.397822086789354</v>
      </c>
      <c r="F18" s="7">
        <f ca="1">SUM(rngFindAll($A18,'Power Domain Map'!$B$1:$B$102,'Power Domain Map'!$J$1:$J$102))</f>
        <v>0</v>
      </c>
      <c r="G18" s="7">
        <f ca="1">SUM(rngFindAll($A18,'Power Domain Map'!$B$1:$B$102,'Power Domain Map'!$K$1:$K$102))</f>
        <v>1.4384264075113748</v>
      </c>
    </row>
    <row r="19" spans="1:7" ht="15">
      <c r="A19" t="s">
        <v>216</v>
      </c>
      <c r="B19" t="s">
        <v>131</v>
      </c>
      <c r="C19" t="str">
        <f ca="1">IF(SUM(rngFindAll($A19,'Power Domain Map'!$B$1:$B$102,'Power Domain Map'!$E$1:$E$102)),"AlwaysOn",(IF(SUM(rngFindAll($A19,'Power Domain Map'!$B$1:$B$102,'Power Domain Map'!$F$1:$F$102)),"AlwaysOn","Off")))</f>
        <v>AlwaysOn</v>
      </c>
      <c r="D19" s="7">
        <f ca="1">SUM(rngFindAll($A19,'Power Domain Map'!$B$1:$B$102,'Power Domain Map'!$H$1:$H$102))</f>
        <v>0</v>
      </c>
      <c r="E19" s="7">
        <f ca="1">SUM(rngFindAll($A19,'Power Domain Map'!$B$1:$B$102,'Power Domain Map'!$I$1:$I$102))</f>
        <v>0</v>
      </c>
      <c r="F19" s="7">
        <f ca="1">SUM(rngFindAll($A19,'Power Domain Map'!$B$1:$B$102,'Power Domain Map'!$J$1:$J$102))</f>
        <v>0</v>
      </c>
      <c r="G19" s="7">
        <f ca="1">SUM(rngFindAll($A19,'Power Domain Map'!$B$1:$B$102,'Power Domain Map'!$K$1:$K$102))</f>
        <v>0</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Q215"/>
  <sheetViews>
    <sheetView workbookViewId="0" topLeftCell="A82">
      <selection activeCell="F1" sqref="F1"/>
    </sheetView>
  </sheetViews>
  <sheetFormatPr defaultColWidth="9.140625" defaultRowHeight="15"/>
  <cols>
    <col min="1" max="1" width="15.00390625" style="0" bestFit="1" customWidth="1"/>
    <col min="2" max="3" width="15.00390625" style="0" customWidth="1"/>
    <col min="5" max="5" width="13.421875" style="0" customWidth="1"/>
    <col min="15" max="15" width="15.7109375" style="0" bestFit="1" customWidth="1"/>
    <col min="16" max="17" width="15.140625" style="0" bestFit="1" customWidth="1"/>
  </cols>
  <sheetData>
    <row r="1" spans="1:17" ht="15">
      <c r="A1" t="s">
        <v>228</v>
      </c>
      <c r="B1" t="s">
        <v>233</v>
      </c>
      <c r="C1" t="str">
        <f>A1</f>
        <v>MPU_C0</v>
      </c>
      <c r="D1" t="s">
        <v>64</v>
      </c>
      <c r="E1" t="s">
        <v>335</v>
      </c>
      <c r="F1" t="s">
        <v>65</v>
      </c>
      <c r="G1" t="s">
        <v>282</v>
      </c>
      <c r="H1" t="s">
        <v>283</v>
      </c>
      <c r="I1" t="s">
        <v>284</v>
      </c>
      <c r="J1" t="s">
        <v>285</v>
      </c>
      <c r="K1" t="s">
        <v>286</v>
      </c>
      <c r="N1" t="s">
        <v>13</v>
      </c>
      <c r="O1" t="s">
        <v>399</v>
      </c>
      <c r="P1" t="s">
        <v>398</v>
      </c>
      <c r="Q1" t="s">
        <v>14</v>
      </c>
    </row>
    <row r="2" spans="4:11" ht="15">
      <c r="D2">
        <v>0.01</v>
      </c>
      <c r="E2">
        <v>0.682</v>
      </c>
      <c r="F2">
        <v>0.966</v>
      </c>
      <c r="G2">
        <v>0.282</v>
      </c>
      <c r="H2">
        <v>0.494</v>
      </c>
      <c r="I2">
        <v>0.321</v>
      </c>
      <c r="J2">
        <v>0</v>
      </c>
      <c r="K2">
        <v>0</v>
      </c>
    </row>
    <row r="3" spans="4:6" ht="15">
      <c r="D3">
        <v>0.01</v>
      </c>
      <c r="E3">
        <v>0.02</v>
      </c>
      <c r="F3">
        <v>0.05</v>
      </c>
    </row>
    <row r="4" spans="1:17" ht="15">
      <c r="A4" t="s">
        <v>229</v>
      </c>
      <c r="B4" t="s">
        <v>233</v>
      </c>
      <c r="C4" t="str">
        <f aca="true" t="shared" si="0" ref="C4:C7">A4</f>
        <v>MPU_C1</v>
      </c>
      <c r="D4" t="s">
        <v>64</v>
      </c>
      <c r="E4" t="s">
        <v>335</v>
      </c>
      <c r="F4" t="s">
        <v>65</v>
      </c>
      <c r="G4" t="s">
        <v>282</v>
      </c>
      <c r="H4" t="s">
        <v>283</v>
      </c>
      <c r="I4" t="s">
        <v>284</v>
      </c>
      <c r="J4" t="s">
        <v>285</v>
      </c>
      <c r="K4" t="s">
        <v>286</v>
      </c>
      <c r="N4" t="s">
        <v>13</v>
      </c>
      <c r="O4" t="s">
        <v>399</v>
      </c>
      <c r="P4" t="s">
        <v>398</v>
      </c>
      <c r="Q4" t="s">
        <v>14</v>
      </c>
    </row>
    <row r="5" spans="4:11" ht="15">
      <c r="D5">
        <v>0.01</v>
      </c>
      <c r="E5">
        <v>0.682</v>
      </c>
      <c r="F5">
        <v>0.966</v>
      </c>
      <c r="G5">
        <v>0.282</v>
      </c>
      <c r="H5">
        <v>0.494</v>
      </c>
      <c r="I5">
        <v>0.321</v>
      </c>
      <c r="J5">
        <v>0</v>
      </c>
      <c r="K5">
        <v>0</v>
      </c>
    </row>
    <row r="6" spans="4:6" ht="15">
      <c r="D6">
        <v>0.01</v>
      </c>
      <c r="E6">
        <v>0.02</v>
      </c>
      <c r="F6">
        <v>0.05</v>
      </c>
    </row>
    <row r="7" spans="1:17" ht="15">
      <c r="A7" t="s">
        <v>230</v>
      </c>
      <c r="B7" t="s">
        <v>233</v>
      </c>
      <c r="C7" t="str">
        <f t="shared" si="0"/>
        <v>MPU_SS</v>
      </c>
      <c r="D7" t="s">
        <v>64</v>
      </c>
      <c r="E7" t="s">
        <v>335</v>
      </c>
      <c r="F7" t="s">
        <v>65</v>
      </c>
      <c r="G7" t="s">
        <v>282</v>
      </c>
      <c r="H7" t="s">
        <v>283</v>
      </c>
      <c r="I7" t="s">
        <v>284</v>
      </c>
      <c r="J7" t="s">
        <v>285</v>
      </c>
      <c r="K7" t="s">
        <v>286</v>
      </c>
      <c r="N7" t="s">
        <v>13</v>
      </c>
      <c r="O7" t="s">
        <v>399</v>
      </c>
      <c r="P7" t="s">
        <v>398</v>
      </c>
      <c r="Q7" t="s">
        <v>14</v>
      </c>
    </row>
    <row r="8" spans="4:11" ht="15">
      <c r="D8">
        <v>0.04</v>
      </c>
      <c r="E8">
        <v>0.122</v>
      </c>
      <c r="F8">
        <v>0.155</v>
      </c>
      <c r="G8">
        <v>0.206</v>
      </c>
      <c r="H8">
        <v>0.321</v>
      </c>
      <c r="I8">
        <v>0.122</v>
      </c>
      <c r="J8">
        <v>0.025</v>
      </c>
      <c r="K8">
        <v>0.097</v>
      </c>
    </row>
    <row r="9" spans="4:6" ht="15">
      <c r="D9">
        <v>0.01</v>
      </c>
      <c r="E9">
        <v>0.05</v>
      </c>
      <c r="F9">
        <v>0.1</v>
      </c>
    </row>
    <row r="10" spans="1:16" ht="15">
      <c r="A10" t="s">
        <v>169</v>
      </c>
      <c r="B10" t="s">
        <v>233</v>
      </c>
      <c r="C10" t="str">
        <f aca="true" t="shared" si="1" ref="C10:C103">A10</f>
        <v>DSP1</v>
      </c>
      <c r="D10" t="s">
        <v>64</v>
      </c>
      <c r="E10" t="s">
        <v>69</v>
      </c>
      <c r="F10" t="s">
        <v>65</v>
      </c>
      <c r="N10" t="s">
        <v>13</v>
      </c>
      <c r="O10" t="s">
        <v>398</v>
      </c>
      <c r="P10" t="s">
        <v>14</v>
      </c>
    </row>
    <row r="11" spans="4:6" ht="15">
      <c r="D11">
        <v>0.18</v>
      </c>
      <c r="E11">
        <v>0.5</v>
      </c>
      <c r="F11">
        <v>0.7</v>
      </c>
    </row>
    <row r="13" spans="1:16" ht="15">
      <c r="A13" t="s">
        <v>170</v>
      </c>
      <c r="B13" t="s">
        <v>233</v>
      </c>
      <c r="C13" t="str">
        <f t="shared" si="1"/>
        <v>DSP2</v>
      </c>
      <c r="D13" t="s">
        <v>64</v>
      </c>
      <c r="E13" t="s">
        <v>69</v>
      </c>
      <c r="F13" t="s">
        <v>65</v>
      </c>
      <c r="N13" t="s">
        <v>13</v>
      </c>
      <c r="O13" t="s">
        <v>398</v>
      </c>
      <c r="P13" t="s">
        <v>14</v>
      </c>
    </row>
    <row r="14" spans="4:6" ht="15">
      <c r="D14">
        <v>0.18</v>
      </c>
      <c r="E14">
        <v>0.5</v>
      </c>
      <c r="F14">
        <v>0.7</v>
      </c>
    </row>
    <row r="16" spans="1:16" ht="15">
      <c r="A16" t="s">
        <v>171</v>
      </c>
      <c r="B16" t="s">
        <v>233</v>
      </c>
      <c r="C16" t="str">
        <f t="shared" si="1"/>
        <v>EVE1</v>
      </c>
      <c r="D16" t="s">
        <v>64</v>
      </c>
      <c r="E16" t="s">
        <v>70</v>
      </c>
      <c r="F16" t="s">
        <v>66</v>
      </c>
      <c r="G16" t="s">
        <v>65</v>
      </c>
      <c r="N16" t="s">
        <v>13</v>
      </c>
      <c r="O16" t="s">
        <v>398</v>
      </c>
      <c r="P16" t="s">
        <v>14</v>
      </c>
    </row>
    <row r="17" spans="4:7" ht="15">
      <c r="D17">
        <v>0.07</v>
      </c>
      <c r="E17">
        <v>0.5</v>
      </c>
      <c r="F17">
        <v>0.48</v>
      </c>
      <c r="G17">
        <v>0.48</v>
      </c>
    </row>
    <row r="19" spans="1:16" ht="15">
      <c r="A19" t="s">
        <v>172</v>
      </c>
      <c r="B19" t="s">
        <v>233</v>
      </c>
      <c r="C19" t="str">
        <f t="shared" si="1"/>
        <v>EVE2</v>
      </c>
      <c r="D19" t="s">
        <v>64</v>
      </c>
      <c r="E19" t="s">
        <v>70</v>
      </c>
      <c r="F19" t="s">
        <v>66</v>
      </c>
      <c r="G19" t="s">
        <v>65</v>
      </c>
      <c r="N19" t="s">
        <v>13</v>
      </c>
      <c r="O19" t="s">
        <v>398</v>
      </c>
      <c r="P19" t="s">
        <v>14</v>
      </c>
    </row>
    <row r="20" spans="4:7" ht="15">
      <c r="D20">
        <v>0.07</v>
      </c>
      <c r="E20">
        <v>0.5</v>
      </c>
      <c r="F20">
        <v>0.48</v>
      </c>
      <c r="G20">
        <v>0.48</v>
      </c>
    </row>
    <row r="22" spans="1:16" ht="15">
      <c r="A22" t="s">
        <v>173</v>
      </c>
      <c r="B22" t="s">
        <v>233</v>
      </c>
      <c r="C22" t="str">
        <f t="shared" si="1"/>
        <v>EVE3</v>
      </c>
      <c r="D22" t="s">
        <v>64</v>
      </c>
      <c r="E22" t="s">
        <v>70</v>
      </c>
      <c r="F22" t="s">
        <v>66</v>
      </c>
      <c r="G22" t="s">
        <v>65</v>
      </c>
      <c r="N22" t="s">
        <v>13</v>
      </c>
      <c r="O22" t="s">
        <v>398</v>
      </c>
      <c r="P22" t="s">
        <v>14</v>
      </c>
    </row>
    <row r="23" spans="4:7" ht="15">
      <c r="D23">
        <v>0.07</v>
      </c>
      <c r="E23">
        <v>0.5</v>
      </c>
      <c r="F23">
        <v>0.48</v>
      </c>
      <c r="G23">
        <v>0.48</v>
      </c>
    </row>
    <row r="25" spans="1:16" ht="15">
      <c r="A25" t="s">
        <v>174</v>
      </c>
      <c r="B25" t="s">
        <v>233</v>
      </c>
      <c r="C25" t="str">
        <f t="shared" si="1"/>
        <v>EVE4</v>
      </c>
      <c r="D25" t="s">
        <v>64</v>
      </c>
      <c r="E25" t="s">
        <v>70</v>
      </c>
      <c r="F25" t="s">
        <v>66</v>
      </c>
      <c r="G25" t="s">
        <v>65</v>
      </c>
      <c r="N25" t="s">
        <v>13</v>
      </c>
      <c r="O25" t="s">
        <v>398</v>
      </c>
      <c r="P25" t="s">
        <v>14</v>
      </c>
    </row>
    <row r="26" spans="4:7" ht="15">
      <c r="D26">
        <v>0.07</v>
      </c>
      <c r="E26">
        <v>0.5</v>
      </c>
      <c r="F26">
        <v>0.48</v>
      </c>
      <c r="G26">
        <v>0.48</v>
      </c>
    </row>
    <row r="28" spans="1:16" ht="15">
      <c r="A28" t="s">
        <v>9</v>
      </c>
      <c r="B28" t="s">
        <v>233</v>
      </c>
      <c r="C28" t="str">
        <f t="shared" si="1"/>
        <v>IVA</v>
      </c>
      <c r="D28" t="s">
        <v>64</v>
      </c>
      <c r="E28" t="s">
        <v>67</v>
      </c>
      <c r="F28" t="s">
        <v>68</v>
      </c>
      <c r="N28" t="s">
        <v>13</v>
      </c>
      <c r="O28" t="s">
        <v>398</v>
      </c>
      <c r="P28" t="s">
        <v>14</v>
      </c>
    </row>
    <row r="29" spans="4:6" ht="15">
      <c r="D29">
        <v>0.02</v>
      </c>
      <c r="E29">
        <v>0.4</v>
      </c>
      <c r="F29">
        <v>0.4</v>
      </c>
    </row>
    <row r="31" spans="1:16" ht="15">
      <c r="A31" t="s">
        <v>287</v>
      </c>
      <c r="B31" t="s">
        <v>233</v>
      </c>
      <c r="C31" t="str">
        <f aca="true" t="shared" si="2" ref="C31">A31</f>
        <v>GPU_HYDRA</v>
      </c>
      <c r="D31" t="s">
        <v>64</v>
      </c>
      <c r="E31" t="s">
        <v>69</v>
      </c>
      <c r="F31" t="s">
        <v>65</v>
      </c>
      <c r="N31" t="s">
        <v>13</v>
      </c>
      <c r="O31" t="s">
        <v>398</v>
      </c>
      <c r="P31" t="s">
        <v>14</v>
      </c>
    </row>
    <row r="32" spans="4:6" ht="15">
      <c r="D32">
        <v>0.00168</v>
      </c>
      <c r="E32">
        <v>0.269</v>
      </c>
      <c r="F32">
        <v>0.322</v>
      </c>
    </row>
    <row r="34" spans="1:16" ht="15">
      <c r="A34" t="s">
        <v>288</v>
      </c>
      <c r="B34" t="s">
        <v>233</v>
      </c>
      <c r="C34" t="str">
        <f aca="true" t="shared" si="3" ref="C34">A34</f>
        <v>GPU_CORE0</v>
      </c>
      <c r="D34" t="s">
        <v>64</v>
      </c>
      <c r="E34" t="s">
        <v>69</v>
      </c>
      <c r="F34" t="s">
        <v>65</v>
      </c>
      <c r="N34" t="s">
        <v>13</v>
      </c>
      <c r="O34" t="s">
        <v>398</v>
      </c>
      <c r="P34" t="s">
        <v>14</v>
      </c>
    </row>
    <row r="35" spans="4:6" ht="15">
      <c r="D35">
        <v>0.00168</v>
      </c>
      <c r="E35">
        <v>0.743</v>
      </c>
      <c r="F35">
        <v>0.887</v>
      </c>
    </row>
    <row r="37" spans="1:16" ht="15">
      <c r="A37" t="s">
        <v>289</v>
      </c>
      <c r="B37" t="s">
        <v>233</v>
      </c>
      <c r="C37" t="str">
        <f aca="true" t="shared" si="4" ref="C37">A37</f>
        <v>GPU_CORE1</v>
      </c>
      <c r="D37" t="s">
        <v>64</v>
      </c>
      <c r="E37" t="s">
        <v>69</v>
      </c>
      <c r="F37" t="s">
        <v>65</v>
      </c>
      <c r="N37" t="s">
        <v>13</v>
      </c>
      <c r="O37" t="s">
        <v>398</v>
      </c>
      <c r="P37" t="s">
        <v>14</v>
      </c>
    </row>
    <row r="38" spans="4:6" ht="15">
      <c r="D38">
        <v>0.00168</v>
      </c>
      <c r="E38">
        <v>0.743</v>
      </c>
      <c r="F38">
        <v>0.887</v>
      </c>
    </row>
    <row r="40" spans="1:16" ht="15">
      <c r="A40" t="s">
        <v>175</v>
      </c>
      <c r="B40" t="s">
        <v>233</v>
      </c>
      <c r="C40" t="str">
        <f t="shared" si="1"/>
        <v>IPU1</v>
      </c>
      <c r="D40" t="s">
        <v>64</v>
      </c>
      <c r="E40" t="s">
        <v>69</v>
      </c>
      <c r="F40" t="s">
        <v>65</v>
      </c>
      <c r="N40" t="s">
        <v>13</v>
      </c>
      <c r="O40" t="s">
        <v>398</v>
      </c>
      <c r="P40" t="s">
        <v>14</v>
      </c>
    </row>
    <row r="41" spans="4:6" ht="15">
      <c r="D41">
        <v>0.0007</v>
      </c>
      <c r="E41">
        <v>0.0643</v>
      </c>
      <c r="F41">
        <v>0.078</v>
      </c>
    </row>
    <row r="43" spans="1:16" ht="15">
      <c r="A43" t="s">
        <v>176</v>
      </c>
      <c r="B43" t="s">
        <v>233</v>
      </c>
      <c r="C43" t="str">
        <f t="shared" si="1"/>
        <v>IPU2</v>
      </c>
      <c r="D43" t="s">
        <v>64</v>
      </c>
      <c r="E43" t="s">
        <v>69</v>
      </c>
      <c r="F43" t="s">
        <v>65</v>
      </c>
      <c r="N43" t="s">
        <v>13</v>
      </c>
      <c r="O43" t="s">
        <v>398</v>
      </c>
      <c r="P43" t="s">
        <v>14</v>
      </c>
    </row>
    <row r="44" spans="4:6" ht="15">
      <c r="D44">
        <v>0.0007</v>
      </c>
      <c r="E44">
        <v>0.0643</v>
      </c>
      <c r="F44">
        <v>0.078</v>
      </c>
    </row>
    <row r="46" spans="1:16" ht="15">
      <c r="A46" t="s">
        <v>205</v>
      </c>
      <c r="B46" t="s">
        <v>234</v>
      </c>
      <c r="C46" t="s">
        <v>223</v>
      </c>
      <c r="D46" t="s">
        <v>64</v>
      </c>
      <c r="E46" t="s">
        <v>69</v>
      </c>
      <c r="F46" t="s">
        <v>65</v>
      </c>
      <c r="N46" t="s">
        <v>13</v>
      </c>
      <c r="O46" t="s">
        <v>398</v>
      </c>
      <c r="P46" t="s">
        <v>14</v>
      </c>
    </row>
    <row r="47" spans="4:6" ht="15">
      <c r="D47">
        <v>0.01</v>
      </c>
      <c r="E47">
        <v>0.5</v>
      </c>
      <c r="F47">
        <v>0.5</v>
      </c>
    </row>
    <row r="49" spans="1:16" ht="15">
      <c r="A49" t="s">
        <v>206</v>
      </c>
      <c r="B49" t="s">
        <v>234</v>
      </c>
      <c r="C49" t="s">
        <v>223</v>
      </c>
      <c r="D49" t="s">
        <v>64</v>
      </c>
      <c r="E49" t="s">
        <v>69</v>
      </c>
      <c r="F49" t="s">
        <v>65</v>
      </c>
      <c r="N49" t="s">
        <v>13</v>
      </c>
      <c r="O49" t="s">
        <v>398</v>
      </c>
      <c r="P49" t="s">
        <v>14</v>
      </c>
    </row>
    <row r="50" spans="4:6" ht="15">
      <c r="D50">
        <v>0.01</v>
      </c>
      <c r="E50">
        <v>0.5</v>
      </c>
      <c r="F50">
        <v>0.5</v>
      </c>
    </row>
    <row r="52" spans="1:16" ht="15">
      <c r="A52" t="s">
        <v>207</v>
      </c>
      <c r="B52" t="s">
        <v>234</v>
      </c>
      <c r="C52" t="s">
        <v>224</v>
      </c>
      <c r="D52" t="s">
        <v>64</v>
      </c>
      <c r="E52" t="s">
        <v>69</v>
      </c>
      <c r="F52" t="s">
        <v>65</v>
      </c>
      <c r="N52" t="s">
        <v>13</v>
      </c>
      <c r="O52" t="s">
        <v>398</v>
      </c>
      <c r="P52" t="s">
        <v>14</v>
      </c>
    </row>
    <row r="53" spans="4:6" ht="15">
      <c r="D53">
        <v>0.01</v>
      </c>
      <c r="E53">
        <v>0.5</v>
      </c>
      <c r="F53">
        <v>0.5</v>
      </c>
    </row>
    <row r="55" spans="1:16" ht="15">
      <c r="A55" t="s">
        <v>208</v>
      </c>
      <c r="B55" t="s">
        <v>234</v>
      </c>
      <c r="C55" t="s">
        <v>224</v>
      </c>
      <c r="D55" t="s">
        <v>64</v>
      </c>
      <c r="E55" t="s">
        <v>69</v>
      </c>
      <c r="F55" t="s">
        <v>65</v>
      </c>
      <c r="N55" t="s">
        <v>13</v>
      </c>
      <c r="O55" t="s">
        <v>398</v>
      </c>
      <c r="P55" t="s">
        <v>14</v>
      </c>
    </row>
    <row r="56" spans="4:6" ht="15">
      <c r="D56">
        <v>0.01</v>
      </c>
      <c r="E56">
        <v>0.5</v>
      </c>
      <c r="F56">
        <v>0.5</v>
      </c>
    </row>
    <row r="58" spans="1:16" ht="15">
      <c r="A58" t="s">
        <v>209</v>
      </c>
      <c r="B58" t="s">
        <v>234</v>
      </c>
      <c r="C58" t="s">
        <v>225</v>
      </c>
      <c r="D58" t="s">
        <v>64</v>
      </c>
      <c r="E58" t="s">
        <v>69</v>
      </c>
      <c r="F58" t="s">
        <v>65</v>
      </c>
      <c r="N58" t="s">
        <v>13</v>
      </c>
      <c r="O58" t="s">
        <v>398</v>
      </c>
      <c r="P58" t="s">
        <v>14</v>
      </c>
    </row>
    <row r="59" spans="4:6" ht="15">
      <c r="D59">
        <v>0.01</v>
      </c>
      <c r="E59">
        <v>0.5</v>
      </c>
      <c r="F59">
        <v>0.5</v>
      </c>
    </row>
    <row r="61" spans="1:16" ht="15">
      <c r="A61" t="s">
        <v>210</v>
      </c>
      <c r="B61" t="s">
        <v>234</v>
      </c>
      <c r="C61" t="s">
        <v>225</v>
      </c>
      <c r="D61" t="s">
        <v>64</v>
      </c>
      <c r="E61" t="s">
        <v>69</v>
      </c>
      <c r="F61" t="s">
        <v>65</v>
      </c>
      <c r="N61" t="s">
        <v>13</v>
      </c>
      <c r="O61" t="s">
        <v>398</v>
      </c>
      <c r="P61" t="s">
        <v>14</v>
      </c>
    </row>
    <row r="62" spans="4:6" ht="15">
      <c r="D62">
        <v>0.01</v>
      </c>
      <c r="E62">
        <v>0.5</v>
      </c>
      <c r="F62">
        <v>0.5</v>
      </c>
    </row>
    <row r="64" spans="1:16" ht="15">
      <c r="A64" t="s">
        <v>10</v>
      </c>
      <c r="B64" t="s">
        <v>233</v>
      </c>
      <c r="C64" t="str">
        <f t="shared" si="1"/>
        <v>VPE</v>
      </c>
      <c r="D64" t="s">
        <v>64</v>
      </c>
      <c r="E64" t="s">
        <v>69</v>
      </c>
      <c r="F64" t="s">
        <v>65</v>
      </c>
      <c r="N64" t="s">
        <v>13</v>
      </c>
      <c r="O64" t="s">
        <v>398</v>
      </c>
      <c r="P64" t="s">
        <v>14</v>
      </c>
    </row>
    <row r="65" spans="4:6" ht="15">
      <c r="D65">
        <v>0.01</v>
      </c>
      <c r="E65">
        <v>0.5</v>
      </c>
      <c r="F65">
        <v>0.5</v>
      </c>
    </row>
    <row r="67" spans="1:16" ht="15">
      <c r="A67" t="s">
        <v>15</v>
      </c>
      <c r="B67" t="s">
        <v>233</v>
      </c>
      <c r="C67" t="str">
        <f t="shared" si="1"/>
        <v>BB2D</v>
      </c>
      <c r="D67" t="s">
        <v>64</v>
      </c>
      <c r="E67" t="s">
        <v>69</v>
      </c>
      <c r="F67" t="s">
        <v>65</v>
      </c>
      <c r="N67" t="s">
        <v>13</v>
      </c>
      <c r="O67" t="s">
        <v>398</v>
      </c>
      <c r="P67" t="s">
        <v>14</v>
      </c>
    </row>
    <row r="68" spans="4:6" ht="15">
      <c r="D68">
        <v>0.01</v>
      </c>
      <c r="E68">
        <v>0.16</v>
      </c>
      <c r="F68">
        <v>0.4</v>
      </c>
    </row>
    <row r="70" spans="1:16" ht="15">
      <c r="A70" t="s">
        <v>203</v>
      </c>
      <c r="B70" t="s">
        <v>233</v>
      </c>
      <c r="C70" t="str">
        <f t="shared" si="1"/>
        <v>VCP1</v>
      </c>
      <c r="D70" t="s">
        <v>64</v>
      </c>
      <c r="E70" t="s">
        <v>69</v>
      </c>
      <c r="F70" t="s">
        <v>65</v>
      </c>
      <c r="N70" t="s">
        <v>13</v>
      </c>
      <c r="O70" t="s">
        <v>398</v>
      </c>
      <c r="P70" t="s">
        <v>14</v>
      </c>
    </row>
    <row r="71" spans="4:6" ht="15">
      <c r="D71">
        <v>0.05</v>
      </c>
      <c r="E71">
        <v>0.3</v>
      </c>
      <c r="F71">
        <v>0.3</v>
      </c>
    </row>
    <row r="73" spans="1:16" ht="15">
      <c r="A73" t="s">
        <v>204</v>
      </c>
      <c r="B73" t="s">
        <v>233</v>
      </c>
      <c r="C73" t="str">
        <f t="shared" si="1"/>
        <v>VCP2</v>
      </c>
      <c r="D73" t="s">
        <v>64</v>
      </c>
      <c r="E73" t="s">
        <v>69</v>
      </c>
      <c r="F73" t="s">
        <v>65</v>
      </c>
      <c r="N73" t="s">
        <v>13</v>
      </c>
      <c r="O73" t="s">
        <v>398</v>
      </c>
      <c r="P73" t="s">
        <v>14</v>
      </c>
    </row>
    <row r="74" spans="4:6" ht="15">
      <c r="D74">
        <v>0.05</v>
      </c>
      <c r="E74">
        <v>0.3</v>
      </c>
      <c r="F74">
        <v>0.3</v>
      </c>
    </row>
    <row r="76" spans="1:16" ht="15">
      <c r="A76" t="s">
        <v>199</v>
      </c>
      <c r="B76" t="s">
        <v>234</v>
      </c>
      <c r="C76" t="s">
        <v>16</v>
      </c>
      <c r="D76" t="s">
        <v>64</v>
      </c>
      <c r="E76" t="s">
        <v>69</v>
      </c>
      <c r="F76" t="s">
        <v>65</v>
      </c>
      <c r="N76" t="s">
        <v>13</v>
      </c>
      <c r="O76" t="s">
        <v>398</v>
      </c>
      <c r="P76" t="s">
        <v>14</v>
      </c>
    </row>
    <row r="77" spans="4:6" ht="15">
      <c r="D77">
        <v>0.001</v>
      </c>
      <c r="E77">
        <v>0.11</v>
      </c>
      <c r="F77">
        <v>0.13</v>
      </c>
    </row>
    <row r="79" spans="1:16" ht="15">
      <c r="A79" t="s">
        <v>200</v>
      </c>
      <c r="B79" t="s">
        <v>234</v>
      </c>
      <c r="C79" t="s">
        <v>16</v>
      </c>
      <c r="D79" t="s">
        <v>64</v>
      </c>
      <c r="E79" t="s">
        <v>69</v>
      </c>
      <c r="F79" t="s">
        <v>65</v>
      </c>
      <c r="N79" t="s">
        <v>13</v>
      </c>
      <c r="O79" t="s">
        <v>398</v>
      </c>
      <c r="P79" t="s">
        <v>14</v>
      </c>
    </row>
    <row r="80" spans="4:6" ht="15">
      <c r="D80">
        <v>0.001</v>
      </c>
      <c r="E80">
        <v>0.11</v>
      </c>
      <c r="F80">
        <v>0.13</v>
      </c>
    </row>
    <row r="82" spans="1:16" ht="15">
      <c r="A82" t="s">
        <v>201</v>
      </c>
      <c r="B82" t="s">
        <v>234</v>
      </c>
      <c r="C82" t="s">
        <v>16</v>
      </c>
      <c r="D82" t="s">
        <v>64</v>
      </c>
      <c r="E82" t="s">
        <v>69</v>
      </c>
      <c r="F82" t="s">
        <v>65</v>
      </c>
      <c r="N82" t="s">
        <v>13</v>
      </c>
      <c r="O82" t="s">
        <v>398</v>
      </c>
      <c r="P82" t="s">
        <v>14</v>
      </c>
    </row>
    <row r="83" spans="4:6" ht="15">
      <c r="D83">
        <v>0.001</v>
      </c>
      <c r="E83">
        <v>0.11</v>
      </c>
      <c r="F83">
        <v>0.13</v>
      </c>
    </row>
    <row r="85" spans="1:16" ht="15">
      <c r="A85" t="s">
        <v>202</v>
      </c>
      <c r="B85" t="s">
        <v>234</v>
      </c>
      <c r="C85" t="s">
        <v>16</v>
      </c>
      <c r="D85" t="s">
        <v>64</v>
      </c>
      <c r="E85" t="s">
        <v>69</v>
      </c>
      <c r="F85" t="s">
        <v>65</v>
      </c>
      <c r="N85" t="s">
        <v>13</v>
      </c>
      <c r="O85" t="s">
        <v>398</v>
      </c>
      <c r="P85" t="s">
        <v>14</v>
      </c>
    </row>
    <row r="86" spans="4:6" ht="15">
      <c r="D86">
        <v>0.001</v>
      </c>
      <c r="E86">
        <v>0.11</v>
      </c>
      <c r="F86">
        <v>0.13</v>
      </c>
    </row>
    <row r="88" spans="1:16" ht="15">
      <c r="A88" t="s">
        <v>23</v>
      </c>
      <c r="B88" t="s">
        <v>233</v>
      </c>
      <c r="C88" t="str">
        <f t="shared" si="1"/>
        <v>CRYPTO</v>
      </c>
      <c r="D88" t="s">
        <v>64</v>
      </c>
      <c r="E88" t="s">
        <v>69</v>
      </c>
      <c r="F88" t="s">
        <v>65</v>
      </c>
      <c r="N88" t="s">
        <v>13</v>
      </c>
      <c r="O88" t="s">
        <v>398</v>
      </c>
      <c r="P88" t="s">
        <v>14</v>
      </c>
    </row>
    <row r="89" spans="4:6" ht="15">
      <c r="D89">
        <v>0.01</v>
      </c>
      <c r="E89">
        <v>0.1</v>
      </c>
      <c r="F89">
        <v>0.12</v>
      </c>
    </row>
    <row r="91" spans="1:16" ht="15">
      <c r="A91" t="s">
        <v>197</v>
      </c>
      <c r="B91" t="s">
        <v>234</v>
      </c>
      <c r="C91" t="str">
        <f t="shared" si="1"/>
        <v>PCIe_SS1</v>
      </c>
      <c r="D91" t="s">
        <v>64</v>
      </c>
      <c r="E91" t="s">
        <v>69</v>
      </c>
      <c r="F91" t="s">
        <v>65</v>
      </c>
      <c r="N91" t="s">
        <v>13</v>
      </c>
      <c r="O91" t="s">
        <v>398</v>
      </c>
      <c r="P91" t="s">
        <v>14</v>
      </c>
    </row>
    <row r="92" spans="4:6" ht="15">
      <c r="D92">
        <v>0.005</v>
      </c>
      <c r="E92">
        <v>0.3</v>
      </c>
      <c r="F92">
        <v>0.3</v>
      </c>
    </row>
    <row r="94" spans="1:16" ht="15">
      <c r="A94" t="s">
        <v>198</v>
      </c>
      <c r="B94" t="s">
        <v>234</v>
      </c>
      <c r="C94" t="str">
        <f t="shared" si="1"/>
        <v>PCIe_SS2</v>
      </c>
      <c r="D94" t="s">
        <v>64</v>
      </c>
      <c r="E94" t="s">
        <v>69</v>
      </c>
      <c r="F94" t="s">
        <v>65</v>
      </c>
      <c r="N94" t="s">
        <v>13</v>
      </c>
      <c r="O94" t="s">
        <v>398</v>
      </c>
      <c r="P94" t="s">
        <v>14</v>
      </c>
    </row>
    <row r="95" spans="4:6" ht="15">
      <c r="D95">
        <v>0.005</v>
      </c>
      <c r="E95">
        <v>0.3</v>
      </c>
      <c r="F95">
        <v>0.3</v>
      </c>
    </row>
    <row r="97" spans="1:16" ht="15">
      <c r="A97" t="s">
        <v>17</v>
      </c>
      <c r="B97" t="s">
        <v>234</v>
      </c>
      <c r="C97" t="str">
        <f t="shared" si="1"/>
        <v>SATA</v>
      </c>
      <c r="D97" t="s">
        <v>64</v>
      </c>
      <c r="E97" t="s">
        <v>69</v>
      </c>
      <c r="F97" t="s">
        <v>65</v>
      </c>
      <c r="N97" t="s">
        <v>13</v>
      </c>
      <c r="O97" t="s">
        <v>398</v>
      </c>
      <c r="P97" t="s">
        <v>14</v>
      </c>
    </row>
    <row r="98" spans="4:6" ht="15">
      <c r="D98">
        <v>0.001</v>
      </c>
      <c r="E98">
        <v>0.1</v>
      </c>
      <c r="F98">
        <v>0.1</v>
      </c>
    </row>
    <row r="100" spans="1:16" ht="15">
      <c r="A100" t="s">
        <v>181</v>
      </c>
      <c r="B100" t="s">
        <v>233</v>
      </c>
      <c r="C100" t="str">
        <f t="shared" si="1"/>
        <v>ICSS1</v>
      </c>
      <c r="D100" t="s">
        <v>64</v>
      </c>
      <c r="E100" t="s">
        <v>69</v>
      </c>
      <c r="F100" t="s">
        <v>65</v>
      </c>
      <c r="N100" t="s">
        <v>13</v>
      </c>
      <c r="O100" t="s">
        <v>398</v>
      </c>
      <c r="P100" t="s">
        <v>14</v>
      </c>
    </row>
    <row r="101" spans="4:6" ht="15">
      <c r="D101">
        <v>0.01</v>
      </c>
      <c r="E101">
        <v>0.2</v>
      </c>
      <c r="F101">
        <v>0.2</v>
      </c>
    </row>
    <row r="103" spans="1:16" ht="15">
      <c r="A103" t="s">
        <v>182</v>
      </c>
      <c r="B103" t="s">
        <v>233</v>
      </c>
      <c r="C103" t="str">
        <f t="shared" si="1"/>
        <v>ICSS2</v>
      </c>
      <c r="D103" t="s">
        <v>64</v>
      </c>
      <c r="E103" t="s">
        <v>69</v>
      </c>
      <c r="F103" t="s">
        <v>65</v>
      </c>
      <c r="N103" t="s">
        <v>13</v>
      </c>
      <c r="O103" t="s">
        <v>398</v>
      </c>
      <c r="P103" t="s">
        <v>14</v>
      </c>
    </row>
    <row r="104" spans="4:6" ht="15">
      <c r="D104">
        <v>0.01</v>
      </c>
      <c r="E104">
        <v>0.2</v>
      </c>
      <c r="F104">
        <v>0.2</v>
      </c>
    </row>
    <row r="106" spans="1:16" ht="15">
      <c r="A106" t="s">
        <v>183</v>
      </c>
      <c r="B106" t="s">
        <v>234</v>
      </c>
      <c r="C106" t="s">
        <v>18</v>
      </c>
      <c r="D106" t="s">
        <v>64</v>
      </c>
      <c r="E106" t="s">
        <v>69</v>
      </c>
      <c r="F106" t="s">
        <v>65</v>
      </c>
      <c r="N106" t="s">
        <v>13</v>
      </c>
      <c r="O106" t="s">
        <v>398</v>
      </c>
      <c r="P106" t="s">
        <v>14</v>
      </c>
    </row>
    <row r="107" spans="4:6" ht="15">
      <c r="D107">
        <v>0.005</v>
      </c>
      <c r="E107">
        <v>0.1</v>
      </c>
      <c r="F107">
        <v>0.1</v>
      </c>
    </row>
    <row r="109" spans="1:16" ht="15">
      <c r="A109" t="s">
        <v>184</v>
      </c>
      <c r="B109" t="s">
        <v>234</v>
      </c>
      <c r="C109" t="s">
        <v>18</v>
      </c>
      <c r="D109" t="s">
        <v>64</v>
      </c>
      <c r="E109" t="s">
        <v>69</v>
      </c>
      <c r="F109" t="s">
        <v>65</v>
      </c>
      <c r="N109" t="s">
        <v>13</v>
      </c>
      <c r="O109" t="s">
        <v>398</v>
      </c>
      <c r="P109" t="s">
        <v>14</v>
      </c>
    </row>
    <row r="110" spans="4:6" ht="15">
      <c r="D110">
        <v>0.005</v>
      </c>
      <c r="E110">
        <v>0.1</v>
      </c>
      <c r="F110">
        <v>0.1</v>
      </c>
    </row>
    <row r="112" spans="1:16" ht="15">
      <c r="A112" t="s">
        <v>179</v>
      </c>
      <c r="B112" t="s">
        <v>234</v>
      </c>
      <c r="C112" t="str">
        <f aca="true" t="shared" si="5" ref="C112:C181">A112</f>
        <v>USB1</v>
      </c>
      <c r="D112" t="s">
        <v>64</v>
      </c>
      <c r="E112" t="s">
        <v>69</v>
      </c>
      <c r="F112" t="s">
        <v>65</v>
      </c>
      <c r="N112" t="s">
        <v>13</v>
      </c>
      <c r="O112" t="s">
        <v>398</v>
      </c>
      <c r="P112" t="s">
        <v>14</v>
      </c>
    </row>
    <row r="113" spans="4:6" ht="15">
      <c r="D113">
        <v>0.001</v>
      </c>
      <c r="E113">
        <v>0.02</v>
      </c>
      <c r="F113">
        <v>0.02</v>
      </c>
    </row>
    <row r="115" spans="1:16" ht="15">
      <c r="A115" t="s">
        <v>41</v>
      </c>
      <c r="B115" t="s">
        <v>234</v>
      </c>
      <c r="C115" t="str">
        <f t="shared" si="5"/>
        <v>USB2</v>
      </c>
      <c r="D115" t="s">
        <v>64</v>
      </c>
      <c r="E115" t="s">
        <v>69</v>
      </c>
      <c r="F115" t="s">
        <v>65</v>
      </c>
      <c r="N115" t="s">
        <v>13</v>
      </c>
      <c r="O115" t="s">
        <v>398</v>
      </c>
      <c r="P115" t="s">
        <v>14</v>
      </c>
    </row>
    <row r="116" spans="4:6" ht="15">
      <c r="D116">
        <v>0.001</v>
      </c>
      <c r="E116">
        <v>0.02</v>
      </c>
      <c r="F116">
        <v>0.02</v>
      </c>
    </row>
    <row r="118" spans="1:16" ht="15">
      <c r="A118" t="s">
        <v>19</v>
      </c>
      <c r="B118" t="s">
        <v>234</v>
      </c>
      <c r="C118" t="str">
        <f t="shared" si="5"/>
        <v>USB3</v>
      </c>
      <c r="D118" t="s">
        <v>64</v>
      </c>
      <c r="E118" t="s">
        <v>69</v>
      </c>
      <c r="F118" t="s">
        <v>65</v>
      </c>
      <c r="N118" t="s">
        <v>13</v>
      </c>
      <c r="O118" t="s">
        <v>398</v>
      </c>
      <c r="P118" t="s">
        <v>14</v>
      </c>
    </row>
    <row r="119" spans="4:6" ht="15">
      <c r="D119">
        <v>0.001</v>
      </c>
      <c r="E119">
        <v>0.02</v>
      </c>
      <c r="F119">
        <v>0.02</v>
      </c>
    </row>
    <row r="121" spans="1:16" ht="15">
      <c r="A121" t="s">
        <v>180</v>
      </c>
      <c r="B121" t="s">
        <v>234</v>
      </c>
      <c r="C121" t="str">
        <f t="shared" si="5"/>
        <v>USB4</v>
      </c>
      <c r="D121" t="s">
        <v>64</v>
      </c>
      <c r="E121" t="s">
        <v>69</v>
      </c>
      <c r="F121" t="s">
        <v>65</v>
      </c>
      <c r="N121" t="s">
        <v>13</v>
      </c>
      <c r="O121" t="s">
        <v>398</v>
      </c>
      <c r="P121" t="s">
        <v>14</v>
      </c>
    </row>
    <row r="122" spans="4:6" ht="15">
      <c r="D122">
        <v>0.001</v>
      </c>
      <c r="E122">
        <v>0.02</v>
      </c>
      <c r="F122">
        <v>0.02</v>
      </c>
    </row>
    <row r="124" spans="1:16" ht="15">
      <c r="A124" t="s">
        <v>20</v>
      </c>
      <c r="B124" t="s">
        <v>234</v>
      </c>
      <c r="C124" t="str">
        <f t="shared" si="5"/>
        <v>QSPI</v>
      </c>
      <c r="D124" t="s">
        <v>64</v>
      </c>
      <c r="E124" t="s">
        <v>69</v>
      </c>
      <c r="F124" t="s">
        <v>65</v>
      </c>
      <c r="N124" t="s">
        <v>13</v>
      </c>
      <c r="O124" t="s">
        <v>398</v>
      </c>
      <c r="P124" t="s">
        <v>14</v>
      </c>
    </row>
    <row r="125" spans="4:6" ht="15">
      <c r="D125">
        <v>0.01</v>
      </c>
      <c r="E125">
        <v>0.07</v>
      </c>
      <c r="F125">
        <v>0.07</v>
      </c>
    </row>
    <row r="127" spans="1:16" ht="15">
      <c r="A127" t="s">
        <v>177</v>
      </c>
      <c r="B127" t="s">
        <v>234</v>
      </c>
      <c r="C127" t="str">
        <f t="shared" si="5"/>
        <v>DCAN1</v>
      </c>
      <c r="D127" t="s">
        <v>64</v>
      </c>
      <c r="E127" t="s">
        <v>69</v>
      </c>
      <c r="F127" t="s">
        <v>65</v>
      </c>
      <c r="N127" t="s">
        <v>13</v>
      </c>
      <c r="O127" t="s">
        <v>398</v>
      </c>
      <c r="P127" t="s">
        <v>14</v>
      </c>
    </row>
    <row r="128" spans="4:6" ht="15">
      <c r="D128">
        <v>0.01</v>
      </c>
      <c r="E128">
        <v>0.05</v>
      </c>
      <c r="F128">
        <v>0.05</v>
      </c>
    </row>
    <row r="130" spans="1:16" ht="15">
      <c r="A130" t="s">
        <v>178</v>
      </c>
      <c r="B130" t="s">
        <v>234</v>
      </c>
      <c r="C130" t="str">
        <f t="shared" si="5"/>
        <v>DCAN2</v>
      </c>
      <c r="D130" t="s">
        <v>64</v>
      </c>
      <c r="E130" t="s">
        <v>69</v>
      </c>
      <c r="F130" t="s">
        <v>65</v>
      </c>
      <c r="N130" t="s">
        <v>13</v>
      </c>
      <c r="O130" t="s">
        <v>398</v>
      </c>
      <c r="P130" t="s">
        <v>14</v>
      </c>
    </row>
    <row r="131" spans="4:6" ht="15">
      <c r="D131">
        <v>0.01</v>
      </c>
      <c r="E131">
        <v>0.05</v>
      </c>
      <c r="F131">
        <v>0.05</v>
      </c>
    </row>
    <row r="133" spans="1:16" ht="15">
      <c r="A133" t="s">
        <v>185</v>
      </c>
      <c r="B133" t="s">
        <v>234</v>
      </c>
      <c r="C133" t="str">
        <f t="shared" si="5"/>
        <v>MCASP1</v>
      </c>
      <c r="D133" t="s">
        <v>64</v>
      </c>
      <c r="E133" t="s">
        <v>69</v>
      </c>
      <c r="F133" t="s">
        <v>65</v>
      </c>
      <c r="N133" t="s">
        <v>13</v>
      </c>
      <c r="O133" t="s">
        <v>398</v>
      </c>
      <c r="P133" t="s">
        <v>14</v>
      </c>
    </row>
    <row r="134" spans="4:6" ht="15">
      <c r="D134">
        <v>0.01</v>
      </c>
      <c r="E134">
        <v>0.05</v>
      </c>
      <c r="F134">
        <v>0.05</v>
      </c>
    </row>
    <row r="136" spans="1:16" ht="15">
      <c r="A136" t="s">
        <v>186</v>
      </c>
      <c r="B136" t="s">
        <v>234</v>
      </c>
      <c r="C136" t="str">
        <f t="shared" si="5"/>
        <v>MCASP2</v>
      </c>
      <c r="D136" t="s">
        <v>64</v>
      </c>
      <c r="E136" t="s">
        <v>69</v>
      </c>
      <c r="F136" t="s">
        <v>65</v>
      </c>
      <c r="N136" t="s">
        <v>13</v>
      </c>
      <c r="O136" t="s">
        <v>398</v>
      </c>
      <c r="P136" t="s">
        <v>14</v>
      </c>
    </row>
    <row r="137" spans="4:6" ht="15">
      <c r="D137">
        <v>0.01</v>
      </c>
      <c r="E137">
        <v>0.05</v>
      </c>
      <c r="F137">
        <v>0.05</v>
      </c>
    </row>
    <row r="139" spans="1:16" ht="15">
      <c r="A139" t="s">
        <v>187</v>
      </c>
      <c r="B139" t="s">
        <v>234</v>
      </c>
      <c r="C139" t="str">
        <f t="shared" si="5"/>
        <v>MCASP3</v>
      </c>
      <c r="D139" t="s">
        <v>64</v>
      </c>
      <c r="E139" t="s">
        <v>69</v>
      </c>
      <c r="F139" t="s">
        <v>65</v>
      </c>
      <c r="N139" t="s">
        <v>13</v>
      </c>
      <c r="O139" t="s">
        <v>398</v>
      </c>
      <c r="P139" t="s">
        <v>14</v>
      </c>
    </row>
    <row r="140" spans="4:6" ht="15">
      <c r="D140">
        <v>0.01</v>
      </c>
      <c r="E140">
        <v>0.05</v>
      </c>
      <c r="F140">
        <v>0.05</v>
      </c>
    </row>
    <row r="142" spans="1:16" ht="15">
      <c r="A142" t="s">
        <v>188</v>
      </c>
      <c r="B142" t="s">
        <v>234</v>
      </c>
      <c r="C142" t="str">
        <f t="shared" si="5"/>
        <v>MCASP4</v>
      </c>
      <c r="D142" t="s">
        <v>64</v>
      </c>
      <c r="E142" t="s">
        <v>69</v>
      </c>
      <c r="F142" t="s">
        <v>65</v>
      </c>
      <c r="N142" t="s">
        <v>13</v>
      </c>
      <c r="O142" t="s">
        <v>398</v>
      </c>
      <c r="P142" t="s">
        <v>14</v>
      </c>
    </row>
    <row r="143" spans="4:6" ht="15">
      <c r="D143">
        <v>0.01</v>
      </c>
      <c r="E143">
        <v>0.05</v>
      </c>
      <c r="F143">
        <v>0.05</v>
      </c>
    </row>
    <row r="145" spans="1:16" ht="15">
      <c r="A145" t="s">
        <v>189</v>
      </c>
      <c r="B145" t="s">
        <v>234</v>
      </c>
      <c r="C145" t="str">
        <f t="shared" si="5"/>
        <v>MCASP5</v>
      </c>
      <c r="D145" t="s">
        <v>64</v>
      </c>
      <c r="E145" t="s">
        <v>69</v>
      </c>
      <c r="F145" t="s">
        <v>65</v>
      </c>
      <c r="N145" t="s">
        <v>13</v>
      </c>
      <c r="O145" t="s">
        <v>398</v>
      </c>
      <c r="P145" t="s">
        <v>14</v>
      </c>
    </row>
    <row r="146" spans="4:6" ht="15">
      <c r="D146">
        <v>0.01</v>
      </c>
      <c r="E146">
        <v>0.05</v>
      </c>
      <c r="F146">
        <v>0.05</v>
      </c>
    </row>
    <row r="148" spans="1:16" ht="15">
      <c r="A148" t="s">
        <v>190</v>
      </c>
      <c r="B148" t="s">
        <v>234</v>
      </c>
      <c r="C148" t="str">
        <f t="shared" si="5"/>
        <v>MCASP6</v>
      </c>
      <c r="D148" t="s">
        <v>64</v>
      </c>
      <c r="E148" t="s">
        <v>69</v>
      </c>
      <c r="F148" t="s">
        <v>65</v>
      </c>
      <c r="N148" t="s">
        <v>13</v>
      </c>
      <c r="O148" t="s">
        <v>398</v>
      </c>
      <c r="P148" t="s">
        <v>14</v>
      </c>
    </row>
    <row r="149" spans="4:6" ht="15">
      <c r="D149">
        <v>0.01</v>
      </c>
      <c r="E149">
        <v>0.05</v>
      </c>
      <c r="F149">
        <v>0.05</v>
      </c>
    </row>
    <row r="151" spans="1:16" ht="15">
      <c r="A151" t="s">
        <v>191</v>
      </c>
      <c r="B151" t="s">
        <v>234</v>
      </c>
      <c r="C151" t="str">
        <f t="shared" si="5"/>
        <v>MCASP7</v>
      </c>
      <c r="D151" t="s">
        <v>64</v>
      </c>
      <c r="E151" t="s">
        <v>69</v>
      </c>
      <c r="F151" t="s">
        <v>65</v>
      </c>
      <c r="N151" t="s">
        <v>13</v>
      </c>
      <c r="O151" t="s">
        <v>398</v>
      </c>
      <c r="P151" t="s">
        <v>14</v>
      </c>
    </row>
    <row r="152" spans="4:6" ht="15">
      <c r="D152">
        <v>0.01</v>
      </c>
      <c r="E152">
        <v>0.05</v>
      </c>
      <c r="F152">
        <v>0.05</v>
      </c>
    </row>
    <row r="154" spans="1:16" ht="15">
      <c r="A154" t="s">
        <v>192</v>
      </c>
      <c r="B154" t="s">
        <v>234</v>
      </c>
      <c r="C154" t="str">
        <f t="shared" si="5"/>
        <v>MCASP8</v>
      </c>
      <c r="D154" t="s">
        <v>64</v>
      </c>
      <c r="E154" t="s">
        <v>69</v>
      </c>
      <c r="F154" t="s">
        <v>65</v>
      </c>
      <c r="N154" t="s">
        <v>13</v>
      </c>
      <c r="O154" t="s">
        <v>398</v>
      </c>
      <c r="P154" t="s">
        <v>14</v>
      </c>
    </row>
    <row r="155" spans="4:6" ht="15">
      <c r="D155">
        <v>0.01</v>
      </c>
      <c r="E155">
        <v>0.05</v>
      </c>
      <c r="F155">
        <v>0.05</v>
      </c>
    </row>
    <row r="157" spans="1:16" ht="15">
      <c r="A157" t="s">
        <v>21</v>
      </c>
      <c r="B157" t="s">
        <v>234</v>
      </c>
      <c r="C157" t="str">
        <f t="shared" si="5"/>
        <v>MLB</v>
      </c>
      <c r="D157" t="s">
        <v>64</v>
      </c>
      <c r="E157" t="s">
        <v>69</v>
      </c>
      <c r="F157" t="s">
        <v>65</v>
      </c>
      <c r="N157" t="s">
        <v>13</v>
      </c>
      <c r="O157" t="s">
        <v>398</v>
      </c>
      <c r="P157" t="s">
        <v>14</v>
      </c>
    </row>
    <row r="158" spans="4:6" ht="15">
      <c r="D158">
        <v>0.01</v>
      </c>
      <c r="E158">
        <v>0.05</v>
      </c>
      <c r="F158">
        <v>0.05</v>
      </c>
    </row>
    <row r="160" spans="1:16" ht="15">
      <c r="A160" t="s">
        <v>22</v>
      </c>
      <c r="B160" t="s">
        <v>234</v>
      </c>
      <c r="C160" t="str">
        <f t="shared" si="5"/>
        <v>GPMC</v>
      </c>
      <c r="D160" t="s">
        <v>64</v>
      </c>
      <c r="E160" t="s">
        <v>69</v>
      </c>
      <c r="F160" t="s">
        <v>65</v>
      </c>
      <c r="N160" t="s">
        <v>13</v>
      </c>
      <c r="O160" t="s">
        <v>398</v>
      </c>
      <c r="P160" t="s">
        <v>14</v>
      </c>
    </row>
    <row r="161" spans="4:6" ht="15">
      <c r="D161">
        <v>0.01</v>
      </c>
      <c r="E161">
        <v>0.05</v>
      </c>
      <c r="F161">
        <v>0.05</v>
      </c>
    </row>
    <row r="163" spans="1:16" ht="15">
      <c r="A163" t="s">
        <v>193</v>
      </c>
      <c r="B163" t="s">
        <v>234</v>
      </c>
      <c r="C163" t="str">
        <f t="shared" si="5"/>
        <v>MMC1</v>
      </c>
      <c r="D163" t="s">
        <v>64</v>
      </c>
      <c r="E163" t="s">
        <v>69</v>
      </c>
      <c r="F163" t="s">
        <v>65</v>
      </c>
      <c r="N163" t="s">
        <v>13</v>
      </c>
      <c r="O163" t="s">
        <v>398</v>
      </c>
      <c r="P163" t="s">
        <v>14</v>
      </c>
    </row>
    <row r="164" spans="4:6" ht="15">
      <c r="D164">
        <v>0.001</v>
      </c>
      <c r="E164">
        <v>0.02</v>
      </c>
      <c r="F164">
        <v>0.02</v>
      </c>
    </row>
    <row r="166" spans="1:16" ht="15">
      <c r="A166" t="s">
        <v>194</v>
      </c>
      <c r="B166" t="s">
        <v>234</v>
      </c>
      <c r="C166" t="str">
        <f t="shared" si="5"/>
        <v>MMC2</v>
      </c>
      <c r="D166" t="s">
        <v>64</v>
      </c>
      <c r="E166" t="s">
        <v>69</v>
      </c>
      <c r="F166" t="s">
        <v>65</v>
      </c>
      <c r="N166" t="s">
        <v>13</v>
      </c>
      <c r="O166" t="s">
        <v>398</v>
      </c>
      <c r="P166" t="s">
        <v>14</v>
      </c>
    </row>
    <row r="167" spans="4:6" ht="15">
      <c r="D167">
        <v>0.001</v>
      </c>
      <c r="E167">
        <v>0.02</v>
      </c>
      <c r="F167">
        <v>0.02</v>
      </c>
    </row>
    <row r="169" spans="1:16" ht="15">
      <c r="A169" t="s">
        <v>195</v>
      </c>
      <c r="B169" t="s">
        <v>234</v>
      </c>
      <c r="C169" t="str">
        <f t="shared" si="5"/>
        <v>MMC3</v>
      </c>
      <c r="D169" t="s">
        <v>64</v>
      </c>
      <c r="E169" t="s">
        <v>69</v>
      </c>
      <c r="F169" t="s">
        <v>65</v>
      </c>
      <c r="N169" t="s">
        <v>13</v>
      </c>
      <c r="O169" t="s">
        <v>398</v>
      </c>
      <c r="P169" t="s">
        <v>14</v>
      </c>
    </row>
    <row r="170" spans="4:6" ht="15">
      <c r="D170">
        <v>0.001</v>
      </c>
      <c r="E170">
        <v>0.02</v>
      </c>
      <c r="F170">
        <v>0.02</v>
      </c>
    </row>
    <row r="172" spans="1:16" ht="15">
      <c r="A172" t="s">
        <v>196</v>
      </c>
      <c r="B172" t="s">
        <v>234</v>
      </c>
      <c r="C172" t="str">
        <f t="shared" si="5"/>
        <v>MMC4</v>
      </c>
      <c r="D172" t="s">
        <v>64</v>
      </c>
      <c r="E172" t="s">
        <v>69</v>
      </c>
      <c r="F172" t="s">
        <v>65</v>
      </c>
      <c r="N172" t="s">
        <v>13</v>
      </c>
      <c r="O172" t="s">
        <v>398</v>
      </c>
      <c r="P172" t="s">
        <v>14</v>
      </c>
    </row>
    <row r="173" spans="4:6" ht="15">
      <c r="D173">
        <v>0.001</v>
      </c>
      <c r="E173">
        <v>0.02</v>
      </c>
      <c r="F173">
        <v>0.02</v>
      </c>
    </row>
    <row r="175" spans="1:16" ht="15">
      <c r="A175" t="s">
        <v>24</v>
      </c>
      <c r="B175" t="s">
        <v>234</v>
      </c>
      <c r="C175" t="str">
        <f t="shared" si="5"/>
        <v>SPI</v>
      </c>
      <c r="D175" t="s">
        <v>64</v>
      </c>
      <c r="E175" t="s">
        <v>69</v>
      </c>
      <c r="F175" t="s">
        <v>65</v>
      </c>
      <c r="N175" t="s">
        <v>13</v>
      </c>
      <c r="O175" t="s">
        <v>398</v>
      </c>
      <c r="P175" t="s">
        <v>14</v>
      </c>
    </row>
    <row r="176" spans="4:6" ht="15">
      <c r="D176">
        <v>0.001</v>
      </c>
      <c r="E176">
        <v>0.02</v>
      </c>
      <c r="F176">
        <v>0.02</v>
      </c>
    </row>
    <row r="178" spans="1:16" ht="15">
      <c r="A178" t="s">
        <v>211</v>
      </c>
      <c r="B178" t="s">
        <v>234</v>
      </c>
      <c r="C178" t="str">
        <f t="shared" si="5"/>
        <v>UART_I2C_GPIO</v>
      </c>
      <c r="D178" t="s">
        <v>64</v>
      </c>
      <c r="E178" t="s">
        <v>69</v>
      </c>
      <c r="F178" t="s">
        <v>65</v>
      </c>
      <c r="N178" t="s">
        <v>13</v>
      </c>
      <c r="O178" t="s">
        <v>398</v>
      </c>
      <c r="P178" t="s">
        <v>14</v>
      </c>
    </row>
    <row r="179" spans="4:6" ht="15">
      <c r="D179">
        <v>0.001</v>
      </c>
      <c r="E179">
        <v>0.02</v>
      </c>
      <c r="F179">
        <v>0.02</v>
      </c>
    </row>
    <row r="181" spans="1:16" ht="15">
      <c r="A181" t="s">
        <v>213</v>
      </c>
      <c r="B181" t="s">
        <v>233</v>
      </c>
      <c r="C181" t="str">
        <f t="shared" si="5"/>
        <v>RTCSS</v>
      </c>
      <c r="D181" t="s">
        <v>64</v>
      </c>
      <c r="E181" t="s">
        <v>69</v>
      </c>
      <c r="F181" t="s">
        <v>65</v>
      </c>
      <c r="N181" t="s">
        <v>13</v>
      </c>
      <c r="O181" t="s">
        <v>398</v>
      </c>
      <c r="P181" t="s">
        <v>14</v>
      </c>
    </row>
    <row r="182" spans="4:6" ht="15">
      <c r="D182">
        <v>0.001</v>
      </c>
      <c r="E182">
        <v>0.005</v>
      </c>
      <c r="F182">
        <v>0.005</v>
      </c>
    </row>
    <row r="184" spans="1:16" ht="15">
      <c r="A184" t="s">
        <v>242</v>
      </c>
      <c r="B184" t="s">
        <v>233</v>
      </c>
      <c r="C184" t="str">
        <f>A184</f>
        <v>EMIF1</v>
      </c>
      <c r="D184" t="s">
        <v>64</v>
      </c>
      <c r="E184" t="s">
        <v>69</v>
      </c>
      <c r="N184" t="s">
        <v>13</v>
      </c>
      <c r="O184" t="s">
        <v>398</v>
      </c>
      <c r="P184" t="s">
        <v>14</v>
      </c>
    </row>
    <row r="185" spans="4:5" ht="15">
      <c r="D185">
        <v>0.005</v>
      </c>
      <c r="E185">
        <v>0.1</v>
      </c>
    </row>
    <row r="187" spans="1:16" ht="15">
      <c r="A187" t="s">
        <v>243</v>
      </c>
      <c r="B187" t="s">
        <v>233</v>
      </c>
      <c r="C187" t="str">
        <f aca="true" t="shared" si="6" ref="C187:C190">A187</f>
        <v>EMIF2</v>
      </c>
      <c r="D187" t="s">
        <v>64</v>
      </c>
      <c r="E187" t="s">
        <v>69</v>
      </c>
      <c r="N187" t="s">
        <v>13</v>
      </c>
      <c r="O187" t="s">
        <v>398</v>
      </c>
      <c r="P187" t="s">
        <v>14</v>
      </c>
    </row>
    <row r="188" spans="4:5" ht="15">
      <c r="D188">
        <v>0.005</v>
      </c>
      <c r="E188">
        <v>0.1</v>
      </c>
    </row>
    <row r="190" spans="1:16" ht="15">
      <c r="A190" t="s">
        <v>245</v>
      </c>
      <c r="B190" t="s">
        <v>233</v>
      </c>
      <c r="C190" t="str">
        <f t="shared" si="6"/>
        <v>DMM</v>
      </c>
      <c r="D190" t="s">
        <v>64</v>
      </c>
      <c r="E190" t="s">
        <v>69</v>
      </c>
      <c r="N190" t="s">
        <v>13</v>
      </c>
      <c r="O190" t="s">
        <v>398</v>
      </c>
      <c r="P190" t="s">
        <v>14</v>
      </c>
    </row>
    <row r="191" spans="4:5" ht="15">
      <c r="D191">
        <v>0.001</v>
      </c>
      <c r="E191">
        <v>0.04</v>
      </c>
    </row>
    <row r="193" spans="1:16" ht="15">
      <c r="A193" t="s">
        <v>40</v>
      </c>
      <c r="B193" t="s">
        <v>233</v>
      </c>
      <c r="C193" t="s">
        <v>40</v>
      </c>
      <c r="D193" t="s">
        <v>64</v>
      </c>
      <c r="E193" t="s">
        <v>69</v>
      </c>
      <c r="N193" t="s">
        <v>13</v>
      </c>
      <c r="O193" t="s">
        <v>398</v>
      </c>
      <c r="P193" t="s">
        <v>14</v>
      </c>
    </row>
    <row r="194" spans="4:5" ht="15">
      <c r="D194">
        <v>0.1</v>
      </c>
      <c r="E194">
        <v>0.6</v>
      </c>
    </row>
    <row r="196" spans="1:16" ht="15">
      <c r="A196" t="s">
        <v>264</v>
      </c>
      <c r="B196" t="s">
        <v>233</v>
      </c>
      <c r="C196" t="s">
        <v>264</v>
      </c>
      <c r="D196" t="s">
        <v>64</v>
      </c>
      <c r="E196" t="s">
        <v>69</v>
      </c>
      <c r="N196" t="s">
        <v>13</v>
      </c>
      <c r="O196" t="s">
        <v>398</v>
      </c>
      <c r="P196" t="s">
        <v>14</v>
      </c>
    </row>
    <row r="197" spans="4:5" ht="15">
      <c r="D197">
        <v>0.2</v>
      </c>
      <c r="E197">
        <v>0.4</v>
      </c>
    </row>
    <row r="199" spans="1:16" ht="15">
      <c r="A199" t="s">
        <v>265</v>
      </c>
      <c r="B199" t="s">
        <v>233</v>
      </c>
      <c r="C199" t="s">
        <v>265</v>
      </c>
      <c r="D199" t="s">
        <v>64</v>
      </c>
      <c r="E199" t="s">
        <v>69</v>
      </c>
      <c r="N199" t="s">
        <v>13</v>
      </c>
      <c r="O199" t="s">
        <v>398</v>
      </c>
      <c r="P199" t="s">
        <v>14</v>
      </c>
    </row>
    <row r="200" spans="4:5" ht="15">
      <c r="D200">
        <v>0</v>
      </c>
      <c r="E200">
        <v>0</v>
      </c>
    </row>
    <row r="202" spans="1:16" ht="15">
      <c r="A202" t="s">
        <v>266</v>
      </c>
      <c r="B202" t="s">
        <v>233</v>
      </c>
      <c r="C202" t="s">
        <v>266</v>
      </c>
      <c r="D202" t="s">
        <v>64</v>
      </c>
      <c r="E202" t="s">
        <v>69</v>
      </c>
      <c r="F202" t="s">
        <v>65</v>
      </c>
      <c r="N202" t="s">
        <v>13</v>
      </c>
      <c r="O202" t="s">
        <v>398</v>
      </c>
      <c r="P202" t="s">
        <v>14</v>
      </c>
    </row>
    <row r="203" spans="4:6" ht="15">
      <c r="D203">
        <v>0.02</v>
      </c>
      <c r="E203">
        <v>0.2</v>
      </c>
      <c r="F203">
        <v>0.3</v>
      </c>
    </row>
    <row r="204" spans="4:6" ht="15">
      <c r="D204">
        <v>0.02</v>
      </c>
      <c r="E204">
        <v>0.1</v>
      </c>
      <c r="F204">
        <v>0.15</v>
      </c>
    </row>
    <row r="205" spans="1:16" ht="15">
      <c r="A205" t="s">
        <v>267</v>
      </c>
      <c r="B205" t="s">
        <v>233</v>
      </c>
      <c r="C205" t="s">
        <v>267</v>
      </c>
      <c r="D205" t="s">
        <v>64</v>
      </c>
      <c r="E205" t="s">
        <v>69</v>
      </c>
      <c r="F205" t="s">
        <v>65</v>
      </c>
      <c r="N205" t="s">
        <v>13</v>
      </c>
      <c r="O205" t="s">
        <v>398</v>
      </c>
      <c r="P205" t="s">
        <v>14</v>
      </c>
    </row>
    <row r="206" spans="4:6" ht="15">
      <c r="D206">
        <v>0.02</v>
      </c>
      <c r="E206">
        <v>0.2</v>
      </c>
      <c r="F206">
        <v>0.3</v>
      </c>
    </row>
    <row r="207" spans="4:6" ht="15">
      <c r="D207">
        <v>0.02</v>
      </c>
      <c r="E207">
        <v>0.1</v>
      </c>
      <c r="F207">
        <v>0.15</v>
      </c>
    </row>
    <row r="208" spans="1:15" ht="15">
      <c r="A208" t="s">
        <v>409</v>
      </c>
      <c r="B208" t="s">
        <v>233</v>
      </c>
      <c r="C208" t="s">
        <v>409</v>
      </c>
      <c r="D208" t="s">
        <v>64</v>
      </c>
      <c r="E208" t="s">
        <v>69</v>
      </c>
      <c r="F208" t="s">
        <v>65</v>
      </c>
      <c r="N208" t="s">
        <v>13</v>
      </c>
      <c r="O208" t="s">
        <v>14</v>
      </c>
    </row>
    <row r="209" spans="4:6" ht="15">
      <c r="D209">
        <v>0.01</v>
      </c>
      <c r="E209">
        <v>0.05</v>
      </c>
      <c r="F209">
        <v>0.05</v>
      </c>
    </row>
    <row r="211" spans="1:15" ht="15">
      <c r="A211" t="s">
        <v>410</v>
      </c>
      <c r="B211" t="s">
        <v>233</v>
      </c>
      <c r="C211" t="s">
        <v>410</v>
      </c>
      <c r="D211" t="s">
        <v>64</v>
      </c>
      <c r="E211" t="s">
        <v>69</v>
      </c>
      <c r="F211" t="s">
        <v>65</v>
      </c>
      <c r="N211" t="s">
        <v>13</v>
      </c>
      <c r="O211" t="s">
        <v>14</v>
      </c>
    </row>
    <row r="212" spans="4:6" ht="15">
      <c r="D212">
        <v>0.01</v>
      </c>
      <c r="E212">
        <v>0.05</v>
      </c>
      <c r="F212">
        <v>0.05</v>
      </c>
    </row>
    <row r="214" spans="1:15" ht="15">
      <c r="A214" t="s">
        <v>411</v>
      </c>
      <c r="B214" t="s">
        <v>233</v>
      </c>
      <c r="C214" t="s">
        <v>411</v>
      </c>
      <c r="D214" t="s">
        <v>64</v>
      </c>
      <c r="E214" t="s">
        <v>69</v>
      </c>
      <c r="F214" t="s">
        <v>65</v>
      </c>
      <c r="N214" t="s">
        <v>13</v>
      </c>
      <c r="O214" t="s">
        <v>14</v>
      </c>
    </row>
    <row r="215" spans="4:6" ht="15">
      <c r="D215">
        <v>0.005</v>
      </c>
      <c r="E215">
        <v>0.01</v>
      </c>
      <c r="F215">
        <v>0.01</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8"/>
  <dimension ref="A1:J66"/>
  <sheetViews>
    <sheetView workbookViewId="0" topLeftCell="A1">
      <selection activeCell="C10" sqref="C10"/>
    </sheetView>
  </sheetViews>
  <sheetFormatPr defaultColWidth="9.140625" defaultRowHeight="15"/>
  <cols>
    <col min="1" max="1" width="15.00390625" style="0" bestFit="1" customWidth="1"/>
  </cols>
  <sheetData>
    <row r="1" spans="1:5" ht="15">
      <c r="A1" t="s">
        <v>0</v>
      </c>
      <c r="B1" t="s">
        <v>260</v>
      </c>
      <c r="C1" t="s">
        <v>261</v>
      </c>
      <c r="D1" t="s">
        <v>262</v>
      </c>
      <c r="E1" t="s">
        <v>263</v>
      </c>
    </row>
    <row r="2" spans="1:10" ht="15">
      <c r="A2" t="s">
        <v>169</v>
      </c>
      <c r="B2" s="14">
        <v>5.998768E-05</v>
      </c>
      <c r="C2" s="14">
        <v>5.420319</v>
      </c>
      <c r="D2">
        <v>-0.01506722</v>
      </c>
      <c r="E2">
        <v>0.03539954</v>
      </c>
      <c r="G2" s="14">
        <v>5.038781E-06</v>
      </c>
      <c r="H2" s="14">
        <v>4.768832</v>
      </c>
      <c r="I2">
        <v>-0.01776201</v>
      </c>
      <c r="J2">
        <v>0.03946329</v>
      </c>
    </row>
    <row r="3" spans="1:10" ht="15">
      <c r="A3" t="s">
        <v>170</v>
      </c>
      <c r="B3" s="14">
        <v>5.998768E-05</v>
      </c>
      <c r="C3" s="14">
        <v>5.420319</v>
      </c>
      <c r="D3">
        <v>-0.01506722</v>
      </c>
      <c r="E3">
        <v>0.03539954</v>
      </c>
      <c r="G3" s="14">
        <v>5.038781E-06</v>
      </c>
      <c r="H3" s="14">
        <v>4.768832</v>
      </c>
      <c r="I3">
        <v>-0.01776201</v>
      </c>
      <c r="J3">
        <v>0.03946329</v>
      </c>
    </row>
    <row r="4" spans="1:10" ht="15">
      <c r="A4" t="s">
        <v>15</v>
      </c>
      <c r="B4" s="14">
        <v>2.501429E-05</v>
      </c>
      <c r="C4" s="14">
        <v>4.551282</v>
      </c>
      <c r="D4">
        <v>-0.01193831</v>
      </c>
      <c r="E4">
        <v>0.03469512</v>
      </c>
      <c r="G4">
        <v>0</v>
      </c>
      <c r="H4">
        <v>0</v>
      </c>
      <c r="I4">
        <v>0</v>
      </c>
      <c r="J4">
        <v>0</v>
      </c>
    </row>
    <row r="5" spans="1:10" ht="15">
      <c r="A5" t="s">
        <v>228</v>
      </c>
      <c r="B5">
        <v>0.0001537205</v>
      </c>
      <c r="C5">
        <v>5.4748505007</v>
      </c>
      <c r="D5">
        <v>-0.01445554</v>
      </c>
      <c r="E5">
        <v>0.03432856</v>
      </c>
      <c r="G5" s="14">
        <v>4.092534E-06</v>
      </c>
      <c r="H5" s="14">
        <v>4.84962</v>
      </c>
      <c r="I5">
        <v>-0.01648755</v>
      </c>
      <c r="J5">
        <v>0.03785734</v>
      </c>
    </row>
    <row r="6" spans="1:10" ht="15">
      <c r="A6" t="s">
        <v>229</v>
      </c>
      <c r="B6">
        <v>0.0001537205</v>
      </c>
      <c r="C6">
        <v>5.4748505007</v>
      </c>
      <c r="D6">
        <v>-0.01445554</v>
      </c>
      <c r="E6">
        <v>0.03432856</v>
      </c>
      <c r="G6" s="14">
        <v>4.092534E-06</v>
      </c>
      <c r="H6" s="14">
        <v>4.84962</v>
      </c>
      <c r="I6">
        <v>-0.01648755</v>
      </c>
      <c r="J6">
        <v>0.03785734</v>
      </c>
    </row>
    <row r="7" spans="1:10" ht="15">
      <c r="A7" t="s">
        <v>230</v>
      </c>
      <c r="B7" s="14">
        <v>7.126121E-05</v>
      </c>
      <c r="C7" s="14">
        <v>5.544654</v>
      </c>
      <c r="D7">
        <v>-0.01583111</v>
      </c>
      <c r="E7">
        <v>0.03671128</v>
      </c>
      <c r="G7" s="14">
        <v>1.495897E-05</v>
      </c>
      <c r="H7" s="14">
        <v>4.863192</v>
      </c>
      <c r="I7">
        <v>-0.01891524</v>
      </c>
      <c r="J7">
        <v>0.041195</v>
      </c>
    </row>
    <row r="8" spans="1:10" ht="15">
      <c r="A8" t="s">
        <v>242</v>
      </c>
      <c r="B8" s="14">
        <f>0.000006651967</f>
        <v>6.651967E-06</v>
      </c>
      <c r="C8" s="14">
        <v>4.697544</v>
      </c>
      <c r="D8">
        <v>-0.01299443</v>
      </c>
      <c r="E8">
        <v>0.0355713</v>
      </c>
      <c r="G8">
        <v>0</v>
      </c>
      <c r="H8">
        <v>0</v>
      </c>
      <c r="I8">
        <v>0</v>
      </c>
      <c r="J8">
        <v>0</v>
      </c>
    </row>
    <row r="9" spans="1:10" ht="15">
      <c r="A9" t="s">
        <v>243</v>
      </c>
      <c r="B9" s="14">
        <f>0.000006651967</f>
        <v>6.651967E-06</v>
      </c>
      <c r="C9" s="14">
        <v>4.697544</v>
      </c>
      <c r="D9">
        <v>-0.01299443</v>
      </c>
      <c r="E9">
        <v>0.0355713</v>
      </c>
      <c r="G9">
        <v>0</v>
      </c>
      <c r="H9">
        <v>0</v>
      </c>
      <c r="I9">
        <v>0</v>
      </c>
      <c r="J9">
        <v>0</v>
      </c>
    </row>
    <row r="10" spans="1:10" ht="15">
      <c r="A10" t="s">
        <v>171</v>
      </c>
      <c r="B10" s="14">
        <v>3.396114E-05</v>
      </c>
      <c r="C10" s="14">
        <v>5.289185</v>
      </c>
      <c r="D10">
        <v>-0.01539418</v>
      </c>
      <c r="E10">
        <v>0.0362185</v>
      </c>
      <c r="G10" s="14">
        <v>4.388899E-06</v>
      </c>
      <c r="H10" s="14">
        <v>4.999633</v>
      </c>
      <c r="I10">
        <v>-0.01814539</v>
      </c>
      <c r="J10">
        <v>0.03927552</v>
      </c>
    </row>
    <row r="11" spans="1:10" ht="15">
      <c r="A11" t="s">
        <v>172</v>
      </c>
      <c r="B11" s="14">
        <v>3.396114E-05</v>
      </c>
      <c r="C11" s="14">
        <v>5.289185</v>
      </c>
      <c r="D11">
        <v>-0.01539418</v>
      </c>
      <c r="E11">
        <v>0.0362185</v>
      </c>
      <c r="G11" s="14">
        <v>4.388899E-06</v>
      </c>
      <c r="H11" s="14">
        <v>4.999633</v>
      </c>
      <c r="I11">
        <v>-0.01814539</v>
      </c>
      <c r="J11">
        <v>0.03927552</v>
      </c>
    </row>
    <row r="12" spans="1:10" ht="15">
      <c r="A12" t="s">
        <v>173</v>
      </c>
      <c r="B12" s="14">
        <v>3.396114E-05</v>
      </c>
      <c r="C12" s="14">
        <v>5.289185</v>
      </c>
      <c r="D12">
        <v>-0.01539418</v>
      </c>
      <c r="E12">
        <v>0.0362185</v>
      </c>
      <c r="G12" s="14">
        <v>4.388899E-06</v>
      </c>
      <c r="H12" s="14">
        <v>4.999633</v>
      </c>
      <c r="I12">
        <v>-0.01814539</v>
      </c>
      <c r="J12">
        <v>0.03927552</v>
      </c>
    </row>
    <row r="13" spans="1:10" ht="15">
      <c r="A13" t="s">
        <v>174</v>
      </c>
      <c r="B13" s="14">
        <v>3.396114E-05</v>
      </c>
      <c r="C13" s="14">
        <v>5.289185</v>
      </c>
      <c r="D13">
        <v>-0.01539418</v>
      </c>
      <c r="E13">
        <v>0.0362185</v>
      </c>
      <c r="G13" s="14">
        <v>4.388899E-06</v>
      </c>
      <c r="H13" s="14">
        <v>4.999633</v>
      </c>
      <c r="I13">
        <v>-0.01814539</v>
      </c>
      <c r="J13">
        <v>0.03927552</v>
      </c>
    </row>
    <row r="14" spans="1:10" ht="15">
      <c r="A14" t="s">
        <v>264</v>
      </c>
      <c r="B14" s="14">
        <v>9.611837E-05</v>
      </c>
      <c r="C14" s="14">
        <v>4.920379</v>
      </c>
      <c r="D14">
        <v>-0.01353718</v>
      </c>
      <c r="E14">
        <v>0.03603312</v>
      </c>
      <c r="G14" s="14">
        <v>3.15774E-06</v>
      </c>
      <c r="H14" s="14">
        <v>4.665823</v>
      </c>
      <c r="I14">
        <v>-0.01989389</v>
      </c>
      <c r="J14">
        <v>0.04245139</v>
      </c>
    </row>
    <row r="15" spans="1:5" ht="15">
      <c r="A15" t="s">
        <v>18</v>
      </c>
      <c r="B15" s="14">
        <v>2.660505E-06</v>
      </c>
      <c r="C15" s="14">
        <v>5.219269</v>
      </c>
      <c r="D15">
        <v>-0.01639837</v>
      </c>
      <c r="E15">
        <v>0.03858323</v>
      </c>
    </row>
    <row r="16" spans="1:10" ht="15">
      <c r="A16" t="s">
        <v>181</v>
      </c>
      <c r="B16" s="14">
        <v>1.46691E-06</v>
      </c>
      <c r="C16" s="14">
        <v>5.867369</v>
      </c>
      <c r="D16">
        <v>-0.0204049</v>
      </c>
      <c r="E16">
        <v>0.0422826</v>
      </c>
      <c r="G16" s="14">
        <v>6.048154E-07</v>
      </c>
      <c r="H16" s="14">
        <v>5.319588</v>
      </c>
      <c r="I16">
        <v>-0.02292666</v>
      </c>
      <c r="J16">
        <v>0.04425772</v>
      </c>
    </row>
    <row r="17" spans="1:10" ht="15">
      <c r="A17" t="s">
        <v>182</v>
      </c>
      <c r="B17" s="14">
        <v>1.46691E-06</v>
      </c>
      <c r="C17" s="14">
        <v>5.867369</v>
      </c>
      <c r="D17">
        <v>-0.0204049</v>
      </c>
      <c r="E17">
        <v>0.0422826</v>
      </c>
      <c r="G17" s="14">
        <v>6.048154E-07</v>
      </c>
      <c r="H17" s="14">
        <v>5.319588</v>
      </c>
      <c r="I17">
        <v>-0.02292666</v>
      </c>
      <c r="J17">
        <v>0.04425772</v>
      </c>
    </row>
    <row r="18" spans="1:10" ht="15">
      <c r="A18" t="s">
        <v>9</v>
      </c>
      <c r="B18" s="14">
        <v>2.871939E-05</v>
      </c>
      <c r="C18" s="14">
        <v>5.43251</v>
      </c>
      <c r="D18">
        <v>-0.01627649</v>
      </c>
      <c r="E18">
        <v>0.03760347</v>
      </c>
      <c r="G18" s="14">
        <v>3.780096E-06</v>
      </c>
      <c r="H18" s="14">
        <v>4.539292</v>
      </c>
      <c r="I18">
        <v>-0.01882373</v>
      </c>
      <c r="J18">
        <v>0.04100848</v>
      </c>
    </row>
    <row r="19" spans="1:10" ht="15">
      <c r="A19" t="s">
        <v>185</v>
      </c>
      <c r="B19" s="14">
        <v>4.356501E-07</v>
      </c>
      <c r="C19" s="14">
        <v>4.932968</v>
      </c>
      <c r="D19">
        <v>-0.01496315</v>
      </c>
      <c r="E19">
        <v>0.03751122</v>
      </c>
      <c r="G19">
        <v>0</v>
      </c>
      <c r="H19">
        <v>0</v>
      </c>
      <c r="I19">
        <v>0</v>
      </c>
      <c r="J19">
        <v>0</v>
      </c>
    </row>
    <row r="20" spans="1:10" ht="15">
      <c r="A20" t="s">
        <v>186</v>
      </c>
      <c r="B20" s="14">
        <v>4.356501E-07</v>
      </c>
      <c r="C20" s="14">
        <v>4.932968</v>
      </c>
      <c r="D20">
        <v>-0.01496315</v>
      </c>
      <c r="E20">
        <v>0.03751122</v>
      </c>
      <c r="G20">
        <v>0</v>
      </c>
      <c r="H20">
        <v>0</v>
      </c>
      <c r="I20">
        <v>0</v>
      </c>
      <c r="J20">
        <v>0</v>
      </c>
    </row>
    <row r="21" spans="1:10" ht="15">
      <c r="A21" t="s">
        <v>187</v>
      </c>
      <c r="B21" s="14">
        <v>4.356501E-07</v>
      </c>
      <c r="C21" s="14">
        <v>4.932968</v>
      </c>
      <c r="D21">
        <v>-0.01496315</v>
      </c>
      <c r="E21">
        <v>0.03751122</v>
      </c>
      <c r="G21">
        <v>0</v>
      </c>
      <c r="H21">
        <v>0</v>
      </c>
      <c r="I21">
        <v>0</v>
      </c>
      <c r="J21">
        <v>0</v>
      </c>
    </row>
    <row r="22" spans="1:10" ht="15">
      <c r="A22" t="s">
        <v>188</v>
      </c>
      <c r="B22" s="14">
        <v>4.356501E-07</v>
      </c>
      <c r="C22" s="14">
        <v>4.932968</v>
      </c>
      <c r="D22">
        <v>-0.01496315</v>
      </c>
      <c r="E22">
        <v>0.03751122</v>
      </c>
      <c r="G22">
        <v>0</v>
      </c>
      <c r="H22">
        <v>0</v>
      </c>
      <c r="I22">
        <v>0</v>
      </c>
      <c r="J22">
        <v>0</v>
      </c>
    </row>
    <row r="23" spans="1:10" ht="15">
      <c r="A23" t="s">
        <v>189</v>
      </c>
      <c r="B23" s="14">
        <v>4.356501E-07</v>
      </c>
      <c r="C23" s="14">
        <v>4.932968</v>
      </c>
      <c r="D23">
        <v>-0.01496315</v>
      </c>
      <c r="E23">
        <v>0.03751122</v>
      </c>
      <c r="G23">
        <v>0</v>
      </c>
      <c r="H23">
        <v>0</v>
      </c>
      <c r="I23">
        <v>0</v>
      </c>
      <c r="J23">
        <v>0</v>
      </c>
    </row>
    <row r="24" spans="1:10" ht="15">
      <c r="A24" t="s">
        <v>190</v>
      </c>
      <c r="B24" s="14">
        <v>4.356501E-07</v>
      </c>
      <c r="C24" s="14">
        <v>4.932968</v>
      </c>
      <c r="D24">
        <v>-0.01496315</v>
      </c>
      <c r="E24">
        <v>0.03751122</v>
      </c>
      <c r="G24">
        <v>0</v>
      </c>
      <c r="H24">
        <v>0</v>
      </c>
      <c r="I24">
        <v>0</v>
      </c>
      <c r="J24">
        <v>0</v>
      </c>
    </row>
    <row r="25" spans="1:10" ht="15">
      <c r="A25" t="s">
        <v>191</v>
      </c>
      <c r="B25" s="14">
        <v>4.356501E-07</v>
      </c>
      <c r="C25" s="14">
        <v>4.932968</v>
      </c>
      <c r="D25">
        <v>-0.01496315</v>
      </c>
      <c r="E25">
        <v>0.03751122</v>
      </c>
      <c r="G25">
        <v>0</v>
      </c>
      <c r="H25">
        <v>0</v>
      </c>
      <c r="I25">
        <v>0</v>
      </c>
      <c r="J25">
        <v>0</v>
      </c>
    </row>
    <row r="26" spans="1:10" ht="15">
      <c r="A26" t="s">
        <v>192</v>
      </c>
      <c r="B26" s="14">
        <v>4.356501E-07</v>
      </c>
      <c r="C26" s="14">
        <v>4.932968</v>
      </c>
      <c r="D26">
        <v>-0.01496315</v>
      </c>
      <c r="E26">
        <v>0.03751122</v>
      </c>
      <c r="G26">
        <v>0</v>
      </c>
      <c r="H26">
        <v>0</v>
      </c>
      <c r="I26">
        <v>0</v>
      </c>
      <c r="J26">
        <v>0</v>
      </c>
    </row>
    <row r="27" spans="1:10" ht="15">
      <c r="A27" t="s">
        <v>175</v>
      </c>
      <c r="B27" s="14">
        <v>6.85237E-06</v>
      </c>
      <c r="C27" s="14">
        <v>5.219463</v>
      </c>
      <c r="D27">
        <v>-0.01519506</v>
      </c>
      <c r="E27">
        <v>0.03677006</v>
      </c>
      <c r="G27" s="14">
        <v>8.794234E-07</v>
      </c>
      <c r="H27" s="14">
        <v>5.368643</v>
      </c>
      <c r="I27">
        <v>-0.02233176</v>
      </c>
      <c r="J27">
        <v>0.04306012</v>
      </c>
    </row>
    <row r="28" spans="1:10" ht="15">
      <c r="A28" t="s">
        <v>176</v>
      </c>
      <c r="B28" s="14">
        <v>6.85237E-06</v>
      </c>
      <c r="C28" s="14">
        <v>5.219463</v>
      </c>
      <c r="D28">
        <v>-0.01519506</v>
      </c>
      <c r="E28">
        <v>0.03677006</v>
      </c>
      <c r="G28" s="14">
        <v>8.794234E-07</v>
      </c>
      <c r="H28" s="14">
        <v>5.368643</v>
      </c>
      <c r="I28">
        <v>-0.02233176</v>
      </c>
      <c r="J28">
        <v>0.04306012</v>
      </c>
    </row>
    <row r="29" spans="1:10" ht="15">
      <c r="A29" t="s">
        <v>40</v>
      </c>
      <c r="B29" s="14">
        <v>5.647926E-05</v>
      </c>
      <c r="C29" s="14">
        <v>4.737025</v>
      </c>
      <c r="D29">
        <v>-0.01319548</v>
      </c>
      <c r="E29">
        <v>0.03562674</v>
      </c>
      <c r="G29" s="14">
        <v>5.862523E-07</v>
      </c>
      <c r="H29" s="14">
        <v>4.615687</v>
      </c>
      <c r="I29">
        <v>-0.01836049</v>
      </c>
      <c r="J29">
        <v>0.03965488</v>
      </c>
    </row>
    <row r="30" spans="1:5" ht="15">
      <c r="A30" t="s">
        <v>245</v>
      </c>
      <c r="B30" s="14">
        <v>5.860041E-06</v>
      </c>
      <c r="C30" s="14">
        <v>5.087365</v>
      </c>
      <c r="D30">
        <v>-0.01475462</v>
      </c>
      <c r="E30">
        <v>0.0369731</v>
      </c>
    </row>
    <row r="31" spans="1:5" ht="15">
      <c r="A31" t="s">
        <v>16</v>
      </c>
      <c r="B31" s="14">
        <v>6.647441E-06</v>
      </c>
      <c r="C31" s="14">
        <v>5.937923</v>
      </c>
      <c r="D31">
        <v>-0.0202459</v>
      </c>
      <c r="E31">
        <v>0.04128762</v>
      </c>
    </row>
    <row r="32" spans="1:10" ht="15">
      <c r="A32" t="s">
        <v>265</v>
      </c>
      <c r="B32" s="14">
        <v>3.049723E-05</v>
      </c>
      <c r="C32" s="14">
        <v>4.880218</v>
      </c>
      <c r="D32">
        <v>-0.01367915</v>
      </c>
      <c r="E32">
        <v>0.03601296</v>
      </c>
      <c r="G32" s="14">
        <v>1.064122E-06</v>
      </c>
      <c r="H32" s="14">
        <v>5.044696</v>
      </c>
      <c r="I32">
        <v>-0.0207859</v>
      </c>
      <c r="J32">
        <v>0.0419604</v>
      </c>
    </row>
    <row r="33" spans="1:10" ht="15">
      <c r="A33" t="s">
        <v>266</v>
      </c>
      <c r="B33" s="14">
        <v>4.79048E-07</v>
      </c>
      <c r="C33" s="14">
        <v>7.33839</v>
      </c>
      <c r="D33">
        <v>-0.02716523</v>
      </c>
      <c r="E33">
        <v>0.04995274</v>
      </c>
      <c r="G33" s="14">
        <v>6.040088E-06</v>
      </c>
      <c r="H33" s="14">
        <v>4.655123</v>
      </c>
      <c r="I33">
        <v>-0.01992079</v>
      </c>
      <c r="J33">
        <v>0.04259745</v>
      </c>
    </row>
    <row r="34" spans="1:10" ht="15">
      <c r="A34" t="s">
        <v>267</v>
      </c>
      <c r="B34" s="14">
        <v>4.79048E-07</v>
      </c>
      <c r="C34" s="14">
        <v>7.33839</v>
      </c>
      <c r="D34">
        <v>-0.02716523</v>
      </c>
      <c r="E34">
        <v>0.04995274</v>
      </c>
      <c r="G34" s="14">
        <v>6.040088E-06</v>
      </c>
      <c r="H34" s="14">
        <v>4.655123</v>
      </c>
      <c r="I34">
        <v>-0.01992079</v>
      </c>
      <c r="J34">
        <v>0.04259745</v>
      </c>
    </row>
    <row r="35" spans="1:10" ht="15">
      <c r="A35" t="s">
        <v>268</v>
      </c>
      <c r="B35" s="14">
        <v>3.029022E-06</v>
      </c>
      <c r="C35" s="14">
        <v>4.982912</v>
      </c>
      <c r="D35">
        <v>-0.01486951</v>
      </c>
      <c r="E35">
        <v>0.03685931</v>
      </c>
      <c r="G35" s="14">
        <v>8.1848E-08</v>
      </c>
      <c r="H35" s="14">
        <v>5.817873</v>
      </c>
      <c r="I35">
        <v>-0.02453822</v>
      </c>
      <c r="J35">
        <v>0.04444437</v>
      </c>
    </row>
    <row r="36" spans="1:10" ht="15">
      <c r="A36" t="s">
        <v>269</v>
      </c>
      <c r="B36" s="14">
        <v>3.029022E-06</v>
      </c>
      <c r="C36" s="14">
        <v>4.982912</v>
      </c>
      <c r="D36">
        <v>-0.01486951</v>
      </c>
      <c r="E36">
        <v>0.03685931</v>
      </c>
      <c r="G36" s="14">
        <v>8.1848E-08</v>
      </c>
      <c r="H36" s="14">
        <v>5.817873</v>
      </c>
      <c r="I36">
        <v>-0.02453822</v>
      </c>
      <c r="J36">
        <v>0.04444437</v>
      </c>
    </row>
    <row r="37" spans="1:10" ht="15">
      <c r="A37" t="s">
        <v>17</v>
      </c>
      <c r="B37" s="14">
        <v>6.955593E-07</v>
      </c>
      <c r="C37" s="14">
        <v>5.015064</v>
      </c>
      <c r="D37">
        <v>-0.01580269</v>
      </c>
      <c r="E37">
        <v>0.03812844</v>
      </c>
      <c r="G37">
        <v>0</v>
      </c>
      <c r="H37">
        <v>0</v>
      </c>
      <c r="I37">
        <v>0</v>
      </c>
      <c r="J37">
        <v>0</v>
      </c>
    </row>
    <row r="38" spans="1:10" ht="15">
      <c r="A38" t="s">
        <v>223</v>
      </c>
      <c r="B38" s="14">
        <v>1.176874E-05</v>
      </c>
      <c r="C38" s="14">
        <v>5.006123</v>
      </c>
      <c r="D38">
        <v>-0.01476865</v>
      </c>
      <c r="E38">
        <v>0.03705931</v>
      </c>
      <c r="G38" s="14">
        <v>1.392908E-06</v>
      </c>
      <c r="H38" s="14">
        <v>4.61789</v>
      </c>
      <c r="I38">
        <v>-0.01926796</v>
      </c>
      <c r="J38">
        <v>0.04133742</v>
      </c>
    </row>
    <row r="39" spans="1:10" ht="15">
      <c r="A39" t="s">
        <v>224</v>
      </c>
      <c r="B39" s="14">
        <v>1.176874E-05</v>
      </c>
      <c r="C39" s="14">
        <v>5.006123</v>
      </c>
      <c r="D39">
        <v>-0.01476865</v>
      </c>
      <c r="E39">
        <v>0.03705931</v>
      </c>
      <c r="G39" s="14">
        <v>1.392908E-06</v>
      </c>
      <c r="H39" s="14">
        <v>4.61789</v>
      </c>
      <c r="I39">
        <v>-0.01926796</v>
      </c>
      <c r="J39">
        <v>0.04133742</v>
      </c>
    </row>
    <row r="40" spans="1:10" ht="15">
      <c r="A40" t="s">
        <v>225</v>
      </c>
      <c r="B40" s="14">
        <v>1.176874E-05</v>
      </c>
      <c r="C40" s="14">
        <v>5.006123</v>
      </c>
      <c r="D40">
        <v>-0.01476865</v>
      </c>
      <c r="E40">
        <v>0.03705931</v>
      </c>
      <c r="G40" s="14">
        <v>1.392908E-06</v>
      </c>
      <c r="H40" s="14">
        <v>4.61789</v>
      </c>
      <c r="I40">
        <v>-0.01926796</v>
      </c>
      <c r="J40">
        <v>0.04133742</v>
      </c>
    </row>
    <row r="41" spans="1:10" ht="15">
      <c r="A41" t="s">
        <v>10</v>
      </c>
      <c r="B41" s="14">
        <v>6.199258E-06</v>
      </c>
      <c r="C41" s="14">
        <v>5.248903</v>
      </c>
      <c r="D41">
        <v>-0.01632791</v>
      </c>
      <c r="E41">
        <v>0.03851205</v>
      </c>
      <c r="G41" s="14">
        <v>1.584229E-06</v>
      </c>
      <c r="H41" s="14">
        <v>4.616443</v>
      </c>
      <c r="I41">
        <v>-0.01924162</v>
      </c>
      <c r="J41">
        <v>0.04131635</v>
      </c>
    </row>
    <row r="42" spans="1:10" ht="15">
      <c r="A42" t="s">
        <v>203</v>
      </c>
      <c r="B42" s="14">
        <v>0</v>
      </c>
      <c r="C42" s="14">
        <v>0</v>
      </c>
      <c r="D42">
        <v>0</v>
      </c>
      <c r="E42">
        <v>0</v>
      </c>
      <c r="G42">
        <v>0</v>
      </c>
      <c r="H42">
        <v>0</v>
      </c>
      <c r="I42">
        <v>0</v>
      </c>
      <c r="J42">
        <v>0</v>
      </c>
    </row>
    <row r="43" spans="1:10" ht="15">
      <c r="A43" t="s">
        <v>204</v>
      </c>
      <c r="B43" s="14">
        <v>0</v>
      </c>
      <c r="C43" s="14">
        <v>0</v>
      </c>
      <c r="D43">
        <v>0</v>
      </c>
      <c r="E43">
        <v>0</v>
      </c>
      <c r="G43">
        <v>0</v>
      </c>
      <c r="H43">
        <v>0</v>
      </c>
      <c r="I43">
        <v>0</v>
      </c>
      <c r="J43">
        <v>0</v>
      </c>
    </row>
    <row r="44" spans="1:10" ht="15">
      <c r="A44" t="s">
        <v>23</v>
      </c>
      <c r="B44" s="14">
        <v>0</v>
      </c>
      <c r="C44" s="14">
        <v>0</v>
      </c>
      <c r="D44">
        <v>0</v>
      </c>
      <c r="E44">
        <v>0</v>
      </c>
      <c r="G44">
        <v>0</v>
      </c>
      <c r="H44">
        <v>0</v>
      </c>
      <c r="I44">
        <v>0</v>
      </c>
      <c r="J44">
        <v>0</v>
      </c>
    </row>
    <row r="45" spans="1:10" ht="15">
      <c r="A45" t="s">
        <v>179</v>
      </c>
      <c r="B45" s="14">
        <v>8.267111E-06</v>
      </c>
      <c r="C45" s="14">
        <v>4.748876</v>
      </c>
      <c r="D45">
        <v>-0.01330022</v>
      </c>
      <c r="E45">
        <v>0.03461447</v>
      </c>
      <c r="G45" s="14">
        <v>2.069063E-07</v>
      </c>
      <c r="H45" s="14">
        <v>4.641718</v>
      </c>
      <c r="I45">
        <v>-0.01988352</v>
      </c>
      <c r="J45">
        <v>0.04251766</v>
      </c>
    </row>
    <row r="46" spans="1:10" ht="15">
      <c r="A46" t="s">
        <v>41</v>
      </c>
      <c r="B46" s="14">
        <v>8.267111E-06</v>
      </c>
      <c r="C46" s="14">
        <v>4.748876</v>
      </c>
      <c r="D46">
        <v>-0.01330022</v>
      </c>
      <c r="E46">
        <v>0.03461447</v>
      </c>
      <c r="G46" s="14">
        <v>2.069063E-07</v>
      </c>
      <c r="H46" s="14">
        <v>4.641718</v>
      </c>
      <c r="I46">
        <v>-0.01988352</v>
      </c>
      <c r="J46">
        <v>0.04251766</v>
      </c>
    </row>
    <row r="47" spans="1:10" ht="15">
      <c r="A47" t="s">
        <v>19</v>
      </c>
      <c r="B47" s="14">
        <v>8.267111E-06</v>
      </c>
      <c r="C47" s="14">
        <v>4.748876</v>
      </c>
      <c r="D47">
        <v>-0.01330022</v>
      </c>
      <c r="E47">
        <v>0.03461447</v>
      </c>
      <c r="G47" s="14">
        <v>2.069063E-07</v>
      </c>
      <c r="H47" s="14">
        <v>4.641718</v>
      </c>
      <c r="I47">
        <v>-0.01988352</v>
      </c>
      <c r="J47">
        <v>0.04251766</v>
      </c>
    </row>
    <row r="48" spans="1:10" ht="15">
      <c r="A48" t="s">
        <v>180</v>
      </c>
      <c r="B48" s="14">
        <v>8.267111E-06</v>
      </c>
      <c r="C48" s="14">
        <v>4.748876</v>
      </c>
      <c r="D48">
        <v>-0.01330022</v>
      </c>
      <c r="E48">
        <v>0.03461447</v>
      </c>
      <c r="G48" s="14">
        <v>2.069063E-07</v>
      </c>
      <c r="H48" s="14">
        <v>4.641718</v>
      </c>
      <c r="I48">
        <v>-0.01988352</v>
      </c>
      <c r="J48">
        <v>0.04251766</v>
      </c>
    </row>
    <row r="49" spans="1:10" ht="15">
      <c r="A49" t="s">
        <v>21</v>
      </c>
      <c r="B49" s="14">
        <v>0</v>
      </c>
      <c r="C49" s="14">
        <v>0</v>
      </c>
      <c r="D49">
        <v>0</v>
      </c>
      <c r="E49">
        <v>0</v>
      </c>
      <c r="G49">
        <v>0</v>
      </c>
      <c r="H49">
        <v>0</v>
      </c>
      <c r="I49">
        <v>0</v>
      </c>
      <c r="J49">
        <v>0</v>
      </c>
    </row>
    <row r="50" spans="1:10" ht="15">
      <c r="A50" t="s">
        <v>22</v>
      </c>
      <c r="B50" s="14">
        <v>0</v>
      </c>
      <c r="C50" s="14">
        <v>0</v>
      </c>
      <c r="D50">
        <v>0</v>
      </c>
      <c r="E50">
        <v>0</v>
      </c>
      <c r="G50">
        <v>0</v>
      </c>
      <c r="H50">
        <v>0</v>
      </c>
      <c r="I50">
        <v>0</v>
      </c>
      <c r="J50">
        <v>0</v>
      </c>
    </row>
    <row r="51" spans="1:10" ht="15">
      <c r="A51" t="s">
        <v>193</v>
      </c>
      <c r="B51" s="14">
        <v>0</v>
      </c>
      <c r="C51" s="14">
        <v>0</v>
      </c>
      <c r="D51">
        <v>0</v>
      </c>
      <c r="E51">
        <v>0</v>
      </c>
      <c r="G51">
        <v>0</v>
      </c>
      <c r="H51">
        <v>0</v>
      </c>
      <c r="I51">
        <v>0</v>
      </c>
      <c r="J51">
        <v>0</v>
      </c>
    </row>
    <row r="52" spans="1:10" ht="15">
      <c r="A52" t="s">
        <v>194</v>
      </c>
      <c r="B52" s="14">
        <v>0</v>
      </c>
      <c r="C52" s="14">
        <v>0</v>
      </c>
      <c r="D52">
        <v>0</v>
      </c>
      <c r="E52">
        <v>0</v>
      </c>
      <c r="G52">
        <v>0</v>
      </c>
      <c r="H52">
        <v>0</v>
      </c>
      <c r="I52">
        <v>0</v>
      </c>
      <c r="J52">
        <v>0</v>
      </c>
    </row>
    <row r="53" spans="1:10" ht="15">
      <c r="A53" t="s">
        <v>195</v>
      </c>
      <c r="B53" s="14">
        <v>0</v>
      </c>
      <c r="C53" s="14">
        <v>0</v>
      </c>
      <c r="D53">
        <v>0</v>
      </c>
      <c r="E53">
        <v>0</v>
      </c>
      <c r="G53">
        <v>0</v>
      </c>
      <c r="H53">
        <v>0</v>
      </c>
      <c r="I53">
        <v>0</v>
      </c>
      <c r="J53">
        <v>0</v>
      </c>
    </row>
    <row r="54" spans="1:10" ht="15">
      <c r="A54" t="s">
        <v>196</v>
      </c>
      <c r="B54" s="14">
        <v>0</v>
      </c>
      <c r="C54" s="14">
        <v>0</v>
      </c>
      <c r="D54">
        <v>0</v>
      </c>
      <c r="E54">
        <v>0</v>
      </c>
      <c r="G54">
        <v>0</v>
      </c>
      <c r="H54">
        <v>0</v>
      </c>
      <c r="I54">
        <v>0</v>
      </c>
      <c r="J54">
        <v>0</v>
      </c>
    </row>
    <row r="55" spans="1:10" ht="15">
      <c r="A55" t="s">
        <v>211</v>
      </c>
      <c r="B55" s="14">
        <v>0</v>
      </c>
      <c r="C55" s="14">
        <v>0</v>
      </c>
      <c r="D55">
        <v>0</v>
      </c>
      <c r="E55">
        <v>0</v>
      </c>
      <c r="G55">
        <v>0</v>
      </c>
      <c r="H55">
        <v>0</v>
      </c>
      <c r="I55">
        <v>0</v>
      </c>
      <c r="J55">
        <v>0</v>
      </c>
    </row>
    <row r="56" spans="1:10" ht="15">
      <c r="A56" t="s">
        <v>24</v>
      </c>
      <c r="B56" s="14">
        <v>0</v>
      </c>
      <c r="C56" s="14">
        <v>0</v>
      </c>
      <c r="D56">
        <v>0</v>
      </c>
      <c r="E56">
        <v>0</v>
      </c>
      <c r="G56">
        <v>0</v>
      </c>
      <c r="H56">
        <v>0</v>
      </c>
      <c r="I56">
        <v>0</v>
      </c>
      <c r="J56">
        <v>0</v>
      </c>
    </row>
    <row r="57" spans="1:10" ht="15">
      <c r="A57" t="s">
        <v>213</v>
      </c>
      <c r="B57" s="14">
        <v>0</v>
      </c>
      <c r="C57" s="14">
        <v>0</v>
      </c>
      <c r="D57">
        <v>0</v>
      </c>
      <c r="E57">
        <v>0</v>
      </c>
      <c r="G57">
        <v>0</v>
      </c>
      <c r="H57">
        <v>0</v>
      </c>
      <c r="I57">
        <v>0</v>
      </c>
      <c r="J57">
        <v>0</v>
      </c>
    </row>
    <row r="58" spans="1:10" ht="15">
      <c r="A58" t="s">
        <v>20</v>
      </c>
      <c r="B58" s="14">
        <v>0</v>
      </c>
      <c r="C58" s="14">
        <v>0</v>
      </c>
      <c r="D58">
        <v>0</v>
      </c>
      <c r="E58">
        <v>0</v>
      </c>
      <c r="G58">
        <v>0</v>
      </c>
      <c r="H58">
        <v>0</v>
      </c>
      <c r="I58">
        <v>0</v>
      </c>
      <c r="J58">
        <v>0</v>
      </c>
    </row>
    <row r="59" spans="1:10" ht="15">
      <c r="A59" t="s">
        <v>177</v>
      </c>
      <c r="B59" s="14">
        <v>0</v>
      </c>
      <c r="C59" s="14">
        <v>0</v>
      </c>
      <c r="D59">
        <v>0</v>
      </c>
      <c r="E59">
        <v>0</v>
      </c>
      <c r="G59">
        <v>0</v>
      </c>
      <c r="H59">
        <v>0</v>
      </c>
      <c r="I59">
        <v>0</v>
      </c>
      <c r="J59">
        <v>0</v>
      </c>
    </row>
    <row r="60" spans="1:10" ht="15">
      <c r="A60" t="s">
        <v>178</v>
      </c>
      <c r="B60" s="14">
        <v>0</v>
      </c>
      <c r="C60" s="14">
        <v>0</v>
      </c>
      <c r="D60">
        <v>0</v>
      </c>
      <c r="E60">
        <v>0</v>
      </c>
      <c r="G60">
        <v>0</v>
      </c>
      <c r="H60">
        <v>0</v>
      </c>
      <c r="I60">
        <v>0</v>
      </c>
      <c r="J60">
        <v>0</v>
      </c>
    </row>
    <row r="61" spans="1:10" ht="15">
      <c r="A61" t="s">
        <v>287</v>
      </c>
      <c r="B61" s="14">
        <v>6.971526E-05</v>
      </c>
      <c r="C61" s="14">
        <v>4.87166</v>
      </c>
      <c r="D61">
        <v>-0.01324155</v>
      </c>
      <c r="E61">
        <v>0.03429069</v>
      </c>
      <c r="G61" s="14">
        <v>1.433007E-06</v>
      </c>
      <c r="H61" s="14">
        <v>5.552933</v>
      </c>
      <c r="I61">
        <v>-0.02223985</v>
      </c>
      <c r="J61">
        <v>0.04249397</v>
      </c>
    </row>
    <row r="62" spans="1:10" ht="15">
      <c r="A62" t="s">
        <v>288</v>
      </c>
      <c r="B62">
        <v>0.0001558704</v>
      </c>
      <c r="C62">
        <v>5.2644320272</v>
      </c>
      <c r="D62">
        <v>-0.01405916</v>
      </c>
      <c r="E62">
        <v>0.03433208</v>
      </c>
      <c r="G62" s="14">
        <v>7.948199E-07</v>
      </c>
      <c r="H62" s="14">
        <v>5.670238</v>
      </c>
      <c r="I62">
        <v>-0.02340531</v>
      </c>
      <c r="J62">
        <v>0.04287788</v>
      </c>
    </row>
    <row r="63" spans="1:10" ht="15">
      <c r="A63" t="s">
        <v>289</v>
      </c>
      <c r="B63">
        <v>0.0001558704</v>
      </c>
      <c r="C63">
        <v>5.2644320272</v>
      </c>
      <c r="D63">
        <v>-0.01405916</v>
      </c>
      <c r="E63">
        <v>0.03433208</v>
      </c>
      <c r="G63" s="14">
        <v>7.948199E-07</v>
      </c>
      <c r="H63" s="14">
        <v>5.670238</v>
      </c>
      <c r="I63">
        <v>-0.02340531</v>
      </c>
      <c r="J63">
        <v>0.04287788</v>
      </c>
    </row>
    <row r="64" spans="1:10" ht="15">
      <c r="A64" t="s">
        <v>409</v>
      </c>
      <c r="B64" s="14">
        <f>4*0.0000001</f>
        <v>4E-07</v>
      </c>
      <c r="C64" s="14">
        <v>4.434366</v>
      </c>
      <c r="D64">
        <v>-0.01092174</v>
      </c>
      <c r="E64">
        <v>0.03134126</v>
      </c>
      <c r="G64">
        <v>0</v>
      </c>
      <c r="H64">
        <v>0</v>
      </c>
      <c r="I64">
        <v>0</v>
      </c>
      <c r="J64">
        <v>0</v>
      </c>
    </row>
    <row r="65" spans="1:10" ht="15">
      <c r="A65" t="s">
        <v>410</v>
      </c>
      <c r="B65" s="14">
        <f>9*0.000001</f>
        <v>9E-06</v>
      </c>
      <c r="C65" s="14">
        <v>4.365937</v>
      </c>
      <c r="D65">
        <v>-0.01039765</v>
      </c>
      <c r="E65">
        <v>0.03204682</v>
      </c>
      <c r="G65">
        <v>0</v>
      </c>
      <c r="H65">
        <v>0</v>
      </c>
      <c r="I65">
        <v>0</v>
      </c>
      <c r="J65">
        <v>0</v>
      </c>
    </row>
    <row r="66" spans="1:10" ht="15">
      <c r="A66" t="s">
        <v>411</v>
      </c>
      <c r="B66" s="14">
        <f>6*0.0000002645505</f>
        <v>1.587303E-06</v>
      </c>
      <c r="C66" s="14">
        <v>4.334357</v>
      </c>
      <c r="D66">
        <v>-0.01028281</v>
      </c>
      <c r="E66">
        <v>0.03228074</v>
      </c>
      <c r="G66">
        <v>0</v>
      </c>
      <c r="H66">
        <v>0</v>
      </c>
      <c r="I66">
        <v>0</v>
      </c>
      <c r="J66">
        <v>0</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0"/>
  <dimension ref="A1:A1"/>
  <sheetViews>
    <sheetView workbookViewId="0" topLeftCell="A1">
      <selection activeCell="I26" sqref="I26"/>
    </sheetView>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3"/>
  <dimension ref="A1:A1"/>
  <sheetViews>
    <sheetView showGridLines="0" showRowColHeaders="0" workbookViewId="0" topLeftCell="A1">
      <selection activeCell="N24" sqref="N24"/>
    </sheetView>
  </sheetViews>
  <sheetFormatPr defaultColWidth="9.140625" defaultRowHeight="15"/>
  <sheetData/>
  <sheetProtection password="D714" sheet="1" objects="1" scenarios="1"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B1"/>
  <sheetViews>
    <sheetView workbookViewId="0" topLeftCell="A1">
      <selection activeCell="D26" sqref="D26"/>
    </sheetView>
  </sheetViews>
  <sheetFormatPr defaultColWidth="9.140625" defaultRowHeight="15"/>
  <sheetData>
    <row r="1" spans="1:2" ht="15">
      <c r="A1" t="s">
        <v>86</v>
      </c>
      <c r="B1" t="s">
        <v>87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4"/>
  <dimension ref="A1:D4"/>
  <sheetViews>
    <sheetView workbookViewId="0" topLeftCell="A1">
      <selection activeCell="D5" sqref="D5"/>
    </sheetView>
  </sheetViews>
  <sheetFormatPr defaultColWidth="9.140625" defaultRowHeight="15"/>
  <cols>
    <col min="4" max="4" width="58.28125" style="0" bestFit="1" customWidth="1"/>
  </cols>
  <sheetData>
    <row r="1" spans="1:4" ht="15">
      <c r="A1" t="s">
        <v>275</v>
      </c>
      <c r="B1" t="s">
        <v>276</v>
      </c>
      <c r="C1" t="s">
        <v>277</v>
      </c>
      <c r="D1" t="s">
        <v>278</v>
      </c>
    </row>
    <row r="2" spans="1:4" ht="15">
      <c r="A2" t="s">
        <v>414</v>
      </c>
      <c r="C2" t="s">
        <v>415</v>
      </c>
      <c r="D2" t="s">
        <v>416</v>
      </c>
    </row>
    <row r="3" spans="1:4" ht="15">
      <c r="A3" t="s">
        <v>417</v>
      </c>
      <c r="B3" s="88">
        <v>41859</v>
      </c>
      <c r="C3" t="s">
        <v>418</v>
      </c>
      <c r="D3" t="s">
        <v>419</v>
      </c>
    </row>
    <row r="4" spans="1:4" ht="15">
      <c r="A4" t="s">
        <v>420</v>
      </c>
      <c r="B4" s="88">
        <v>41891</v>
      </c>
      <c r="C4" t="s">
        <v>418</v>
      </c>
      <c r="D4" t="s">
        <v>421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5">
    <pageSetUpPr fitToPage="1"/>
  </sheetPr>
  <dimension ref="A1:K76"/>
  <sheetViews>
    <sheetView showGridLines="0" showRowColHeaders="0" tabSelected="1" zoomScale="90" zoomScaleNormal="90" workbookViewId="0" topLeftCell="A1">
      <selection activeCell="I50" sqref="I50"/>
    </sheetView>
  </sheetViews>
  <sheetFormatPr defaultColWidth="9.140625" defaultRowHeight="15"/>
  <cols>
    <col min="1" max="10" width="16.57421875" style="90" customWidth="1"/>
    <col min="11" max="11" width="15.7109375" style="90" customWidth="1"/>
    <col min="12" max="16384" width="9.140625" style="90" customWidth="1"/>
  </cols>
  <sheetData>
    <row r="1" spans="1:11" ht="42" customHeight="1" thickBot="1">
      <c r="A1" s="146" t="s">
        <v>424</v>
      </c>
      <c r="B1" s="147"/>
      <c r="C1" s="147"/>
      <c r="D1" s="147"/>
      <c r="E1" s="147"/>
      <c r="F1" s="147"/>
      <c r="G1" s="147"/>
      <c r="H1" s="147"/>
      <c r="I1" s="147"/>
      <c r="J1" s="147"/>
      <c r="K1" s="89" t="s">
        <v>455</v>
      </c>
    </row>
    <row r="2" ht="15">
      <c r="K2" s="91" t="s">
        <v>425</v>
      </c>
    </row>
    <row r="3" ht="15"/>
    <row r="4" ht="15"/>
    <row r="5" spans="1:10" ht="15">
      <c r="A5" s="92" t="s">
        <v>426</v>
      </c>
      <c r="B5" s="92"/>
      <c r="D5" s="93" t="s">
        <v>427</v>
      </c>
      <c r="E5" s="92"/>
      <c r="G5" s="93" t="s">
        <v>428</v>
      </c>
      <c r="H5" s="92"/>
      <c r="I5" s="92"/>
      <c r="J5" s="92"/>
    </row>
    <row r="6" spans="1:10" ht="15">
      <c r="A6" s="94" t="s">
        <v>218</v>
      </c>
      <c r="B6" s="95">
        <v>85</v>
      </c>
      <c r="D6" s="94" t="s">
        <v>158</v>
      </c>
      <c r="E6" s="95">
        <v>3.3</v>
      </c>
      <c r="G6" s="96" t="s">
        <v>429</v>
      </c>
      <c r="H6" s="96" t="s">
        <v>62</v>
      </c>
      <c r="I6" s="96" t="s">
        <v>430</v>
      </c>
      <c r="J6" s="96" t="s">
        <v>431</v>
      </c>
    </row>
    <row r="7" spans="1:10" ht="15">
      <c r="A7" s="94" t="s">
        <v>432</v>
      </c>
      <c r="B7" s="95" t="s">
        <v>456</v>
      </c>
      <c r="D7" s="94" t="s">
        <v>159</v>
      </c>
      <c r="E7" s="95">
        <v>3.3</v>
      </c>
      <c r="G7" s="97" t="s">
        <v>130</v>
      </c>
      <c r="H7" s="98">
        <f>'Power Results'!D4</f>
        <v>0.92</v>
      </c>
      <c r="I7" s="99">
        <f ca="1">'Power Results'!H4+'Power Results'!H9</f>
        <v>1129.1120636132848</v>
      </c>
      <c r="J7" s="99">
        <f ca="1">H7*I7</f>
        <v>1038.7830985242222</v>
      </c>
    </row>
    <row r="8" spans="1:10" ht="15">
      <c r="A8" s="94" t="s">
        <v>60</v>
      </c>
      <c r="B8" s="95" t="s">
        <v>58</v>
      </c>
      <c r="D8" s="94" t="s">
        <v>160</v>
      </c>
      <c r="E8" s="95">
        <v>3.3</v>
      </c>
      <c r="G8" s="97" t="s">
        <v>126</v>
      </c>
      <c r="H8" s="98">
        <f>'Power Results'!D5</f>
        <v>1.15</v>
      </c>
      <c r="I8" s="99">
        <f ca="1">'Power Results'!H5</f>
        <v>4052.7445733336576</v>
      </c>
      <c r="J8" s="99">
        <f aca="true" t="shared" si="0" ref="J8:J17">H8*I8</f>
        <v>4660.656259333706</v>
      </c>
    </row>
    <row r="9" spans="4:10" ht="15">
      <c r="D9" s="94" t="s">
        <v>161</v>
      </c>
      <c r="E9" s="95">
        <v>3.3</v>
      </c>
      <c r="G9" s="97" t="s">
        <v>127</v>
      </c>
      <c r="H9" s="98">
        <f>'Power Results'!D6</f>
        <v>1.15</v>
      </c>
      <c r="I9" s="99">
        <f ca="1">'Power Results'!H6</f>
        <v>1385.0421452962103</v>
      </c>
      <c r="J9" s="99">
        <f ca="1" t="shared" si="0"/>
        <v>1592.7984670906417</v>
      </c>
    </row>
    <row r="10" spans="1:10" ht="15">
      <c r="A10" s="92" t="s">
        <v>433</v>
      </c>
      <c r="B10" s="92"/>
      <c r="D10" s="94" t="s">
        <v>162</v>
      </c>
      <c r="E10" s="95">
        <v>3.3</v>
      </c>
      <c r="G10" s="97" t="s">
        <v>128</v>
      </c>
      <c r="H10" s="98">
        <f>'Power Results'!D7</f>
        <v>1.15</v>
      </c>
      <c r="I10" s="99">
        <f ca="1">'Power Results'!H7</f>
        <v>287.64434278749076</v>
      </c>
      <c r="J10" s="99">
        <f ca="1" t="shared" si="0"/>
        <v>330.79099420561437</v>
      </c>
    </row>
    <row r="11" spans="1:10" ht="15">
      <c r="A11" s="94" t="s">
        <v>232</v>
      </c>
      <c r="B11" s="95" t="s">
        <v>53</v>
      </c>
      <c r="C11" s="100"/>
      <c r="D11" s="94" t="s">
        <v>163</v>
      </c>
      <c r="E11" s="95">
        <v>3.3</v>
      </c>
      <c r="G11" s="97" t="s">
        <v>129</v>
      </c>
      <c r="H11" s="98">
        <f>'Power Results'!D8</f>
        <v>1.15</v>
      </c>
      <c r="I11" s="99">
        <f ca="1">'Power Results'!H8</f>
        <v>32.119340332570204</v>
      </c>
      <c r="J11" s="99">
        <f ca="1" t="shared" si="0"/>
        <v>36.93724138245573</v>
      </c>
    </row>
    <row r="12" spans="1:10" ht="15">
      <c r="A12" s="94" t="s">
        <v>125</v>
      </c>
      <c r="B12" s="95">
        <v>532</v>
      </c>
      <c r="C12" s="100"/>
      <c r="D12" s="94" t="s">
        <v>164</v>
      </c>
      <c r="E12" s="95">
        <v>3.3</v>
      </c>
      <c r="G12" s="97" t="s">
        <v>434</v>
      </c>
      <c r="H12" s="98">
        <f>'Power Results'!D35</f>
        <v>1.5</v>
      </c>
      <c r="I12" s="99">
        <f ca="1">SUM('Power Results'!H35,'Power Results'!H36)</f>
        <v>337.6902255639098</v>
      </c>
      <c r="J12" s="99">
        <f ca="1" t="shared" si="0"/>
        <v>506.5353383458647</v>
      </c>
    </row>
    <row r="13" spans="1:10" ht="15">
      <c r="A13" s="94" t="s">
        <v>435</v>
      </c>
      <c r="B13" s="95">
        <v>2</v>
      </c>
      <c r="C13" s="100"/>
      <c r="D13" s="94" t="s">
        <v>165</v>
      </c>
      <c r="E13" s="95">
        <v>3.3</v>
      </c>
      <c r="G13" s="97" t="s">
        <v>436</v>
      </c>
      <c r="H13" s="98">
        <v>1.8</v>
      </c>
      <c r="I13" s="99">
        <f ca="1">SUM('Power Results'!H24:H31)</f>
        <v>100.03</v>
      </c>
      <c r="J13" s="99">
        <f ca="1" t="shared" si="0"/>
        <v>180.054</v>
      </c>
    </row>
    <row r="14" spans="1:10" ht="15">
      <c r="A14" s="94" t="s">
        <v>437</v>
      </c>
      <c r="B14" s="95">
        <v>32</v>
      </c>
      <c r="C14" s="100"/>
      <c r="D14" s="94" t="s">
        <v>166</v>
      </c>
      <c r="E14" s="95">
        <v>3.3</v>
      </c>
      <c r="G14" s="97" t="s">
        <v>438</v>
      </c>
      <c r="H14" s="98">
        <v>1.8</v>
      </c>
      <c r="I14" s="99">
        <f ca="1">SUM('Power Results'!H14:H23)</f>
        <v>31.610000000000003</v>
      </c>
      <c r="J14" s="99">
        <f ca="1" t="shared" si="0"/>
        <v>56.898</v>
      </c>
    </row>
    <row r="15" spans="1:10" ht="15">
      <c r="A15" s="94" t="s">
        <v>292</v>
      </c>
      <c r="B15" s="95" t="s">
        <v>422</v>
      </c>
      <c r="C15" s="100"/>
      <c r="D15" s="94" t="s">
        <v>167</v>
      </c>
      <c r="E15" s="95">
        <v>3.3</v>
      </c>
      <c r="G15" s="101" t="s">
        <v>439</v>
      </c>
      <c r="H15" s="102">
        <v>3.3</v>
      </c>
      <c r="I15" s="103">
        <f ca="1">SUM('Power Results'!H33:H34)</f>
        <v>20</v>
      </c>
      <c r="J15" s="99">
        <f ca="1" t="shared" si="0"/>
        <v>66</v>
      </c>
    </row>
    <row r="16" spans="4:10" ht="15">
      <c r="D16" s="94" t="s">
        <v>168</v>
      </c>
      <c r="E16" s="95">
        <v>3.3</v>
      </c>
      <c r="G16" s="94" t="s">
        <v>440</v>
      </c>
      <c r="H16" s="96">
        <v>1.8</v>
      </c>
      <c r="I16" s="104">
        <f ca="1">SUM('Power Results'!H10:H13)+'Power Results'!H32+IF('Power Results'!D37=1.8,'Power Results'!H37,0)+IF('Power Results'!D38=1.8,'Power Results'!H38,0)+IF('Power Results'!D39=1.8,'Power Results'!H39,0)+IF('Power Results'!D40=1.8,'Power Results'!H40,0)+IF('Power Results'!D41=1.8,'Power Results'!H41,0)+IF('Power Results'!D42=1.8,'Power Results'!H42,0)+IF('Power Results'!D43=1.8,'Power Results'!H43,0)+IF('Power Results'!D44=1.8,'Power Results'!H44,0)+IF('Power Results'!D45=1.8,'Power Results'!H45,0)+IF('Power Results'!D46=1.8,'Power Results'!H46,0)+IF('Power Results'!D47=1.8,'Power Results'!H47,0)</f>
        <v>387.1184315900217</v>
      </c>
      <c r="J16" s="99">
        <f ca="1" t="shared" si="0"/>
        <v>696.8131768620391</v>
      </c>
    </row>
    <row r="17" spans="1:10" ht="15">
      <c r="A17" s="92" t="s">
        <v>441</v>
      </c>
      <c r="B17" s="92"/>
      <c r="G17" s="105" t="s">
        <v>442</v>
      </c>
      <c r="H17" s="96">
        <v>3.3</v>
      </c>
      <c r="I17" s="104">
        <f ca="1">IF('Power Results'!D37=3.3,'Power Results'!H37,0)+IF('Power Results'!D38=3.3,'Power Results'!H38,0)+IF('Power Results'!D39=3.3,'Power Results'!H39,0)+IF('Power Results'!D40=3.3,'Power Results'!H40,0)+IF('Power Results'!D41=3.3,'Power Results'!H41,0)+IF('Power Results'!D42=3.3,'Power Results'!H42,0)+IF('Power Results'!D43=3.3,'Power Results'!H43,0)+IF('Power Results'!D44=3.3,'Power Results'!H44,0)+IF('Power Results'!D45=3.3,'Power Results'!H45,0)+IF('Power Results'!D46=3.3,'Power Results'!H46,0)+IF('Power Results'!D47=3.3,'Power Results'!H47,0)</f>
        <v>1630.49755</v>
      </c>
      <c r="J17" s="99">
        <f ca="1" t="shared" si="0"/>
        <v>5380.641915</v>
      </c>
    </row>
    <row r="18" spans="1:10" ht="15.75">
      <c r="A18" s="94" t="s">
        <v>443</v>
      </c>
      <c r="B18" s="95" t="s">
        <v>34</v>
      </c>
      <c r="G18" s="148" t="s">
        <v>43</v>
      </c>
      <c r="H18" s="148"/>
      <c r="I18" s="148"/>
      <c r="J18" s="106">
        <f ca="1">SUM(J7:J17)</f>
        <v>14546.908490744541</v>
      </c>
    </row>
    <row r="19" spans="1:10" ht="15">
      <c r="A19" s="94" t="s">
        <v>444</v>
      </c>
      <c r="B19" s="95" t="s">
        <v>34</v>
      </c>
      <c r="G19" s="107"/>
      <c r="H19" s="100"/>
      <c r="I19" s="108"/>
      <c r="J19" s="108"/>
    </row>
    <row r="20" spans="1:10" ht="15">
      <c r="A20" s="94" t="s">
        <v>128</v>
      </c>
      <c r="B20" s="95" t="s">
        <v>34</v>
      </c>
      <c r="G20" s="107"/>
      <c r="H20" s="100"/>
      <c r="I20" s="108"/>
      <c r="J20" s="108"/>
    </row>
    <row r="21" spans="1:10" ht="15">
      <c r="A21" s="94" t="s">
        <v>129</v>
      </c>
      <c r="B21" s="95" t="s">
        <v>34</v>
      </c>
      <c r="G21" s="107"/>
      <c r="H21" s="100"/>
      <c r="I21" s="108"/>
      <c r="J21" s="108"/>
    </row>
    <row r="22" spans="1:2" ht="15">
      <c r="A22" s="94" t="s">
        <v>130</v>
      </c>
      <c r="B22" s="96" t="s">
        <v>35</v>
      </c>
    </row>
    <row r="24" spans="1:11" ht="15">
      <c r="A24" s="92" t="s">
        <v>445</v>
      </c>
      <c r="B24" s="92"/>
      <c r="C24" s="92"/>
      <c r="D24" s="92"/>
      <c r="E24" s="92"/>
      <c r="F24" s="92"/>
      <c r="G24" s="92"/>
      <c r="H24" s="92"/>
      <c r="I24" s="92"/>
      <c r="J24" s="92"/>
      <c r="K24" s="92"/>
    </row>
    <row r="25" spans="1:11" ht="15">
      <c r="A25" s="144" t="s">
        <v>78</v>
      </c>
      <c r="B25" s="144" t="s">
        <v>446</v>
      </c>
      <c r="C25" s="144" t="s">
        <v>1</v>
      </c>
      <c r="D25" s="144" t="s">
        <v>447</v>
      </c>
      <c r="E25" s="149" t="s">
        <v>4</v>
      </c>
      <c r="F25" s="149"/>
      <c r="G25" s="149" t="s">
        <v>63</v>
      </c>
      <c r="H25" s="149"/>
      <c r="I25" s="149"/>
      <c r="J25" s="149"/>
      <c r="K25" s="149"/>
    </row>
    <row r="26" spans="1:11" ht="15">
      <c r="A26" s="144"/>
      <c r="B26" s="144"/>
      <c r="C26" s="144"/>
      <c r="D26" s="144"/>
      <c r="E26" s="98" t="s">
        <v>121</v>
      </c>
      <c r="F26" s="96" t="s">
        <v>448</v>
      </c>
      <c r="G26" s="96" t="s">
        <v>5</v>
      </c>
      <c r="H26" s="96" t="s">
        <v>6</v>
      </c>
      <c r="I26" s="96" t="s">
        <v>270</v>
      </c>
      <c r="J26" s="96" t="s">
        <v>449</v>
      </c>
      <c r="K26" s="96" t="s">
        <v>291</v>
      </c>
    </row>
    <row r="27" spans="1:11" ht="15">
      <c r="A27" s="144" t="s">
        <v>413</v>
      </c>
      <c r="B27" s="94" t="s">
        <v>450</v>
      </c>
      <c r="C27" s="98">
        <f ca="1">'Vayu Power'!F11</f>
        <v>1500</v>
      </c>
      <c r="D27" s="95" t="s">
        <v>457</v>
      </c>
      <c r="E27" s="95" t="s">
        <v>65</v>
      </c>
      <c r="F27" s="95">
        <v>90</v>
      </c>
      <c r="G27" s="95">
        <v>500</v>
      </c>
      <c r="H27" s="95">
        <v>500</v>
      </c>
      <c r="I27" s="109"/>
      <c r="J27" s="109"/>
      <c r="K27" s="109"/>
    </row>
    <row r="28" spans="1:11" ht="15">
      <c r="A28" s="144"/>
      <c r="B28" s="94" t="s">
        <v>451</v>
      </c>
      <c r="C28" s="98">
        <f ca="1">'Vayu Power'!F12</f>
        <v>1500</v>
      </c>
      <c r="D28" s="95" t="s">
        <v>457</v>
      </c>
      <c r="E28" s="95" t="s">
        <v>65</v>
      </c>
      <c r="F28" s="95">
        <v>90</v>
      </c>
      <c r="G28" s="95">
        <v>500</v>
      </c>
      <c r="H28" s="95">
        <v>500</v>
      </c>
      <c r="I28" s="109"/>
      <c r="J28" s="109"/>
      <c r="K28" s="109"/>
    </row>
    <row r="29" spans="1:11" ht="15">
      <c r="A29" s="144" t="s">
        <v>412</v>
      </c>
      <c r="B29" s="94" t="s">
        <v>169</v>
      </c>
      <c r="C29" s="98">
        <f ca="1">'Vayu Power'!F14</f>
        <v>750</v>
      </c>
      <c r="D29" s="95" t="s">
        <v>457</v>
      </c>
      <c r="E29" s="95" t="s">
        <v>65</v>
      </c>
      <c r="F29" s="95">
        <v>90</v>
      </c>
      <c r="G29" s="95">
        <v>500</v>
      </c>
      <c r="H29" s="95">
        <v>500</v>
      </c>
      <c r="I29" s="109"/>
      <c r="J29" s="109"/>
      <c r="K29" s="109"/>
    </row>
    <row r="30" spans="1:11" ht="15">
      <c r="A30" s="144"/>
      <c r="B30" s="94" t="s">
        <v>170</v>
      </c>
      <c r="C30" s="98">
        <f ca="1">'Vayu Power'!F15</f>
        <v>750</v>
      </c>
      <c r="D30" s="95" t="s">
        <v>457</v>
      </c>
      <c r="E30" s="95" t="s">
        <v>65</v>
      </c>
      <c r="F30" s="95">
        <v>90</v>
      </c>
      <c r="G30" s="95">
        <v>500</v>
      </c>
      <c r="H30" s="95">
        <v>500</v>
      </c>
      <c r="I30" s="109"/>
      <c r="J30" s="109"/>
      <c r="K30" s="109"/>
    </row>
    <row r="31" spans="1:11" ht="15">
      <c r="A31" s="96" t="s">
        <v>9</v>
      </c>
      <c r="B31" s="94" t="s">
        <v>9</v>
      </c>
      <c r="C31" s="98">
        <f ca="1">'Vayu Power'!F20</f>
        <v>532</v>
      </c>
      <c r="D31" s="95" t="s">
        <v>457</v>
      </c>
      <c r="E31" s="95" t="s">
        <v>68</v>
      </c>
      <c r="F31" s="95">
        <v>90</v>
      </c>
      <c r="G31" s="95">
        <v>165</v>
      </c>
      <c r="H31" s="95">
        <v>0</v>
      </c>
      <c r="I31" s="109"/>
      <c r="J31" s="109"/>
      <c r="K31" s="109"/>
    </row>
    <row r="32" spans="1:11" ht="15">
      <c r="A32" s="96" t="s">
        <v>452</v>
      </c>
      <c r="B32" s="94" t="s">
        <v>452</v>
      </c>
      <c r="C32" s="98">
        <f ca="1">'Vayu Power'!F21</f>
        <v>532</v>
      </c>
      <c r="D32" s="95" t="s">
        <v>13</v>
      </c>
      <c r="E32" s="95" t="s">
        <v>64</v>
      </c>
      <c r="F32" s="95">
        <v>0</v>
      </c>
      <c r="G32" s="95">
        <v>0</v>
      </c>
      <c r="H32" s="95">
        <v>0</v>
      </c>
      <c r="I32" s="109"/>
      <c r="J32" s="109"/>
      <c r="K32" s="109"/>
    </row>
    <row r="33" spans="1:11" ht="15">
      <c r="A33" s="144" t="s">
        <v>453</v>
      </c>
      <c r="B33" s="94" t="s">
        <v>175</v>
      </c>
      <c r="C33" s="98">
        <f ca="1">'Vayu Power'!F24</f>
        <v>212.8</v>
      </c>
      <c r="D33" s="95" t="s">
        <v>457</v>
      </c>
      <c r="E33" s="95" t="s">
        <v>65</v>
      </c>
      <c r="F33" s="95">
        <v>90</v>
      </c>
      <c r="G33" s="95"/>
      <c r="H33" s="95"/>
      <c r="I33" s="109"/>
      <c r="J33" s="109"/>
      <c r="K33" s="109"/>
    </row>
    <row r="34" spans="1:11" ht="15">
      <c r="A34" s="144"/>
      <c r="B34" s="94" t="s">
        <v>176</v>
      </c>
      <c r="C34" s="98">
        <f ca="1">'Vayu Power'!F25</f>
        <v>212.8</v>
      </c>
      <c r="D34" s="95" t="s">
        <v>457</v>
      </c>
      <c r="E34" s="95" t="s">
        <v>65</v>
      </c>
      <c r="F34" s="95">
        <v>90</v>
      </c>
      <c r="G34" s="95"/>
      <c r="H34" s="95">
        <v>0</v>
      </c>
      <c r="I34" s="109"/>
      <c r="J34" s="109"/>
      <c r="K34" s="109"/>
    </row>
    <row r="35" spans="1:11" ht="15">
      <c r="A35" s="144"/>
      <c r="B35" s="94" t="s">
        <v>205</v>
      </c>
      <c r="C35" s="98">
        <f ca="1">'Vayu Power'!F30</f>
        <v>165</v>
      </c>
      <c r="D35" s="95" t="s">
        <v>457</v>
      </c>
      <c r="E35" s="95" t="s">
        <v>69</v>
      </c>
      <c r="F35" s="95">
        <v>80</v>
      </c>
      <c r="G35" s="109"/>
      <c r="H35" s="95">
        <v>0</v>
      </c>
      <c r="I35" s="95">
        <v>165</v>
      </c>
      <c r="J35" s="95">
        <v>20</v>
      </c>
      <c r="K35" s="109" t="s">
        <v>163</v>
      </c>
    </row>
    <row r="36" spans="1:11" ht="15">
      <c r="A36" s="144"/>
      <c r="B36" s="94" t="s">
        <v>206</v>
      </c>
      <c r="C36" s="98">
        <f ca="1">'Vayu Power'!F31</f>
        <v>165</v>
      </c>
      <c r="D36" s="95" t="s">
        <v>13</v>
      </c>
      <c r="E36" s="95" t="s">
        <v>64</v>
      </c>
      <c r="F36" s="95">
        <v>0</v>
      </c>
      <c r="G36" s="109"/>
      <c r="H36" s="95">
        <v>0</v>
      </c>
      <c r="I36" s="95">
        <v>165</v>
      </c>
      <c r="J36" s="95">
        <v>20</v>
      </c>
      <c r="K36" s="109" t="s">
        <v>158</v>
      </c>
    </row>
    <row r="37" spans="1:11" ht="15">
      <c r="A37" s="144"/>
      <c r="B37" s="94" t="s">
        <v>207</v>
      </c>
      <c r="C37" s="98">
        <f ca="1">'Vayu Power'!F32</f>
        <v>165</v>
      </c>
      <c r="D37" s="95" t="s">
        <v>13</v>
      </c>
      <c r="E37" s="95" t="s">
        <v>64</v>
      </c>
      <c r="F37" s="95">
        <v>0</v>
      </c>
      <c r="G37" s="109"/>
      <c r="H37" s="95">
        <v>0</v>
      </c>
      <c r="I37" s="95">
        <v>165</v>
      </c>
      <c r="J37" s="95">
        <v>20</v>
      </c>
      <c r="K37" s="109" t="s">
        <v>168</v>
      </c>
    </row>
    <row r="38" spans="1:11" ht="15">
      <c r="A38" s="144"/>
      <c r="B38" s="94" t="s">
        <v>208</v>
      </c>
      <c r="C38" s="98">
        <f ca="1">'Vayu Power'!F33</f>
        <v>165</v>
      </c>
      <c r="D38" s="95" t="s">
        <v>13</v>
      </c>
      <c r="E38" s="95" t="s">
        <v>64</v>
      </c>
      <c r="F38" s="95">
        <v>0</v>
      </c>
      <c r="G38" s="109"/>
      <c r="H38" s="95">
        <v>0</v>
      </c>
      <c r="I38" s="95">
        <v>165</v>
      </c>
      <c r="J38" s="95">
        <v>20</v>
      </c>
      <c r="K38" s="95" t="s">
        <v>167</v>
      </c>
    </row>
    <row r="39" spans="1:11" ht="15">
      <c r="A39" s="144"/>
      <c r="B39" s="94" t="s">
        <v>209</v>
      </c>
      <c r="C39" s="98">
        <f ca="1">'Vayu Power'!F34</f>
        <v>165</v>
      </c>
      <c r="D39" s="95" t="s">
        <v>13</v>
      </c>
      <c r="E39" s="95" t="s">
        <v>64</v>
      </c>
      <c r="F39" s="95">
        <v>0</v>
      </c>
      <c r="G39" s="109"/>
      <c r="H39" s="95">
        <v>0</v>
      </c>
      <c r="I39" s="95">
        <v>165</v>
      </c>
      <c r="J39" s="95">
        <v>20</v>
      </c>
      <c r="K39" s="109" t="s">
        <v>164</v>
      </c>
    </row>
    <row r="40" spans="1:11" ht="15">
      <c r="A40" s="144"/>
      <c r="B40" s="94" t="s">
        <v>210</v>
      </c>
      <c r="C40" s="98">
        <f ca="1">'Vayu Power'!F35</f>
        <v>165</v>
      </c>
      <c r="D40" s="95" t="s">
        <v>13</v>
      </c>
      <c r="E40" s="95" t="s">
        <v>64</v>
      </c>
      <c r="F40" s="95">
        <v>0</v>
      </c>
      <c r="G40" s="109"/>
      <c r="H40" s="95">
        <v>0</v>
      </c>
      <c r="I40" s="95">
        <v>165</v>
      </c>
      <c r="J40" s="95">
        <v>20</v>
      </c>
      <c r="K40" s="109" t="s">
        <v>160</v>
      </c>
    </row>
    <row r="41" spans="1:11" ht="15">
      <c r="A41" s="144"/>
      <c r="B41" s="94" t="s">
        <v>10</v>
      </c>
      <c r="C41" s="98">
        <f ca="1">'Vayu Power'!F36</f>
        <v>300</v>
      </c>
      <c r="D41" s="95" t="s">
        <v>457</v>
      </c>
      <c r="E41" s="95" t="s">
        <v>69</v>
      </c>
      <c r="F41" s="95">
        <v>90</v>
      </c>
      <c r="G41" s="95">
        <v>0</v>
      </c>
      <c r="H41" s="95">
        <v>0</v>
      </c>
      <c r="I41" s="109"/>
      <c r="J41" s="109"/>
      <c r="K41" s="109"/>
    </row>
    <row r="42" spans="1:11" ht="15">
      <c r="A42" s="144"/>
      <c r="B42" s="94" t="s">
        <v>15</v>
      </c>
      <c r="C42" s="98">
        <f ca="1">'Vayu Power'!F37</f>
        <v>266</v>
      </c>
      <c r="D42" s="95" t="s">
        <v>457</v>
      </c>
      <c r="E42" s="95" t="s">
        <v>65</v>
      </c>
      <c r="F42" s="95">
        <v>80</v>
      </c>
      <c r="G42" s="95">
        <v>0</v>
      </c>
      <c r="H42" s="95">
        <v>0</v>
      </c>
      <c r="I42" s="109"/>
      <c r="J42" s="109"/>
      <c r="K42" s="109"/>
    </row>
    <row r="43" spans="1:11" ht="15">
      <c r="A43" s="144"/>
      <c r="B43" s="94" t="s">
        <v>199</v>
      </c>
      <c r="C43" s="98">
        <f ca="1">'Vayu Power'!F40</f>
        <v>165</v>
      </c>
      <c r="D43" s="95" t="s">
        <v>13</v>
      </c>
      <c r="E43" s="95" t="s">
        <v>64</v>
      </c>
      <c r="F43" s="95">
        <v>0</v>
      </c>
      <c r="G43" s="95">
        <v>0</v>
      </c>
      <c r="H43" s="109"/>
      <c r="I43" s="95">
        <v>165</v>
      </c>
      <c r="J43" s="95">
        <v>16</v>
      </c>
      <c r="K43" s="109" t="s">
        <v>159</v>
      </c>
    </row>
    <row r="44" spans="1:11" ht="15">
      <c r="A44" s="144"/>
      <c r="B44" s="94" t="s">
        <v>200</v>
      </c>
      <c r="C44" s="98">
        <f ca="1">'Vayu Power'!F41</f>
        <v>165</v>
      </c>
      <c r="D44" s="95" t="s">
        <v>13</v>
      </c>
      <c r="E44" s="95" t="s">
        <v>64</v>
      </c>
      <c r="F44" s="95">
        <v>0</v>
      </c>
      <c r="G44" s="95">
        <v>0</v>
      </c>
      <c r="H44" s="109"/>
      <c r="I44" s="95">
        <v>165</v>
      </c>
      <c r="J44" s="95">
        <v>16</v>
      </c>
      <c r="K44" s="95" t="s">
        <v>158</v>
      </c>
    </row>
    <row r="45" spans="1:11" ht="15">
      <c r="A45" s="144"/>
      <c r="B45" s="94" t="s">
        <v>201</v>
      </c>
      <c r="C45" s="98">
        <f ca="1">'Vayu Power'!F42</f>
        <v>165</v>
      </c>
      <c r="D45" s="95" t="s">
        <v>13</v>
      </c>
      <c r="E45" s="95" t="s">
        <v>64</v>
      </c>
      <c r="F45" s="95">
        <v>0</v>
      </c>
      <c r="G45" s="95">
        <v>0</v>
      </c>
      <c r="H45" s="109"/>
      <c r="I45" s="95">
        <v>165</v>
      </c>
      <c r="J45" s="95">
        <v>16</v>
      </c>
      <c r="K45" s="95" t="s">
        <v>163</v>
      </c>
    </row>
    <row r="46" spans="1:11" ht="15">
      <c r="A46" s="144"/>
      <c r="B46" s="94" t="s">
        <v>202</v>
      </c>
      <c r="C46" s="98">
        <f ca="1">'Vayu Power'!F43</f>
        <v>165</v>
      </c>
      <c r="D46" s="95" t="s">
        <v>13</v>
      </c>
      <c r="E46" s="95" t="s">
        <v>64</v>
      </c>
      <c r="F46" s="95">
        <v>0</v>
      </c>
      <c r="G46" s="95">
        <v>0</v>
      </c>
      <c r="H46" s="109"/>
      <c r="I46" s="95">
        <v>165</v>
      </c>
      <c r="J46" s="109"/>
      <c r="K46" s="109"/>
    </row>
    <row r="47" spans="1:11" ht="15">
      <c r="A47" s="144"/>
      <c r="B47" s="94" t="s">
        <v>23</v>
      </c>
      <c r="C47" s="98">
        <f ca="1">'Vayu Power'!F44</f>
        <v>266</v>
      </c>
      <c r="D47" s="95" t="s">
        <v>13</v>
      </c>
      <c r="E47" s="95" t="s">
        <v>64</v>
      </c>
      <c r="F47" s="95">
        <v>0</v>
      </c>
      <c r="G47" s="95">
        <v>0</v>
      </c>
      <c r="H47" s="95">
        <v>0</v>
      </c>
      <c r="I47" s="109"/>
      <c r="J47" s="109"/>
      <c r="K47" s="109"/>
    </row>
    <row r="48" spans="1:11" ht="15">
      <c r="A48" s="144"/>
      <c r="B48" s="94" t="s">
        <v>197</v>
      </c>
      <c r="C48" s="98">
        <f ca="1">'Vayu Power'!F45</f>
        <v>500</v>
      </c>
      <c r="D48" s="95" t="s">
        <v>13</v>
      </c>
      <c r="E48" s="95" t="s">
        <v>64</v>
      </c>
      <c r="F48" s="95">
        <v>0</v>
      </c>
      <c r="G48" s="95">
        <v>0</v>
      </c>
      <c r="H48" s="109"/>
      <c r="I48" s="95">
        <v>5000</v>
      </c>
      <c r="J48" s="109"/>
      <c r="K48" s="109"/>
    </row>
    <row r="49" spans="1:11" ht="15">
      <c r="A49" s="144"/>
      <c r="B49" s="94" t="s">
        <v>198</v>
      </c>
      <c r="C49" s="98">
        <f ca="1">'Vayu Power'!F46</f>
        <v>500</v>
      </c>
      <c r="D49" s="95" t="s">
        <v>13</v>
      </c>
      <c r="E49" s="95" t="s">
        <v>64</v>
      </c>
      <c r="F49" s="95">
        <v>0</v>
      </c>
      <c r="G49" s="95">
        <v>0</v>
      </c>
      <c r="H49" s="109"/>
      <c r="I49" s="95">
        <v>5000</v>
      </c>
      <c r="J49" s="109"/>
      <c r="K49" s="109"/>
    </row>
    <row r="50" spans="1:11" ht="15">
      <c r="A50" s="144"/>
      <c r="B50" s="94" t="s">
        <v>17</v>
      </c>
      <c r="C50" s="98">
        <f ca="1">'Vayu Power'!F47</f>
        <v>300</v>
      </c>
      <c r="D50" s="95" t="s">
        <v>457</v>
      </c>
      <c r="E50" s="95" t="s">
        <v>69</v>
      </c>
      <c r="F50" s="95">
        <v>100</v>
      </c>
      <c r="G50" s="95">
        <v>0</v>
      </c>
      <c r="H50" s="95">
        <v>0</v>
      </c>
      <c r="I50" s="95">
        <v>3000</v>
      </c>
      <c r="J50" s="109"/>
      <c r="K50" s="109"/>
    </row>
    <row r="51" spans="1:11" ht="15">
      <c r="A51" s="144"/>
      <c r="B51" s="94" t="s">
        <v>181</v>
      </c>
      <c r="C51" s="98">
        <f ca="1">'Vayu Power'!F48</f>
        <v>200</v>
      </c>
      <c r="D51" s="95" t="s">
        <v>13</v>
      </c>
      <c r="E51" s="95" t="s">
        <v>64</v>
      </c>
      <c r="F51" s="95">
        <v>0</v>
      </c>
      <c r="G51" s="109"/>
      <c r="H51" s="109"/>
      <c r="I51" s="109"/>
      <c r="J51" s="109"/>
      <c r="K51" s="109"/>
    </row>
    <row r="52" spans="1:11" ht="15">
      <c r="A52" s="144"/>
      <c r="B52" s="94" t="s">
        <v>182</v>
      </c>
      <c r="C52" s="98">
        <f ca="1">'Vayu Power'!F49</f>
        <v>200</v>
      </c>
      <c r="D52" s="95" t="s">
        <v>13</v>
      </c>
      <c r="E52" s="95" t="s">
        <v>64</v>
      </c>
      <c r="F52" s="95">
        <v>0</v>
      </c>
      <c r="G52" s="109"/>
      <c r="H52" s="109"/>
      <c r="I52" s="109"/>
      <c r="J52" s="109"/>
      <c r="K52" s="109"/>
    </row>
    <row r="53" spans="1:11" ht="15">
      <c r="A53" s="144"/>
      <c r="B53" s="94" t="s">
        <v>183</v>
      </c>
      <c r="C53" s="98">
        <f ca="1">'Vayu Power'!F50</f>
        <v>750</v>
      </c>
      <c r="D53" s="95" t="s">
        <v>457</v>
      </c>
      <c r="E53" s="95" t="s">
        <v>69</v>
      </c>
      <c r="F53" s="95">
        <v>100</v>
      </c>
      <c r="G53" s="95">
        <v>0</v>
      </c>
      <c r="H53" s="95">
        <v>0</v>
      </c>
      <c r="I53" s="95">
        <v>750</v>
      </c>
      <c r="J53" s="109"/>
      <c r="K53" s="109" t="s">
        <v>166</v>
      </c>
    </row>
    <row r="54" spans="1:11" ht="15">
      <c r="A54" s="144"/>
      <c r="B54" s="94" t="s">
        <v>184</v>
      </c>
      <c r="C54" s="98">
        <f ca="1">'Vayu Power'!F51</f>
        <v>750</v>
      </c>
      <c r="D54" s="95" t="s">
        <v>457</v>
      </c>
      <c r="E54" s="95" t="s">
        <v>69</v>
      </c>
      <c r="F54" s="95">
        <v>100</v>
      </c>
      <c r="G54" s="95">
        <v>0</v>
      </c>
      <c r="H54" s="95">
        <v>0</v>
      </c>
      <c r="I54" s="95">
        <v>750</v>
      </c>
      <c r="J54" s="109"/>
      <c r="K54" s="109" t="s">
        <v>158</v>
      </c>
    </row>
    <row r="55" spans="1:11" ht="15">
      <c r="A55" s="144"/>
      <c r="B55" s="94" t="s">
        <v>179</v>
      </c>
      <c r="C55" s="98">
        <f ca="1">'Vayu Power'!F52</f>
        <v>60</v>
      </c>
      <c r="D55" s="95" t="s">
        <v>457</v>
      </c>
      <c r="E55" s="95" t="s">
        <v>69</v>
      </c>
      <c r="F55" s="95">
        <v>100</v>
      </c>
      <c r="G55" s="95">
        <v>0</v>
      </c>
      <c r="H55" s="95">
        <v>0</v>
      </c>
      <c r="I55" s="95">
        <v>480</v>
      </c>
      <c r="J55" s="109"/>
      <c r="K55" s="109"/>
    </row>
    <row r="56" spans="1:11" ht="15">
      <c r="A56" s="144"/>
      <c r="B56" s="94" t="s">
        <v>41</v>
      </c>
      <c r="C56" s="98">
        <f ca="1">'Vayu Power'!F53</f>
        <v>60</v>
      </c>
      <c r="D56" s="95" t="s">
        <v>457</v>
      </c>
      <c r="E56" s="95" t="s">
        <v>69</v>
      </c>
      <c r="F56" s="95">
        <v>100</v>
      </c>
      <c r="G56" s="95">
        <v>0</v>
      </c>
      <c r="H56" s="95">
        <v>0</v>
      </c>
      <c r="I56" s="95">
        <v>480</v>
      </c>
      <c r="J56" s="109"/>
      <c r="K56" s="109"/>
    </row>
    <row r="57" spans="1:11" ht="15">
      <c r="A57" s="144"/>
      <c r="B57" s="94" t="s">
        <v>20</v>
      </c>
      <c r="C57" s="98">
        <f ca="1">'Vayu Power'!F56</f>
        <v>80</v>
      </c>
      <c r="D57" s="95" t="s">
        <v>13</v>
      </c>
      <c r="E57" s="95" t="s">
        <v>64</v>
      </c>
      <c r="F57" s="95">
        <v>0</v>
      </c>
      <c r="G57" s="95">
        <v>0</v>
      </c>
      <c r="H57" s="95">
        <v>0</v>
      </c>
      <c r="I57" s="95">
        <v>80</v>
      </c>
      <c r="J57" s="109"/>
      <c r="K57" s="109" t="s">
        <v>167</v>
      </c>
    </row>
    <row r="58" spans="1:11" ht="15">
      <c r="A58" s="144"/>
      <c r="B58" s="94" t="s">
        <v>177</v>
      </c>
      <c r="C58" s="98">
        <f ca="1">'Vayu Power'!F57</f>
        <v>27</v>
      </c>
      <c r="D58" s="95" t="s">
        <v>13</v>
      </c>
      <c r="E58" s="95" t="s">
        <v>64</v>
      </c>
      <c r="F58" s="95">
        <v>0</v>
      </c>
      <c r="G58" s="109"/>
      <c r="H58" s="109"/>
      <c r="I58" s="109"/>
      <c r="J58" s="109"/>
      <c r="K58" s="109" t="s">
        <v>160</v>
      </c>
    </row>
    <row r="59" spans="1:11" ht="15">
      <c r="A59" s="144"/>
      <c r="B59" s="94" t="s">
        <v>178</v>
      </c>
      <c r="C59" s="98">
        <f ca="1">'Vayu Power'!F58</f>
        <v>27</v>
      </c>
      <c r="D59" s="95" t="s">
        <v>13</v>
      </c>
      <c r="E59" s="95" t="s">
        <v>64</v>
      </c>
      <c r="F59" s="95">
        <v>0</v>
      </c>
      <c r="G59" s="109"/>
      <c r="H59" s="109"/>
      <c r="I59" s="109"/>
      <c r="J59" s="109"/>
      <c r="K59" s="109" t="s">
        <v>160</v>
      </c>
    </row>
    <row r="60" spans="1:11" ht="15">
      <c r="A60" s="144"/>
      <c r="B60" s="94" t="s">
        <v>185</v>
      </c>
      <c r="C60" s="98">
        <f ca="1">'Vayu Power'!F59</f>
        <v>50</v>
      </c>
      <c r="D60" s="95" t="s">
        <v>13</v>
      </c>
      <c r="E60" s="95" t="s">
        <v>64</v>
      </c>
      <c r="F60" s="95">
        <v>0</v>
      </c>
      <c r="G60" s="95">
        <v>0</v>
      </c>
      <c r="H60" s="95">
        <v>0</v>
      </c>
      <c r="I60" s="95">
        <v>50</v>
      </c>
      <c r="J60" s="109"/>
      <c r="K60" s="109" t="s">
        <v>160</v>
      </c>
    </row>
    <row r="61" spans="1:11" ht="15">
      <c r="A61" s="144"/>
      <c r="B61" s="94" t="s">
        <v>186</v>
      </c>
      <c r="C61" s="98">
        <f ca="1">'Vayu Power'!F60</f>
        <v>50</v>
      </c>
      <c r="D61" s="95" t="s">
        <v>13</v>
      </c>
      <c r="E61" s="95" t="s">
        <v>64</v>
      </c>
      <c r="F61" s="95">
        <v>0</v>
      </c>
      <c r="G61" s="95">
        <v>0</v>
      </c>
      <c r="H61" s="95">
        <v>0</v>
      </c>
      <c r="I61" s="95">
        <v>50</v>
      </c>
      <c r="J61" s="109"/>
      <c r="K61" s="109" t="s">
        <v>160</v>
      </c>
    </row>
    <row r="62" spans="1:11" ht="15">
      <c r="A62" s="144"/>
      <c r="B62" s="94" t="s">
        <v>187</v>
      </c>
      <c r="C62" s="98">
        <f ca="1">'Vayu Power'!F61</f>
        <v>50</v>
      </c>
      <c r="D62" s="95" t="s">
        <v>13</v>
      </c>
      <c r="E62" s="95" t="s">
        <v>64</v>
      </c>
      <c r="F62" s="95">
        <v>0</v>
      </c>
      <c r="G62" s="95">
        <v>0</v>
      </c>
      <c r="H62" s="95">
        <v>0</v>
      </c>
      <c r="I62" s="95">
        <v>50</v>
      </c>
      <c r="J62" s="109"/>
      <c r="K62" s="109" t="s">
        <v>160</v>
      </c>
    </row>
    <row r="63" spans="1:11" ht="15">
      <c r="A63" s="144"/>
      <c r="B63" s="94" t="s">
        <v>188</v>
      </c>
      <c r="C63" s="98">
        <f ca="1">'Vayu Power'!F62</f>
        <v>50</v>
      </c>
      <c r="D63" s="95" t="s">
        <v>13</v>
      </c>
      <c r="E63" s="95" t="s">
        <v>64</v>
      </c>
      <c r="F63" s="95">
        <v>0</v>
      </c>
      <c r="G63" s="95">
        <v>0</v>
      </c>
      <c r="H63" s="95">
        <v>0</v>
      </c>
      <c r="I63" s="95">
        <v>50</v>
      </c>
      <c r="J63" s="109"/>
      <c r="K63" s="109" t="s">
        <v>160</v>
      </c>
    </row>
    <row r="64" spans="1:11" ht="15">
      <c r="A64" s="144"/>
      <c r="B64" s="94" t="s">
        <v>189</v>
      </c>
      <c r="C64" s="98">
        <f ca="1">'Vayu Power'!F63</f>
        <v>50</v>
      </c>
      <c r="D64" s="95" t="s">
        <v>13</v>
      </c>
      <c r="E64" s="95" t="s">
        <v>64</v>
      </c>
      <c r="F64" s="95">
        <v>0</v>
      </c>
      <c r="G64" s="95">
        <v>0</v>
      </c>
      <c r="H64" s="95">
        <v>0</v>
      </c>
      <c r="I64" s="95">
        <v>50</v>
      </c>
      <c r="J64" s="109"/>
      <c r="K64" s="109" t="s">
        <v>164</v>
      </c>
    </row>
    <row r="65" spans="1:11" ht="15">
      <c r="A65" s="144"/>
      <c r="B65" s="94" t="s">
        <v>190</v>
      </c>
      <c r="C65" s="98">
        <f ca="1">'Vayu Power'!F64</f>
        <v>50</v>
      </c>
      <c r="D65" s="95" t="s">
        <v>13</v>
      </c>
      <c r="E65" s="95" t="s">
        <v>64</v>
      </c>
      <c r="F65" s="95">
        <v>0</v>
      </c>
      <c r="G65" s="95">
        <v>0</v>
      </c>
      <c r="H65" s="95">
        <v>0</v>
      </c>
      <c r="I65" s="95">
        <v>50</v>
      </c>
      <c r="J65" s="109"/>
      <c r="K65" s="109" t="s">
        <v>160</v>
      </c>
    </row>
    <row r="66" spans="1:11" ht="15">
      <c r="A66" s="144"/>
      <c r="B66" s="94" t="s">
        <v>191</v>
      </c>
      <c r="C66" s="98">
        <f ca="1">'Vayu Power'!F65</f>
        <v>50</v>
      </c>
      <c r="D66" s="95" t="s">
        <v>13</v>
      </c>
      <c r="E66" s="95" t="s">
        <v>64</v>
      </c>
      <c r="F66" s="95">
        <v>0</v>
      </c>
      <c r="G66" s="95">
        <v>0</v>
      </c>
      <c r="H66" s="95">
        <v>0</v>
      </c>
      <c r="I66" s="95">
        <v>50</v>
      </c>
      <c r="J66" s="109"/>
      <c r="K66" s="109" t="s">
        <v>160</v>
      </c>
    </row>
    <row r="67" spans="1:11" ht="15">
      <c r="A67" s="144"/>
      <c r="B67" s="94" t="s">
        <v>192</v>
      </c>
      <c r="C67" s="98">
        <f ca="1">'Vayu Power'!F66</f>
        <v>50</v>
      </c>
      <c r="D67" s="95" t="s">
        <v>13</v>
      </c>
      <c r="E67" s="95" t="s">
        <v>64</v>
      </c>
      <c r="F67" s="95">
        <v>0</v>
      </c>
      <c r="G67" s="95">
        <v>0</v>
      </c>
      <c r="H67" s="95">
        <v>0</v>
      </c>
      <c r="I67" s="95">
        <v>50</v>
      </c>
      <c r="J67" s="109"/>
      <c r="K67" s="109" t="s">
        <v>160</v>
      </c>
    </row>
    <row r="68" spans="1:11" ht="15">
      <c r="A68" s="144"/>
      <c r="B68" s="94" t="s">
        <v>22</v>
      </c>
      <c r="C68" s="98">
        <f ca="1">'Vayu Power'!F68</f>
        <v>66.5</v>
      </c>
      <c r="D68" s="95" t="s">
        <v>457</v>
      </c>
      <c r="E68" s="95" t="s">
        <v>69</v>
      </c>
      <c r="F68" s="95">
        <v>100</v>
      </c>
      <c r="G68" s="95">
        <v>0</v>
      </c>
      <c r="H68" s="95">
        <v>0</v>
      </c>
      <c r="I68" s="95">
        <v>66.5</v>
      </c>
      <c r="J68" s="109"/>
      <c r="K68" s="109" t="s">
        <v>167</v>
      </c>
    </row>
    <row r="69" spans="1:11" ht="15">
      <c r="A69" s="144"/>
      <c r="B69" s="94" t="s">
        <v>193</v>
      </c>
      <c r="C69" s="98">
        <f ca="1">'Vayu Power'!F69</f>
        <v>50</v>
      </c>
      <c r="D69" s="95" t="s">
        <v>457</v>
      </c>
      <c r="E69" s="95" t="s">
        <v>69</v>
      </c>
      <c r="F69" s="95">
        <v>100</v>
      </c>
      <c r="G69" s="95">
        <v>0</v>
      </c>
      <c r="H69" s="95">
        <v>0</v>
      </c>
      <c r="I69" s="95">
        <v>50</v>
      </c>
      <c r="J69" s="109"/>
      <c r="K69" s="109" t="s">
        <v>165</v>
      </c>
    </row>
    <row r="70" spans="1:11" ht="15">
      <c r="A70" s="144"/>
      <c r="B70" s="94" t="s">
        <v>194</v>
      </c>
      <c r="C70" s="98">
        <f ca="1">'Vayu Power'!F70</f>
        <v>50</v>
      </c>
      <c r="D70" s="95" t="s">
        <v>457</v>
      </c>
      <c r="E70" s="95" t="s">
        <v>69</v>
      </c>
      <c r="F70" s="95">
        <v>100</v>
      </c>
      <c r="G70" s="95">
        <v>0</v>
      </c>
      <c r="H70" s="95">
        <v>0</v>
      </c>
      <c r="I70" s="95">
        <v>50</v>
      </c>
      <c r="J70" s="109"/>
      <c r="K70" s="109" t="s">
        <v>168</v>
      </c>
    </row>
    <row r="71" spans="1:11" ht="15">
      <c r="A71" s="144"/>
      <c r="B71" s="94" t="s">
        <v>195</v>
      </c>
      <c r="C71" s="98">
        <f ca="1">'Vayu Power'!F71</f>
        <v>96</v>
      </c>
      <c r="D71" s="95" t="s">
        <v>13</v>
      </c>
      <c r="E71" s="95" t="s">
        <v>64</v>
      </c>
      <c r="F71" s="95">
        <v>0</v>
      </c>
      <c r="G71" s="95">
        <v>0</v>
      </c>
      <c r="H71" s="95">
        <v>0</v>
      </c>
      <c r="I71" s="95">
        <v>96</v>
      </c>
      <c r="J71" s="109"/>
      <c r="K71" s="109" t="s">
        <v>164</v>
      </c>
    </row>
    <row r="72" spans="1:11" ht="15">
      <c r="A72" s="144"/>
      <c r="B72" s="94" t="s">
        <v>196</v>
      </c>
      <c r="C72" s="98">
        <f ca="1">'Vayu Power'!F72</f>
        <v>96</v>
      </c>
      <c r="D72" s="95" t="s">
        <v>13</v>
      </c>
      <c r="E72" s="95" t="s">
        <v>64</v>
      </c>
      <c r="F72" s="95">
        <v>0</v>
      </c>
      <c r="G72" s="95">
        <v>0</v>
      </c>
      <c r="H72" s="95">
        <v>0</v>
      </c>
      <c r="I72" s="95">
        <v>96</v>
      </c>
      <c r="J72" s="109"/>
      <c r="K72" s="109" t="s">
        <v>161</v>
      </c>
    </row>
    <row r="73" spans="1:11" ht="15">
      <c r="A73" s="144"/>
      <c r="B73" s="94" t="s">
        <v>24</v>
      </c>
      <c r="C73" s="98">
        <f ca="1">'Vayu Power'!F73</f>
        <v>10</v>
      </c>
      <c r="D73" s="95" t="s">
        <v>457</v>
      </c>
      <c r="E73" s="95" t="s">
        <v>69</v>
      </c>
      <c r="F73" s="95">
        <v>100</v>
      </c>
      <c r="G73" s="95">
        <v>0</v>
      </c>
      <c r="H73" s="95">
        <v>0</v>
      </c>
      <c r="I73" s="95">
        <v>10</v>
      </c>
      <c r="J73" s="109"/>
      <c r="K73" s="109" t="s">
        <v>160</v>
      </c>
    </row>
    <row r="74" spans="1:11" ht="15">
      <c r="A74" s="144"/>
      <c r="B74" s="94" t="s">
        <v>211</v>
      </c>
      <c r="C74" s="98">
        <f ca="1">'Vayu Power'!F74</f>
        <v>27</v>
      </c>
      <c r="D74" s="95" t="s">
        <v>457</v>
      </c>
      <c r="E74" s="95" t="s">
        <v>69</v>
      </c>
      <c r="F74" s="95">
        <v>100</v>
      </c>
      <c r="G74" s="95">
        <v>0</v>
      </c>
      <c r="H74" s="95">
        <v>0</v>
      </c>
      <c r="I74" s="109"/>
      <c r="J74" s="109"/>
      <c r="K74" s="109" t="s">
        <v>161</v>
      </c>
    </row>
    <row r="76" spans="1:11" ht="57.75" customHeight="1">
      <c r="A76" s="145" t="s">
        <v>454</v>
      </c>
      <c r="B76" s="145"/>
      <c r="C76" s="145"/>
      <c r="D76" s="145"/>
      <c r="E76" s="145"/>
      <c r="F76" s="145"/>
      <c r="G76" s="145"/>
      <c r="H76" s="145"/>
      <c r="I76" s="145"/>
      <c r="J76" s="145"/>
      <c r="K76" s="145"/>
    </row>
  </sheetData>
  <sheetProtection password="D714" sheet="1" objects="1" scenarios="1" selectLockedCells="1"/>
  <mergeCells count="12">
    <mergeCell ref="A27:A28"/>
    <mergeCell ref="A29:A30"/>
    <mergeCell ref="A33:A74"/>
    <mergeCell ref="A76:K76"/>
    <mergeCell ref="A1:J1"/>
    <mergeCell ref="G18:I18"/>
    <mergeCell ref="A25:A26"/>
    <mergeCell ref="B25:B26"/>
    <mergeCell ref="C25:C26"/>
    <mergeCell ref="D25:D26"/>
    <mergeCell ref="E25:F25"/>
    <mergeCell ref="G25:K25"/>
  </mergeCells>
  <dataValidations count="21">
    <dataValidation type="list" allowBlank="1" showInputMessage="1" showErrorMessage="1" sqref="E35:E41 E43:E46 E48:E74">
      <formula1>"idle,typ"</formula1>
    </dataValidation>
    <dataValidation type="list" allowBlank="1" showInputMessage="1" showErrorMessage="1" sqref="E31">
      <formula1>"idle,encode,decode"</formula1>
    </dataValidation>
    <dataValidation type="list" allowBlank="1" showInputMessage="1" showErrorMessage="1" sqref="E29:E30 E32:E34 E42 E47">
      <formula1>"idle,typ,max"</formula1>
    </dataValidation>
    <dataValidation type="list" allowBlank="1" showInputMessage="1" showErrorMessage="1" sqref="E27:E28">
      <formula1>"idle,dhrystone,max"</formula1>
    </dataValidation>
    <dataValidation type="list" allowBlank="1" showInputMessage="1" showErrorMessage="1" sqref="B7">
      <formula1>"Typ, Max"</formula1>
    </dataValidation>
    <dataValidation type="list" allowBlank="1" showInputMessage="1" showErrorMessage="1" sqref="B18:B21">
      <formula1>"OPP_NOM, OPP_OD, OPP_HIGH"</formula1>
    </dataValidation>
    <dataValidation type="list" showInputMessage="1" showErrorMessage="1" sqref="B8">
      <formula1>"None,Class 0"</formula1>
    </dataValidation>
    <dataValidation type="list" showInputMessage="1" showErrorMessage="1" sqref="B11">
      <formula1>"DDR3, DDR3L"</formula1>
    </dataValidation>
    <dataValidation type="list" showInputMessage="1" showErrorMessage="1" sqref="B12">
      <formula1>"303,400,532"</formula1>
    </dataValidation>
    <dataValidation type="list" showInputMessage="1" showErrorMessage="1" sqref="B13">
      <formula1>"1,2"</formula1>
    </dataValidation>
    <dataValidation type="list" showInputMessage="1" showErrorMessage="1" sqref="B14">
      <formula1>"16,32"</formula1>
    </dataValidation>
    <dataValidation type="list" showInputMessage="1" showErrorMessage="1" sqref="B15">
      <formula1>"Yes,No"</formula1>
    </dataValidation>
    <dataValidation type="list" allowBlank="1" showInputMessage="1" showErrorMessage="1" sqref="I48:I49">
      <formula1>"2500,5000"</formula1>
    </dataValidation>
    <dataValidation type="list" allowBlank="1" showInputMessage="1" showErrorMessage="1" sqref="I50">
      <formula1>"1500,3000"</formula1>
    </dataValidation>
    <dataValidation type="list" allowBlank="1" showInputMessage="1" showErrorMessage="1" sqref="D27:D74">
      <formula1>"Enabled, Disabled"</formula1>
    </dataValidation>
    <dataValidation type="list" allowBlank="1" showInputMessage="1" showErrorMessage="1" sqref="E6:E16">
      <formula1>"1.8,3.3"</formula1>
    </dataValidation>
    <dataValidation type="list" allowBlank="1" showInputMessage="1" showErrorMessage="1" sqref="K44">
      <formula1>"VDDSHV1,VDDSHV3"</formula1>
    </dataValidation>
    <dataValidation type="list" allowBlank="1" showInputMessage="1" showErrorMessage="1" sqref="K45">
      <formula1>"VDDSHV6,VDDSHV10"</formula1>
    </dataValidation>
    <dataValidation type="list" allowBlank="1" showInputMessage="1" showErrorMessage="1" sqref="K38">
      <formula1>"VDDSHV10,VDDSHV2, VDDSHV3"</formula1>
    </dataValidation>
    <dataValidation type="whole" allowBlank="1" showInputMessage="1" showErrorMessage="1" errorTitle="Invalid Temperature Value" error="Junction Temperature (Tj) Range_x000a_Commercial: 0C to 90C_x000a_Industrial: -40 to 90_x000a_Extended: -40 to 105" sqref="B6">
      <formula1>-40</formula1>
      <formula2>105</formula2>
    </dataValidation>
    <dataValidation type="whole" allowBlank="1" showInputMessage="1" showErrorMessage="1" errorTitle="Invalid Utilization % Value" error="Enter a whole number between 0 and 100." sqref="F27:F74">
      <formula1>0</formula1>
      <formula2>100</formula2>
    </dataValidation>
  </dataValidations>
  <printOptions/>
  <pageMargins left="0.25" right="0.25" top="0.75" bottom="0.75" header="0.3" footer="0.3"/>
  <pageSetup fitToHeight="1" fitToWidth="1" horizontalDpi="600" verticalDpi="600" orientation="portrait" scale="55"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1:AF127"/>
  <sheetViews>
    <sheetView showFormulas="1" showGridLines="0" zoomScale="50" zoomScaleNormal="50" workbookViewId="0" topLeftCell="A1">
      <selection activeCell="D52" sqref="D52"/>
    </sheetView>
  </sheetViews>
  <sheetFormatPr defaultColWidth="9.140625" defaultRowHeight="15"/>
  <cols>
    <col min="1" max="1" width="2.8515625" style="0" customWidth="1"/>
    <col min="2" max="2" width="23.28125" style="0" customWidth="1"/>
    <col min="3" max="3" width="13.00390625" style="0" bestFit="1" customWidth="1"/>
    <col min="4" max="4" width="24.421875" style="0" bestFit="1" customWidth="1"/>
    <col min="5" max="5" width="17.7109375" style="0" bestFit="1" customWidth="1"/>
    <col min="6" max="6" width="18.421875" style="0" customWidth="1"/>
    <col min="7" max="7" width="9.00390625" style="0" customWidth="1"/>
    <col min="8" max="8" width="16.00390625" style="0" bestFit="1" customWidth="1"/>
    <col min="9" max="9" width="11.421875" style="0" customWidth="1"/>
    <col min="10" max="10" width="17.57421875" style="0" customWidth="1"/>
    <col min="11" max="11" width="14.8515625" style="0" customWidth="1"/>
    <col min="12" max="12" width="17.28125" style="0" customWidth="1"/>
    <col min="13" max="13" width="18.140625" style="0" bestFit="1" customWidth="1"/>
    <col min="14" max="14" width="14.28125" style="0" customWidth="1"/>
    <col min="15" max="15" width="13.7109375" style="0" customWidth="1"/>
    <col min="16" max="16" width="17.421875" style="0" customWidth="1"/>
    <col min="17" max="18" width="14.28125" style="0" customWidth="1"/>
    <col min="19" max="20" width="10.57421875" style="0" customWidth="1"/>
    <col min="21" max="21" width="17.421875" style="0" bestFit="1" customWidth="1"/>
    <col min="22" max="22" width="11.28125" style="0" customWidth="1"/>
    <col min="23" max="23" width="5.28125" style="0" customWidth="1"/>
    <col min="24" max="26" width="10.8515625" style="0" customWidth="1"/>
    <col min="27" max="27" width="13.8515625" style="0" customWidth="1"/>
    <col min="28" max="28" width="14.28125" style="0" customWidth="1"/>
    <col min="29" max="29" width="7.8515625" style="0" customWidth="1"/>
    <col min="30" max="30" width="15.140625" style="0" customWidth="1"/>
    <col min="31" max="31" width="14.7109375" style="0" customWidth="1"/>
    <col min="32" max="32" width="15.00390625" style="0" customWidth="1"/>
  </cols>
  <sheetData>
    <row r="1" spans="2:32" ht="15.75" thickBot="1">
      <c r="B1" s="34" t="s">
        <v>51</v>
      </c>
      <c r="C1" s="124" t="str">
        <f>'AM572x PET'!B11</f>
        <v>DDR3</v>
      </c>
      <c r="H1" s="83" t="s">
        <v>368</v>
      </c>
      <c r="K1" s="18"/>
      <c r="L1" s="4"/>
      <c r="AA1" s="153"/>
      <c r="AB1" s="153"/>
      <c r="AC1" s="18"/>
      <c r="AD1" s="153"/>
      <c r="AE1" s="153"/>
      <c r="AF1" s="153"/>
    </row>
    <row r="2" spans="2:32" ht="15">
      <c r="B2" s="34" t="s">
        <v>60</v>
      </c>
      <c r="C2" s="124" t="str">
        <f>'AM572x PET'!B8</f>
        <v>Class 0</v>
      </c>
      <c r="F2" s="83" t="s">
        <v>130</v>
      </c>
      <c r="H2" s="82">
        <v>0</v>
      </c>
      <c r="K2" s="3" t="s">
        <v>43</v>
      </c>
      <c r="L2" s="25" t="s">
        <v>258</v>
      </c>
      <c r="M2" s="26" t="s">
        <v>259</v>
      </c>
      <c r="AA2" s="18"/>
      <c r="AB2" s="4"/>
      <c r="AC2" s="4"/>
      <c r="AD2" s="4"/>
      <c r="AE2" s="4"/>
      <c r="AF2" s="4"/>
    </row>
    <row r="3" spans="2:13" ht="15.75" thickBot="1">
      <c r="B3" s="34" t="s">
        <v>218</v>
      </c>
      <c r="C3" s="110">
        <f>'AM572x PET'!B6</f>
        <v>85</v>
      </c>
      <c r="F3" s="83" t="s">
        <v>126</v>
      </c>
      <c r="H3" s="82">
        <v>0</v>
      </c>
      <c r="K3" s="27">
        <f ca="1">'Power Results'!L4</f>
        <v>14546.908490744543</v>
      </c>
      <c r="L3" s="28">
        <f ca="1">'Power Results'!M4</f>
        <v>12769.30688723259</v>
      </c>
      <c r="M3" s="29">
        <f ca="1">'Power Results'!N4</f>
        <v>1777.6016035119555</v>
      </c>
    </row>
    <row r="4" spans="2:12" ht="15">
      <c r="B4" s="34" t="s">
        <v>219</v>
      </c>
      <c r="C4" s="124" t="str">
        <f>IF('AM572x PET'!B7="Typ","Nom","Strong")</f>
        <v>Strong</v>
      </c>
      <c r="F4" s="83" t="s">
        <v>127</v>
      </c>
      <c r="H4" s="82">
        <v>0</v>
      </c>
      <c r="J4" s="7"/>
      <c r="K4" s="7"/>
      <c r="L4" s="7"/>
    </row>
    <row r="5" spans="2:21" ht="15">
      <c r="B5" s="34" t="s">
        <v>237</v>
      </c>
      <c r="C5" s="110">
        <f>'AM572x PET'!B12</f>
        <v>532</v>
      </c>
      <c r="F5" s="83" t="s">
        <v>128</v>
      </c>
      <c r="H5" s="82">
        <v>0</v>
      </c>
      <c r="P5" t="s">
        <v>334</v>
      </c>
      <c r="Q5" s="150" t="s">
        <v>423</v>
      </c>
      <c r="R5" s="151"/>
      <c r="S5" s="151"/>
      <c r="T5" s="151"/>
      <c r="U5" s="152"/>
    </row>
    <row r="6" spans="2:11" ht="15">
      <c r="B6" s="34" t="s">
        <v>238</v>
      </c>
      <c r="C6" s="110">
        <f>'AM572x PET'!B13</f>
        <v>2</v>
      </c>
      <c r="F6" s="83" t="s">
        <v>129</v>
      </c>
      <c r="H6" s="82">
        <v>0</v>
      </c>
      <c r="K6" t="s">
        <v>367</v>
      </c>
    </row>
    <row r="7" spans="2:5" ht="15">
      <c r="B7" s="34" t="s">
        <v>246</v>
      </c>
      <c r="C7" s="110">
        <f>'AM572x PET'!B14</f>
        <v>32</v>
      </c>
      <c r="D7" s="34" t="s">
        <v>292</v>
      </c>
      <c r="E7" s="124" t="str">
        <f>'AM572x PET'!B15</f>
        <v>No</v>
      </c>
    </row>
    <row r="8" ht="15.75" thickBot="1">
      <c r="D8" s="4"/>
    </row>
    <row r="9" spans="2:23" ht="15">
      <c r="B9" s="157" t="s">
        <v>8</v>
      </c>
      <c r="C9" s="163" t="s">
        <v>2</v>
      </c>
      <c r="D9" s="159" t="s">
        <v>0</v>
      </c>
      <c r="E9" s="165" t="s">
        <v>62</v>
      </c>
      <c r="F9" s="165" t="s">
        <v>1</v>
      </c>
      <c r="G9" s="159" t="s">
        <v>231</v>
      </c>
      <c r="H9" s="165" t="s">
        <v>11</v>
      </c>
      <c r="I9" s="159" t="s">
        <v>7</v>
      </c>
      <c r="J9" s="155" t="s">
        <v>4</v>
      </c>
      <c r="K9" s="155"/>
      <c r="L9" s="155" t="s">
        <v>63</v>
      </c>
      <c r="M9" s="155"/>
      <c r="N9" s="155"/>
      <c r="O9" s="155"/>
      <c r="P9" s="155"/>
      <c r="Q9" s="155"/>
      <c r="R9" s="155"/>
      <c r="S9" s="155"/>
      <c r="T9" s="155"/>
      <c r="U9" s="155"/>
      <c r="V9" s="156"/>
      <c r="W9" s="30"/>
    </row>
    <row r="10" spans="2:23" ht="48" customHeight="1" thickBot="1">
      <c r="B10" s="158"/>
      <c r="C10" s="164"/>
      <c r="D10" s="160"/>
      <c r="E10" s="166"/>
      <c r="F10" s="166"/>
      <c r="G10" s="160"/>
      <c r="H10" s="166"/>
      <c r="I10" s="160"/>
      <c r="J10" s="45" t="s">
        <v>3</v>
      </c>
      <c r="K10" s="45" t="s">
        <v>55</v>
      </c>
      <c r="L10" s="46" t="s">
        <v>5</v>
      </c>
      <c r="M10" s="46" t="s">
        <v>6</v>
      </c>
      <c r="N10" s="45" t="s">
        <v>270</v>
      </c>
      <c r="O10" s="45" t="s">
        <v>326</v>
      </c>
      <c r="P10" s="45" t="s">
        <v>330</v>
      </c>
      <c r="Q10" s="45" t="s">
        <v>327</v>
      </c>
      <c r="R10" s="45" t="s">
        <v>329</v>
      </c>
      <c r="S10" s="45" t="s">
        <v>328</v>
      </c>
      <c r="T10" s="45" t="s">
        <v>274</v>
      </c>
      <c r="U10" s="45" t="s">
        <v>291</v>
      </c>
      <c r="V10" s="47" t="s">
        <v>56</v>
      </c>
      <c r="W10" s="31"/>
    </row>
    <row r="11" spans="2:23" ht="15">
      <c r="B11" s="161" t="s">
        <v>126</v>
      </c>
      <c r="C11" s="129" t="str">
        <f>IF('AM572x PET'!B18="OPP_NOM","OPP_NOM3",'AM572x PET'!B18)</f>
        <v>OPP_HIGH</v>
      </c>
      <c r="D11" s="11" t="s">
        <v>228</v>
      </c>
      <c r="E11" s="54">
        <f>MPU_AVS_VOLTAGE</f>
        <v>1.15</v>
      </c>
      <c r="F11" s="55">
        <f ca="1">OFFSET('SoC Data'!A16,1,MATCH($C$11,'SoC Data'!$A$16:$F$16,0)-1)</f>
        <v>1500</v>
      </c>
      <c r="G11" s="24"/>
      <c r="H11" s="126" t="str">
        <f>IF('AM572x PET'!D27="Enabled","Always enabled","Disabled")</f>
        <v>Always enabled</v>
      </c>
      <c r="I11" s="63"/>
      <c r="J11" s="126" t="str">
        <f>'AM572x PET'!E27</f>
        <v>max</v>
      </c>
      <c r="K11" s="126">
        <f>'AM572x PET'!F27</f>
        <v>90</v>
      </c>
      <c r="L11" s="126">
        <f>'AM572x PET'!G27</f>
        <v>500</v>
      </c>
      <c r="M11" s="126">
        <f>'AM572x PET'!H27</f>
        <v>500</v>
      </c>
      <c r="N11" s="111"/>
      <c r="O11" s="63"/>
      <c r="P11" s="63"/>
      <c r="Q11" s="63"/>
      <c r="R11" s="63"/>
      <c r="S11" s="63"/>
      <c r="T11" s="63"/>
      <c r="U11" s="63"/>
      <c r="V11" s="78"/>
      <c r="W11" s="5"/>
    </row>
    <row r="12" spans="2:23" ht="14.25" customHeight="1">
      <c r="B12" s="162"/>
      <c r="C12" s="130"/>
      <c r="D12" s="23" t="s">
        <v>229</v>
      </c>
      <c r="E12" s="56">
        <f>E11</f>
        <v>1.15</v>
      </c>
      <c r="F12" s="57">
        <f ca="1">F11</f>
        <v>1500</v>
      </c>
      <c r="G12" s="1"/>
      <c r="H12" s="126" t="str">
        <f>IF('AM572x PET'!D28="Enabled","Always enabled","Disabled")</f>
        <v>Always enabled</v>
      </c>
      <c r="I12" s="64"/>
      <c r="J12" s="124" t="str">
        <f>'AM572x PET'!E28</f>
        <v>max</v>
      </c>
      <c r="K12" s="124">
        <f>'AM572x PET'!F28</f>
        <v>90</v>
      </c>
      <c r="L12" s="124">
        <f>'AM572x PET'!G28</f>
        <v>500</v>
      </c>
      <c r="M12" s="124">
        <f>'AM572x PET'!H28</f>
        <v>500</v>
      </c>
      <c r="N12" s="112"/>
      <c r="O12" s="64"/>
      <c r="P12" s="64"/>
      <c r="Q12" s="64"/>
      <c r="R12" s="64"/>
      <c r="S12" s="64"/>
      <c r="T12" s="64"/>
      <c r="U12" s="64"/>
      <c r="V12" s="72"/>
      <c r="W12" s="5"/>
    </row>
    <row r="13" spans="2:23" ht="15" customHeight="1">
      <c r="B13" s="162"/>
      <c r="C13" s="131"/>
      <c r="D13" s="23" t="s">
        <v>230</v>
      </c>
      <c r="E13" s="56">
        <f>E11</f>
        <v>1.15</v>
      </c>
      <c r="F13" s="57">
        <f ca="1">F11</f>
        <v>1500</v>
      </c>
      <c r="G13" s="1"/>
      <c r="H13" s="124" t="str">
        <f>IF(AND(H11="Disabled",H12="Disabled"),"Disabled","Always Enabled")</f>
        <v>Always Enabled</v>
      </c>
      <c r="I13" s="64"/>
      <c r="J13" s="124" t="s">
        <v>335</v>
      </c>
      <c r="K13" s="124">
        <f>'AM572x PET'!F29</f>
        <v>90</v>
      </c>
      <c r="L13" s="124">
        <v>0</v>
      </c>
      <c r="M13" s="124">
        <v>0</v>
      </c>
      <c r="N13" s="112"/>
      <c r="O13" s="64"/>
      <c r="P13" s="64"/>
      <c r="Q13" s="64"/>
      <c r="R13" s="64"/>
      <c r="S13" s="64"/>
      <c r="T13" s="64"/>
      <c r="U13" s="64"/>
      <c r="V13" s="72"/>
      <c r="W13" s="5"/>
    </row>
    <row r="14" spans="2:23" ht="15">
      <c r="B14" s="154" t="s">
        <v>127</v>
      </c>
      <c r="C14" s="132" t="str">
        <f>IF('AM572x PET'!B19="OPP_NOM","OPP_NOM2",'AM572x PET'!B19)</f>
        <v>OPP_HIGH</v>
      </c>
      <c r="D14" s="1" t="s">
        <v>169</v>
      </c>
      <c r="E14" s="56">
        <f>DSPEVE_AVS_VOLTAGE</f>
        <v>1.15</v>
      </c>
      <c r="F14" s="57">
        <f ca="1">OFFSET('SoC Data'!$A$22,1,MATCH($C$14,'SoC Data'!$A$22:$E$22,0)-1)</f>
        <v>750</v>
      </c>
      <c r="G14" s="1"/>
      <c r="H14" s="126" t="str">
        <f>IF('AM572x PET'!D29="Enabled","Always enabled","Disabled")</f>
        <v>Always enabled</v>
      </c>
      <c r="I14" s="64"/>
      <c r="J14" s="124" t="str">
        <f>'AM572x PET'!E29</f>
        <v>max</v>
      </c>
      <c r="K14" s="124">
        <f>'AM572x PET'!F29</f>
        <v>90</v>
      </c>
      <c r="L14" s="124">
        <f>'AM572x PET'!G29</f>
        <v>500</v>
      </c>
      <c r="M14" s="124">
        <f>'AM572x PET'!H29</f>
        <v>500</v>
      </c>
      <c r="N14" s="112"/>
      <c r="O14" s="64"/>
      <c r="P14" s="64"/>
      <c r="Q14" s="64"/>
      <c r="R14" s="64"/>
      <c r="S14" s="64"/>
      <c r="T14" s="64"/>
      <c r="U14" s="64"/>
      <c r="V14" s="72"/>
      <c r="W14" s="5"/>
    </row>
    <row r="15" spans="2:23" ht="15">
      <c r="B15" s="154"/>
      <c r="C15" s="130"/>
      <c r="D15" s="1" t="s">
        <v>170</v>
      </c>
      <c r="E15" s="56">
        <f>E14</f>
        <v>1.15</v>
      </c>
      <c r="F15" s="57">
        <f ca="1">OFFSET('SoC Data'!$A$22,2,MATCH($C$14,'SoC Data'!$A$22:$E$22,0)-1)</f>
        <v>750</v>
      </c>
      <c r="G15" s="1"/>
      <c r="H15" s="126" t="str">
        <f>IF('AM572x PET'!D30="Enabled","Always enabled","Disabled")</f>
        <v>Always enabled</v>
      </c>
      <c r="I15" s="64"/>
      <c r="J15" s="124" t="str">
        <f>'AM572x PET'!E30</f>
        <v>max</v>
      </c>
      <c r="K15" s="124">
        <f>'AM572x PET'!F30</f>
        <v>90</v>
      </c>
      <c r="L15" s="124">
        <f>'AM572x PET'!G30</f>
        <v>500</v>
      </c>
      <c r="M15" s="124">
        <f>'AM572x PET'!H30</f>
        <v>500</v>
      </c>
      <c r="N15" s="112"/>
      <c r="O15" s="64"/>
      <c r="P15" s="64"/>
      <c r="Q15" s="64"/>
      <c r="R15" s="64"/>
      <c r="S15" s="64"/>
      <c r="T15" s="64"/>
      <c r="U15" s="64"/>
      <c r="V15" s="72"/>
      <c r="W15" s="5"/>
    </row>
    <row r="16" spans="2:23" ht="15">
      <c r="B16" s="154"/>
      <c r="C16" s="130"/>
      <c r="D16" s="139" t="s">
        <v>171</v>
      </c>
      <c r="E16" s="140">
        <f>E15</f>
        <v>1.15</v>
      </c>
      <c r="F16" s="141">
        <f ca="1">OFFSET('SoC Data'!$A$22,3,MATCH($C$14,'SoC Data'!$A$22:$E$22,0)-1)</f>
        <v>650</v>
      </c>
      <c r="G16" s="139"/>
      <c r="H16" s="142" t="s">
        <v>13</v>
      </c>
      <c r="I16" s="143"/>
      <c r="J16" s="143" t="s">
        <v>64</v>
      </c>
      <c r="K16" s="143">
        <v>0</v>
      </c>
      <c r="L16" s="143">
        <v>0</v>
      </c>
      <c r="M16" s="143">
        <v>0</v>
      </c>
      <c r="N16" s="112"/>
      <c r="O16" s="64"/>
      <c r="P16" s="64"/>
      <c r="Q16" s="64"/>
      <c r="R16" s="64"/>
      <c r="S16" s="64"/>
      <c r="T16" s="64"/>
      <c r="U16" s="64"/>
      <c r="V16" s="72"/>
      <c r="W16" s="5"/>
    </row>
    <row r="17" spans="2:23" ht="15">
      <c r="B17" s="154"/>
      <c r="C17" s="130"/>
      <c r="D17" s="139" t="s">
        <v>172</v>
      </c>
      <c r="E17" s="140">
        <f>E16</f>
        <v>1.15</v>
      </c>
      <c r="F17" s="141">
        <f ca="1">OFFSET('SoC Data'!$A$22,4,MATCH($C$14,'SoC Data'!$A$22:$E$22,0)-1)</f>
        <v>650</v>
      </c>
      <c r="G17" s="139"/>
      <c r="H17" s="142" t="s">
        <v>13</v>
      </c>
      <c r="I17" s="143"/>
      <c r="J17" s="143" t="s">
        <v>64</v>
      </c>
      <c r="K17" s="143">
        <v>0</v>
      </c>
      <c r="L17" s="143">
        <v>0</v>
      </c>
      <c r="M17" s="143">
        <v>0</v>
      </c>
      <c r="N17" s="112"/>
      <c r="O17" s="64"/>
      <c r="P17" s="64"/>
      <c r="Q17" s="64"/>
      <c r="R17" s="64"/>
      <c r="S17" s="64"/>
      <c r="T17" s="64"/>
      <c r="U17" s="64"/>
      <c r="V17" s="72"/>
      <c r="W17" s="5"/>
    </row>
    <row r="18" spans="2:23" ht="15">
      <c r="B18" s="154"/>
      <c r="C18" s="130"/>
      <c r="D18" s="139" t="s">
        <v>173</v>
      </c>
      <c r="E18" s="140">
        <f>E17</f>
        <v>1.15</v>
      </c>
      <c r="F18" s="141">
        <f ca="1">OFFSET('SoC Data'!$A$22,5,MATCH($C$14,'SoC Data'!$A$22:$E$22,0)-1)</f>
        <v>650</v>
      </c>
      <c r="G18" s="139"/>
      <c r="H18" s="142" t="s">
        <v>13</v>
      </c>
      <c r="I18" s="143"/>
      <c r="J18" s="143" t="s">
        <v>64</v>
      </c>
      <c r="K18" s="143">
        <v>0</v>
      </c>
      <c r="L18" s="143">
        <v>0</v>
      </c>
      <c r="M18" s="143">
        <v>0</v>
      </c>
      <c r="N18" s="112"/>
      <c r="O18" s="64"/>
      <c r="P18" s="64"/>
      <c r="Q18" s="64"/>
      <c r="R18" s="64"/>
      <c r="S18" s="64"/>
      <c r="T18" s="64"/>
      <c r="U18" s="64"/>
      <c r="V18" s="72"/>
      <c r="W18" s="5"/>
    </row>
    <row r="19" spans="2:23" ht="15">
      <c r="B19" s="154"/>
      <c r="C19" s="131"/>
      <c r="D19" s="139" t="s">
        <v>174</v>
      </c>
      <c r="E19" s="140">
        <f>E18</f>
        <v>1.15</v>
      </c>
      <c r="F19" s="141">
        <f ca="1">OFFSET('SoC Data'!$A$22,6,MATCH($C$14,'SoC Data'!$A$22:$E$22,0)-1)</f>
        <v>650</v>
      </c>
      <c r="G19" s="139"/>
      <c r="H19" s="142" t="s">
        <v>13</v>
      </c>
      <c r="I19" s="143"/>
      <c r="J19" s="143" t="s">
        <v>64</v>
      </c>
      <c r="K19" s="143">
        <v>0</v>
      </c>
      <c r="L19" s="143">
        <v>0</v>
      </c>
      <c r="M19" s="143">
        <v>0</v>
      </c>
      <c r="N19" s="112"/>
      <c r="O19" s="64"/>
      <c r="P19" s="64"/>
      <c r="Q19" s="64"/>
      <c r="R19" s="64"/>
      <c r="S19" s="64"/>
      <c r="T19" s="64"/>
      <c r="U19" s="64"/>
      <c r="V19" s="72"/>
      <c r="W19" s="5"/>
    </row>
    <row r="20" spans="2:23" ht="15">
      <c r="B20" s="48" t="s">
        <v>128</v>
      </c>
      <c r="C20" s="125" t="str">
        <f>'AM572x PET'!B20</f>
        <v>OPP_HIGH</v>
      </c>
      <c r="D20" s="1" t="s">
        <v>9</v>
      </c>
      <c r="E20" s="56">
        <f>IVA_AVS_VOLTAGE</f>
        <v>1.15</v>
      </c>
      <c r="F20" s="57">
        <f ca="1">OFFSET('SoC Data'!$A$31,1,MATCH($C$20,'SoC Data'!$A$31:$E$31,0)-1)</f>
        <v>532</v>
      </c>
      <c r="G20" s="1"/>
      <c r="H20" s="126" t="str">
        <f>IF('AM572x PET'!D31="Enabled","Always enabled","Disabled")</f>
        <v>Always enabled</v>
      </c>
      <c r="I20" s="64"/>
      <c r="J20" s="124" t="str">
        <f>'AM572x PET'!E31</f>
        <v>decode</v>
      </c>
      <c r="K20" s="124">
        <f>'AM572x PET'!F31</f>
        <v>90</v>
      </c>
      <c r="L20" s="124">
        <f>'AM572x PET'!G31</f>
        <v>165</v>
      </c>
      <c r="M20" s="124">
        <f>'AM572x PET'!H31</f>
        <v>0</v>
      </c>
      <c r="N20" s="112"/>
      <c r="O20" s="64"/>
      <c r="P20" s="64"/>
      <c r="Q20" s="64"/>
      <c r="R20" s="64"/>
      <c r="S20" s="64"/>
      <c r="T20" s="64"/>
      <c r="U20" s="64"/>
      <c r="V20" s="72"/>
      <c r="W20" s="5"/>
    </row>
    <row r="21" spans="2:23" ht="15">
      <c r="B21" s="173" t="s">
        <v>129</v>
      </c>
      <c r="C21" s="133" t="str">
        <f>'AM572x PET'!B21</f>
        <v>OPP_HIGH</v>
      </c>
      <c r="D21" s="1" t="s">
        <v>287</v>
      </c>
      <c r="E21" s="56">
        <f>GPU_AVS_VOLTAGE</f>
        <v>1.15</v>
      </c>
      <c r="F21" s="57">
        <f ca="1">OFFSET('SoC Data'!$A$35,1,MATCH($C$21,'SoC Data'!$A$35:$E$35,0)-1)</f>
        <v>532</v>
      </c>
      <c r="G21" s="1"/>
      <c r="H21" s="126" t="str">
        <f>IF('AM572x PET'!D32="Enabled","Always enabled","Disabled")</f>
        <v>Disabled</v>
      </c>
      <c r="I21" s="64"/>
      <c r="J21" s="124" t="str">
        <f>'AM572x PET'!E32</f>
        <v>idle</v>
      </c>
      <c r="K21" s="124">
        <f>'AM572x PET'!F32</f>
        <v>0</v>
      </c>
      <c r="L21" s="124">
        <f>'AM572x PET'!G32</f>
        <v>0</v>
      </c>
      <c r="M21" s="124">
        <f>'AM572x PET'!H32</f>
        <v>0</v>
      </c>
      <c r="N21" s="112"/>
      <c r="O21" s="64"/>
      <c r="P21" s="64"/>
      <c r="Q21" s="64"/>
      <c r="R21" s="64"/>
      <c r="S21" s="64"/>
      <c r="T21" s="64"/>
      <c r="U21" s="64"/>
      <c r="V21" s="72"/>
      <c r="W21" s="5"/>
    </row>
    <row r="22" spans="2:23" ht="15" customHeight="1">
      <c r="B22" s="173"/>
      <c r="C22" s="134"/>
      <c r="D22" s="1" t="s">
        <v>288</v>
      </c>
      <c r="E22" s="56">
        <f>E21</f>
        <v>1.15</v>
      </c>
      <c r="F22" s="57">
        <f ca="1">F21</f>
        <v>532</v>
      </c>
      <c r="G22" s="1"/>
      <c r="H22" s="126" t="str">
        <f>GPU_STATE</f>
        <v>Disabled</v>
      </c>
      <c r="I22" s="64"/>
      <c r="J22" s="124" t="str">
        <f>J21</f>
        <v>idle</v>
      </c>
      <c r="K22" s="124">
        <f>K21</f>
        <v>0</v>
      </c>
      <c r="L22" s="124">
        <v>0</v>
      </c>
      <c r="M22" s="124">
        <v>0</v>
      </c>
      <c r="N22" s="112"/>
      <c r="O22" s="64"/>
      <c r="P22" s="64"/>
      <c r="Q22" s="64"/>
      <c r="R22" s="64"/>
      <c r="S22" s="64"/>
      <c r="T22" s="64"/>
      <c r="U22" s="64"/>
      <c r="V22" s="72"/>
      <c r="W22" s="5"/>
    </row>
    <row r="23" spans="2:23" ht="15" customHeight="1">
      <c r="B23" s="174"/>
      <c r="C23" s="135"/>
      <c r="D23" s="1" t="s">
        <v>289</v>
      </c>
      <c r="E23" s="56">
        <f>E21</f>
        <v>1.15</v>
      </c>
      <c r="F23" s="57">
        <f ca="1">F22</f>
        <v>532</v>
      </c>
      <c r="G23" s="1"/>
      <c r="H23" s="126" t="str">
        <f>GPU_STATE</f>
        <v>Disabled</v>
      </c>
      <c r="I23" s="64"/>
      <c r="J23" s="124" t="str">
        <f>J21</f>
        <v>idle</v>
      </c>
      <c r="K23" s="124">
        <f>K21</f>
        <v>0</v>
      </c>
      <c r="L23" s="124">
        <v>0</v>
      </c>
      <c r="M23" s="124">
        <v>0</v>
      </c>
      <c r="N23" s="112"/>
      <c r="O23" s="64"/>
      <c r="P23" s="64"/>
      <c r="Q23" s="64"/>
      <c r="R23" s="64"/>
      <c r="S23" s="64"/>
      <c r="T23" s="64"/>
      <c r="U23" s="64"/>
      <c r="V23" s="72"/>
      <c r="W23" s="5"/>
    </row>
    <row r="24" spans="2:23" ht="15">
      <c r="B24" s="170" t="s">
        <v>130</v>
      </c>
      <c r="C24" s="167" t="s">
        <v>35</v>
      </c>
      <c r="D24" s="1" t="s">
        <v>175</v>
      </c>
      <c r="E24" s="56">
        <f aca="true" t="shared" si="0" ref="E24:E55">CORE_AVS_VOLTAGE</f>
        <v>0.92</v>
      </c>
      <c r="F24" s="57">
        <f ca="1">IF(OFFSET('IP Dynamic Power Data'!$A$1,MATCH($D24,'IP Dynamic Power Data'!A:A,0)-1,1)="Core",OFFSET('SoC Data'!$A$39,MATCH($D24,'SoC Data'!$A$40:$A$53,0),MATCH($C$24,'SoC Data'!$A$39:$E$39,0)-1),N24)</f>
        <v>212.8</v>
      </c>
      <c r="G24" s="1"/>
      <c r="H24" s="126" t="str">
        <f>IF('AM572x PET'!D33="Enabled","Always enabled","Disabled")</f>
        <v>Always enabled</v>
      </c>
      <c r="I24" s="64"/>
      <c r="J24" s="124" t="str">
        <f>'AM572x PET'!E33</f>
        <v>max</v>
      </c>
      <c r="K24" s="124">
        <f>'AM572x PET'!F33</f>
        <v>90</v>
      </c>
      <c r="L24" s="124">
        <v>0</v>
      </c>
      <c r="M24" s="124">
        <v>0</v>
      </c>
      <c r="N24" s="112"/>
      <c r="O24" s="64"/>
      <c r="P24" s="64"/>
      <c r="Q24" s="64"/>
      <c r="R24" s="64"/>
      <c r="S24" s="64"/>
      <c r="T24" s="64"/>
      <c r="U24" s="64"/>
      <c r="V24" s="72"/>
      <c r="W24" s="5"/>
    </row>
    <row r="25" spans="2:23" ht="15">
      <c r="B25" s="171"/>
      <c r="C25" s="168"/>
      <c r="D25" s="1" t="s">
        <v>176</v>
      </c>
      <c r="E25" s="56">
        <f t="shared" si="0"/>
        <v>0.92</v>
      </c>
      <c r="F25" s="57">
        <f ca="1">IF(OFFSET('IP Dynamic Power Data'!$A$1,MATCH($D25,'IP Dynamic Power Data'!A:A,0)-1,1)="Core",OFFSET('SoC Data'!$A$39,MATCH($D25,'SoC Data'!$A$40:$A$53,0),MATCH($C$24,'SoC Data'!$A$39:$E$39,0)-1),N25)</f>
        <v>212.8</v>
      </c>
      <c r="G25" s="1"/>
      <c r="H25" s="126" t="str">
        <f>IF('AM572x PET'!D34="Enabled","Always enabled","Disabled")</f>
        <v>Always enabled</v>
      </c>
      <c r="I25" s="64"/>
      <c r="J25" s="124" t="str">
        <f>'AM572x PET'!E34</f>
        <v>max</v>
      </c>
      <c r="K25" s="124">
        <f>'AM572x PET'!F34</f>
        <v>90</v>
      </c>
      <c r="L25" s="124">
        <v>0</v>
      </c>
      <c r="M25" s="124">
        <v>0</v>
      </c>
      <c r="N25" s="112"/>
      <c r="O25" s="64"/>
      <c r="P25" s="64"/>
      <c r="Q25" s="64"/>
      <c r="R25" s="64"/>
      <c r="S25" s="64"/>
      <c r="T25" s="64"/>
      <c r="U25" s="64"/>
      <c r="V25" s="72"/>
      <c r="W25" s="5"/>
    </row>
    <row r="26" spans="2:23" ht="15" customHeight="1">
      <c r="B26" s="171"/>
      <c r="C26" s="168"/>
      <c r="D26" s="1" t="s">
        <v>242</v>
      </c>
      <c r="E26" s="56">
        <f t="shared" si="0"/>
        <v>0.92</v>
      </c>
      <c r="F26" s="57">
        <f ca="1">IF(OFFSET('IP Dynamic Power Data'!$A$1,MATCH($D26,'IP Dynamic Power Data'!A:A,0)-1,1)="Core",OFFSET('SoC Data'!$A$39,MATCH($D26,'SoC Data'!$A$40:$A$53,0),MATCH($C$24,'SoC Data'!$A$39:$E$39,0)-1),N26)</f>
        <v>266</v>
      </c>
      <c r="G26" s="1"/>
      <c r="H26" s="126" t="s">
        <v>398</v>
      </c>
      <c r="I26" s="65"/>
      <c r="J26" s="124" t="s">
        <v>64</v>
      </c>
      <c r="K26" s="124"/>
      <c r="L26" s="113"/>
      <c r="M26" s="113"/>
      <c r="N26" s="112"/>
      <c r="O26" s="64"/>
      <c r="P26" s="64"/>
      <c r="Q26" s="64"/>
      <c r="R26" s="64"/>
      <c r="S26" s="64"/>
      <c r="T26" s="64"/>
      <c r="U26" s="64"/>
      <c r="V26" s="72"/>
      <c r="W26" s="5"/>
    </row>
    <row r="27" spans="2:23" ht="15" customHeight="1">
      <c r="B27" s="171"/>
      <c r="C27" s="168"/>
      <c r="D27" s="1" t="s">
        <v>243</v>
      </c>
      <c r="E27" s="56">
        <f t="shared" si="0"/>
        <v>0.92</v>
      </c>
      <c r="F27" s="57">
        <f ca="1">IF(OFFSET('IP Dynamic Power Data'!$A$1,MATCH($D27,'IP Dynamic Power Data'!A:A,0)-1,1)="Core",OFFSET('SoC Data'!$A$39,MATCH($D27,'SoC Data'!$A$40:$A$53,0),MATCH($C$24,'SoC Data'!$A$39:$E$39,0)-1),N27)</f>
        <v>266</v>
      </c>
      <c r="G27" s="1"/>
      <c r="H27" s="126" t="s">
        <v>398</v>
      </c>
      <c r="I27" s="65"/>
      <c r="J27" s="124" t="s">
        <v>64</v>
      </c>
      <c r="K27" s="124"/>
      <c r="L27" s="113"/>
      <c r="M27" s="113"/>
      <c r="N27" s="112"/>
      <c r="O27" s="64"/>
      <c r="P27" s="64"/>
      <c r="Q27" s="64"/>
      <c r="R27" s="64"/>
      <c r="S27" s="64"/>
      <c r="T27" s="64"/>
      <c r="U27" s="64"/>
      <c r="V27" s="72"/>
      <c r="W27" s="5"/>
    </row>
    <row r="28" spans="2:23" ht="15" customHeight="1">
      <c r="B28" s="171"/>
      <c r="C28" s="168"/>
      <c r="D28" s="1" t="s">
        <v>245</v>
      </c>
      <c r="E28" s="56">
        <f t="shared" si="0"/>
        <v>0.92</v>
      </c>
      <c r="F28" s="57">
        <f ca="1">IF(OFFSET('IP Dynamic Power Data'!$A$1,MATCH($D28,'IP Dynamic Power Data'!A:A,0)-1,1)="Core",OFFSET('SoC Data'!$A$39,MATCH($D28,'SoC Data'!$A$40:$A$53,0),MATCH($C$24,'SoC Data'!$A$39:$E$39,0)-1),N28)</f>
        <v>266</v>
      </c>
      <c r="G28" s="1"/>
      <c r="H28" s="126" t="s">
        <v>398</v>
      </c>
      <c r="I28" s="65"/>
      <c r="J28" s="124" t="s">
        <v>64</v>
      </c>
      <c r="K28" s="124">
        <v>0</v>
      </c>
      <c r="L28" s="113">
        <v>0</v>
      </c>
      <c r="M28" s="113">
        <v>0</v>
      </c>
      <c r="N28" s="112"/>
      <c r="O28" s="64"/>
      <c r="P28" s="64"/>
      <c r="Q28" s="64"/>
      <c r="R28" s="64"/>
      <c r="S28" s="64"/>
      <c r="T28" s="64"/>
      <c r="U28" s="64"/>
      <c r="V28" s="72"/>
      <c r="W28" s="5"/>
    </row>
    <row r="29" spans="2:23" ht="15" customHeight="1">
      <c r="B29" s="171"/>
      <c r="C29" s="168"/>
      <c r="D29" s="1" t="s">
        <v>40</v>
      </c>
      <c r="E29" s="56">
        <f t="shared" si="0"/>
        <v>0.92</v>
      </c>
      <c r="F29" s="57">
        <f ca="1">IF(OFFSET('IP Dynamic Power Data'!$A$1,MATCH($D29,'IP Dynamic Power Data'!A:A,0)-1,1)="Core",OFFSET('SoC Data'!$A$39,MATCH($D29,'SoC Data'!$A$40:$A$53,0),MATCH($C$24,'SoC Data'!$A$39:$E$39,0)-1),N29)</f>
        <v>266</v>
      </c>
      <c r="G29" s="1"/>
      <c r="H29" s="126" t="s">
        <v>14</v>
      </c>
      <c r="I29" s="65"/>
      <c r="J29" s="124" t="s">
        <v>69</v>
      </c>
      <c r="K29" s="124">
        <v>0</v>
      </c>
      <c r="L29" s="113">
        <v>0</v>
      </c>
      <c r="M29" s="113">
        <v>0</v>
      </c>
      <c r="N29" s="112"/>
      <c r="O29" s="64"/>
      <c r="P29" s="64"/>
      <c r="Q29" s="64"/>
      <c r="R29" s="64"/>
      <c r="S29" s="64"/>
      <c r="T29" s="64"/>
      <c r="U29" s="64"/>
      <c r="V29" s="72"/>
      <c r="W29" s="5"/>
    </row>
    <row r="30" spans="2:23" ht="15">
      <c r="B30" s="171"/>
      <c r="C30" s="168"/>
      <c r="D30" s="1" t="s">
        <v>205</v>
      </c>
      <c r="E30" s="56">
        <f t="shared" si="0"/>
        <v>0.92</v>
      </c>
      <c r="F30" s="57">
        <f ca="1">IF(OFFSET('IP Dynamic Power Data'!$A$1,MATCH($D30,'IP Dynamic Power Data'!A:A,0)-1,1)="Core",OFFSET('SoC Data'!$A$39,MATCH($D30,'SoC Data'!$A$40:$A$53,0),MATCH($C$24,'SoC Data'!$A$39:$E$39,0)-1),N30)</f>
        <v>165</v>
      </c>
      <c r="G30" s="1"/>
      <c r="H30" s="126" t="str">
        <f>IF('AM572x PET'!D35="Enabled","Always enabled","Disabled")</f>
        <v>Always enabled</v>
      </c>
      <c r="I30" s="64"/>
      <c r="J30" s="124" t="str">
        <f>'AM572x PET'!E35</f>
        <v>typ</v>
      </c>
      <c r="K30" s="124">
        <f>'AM572x PET'!F35</f>
        <v>80</v>
      </c>
      <c r="L30" s="124">
        <v>0</v>
      </c>
      <c r="M30" s="124">
        <f>'AM572x PET'!H35</f>
        <v>0</v>
      </c>
      <c r="N30" s="124">
        <f>'AM572x PET'!I35</f>
        <v>165</v>
      </c>
      <c r="O30" s="64">
        <v>1</v>
      </c>
      <c r="P30" s="124">
        <f>'AM572x PET'!J35</f>
        <v>20</v>
      </c>
      <c r="Q30" s="64">
        <v>0</v>
      </c>
      <c r="R30" s="64">
        <v>0</v>
      </c>
      <c r="S30" s="64">
        <v>0</v>
      </c>
      <c r="T30" s="64">
        <v>0</v>
      </c>
      <c r="U30" s="124" t="str">
        <f>'AM572x PET'!K35</f>
        <v>VDDSHV6</v>
      </c>
      <c r="V30" s="128">
        <f>LOOKUP(U30,'AM572x PET'!$D$6:$E$16)</f>
        <v>3.3</v>
      </c>
      <c r="W30" s="5">
        <f aca="true" t="shared" si="1" ref="W30:W35">IF(H30="Disabled",0.1,(N30*(2*Q30+S30*0.3+S30*0.7)*(IF(V30=1.8,40/1.8,110/3.3)/1000+T30*V30/1000)+N30*(2*O30+P30*0.7)*(10/1000)*V30))</f>
        <v>87.12</v>
      </c>
    </row>
    <row r="31" spans="2:23" ht="15">
      <c r="B31" s="171"/>
      <c r="C31" s="168"/>
      <c r="D31" s="1" t="s">
        <v>206</v>
      </c>
      <c r="E31" s="56">
        <f t="shared" si="0"/>
        <v>0.92</v>
      </c>
      <c r="F31" s="57">
        <f ca="1">IF(OFFSET('IP Dynamic Power Data'!$A$1,MATCH($D31,'IP Dynamic Power Data'!A:A,0)-1,1)="Core",OFFSET('SoC Data'!$A$39,MATCH($D31,'SoC Data'!$A$40:$A$53,0),MATCH($C$24,'SoC Data'!$A$39:$E$39,0)-1),N31)</f>
        <v>165</v>
      </c>
      <c r="G31" s="1"/>
      <c r="H31" s="126" t="str">
        <f>IF('AM572x PET'!D36="Enabled","Always enabled","Disabled")</f>
        <v>Disabled</v>
      </c>
      <c r="I31" s="64"/>
      <c r="J31" s="124" t="str">
        <f>'AM572x PET'!E36</f>
        <v>idle</v>
      </c>
      <c r="K31" s="124">
        <f>'AM572x PET'!F36</f>
        <v>0</v>
      </c>
      <c r="L31" s="124">
        <v>0</v>
      </c>
      <c r="M31" s="124">
        <f>'AM572x PET'!H36</f>
        <v>0</v>
      </c>
      <c r="N31" s="124">
        <f>'AM572x PET'!I36</f>
        <v>165</v>
      </c>
      <c r="O31" s="64">
        <v>1</v>
      </c>
      <c r="P31" s="124">
        <f>'AM572x PET'!J36</f>
        <v>20</v>
      </c>
      <c r="Q31" s="64">
        <v>0</v>
      </c>
      <c r="R31" s="64">
        <v>0</v>
      </c>
      <c r="S31" s="64">
        <v>0</v>
      </c>
      <c r="T31" s="64">
        <v>0</v>
      </c>
      <c r="U31" s="124" t="str">
        <f>'AM572x PET'!K36</f>
        <v>VDDSHV1</v>
      </c>
      <c r="V31" s="128">
        <f>LOOKUP(U31,'AM572x PET'!$D$6:$E$16)</f>
        <v>3.3</v>
      </c>
      <c r="W31" s="5">
        <f t="shared" si="1"/>
        <v>0.1</v>
      </c>
    </row>
    <row r="32" spans="2:23" ht="15">
      <c r="B32" s="171"/>
      <c r="C32" s="168"/>
      <c r="D32" s="1" t="s">
        <v>207</v>
      </c>
      <c r="E32" s="56">
        <f t="shared" si="0"/>
        <v>0.92</v>
      </c>
      <c r="F32" s="57">
        <f ca="1">IF(OFFSET('IP Dynamic Power Data'!$A$1,MATCH($D32,'IP Dynamic Power Data'!A:A,0)-1,1)="Core",OFFSET('SoC Data'!$A$39,MATCH($D32,'SoC Data'!$A$40:$A$53,0),MATCH($C$24,'SoC Data'!$A$39:$E$39,0)-1),N32)</f>
        <v>165</v>
      </c>
      <c r="G32" s="1"/>
      <c r="H32" s="126" t="str">
        <f>IF('AM572x PET'!D37="Enabled","Always enabled","Disabled")</f>
        <v>Disabled</v>
      </c>
      <c r="I32" s="64"/>
      <c r="J32" s="124" t="str">
        <f>'AM572x PET'!E37</f>
        <v>idle</v>
      </c>
      <c r="K32" s="124">
        <f>'AM572x PET'!F37</f>
        <v>0</v>
      </c>
      <c r="L32" s="124">
        <v>0</v>
      </c>
      <c r="M32" s="124">
        <f>'AM572x PET'!H37</f>
        <v>0</v>
      </c>
      <c r="N32" s="124">
        <f>'AM572x PET'!I37</f>
        <v>165</v>
      </c>
      <c r="O32" s="64">
        <v>1</v>
      </c>
      <c r="P32" s="124">
        <f>'AM572x PET'!J37</f>
        <v>20</v>
      </c>
      <c r="Q32" s="64">
        <v>0</v>
      </c>
      <c r="R32" s="64">
        <v>0</v>
      </c>
      <c r="S32" s="64">
        <v>0</v>
      </c>
      <c r="T32" s="64">
        <v>0</v>
      </c>
      <c r="U32" s="124" t="str">
        <f>'AM572x PET'!K37</f>
        <v>VDDSHV11</v>
      </c>
      <c r="V32" s="128">
        <f>LOOKUP(U32,'AM572x PET'!$D$6:$E$16)</f>
        <v>3.3</v>
      </c>
      <c r="W32" s="5">
        <f t="shared" si="1"/>
        <v>0.1</v>
      </c>
    </row>
    <row r="33" spans="2:23" ht="15">
      <c r="B33" s="171"/>
      <c r="C33" s="168"/>
      <c r="D33" s="1" t="s">
        <v>208</v>
      </c>
      <c r="E33" s="56">
        <f t="shared" si="0"/>
        <v>0.92</v>
      </c>
      <c r="F33" s="57">
        <f ca="1">IF(OFFSET('IP Dynamic Power Data'!$A$1,MATCH($D33,'IP Dynamic Power Data'!A:A,0)-1,1)="Core",OFFSET('SoC Data'!$A$39,MATCH($D33,'SoC Data'!$A$40:$A$53,0),MATCH($C$24,'SoC Data'!$A$39:$E$39,0)-1),N33)</f>
        <v>165</v>
      </c>
      <c r="G33" s="1"/>
      <c r="H33" s="126" t="str">
        <f>IF('AM572x PET'!D38="Enabled","Always enabled","Disabled")</f>
        <v>Disabled</v>
      </c>
      <c r="I33" s="64"/>
      <c r="J33" s="124" t="str">
        <f>'AM572x PET'!E38</f>
        <v>idle</v>
      </c>
      <c r="K33" s="124">
        <f>'AM572x PET'!F38</f>
        <v>0</v>
      </c>
      <c r="L33" s="124">
        <v>0</v>
      </c>
      <c r="M33" s="124">
        <f>'AM572x PET'!H38</f>
        <v>0</v>
      </c>
      <c r="N33" s="124">
        <f>'AM572x PET'!I38</f>
        <v>165</v>
      </c>
      <c r="O33" s="64">
        <v>1</v>
      </c>
      <c r="P33" s="124">
        <f>'AM572x PET'!J38</f>
        <v>20</v>
      </c>
      <c r="Q33" s="64">
        <v>0</v>
      </c>
      <c r="R33" s="64">
        <v>0</v>
      </c>
      <c r="S33" s="64">
        <v>0</v>
      </c>
      <c r="T33" s="64">
        <v>0</v>
      </c>
      <c r="U33" s="124" t="str">
        <f>'AM572x PET'!K38</f>
        <v>VDDSHV10</v>
      </c>
      <c r="V33" s="128">
        <f>LOOKUP(U33,'AM572x PET'!$D$6:$E$16)</f>
        <v>3.3</v>
      </c>
      <c r="W33" s="5">
        <f t="shared" si="1"/>
        <v>0.1</v>
      </c>
    </row>
    <row r="34" spans="2:23" ht="15">
      <c r="B34" s="171"/>
      <c r="C34" s="168"/>
      <c r="D34" s="1" t="s">
        <v>209</v>
      </c>
      <c r="E34" s="56">
        <f t="shared" si="0"/>
        <v>0.92</v>
      </c>
      <c r="F34" s="57">
        <f ca="1">IF(OFFSET('IP Dynamic Power Data'!$A$1,MATCH($D34,'IP Dynamic Power Data'!A:A,0)-1,1)="Core",OFFSET('SoC Data'!$A$39,MATCH($D34,'SoC Data'!$A$40:$A$53,0),MATCH($C$24,'SoC Data'!$A$39:$E$39,0)-1),N34)</f>
        <v>165</v>
      </c>
      <c r="G34" s="1"/>
      <c r="H34" s="126" t="str">
        <f>IF('AM572x PET'!D39="Enabled","Always enabled","Disabled")</f>
        <v>Disabled</v>
      </c>
      <c r="I34" s="64"/>
      <c r="J34" s="124" t="str">
        <f>'AM572x PET'!E39</f>
        <v>idle</v>
      </c>
      <c r="K34" s="124">
        <f>'AM572x PET'!F39</f>
        <v>0</v>
      </c>
      <c r="L34" s="124">
        <v>0</v>
      </c>
      <c r="M34" s="124">
        <f>'AM572x PET'!H39</f>
        <v>0</v>
      </c>
      <c r="N34" s="124">
        <f>'AM572x PET'!I39</f>
        <v>165</v>
      </c>
      <c r="O34" s="64">
        <v>1</v>
      </c>
      <c r="P34" s="124">
        <f>'AM572x PET'!J39</f>
        <v>20</v>
      </c>
      <c r="Q34" s="64">
        <v>0</v>
      </c>
      <c r="R34" s="64">
        <v>0</v>
      </c>
      <c r="S34" s="64">
        <v>0</v>
      </c>
      <c r="T34" s="64">
        <v>0</v>
      </c>
      <c r="U34" s="124" t="str">
        <f>'AM572x PET'!K39</f>
        <v>VDDSHV7</v>
      </c>
      <c r="V34" s="128">
        <f>LOOKUP(U34,'AM572x PET'!$D$6:$E$16)</f>
        <v>3.3</v>
      </c>
      <c r="W34" s="5">
        <f t="shared" si="1"/>
        <v>0.1</v>
      </c>
    </row>
    <row r="35" spans="2:23" ht="15">
      <c r="B35" s="171"/>
      <c r="C35" s="168"/>
      <c r="D35" s="1" t="s">
        <v>210</v>
      </c>
      <c r="E35" s="56">
        <f t="shared" si="0"/>
        <v>0.92</v>
      </c>
      <c r="F35" s="57">
        <f ca="1">IF(OFFSET('IP Dynamic Power Data'!$A$1,MATCH($D35,'IP Dynamic Power Data'!A:A,0)-1,1)="Core",OFFSET('SoC Data'!$A$39,MATCH($D35,'SoC Data'!$A$40:$A$53,0),MATCH($C$24,'SoC Data'!$A$39:$E$39,0)-1),N35)</f>
        <v>165</v>
      </c>
      <c r="G35" s="1"/>
      <c r="H35" s="126" t="str">
        <f>IF('AM572x PET'!D40="Enabled","Always enabled","Disabled")</f>
        <v>Disabled</v>
      </c>
      <c r="I35" s="64"/>
      <c r="J35" s="124" t="str">
        <f>'AM572x PET'!E40</f>
        <v>idle</v>
      </c>
      <c r="K35" s="124">
        <f>'AM572x PET'!F40</f>
        <v>0</v>
      </c>
      <c r="L35" s="124">
        <v>0</v>
      </c>
      <c r="M35" s="124">
        <f>'AM572x PET'!H40</f>
        <v>0</v>
      </c>
      <c r="N35" s="124">
        <f>'AM572x PET'!I40</f>
        <v>165</v>
      </c>
      <c r="O35" s="64">
        <v>1</v>
      </c>
      <c r="P35" s="124">
        <f>'AM572x PET'!J40</f>
        <v>20</v>
      </c>
      <c r="Q35" s="64">
        <v>0</v>
      </c>
      <c r="R35" s="64">
        <v>0</v>
      </c>
      <c r="S35" s="64">
        <v>0</v>
      </c>
      <c r="T35" s="64">
        <v>0</v>
      </c>
      <c r="U35" s="124" t="str">
        <f>'AM572x PET'!K40</f>
        <v>VDDSHV3</v>
      </c>
      <c r="V35" s="128">
        <f>LOOKUP(U35,'AM572x PET'!$D$6:$E$16)</f>
        <v>3.3</v>
      </c>
      <c r="W35" s="5">
        <f t="shared" si="1"/>
        <v>0.1</v>
      </c>
    </row>
    <row r="36" spans="2:23" ht="15">
      <c r="B36" s="171"/>
      <c r="C36" s="168"/>
      <c r="D36" s="1" t="s">
        <v>10</v>
      </c>
      <c r="E36" s="56">
        <f t="shared" si="0"/>
        <v>0.92</v>
      </c>
      <c r="F36" s="57">
        <f ca="1">IF(OFFSET('IP Dynamic Power Data'!$A$1,MATCH($D36,'IP Dynamic Power Data'!A:A,0)-1,1)="Core",OFFSET('SoC Data'!$A$39,MATCH($D36,'SoC Data'!$A$40:$A$53,0),MATCH($C$24,'SoC Data'!$A$39:$E$39,0)-1),N36)</f>
        <v>300</v>
      </c>
      <c r="G36" s="1"/>
      <c r="H36" s="126" t="str">
        <f>IF('AM572x PET'!D41="Enabled","Always enabled","Disabled")</f>
        <v>Always enabled</v>
      </c>
      <c r="I36" s="64"/>
      <c r="J36" s="124" t="str">
        <f>'AM572x PET'!E41</f>
        <v>typ</v>
      </c>
      <c r="K36" s="124">
        <f>'AM572x PET'!F41</f>
        <v>90</v>
      </c>
      <c r="L36" s="124">
        <v>0</v>
      </c>
      <c r="M36" s="124">
        <v>0</v>
      </c>
      <c r="N36" s="112"/>
      <c r="O36" s="64"/>
      <c r="P36" s="64"/>
      <c r="Q36" s="64"/>
      <c r="R36" s="64"/>
      <c r="S36" s="64"/>
      <c r="T36" s="64"/>
      <c r="U36" s="124"/>
      <c r="V36" s="128"/>
      <c r="W36" s="5"/>
    </row>
    <row r="37" spans="2:23" ht="15">
      <c r="B37" s="171"/>
      <c r="C37" s="168"/>
      <c r="D37" s="1" t="s">
        <v>15</v>
      </c>
      <c r="E37" s="56">
        <f t="shared" si="0"/>
        <v>0.92</v>
      </c>
      <c r="F37" s="57">
        <f ca="1">IF(OFFSET('IP Dynamic Power Data'!$A$1,MATCH($D37,'IP Dynamic Power Data'!A:A,0)-1,1)="Core",OFFSET('SoC Data'!$A$39,MATCH($D37,'SoC Data'!$A$40:$A$53,0),MATCH($C$24,'SoC Data'!$A$39:$E$39,0)-1),N37)</f>
        <v>266</v>
      </c>
      <c r="G37" s="1"/>
      <c r="H37" s="126" t="str">
        <f>IF('AM572x PET'!D42="Enabled","Always enabled","Disabled")</f>
        <v>Always enabled</v>
      </c>
      <c r="I37" s="64"/>
      <c r="J37" s="124" t="str">
        <f>'AM572x PET'!E42</f>
        <v>max</v>
      </c>
      <c r="K37" s="124">
        <f>'AM572x PET'!F42</f>
        <v>80</v>
      </c>
      <c r="L37" s="124">
        <v>0</v>
      </c>
      <c r="M37" s="124">
        <v>0</v>
      </c>
      <c r="N37" s="112"/>
      <c r="O37" s="64"/>
      <c r="P37" s="64"/>
      <c r="Q37" s="64"/>
      <c r="R37" s="64"/>
      <c r="S37" s="64"/>
      <c r="T37" s="64"/>
      <c r="U37" s="124"/>
      <c r="V37" s="128"/>
      <c r="W37" s="5"/>
    </row>
    <row r="38" spans="2:23" ht="15">
      <c r="B38" s="171"/>
      <c r="C38" s="168"/>
      <c r="D38" s="139" t="s">
        <v>203</v>
      </c>
      <c r="E38" s="140">
        <f t="shared" si="0"/>
        <v>0.92</v>
      </c>
      <c r="F38" s="141">
        <f ca="1">IF(OFFSET('IP Dynamic Power Data'!$A$1,MATCH($D38,'IP Dynamic Power Data'!A:A,0)-1,1)="Core",OFFSET('SoC Data'!$A$39,MATCH($D38,'SoC Data'!$A$40:$A$53,0),MATCH($C$24,'SoC Data'!$A$39:$E$39,0)-1),N38)</f>
        <v>266</v>
      </c>
      <c r="G38" s="139"/>
      <c r="H38" s="142" t="s">
        <v>13</v>
      </c>
      <c r="I38" s="143"/>
      <c r="J38" s="143" t="s">
        <v>64</v>
      </c>
      <c r="K38" s="143">
        <v>0</v>
      </c>
      <c r="L38" s="143">
        <v>0</v>
      </c>
      <c r="M38" s="143">
        <v>0</v>
      </c>
      <c r="N38" s="112"/>
      <c r="O38" s="64"/>
      <c r="P38" s="64"/>
      <c r="Q38" s="64"/>
      <c r="R38" s="64"/>
      <c r="S38" s="64"/>
      <c r="T38" s="64"/>
      <c r="U38" s="124"/>
      <c r="V38" s="128"/>
      <c r="W38" s="5"/>
    </row>
    <row r="39" spans="2:23" ht="15">
      <c r="B39" s="171"/>
      <c r="C39" s="168"/>
      <c r="D39" s="139" t="s">
        <v>204</v>
      </c>
      <c r="E39" s="140">
        <f t="shared" si="0"/>
        <v>0.92</v>
      </c>
      <c r="F39" s="141">
        <f ca="1">IF(OFFSET('IP Dynamic Power Data'!$A$1,MATCH($D39,'IP Dynamic Power Data'!A:A,0)-1,1)="Core",OFFSET('SoC Data'!$A$39,MATCH($D39,'SoC Data'!$A$40:$A$53,0),MATCH($C$24,'SoC Data'!$A$39:$E$39,0)-1),N39)</f>
        <v>266</v>
      </c>
      <c r="G39" s="139"/>
      <c r="H39" s="142" t="s">
        <v>13</v>
      </c>
      <c r="I39" s="143"/>
      <c r="J39" s="143" t="s">
        <v>64</v>
      </c>
      <c r="K39" s="143">
        <v>0</v>
      </c>
      <c r="L39" s="143">
        <v>0</v>
      </c>
      <c r="M39" s="143">
        <v>0</v>
      </c>
      <c r="N39" s="112"/>
      <c r="O39" s="64"/>
      <c r="P39" s="64"/>
      <c r="Q39" s="64"/>
      <c r="R39" s="64"/>
      <c r="S39" s="64"/>
      <c r="T39" s="64"/>
      <c r="U39" s="124"/>
      <c r="V39" s="128"/>
      <c r="W39" s="5"/>
    </row>
    <row r="40" spans="2:23" ht="15">
      <c r="B40" s="171"/>
      <c r="C40" s="168"/>
      <c r="D40" s="1" t="s">
        <v>199</v>
      </c>
      <c r="E40" s="56">
        <f t="shared" si="0"/>
        <v>0.92</v>
      </c>
      <c r="F40" s="57">
        <f ca="1">IF(OFFSET('IP Dynamic Power Data'!$A$1,MATCH($D40,'IP Dynamic Power Data'!A:A,0)-1,1)="Core",OFFSET('SoC Data'!$A$39,MATCH($D40,'SoC Data'!$A$40:$A$53,0),MATCH($C$24,'SoC Data'!$A$39:$E$39,0)-1),N40)</f>
        <v>165</v>
      </c>
      <c r="G40" s="1"/>
      <c r="H40" s="126" t="str">
        <f>IF('AM572x PET'!D43="Enabled","Always enabled","Disabled")</f>
        <v>Disabled</v>
      </c>
      <c r="I40" s="64"/>
      <c r="J40" s="124" t="str">
        <f>'AM572x PET'!E43</f>
        <v>idle</v>
      </c>
      <c r="K40" s="124">
        <f>'AM572x PET'!F43</f>
        <v>0</v>
      </c>
      <c r="L40" s="124">
        <f>'AM572x PET'!G43</f>
        <v>0</v>
      </c>
      <c r="M40" s="124">
        <v>0</v>
      </c>
      <c r="N40" s="124">
        <f>'AM572x PET'!I43</f>
        <v>165</v>
      </c>
      <c r="O40" s="64">
        <v>0</v>
      </c>
      <c r="P40" s="64">
        <v>0</v>
      </c>
      <c r="Q40" s="64">
        <v>1</v>
      </c>
      <c r="R40" s="64">
        <v>4</v>
      </c>
      <c r="S40" s="124">
        <f>'AM572x PET'!J43</f>
        <v>16</v>
      </c>
      <c r="T40" s="64">
        <v>10</v>
      </c>
      <c r="U40" s="124" t="str">
        <f>'AM572x PET'!K43</f>
        <v>VDDSHV2</v>
      </c>
      <c r="V40" s="128">
        <f>LOOKUP(U40,'AM572x PET'!$D$6:$E$16)</f>
        <v>3.3</v>
      </c>
      <c r="W40" s="5">
        <f>IF(H40="Disabled",0.1,(N40*(2*Q40+S40*0.3+S40*0.7)*(IF(V40=1.8,40/1.8,110/3.3)/1000+T40*V40/1000)+N40*(2*O40+P40*0.7)*(10/1000)*V40))</f>
        <v>0.1</v>
      </c>
    </row>
    <row r="41" spans="2:23" ht="15">
      <c r="B41" s="171"/>
      <c r="C41" s="168"/>
      <c r="D41" s="1" t="s">
        <v>200</v>
      </c>
      <c r="E41" s="56">
        <f t="shared" si="0"/>
        <v>0.92</v>
      </c>
      <c r="F41" s="57">
        <f ca="1">IF(OFFSET('IP Dynamic Power Data'!$A$1,MATCH($D41,'IP Dynamic Power Data'!A:A,0)-1,1)="Core",OFFSET('SoC Data'!$A$39,MATCH($D41,'SoC Data'!$A$40:$A$53,0),MATCH($C$24,'SoC Data'!$A$39:$E$39,0)-1),N41)</f>
        <v>165</v>
      </c>
      <c r="G41" s="1"/>
      <c r="H41" s="126" t="str">
        <f>IF('AM572x PET'!D44="Enabled","Always enabled","Disabled")</f>
        <v>Disabled</v>
      </c>
      <c r="I41" s="64"/>
      <c r="J41" s="124" t="str">
        <f>'AM572x PET'!E44</f>
        <v>idle</v>
      </c>
      <c r="K41" s="124">
        <f>'AM572x PET'!F44</f>
        <v>0</v>
      </c>
      <c r="L41" s="124">
        <f>'AM572x PET'!G44</f>
        <v>0</v>
      </c>
      <c r="M41" s="124">
        <v>0</v>
      </c>
      <c r="N41" s="124">
        <f>'AM572x PET'!I44</f>
        <v>165</v>
      </c>
      <c r="O41" s="64">
        <v>0</v>
      </c>
      <c r="P41" s="64">
        <v>0</v>
      </c>
      <c r="Q41" s="64">
        <v>1</v>
      </c>
      <c r="R41" s="64">
        <v>4</v>
      </c>
      <c r="S41" s="124">
        <f>'AM572x PET'!J44</f>
        <v>16</v>
      </c>
      <c r="T41" s="64">
        <v>10</v>
      </c>
      <c r="U41" s="124" t="str">
        <f>'AM572x PET'!K44</f>
        <v>VDDSHV1</v>
      </c>
      <c r="V41" s="128">
        <f>LOOKUP(U41,'AM572x PET'!$D$6:$E$16)</f>
        <v>3.3</v>
      </c>
      <c r="W41" s="5">
        <f>IF(H41="Disabled",0.1,(N41*(2*Q41+S41*0.3+S41*0.7)*(IF(V41=1.8,40/1.8,110/3.3)/1000+T41*V41/1000)+N41*(2*O41+P41*0.7)*(10/1000)*V41))</f>
        <v>0.1</v>
      </c>
    </row>
    <row r="42" spans="2:23" ht="15">
      <c r="B42" s="171"/>
      <c r="C42" s="168"/>
      <c r="D42" s="1" t="s">
        <v>201</v>
      </c>
      <c r="E42" s="56">
        <f t="shared" si="0"/>
        <v>0.92</v>
      </c>
      <c r="F42" s="57">
        <f ca="1">IF(OFFSET('IP Dynamic Power Data'!$A$1,MATCH($D42,'IP Dynamic Power Data'!A:A,0)-1,1)="Core",OFFSET('SoC Data'!$A$39,MATCH($D42,'SoC Data'!$A$40:$A$53,0),MATCH($C$24,'SoC Data'!$A$39:$E$39,0)-1),N42)</f>
        <v>165</v>
      </c>
      <c r="G42" s="1"/>
      <c r="H42" s="126" t="str">
        <f>IF('AM572x PET'!D45="Enabled","Always enabled","Disabled")</f>
        <v>Disabled</v>
      </c>
      <c r="I42" s="64"/>
      <c r="J42" s="124" t="str">
        <f>'AM572x PET'!E45</f>
        <v>idle</v>
      </c>
      <c r="K42" s="124">
        <f>'AM572x PET'!F45</f>
        <v>0</v>
      </c>
      <c r="L42" s="124">
        <f>'AM572x PET'!G45</f>
        <v>0</v>
      </c>
      <c r="M42" s="124">
        <v>0</v>
      </c>
      <c r="N42" s="124">
        <f>'AM572x PET'!I45</f>
        <v>165</v>
      </c>
      <c r="O42" s="64">
        <v>0</v>
      </c>
      <c r="P42" s="64">
        <v>0</v>
      </c>
      <c r="Q42" s="64">
        <v>1</v>
      </c>
      <c r="R42" s="64">
        <v>4</v>
      </c>
      <c r="S42" s="124">
        <f>'AM572x PET'!J45</f>
        <v>16</v>
      </c>
      <c r="T42" s="64">
        <v>10</v>
      </c>
      <c r="U42" s="124" t="str">
        <f>'AM572x PET'!K45</f>
        <v>VDDSHV6</v>
      </c>
      <c r="V42" s="128">
        <f>LOOKUP(U42,'AM572x PET'!$D$6:$E$16)</f>
        <v>3.3</v>
      </c>
      <c r="W42" s="5">
        <f>IF(H42="Disabled",0.1,(N42*(2*Q42+S42*0.3+S42*0.7)*(IF(V42=1.8,40/1.8,110/3.3)/1000+T42*V42/1000)+N42*(2*O42+P42*0.7)*(10/1000)*V42))</f>
        <v>0.1</v>
      </c>
    </row>
    <row r="43" spans="2:23" ht="15">
      <c r="B43" s="171"/>
      <c r="C43" s="168"/>
      <c r="D43" s="1" t="s">
        <v>202</v>
      </c>
      <c r="E43" s="56">
        <f t="shared" si="0"/>
        <v>0.92</v>
      </c>
      <c r="F43" s="57">
        <f ca="1">IF(OFFSET('IP Dynamic Power Data'!$A$1,MATCH($D43,'IP Dynamic Power Data'!A:A,0)-1,1)="Core",OFFSET('SoC Data'!$A$39,MATCH($D43,'SoC Data'!$A$40:$A$53,0),MATCH($C$24,'SoC Data'!$A$39:$E$39,0)-1),N43)</f>
        <v>165</v>
      </c>
      <c r="G43" s="1"/>
      <c r="H43" s="126" t="str">
        <f>IF('AM572x PET'!D46="Enabled","Always enabled","Disabled")</f>
        <v>Disabled</v>
      </c>
      <c r="I43" s="64"/>
      <c r="J43" s="124" t="str">
        <f>'AM572x PET'!E46</f>
        <v>idle</v>
      </c>
      <c r="K43" s="124">
        <f>'AM572x PET'!F46</f>
        <v>0</v>
      </c>
      <c r="L43" s="124">
        <f>'AM572x PET'!G46</f>
        <v>0</v>
      </c>
      <c r="M43" s="124">
        <v>0</v>
      </c>
      <c r="N43" s="124">
        <f>'AM572x PET'!I46</f>
        <v>165</v>
      </c>
      <c r="O43" s="65">
        <v>0</v>
      </c>
      <c r="P43" s="65">
        <v>8</v>
      </c>
      <c r="Q43" s="65">
        <v>0</v>
      </c>
      <c r="R43" s="65">
        <v>2</v>
      </c>
      <c r="S43" s="65">
        <v>8</v>
      </c>
      <c r="T43" s="65">
        <v>10</v>
      </c>
      <c r="U43" s="124" t="s">
        <v>140</v>
      </c>
      <c r="V43" s="128">
        <v>1.8</v>
      </c>
      <c r="W43" s="32"/>
    </row>
    <row r="44" spans="2:23" ht="15">
      <c r="B44" s="171"/>
      <c r="C44" s="168"/>
      <c r="D44" s="1" t="s">
        <v>23</v>
      </c>
      <c r="E44" s="56">
        <f t="shared" si="0"/>
        <v>0.92</v>
      </c>
      <c r="F44" s="57">
        <f ca="1">IF(OFFSET('IP Dynamic Power Data'!$A$1,MATCH($D44,'IP Dynamic Power Data'!A:A,0)-1,1)="Core",OFFSET('SoC Data'!$A$39,MATCH($D44,'SoC Data'!$A$40:$A$53,0),MATCH($C$24,'SoC Data'!$A$39:$E$39,0)-1),N44)</f>
        <v>266</v>
      </c>
      <c r="G44" s="1"/>
      <c r="H44" s="126" t="str">
        <f>IF('AM572x PET'!D47="Enabled","Always enabled","Disabled")</f>
        <v>Disabled</v>
      </c>
      <c r="I44" s="64"/>
      <c r="J44" s="124" t="str">
        <f>'AM572x PET'!E47</f>
        <v>idle</v>
      </c>
      <c r="K44" s="124">
        <f>'AM572x PET'!F47</f>
        <v>0</v>
      </c>
      <c r="L44" s="124">
        <v>0</v>
      </c>
      <c r="M44" s="124">
        <v>0</v>
      </c>
      <c r="N44" s="112"/>
      <c r="O44" s="64"/>
      <c r="P44" s="64"/>
      <c r="Q44" s="64"/>
      <c r="R44" s="64"/>
      <c r="S44" s="64"/>
      <c r="T44" s="64"/>
      <c r="U44" s="124"/>
      <c r="V44" s="128">
        <v>1.8</v>
      </c>
      <c r="W44" s="5"/>
    </row>
    <row r="45" spans="2:23" ht="15">
      <c r="B45" s="171"/>
      <c r="C45" s="168"/>
      <c r="D45" s="1" t="s">
        <v>197</v>
      </c>
      <c r="E45" s="56">
        <f t="shared" si="0"/>
        <v>0.92</v>
      </c>
      <c r="F45" s="57">
        <f ca="1">IF(OFFSET('IP Dynamic Power Data'!$A$1,MATCH($D45,'IP Dynamic Power Data'!A:A,0)-1,1)="Core",OFFSET('SoC Data'!$A$39,MATCH($D45,'SoC Data'!$A$40:$A$53,0),MATCH($C$24,'SoC Data'!$A$39:$E$39,0)-1),N45/10)</f>
        <v>500</v>
      </c>
      <c r="G45" s="1"/>
      <c r="H45" s="126" t="str">
        <f>IF('AM572x PET'!D48="Enabled","Always enabled","Disabled")</f>
        <v>Disabled</v>
      </c>
      <c r="I45" s="64"/>
      <c r="J45" s="124" t="str">
        <f>'AM572x PET'!E48</f>
        <v>idle</v>
      </c>
      <c r="K45" s="124">
        <f>'AM572x PET'!F48</f>
        <v>0</v>
      </c>
      <c r="L45" s="124">
        <f>'AM572x PET'!G48</f>
        <v>0</v>
      </c>
      <c r="M45" s="124">
        <v>0</v>
      </c>
      <c r="N45" s="124">
        <f>'AM572x PET'!I48</f>
        <v>5000</v>
      </c>
      <c r="O45" s="65">
        <v>0</v>
      </c>
      <c r="P45" s="65">
        <v>8</v>
      </c>
      <c r="Q45" s="65">
        <v>0</v>
      </c>
      <c r="R45" s="65">
        <v>0</v>
      </c>
      <c r="S45" s="65">
        <v>8</v>
      </c>
      <c r="T45" s="65">
        <v>10</v>
      </c>
      <c r="U45" s="124" t="s">
        <v>143</v>
      </c>
      <c r="V45" s="128">
        <v>1.8</v>
      </c>
      <c r="W45" s="32"/>
    </row>
    <row r="46" spans="2:23" ht="15">
      <c r="B46" s="171"/>
      <c r="C46" s="168"/>
      <c r="D46" s="1" t="s">
        <v>198</v>
      </c>
      <c r="E46" s="56">
        <f t="shared" si="0"/>
        <v>0.92</v>
      </c>
      <c r="F46" s="57">
        <f ca="1">IF(OFFSET('IP Dynamic Power Data'!$A$1,MATCH($D46,'IP Dynamic Power Data'!A:A,0)-1,1)="Core",OFFSET('SoC Data'!$A$39,MATCH($D46,'SoC Data'!$A$40:$A$53,0),MATCH($C$24,'SoC Data'!$A$39:$E$39,0)-1),N46/10)</f>
        <v>500</v>
      </c>
      <c r="G46" s="1"/>
      <c r="H46" s="126" t="str">
        <f>IF('AM572x PET'!D49="Enabled","Always enabled","Disabled")</f>
        <v>Disabled</v>
      </c>
      <c r="I46" s="64"/>
      <c r="J46" s="124" t="str">
        <f>'AM572x PET'!E49</f>
        <v>idle</v>
      </c>
      <c r="K46" s="124">
        <f>'AM572x PET'!F49</f>
        <v>0</v>
      </c>
      <c r="L46" s="124">
        <f>'AM572x PET'!G49</f>
        <v>0</v>
      </c>
      <c r="M46" s="124">
        <v>0</v>
      </c>
      <c r="N46" s="124">
        <f>'AM572x PET'!I49</f>
        <v>5000</v>
      </c>
      <c r="O46" s="65">
        <v>0</v>
      </c>
      <c r="P46" s="65">
        <v>8</v>
      </c>
      <c r="Q46" s="65">
        <v>0</v>
      </c>
      <c r="R46" s="65">
        <v>0</v>
      </c>
      <c r="S46" s="65">
        <v>8</v>
      </c>
      <c r="T46" s="65">
        <v>10</v>
      </c>
      <c r="U46" s="124" t="s">
        <v>150</v>
      </c>
      <c r="V46" s="128">
        <v>1.8</v>
      </c>
      <c r="W46" s="32"/>
    </row>
    <row r="47" spans="2:23" ht="15">
      <c r="B47" s="171"/>
      <c r="C47" s="168"/>
      <c r="D47" s="1" t="s">
        <v>17</v>
      </c>
      <c r="E47" s="56">
        <f t="shared" si="0"/>
        <v>0.92</v>
      </c>
      <c r="F47" s="57">
        <f ca="1">IF(OFFSET('IP Dynamic Power Data'!$A$1,MATCH($D47,'IP Dynamic Power Data'!A:A,0)-1,1)="Core",OFFSET('SoC Data'!$A$39,MATCH($D47,'SoC Data'!$A$40:$A$53,0),MATCH($C$24,'SoC Data'!$A$39:$E$39,0)-1),N47/10)</f>
        <v>300</v>
      </c>
      <c r="G47" s="1"/>
      <c r="H47" s="126" t="str">
        <f>IF('AM572x PET'!D50="Enabled","Always enabled","Disabled")</f>
        <v>Always enabled</v>
      </c>
      <c r="I47" s="64"/>
      <c r="J47" s="124" t="str">
        <f>'AM572x PET'!E50</f>
        <v>typ</v>
      </c>
      <c r="K47" s="124">
        <f>'AM572x PET'!F50</f>
        <v>100</v>
      </c>
      <c r="L47" s="124">
        <f>'AM572x PET'!G50</f>
        <v>0</v>
      </c>
      <c r="M47" s="124">
        <f>'AM572x PET'!H50</f>
        <v>0</v>
      </c>
      <c r="N47" s="124">
        <f>'AM572x PET'!I50</f>
        <v>3000</v>
      </c>
      <c r="O47" s="65">
        <v>0</v>
      </c>
      <c r="P47" s="65">
        <v>8</v>
      </c>
      <c r="Q47" s="65">
        <v>0</v>
      </c>
      <c r="R47" s="65">
        <v>0</v>
      </c>
      <c r="S47" s="65">
        <v>8</v>
      </c>
      <c r="T47" s="65">
        <v>10</v>
      </c>
      <c r="U47" s="124" t="s">
        <v>151</v>
      </c>
      <c r="V47" s="128">
        <v>1.8</v>
      </c>
      <c r="W47" s="32"/>
    </row>
    <row r="48" spans="2:23" ht="15">
      <c r="B48" s="171"/>
      <c r="C48" s="168"/>
      <c r="D48" s="1" t="s">
        <v>181</v>
      </c>
      <c r="E48" s="56">
        <f t="shared" si="0"/>
        <v>0.92</v>
      </c>
      <c r="F48" s="57">
        <f ca="1">IF(OFFSET('IP Dynamic Power Data'!$A$1,MATCH($D48,'IP Dynamic Power Data'!A:A,0)-1,1)="Core",OFFSET('SoC Data'!$A$39,MATCH($D48,'SoC Data'!$A$40:$A$53,0),MATCH($C$24,'SoC Data'!$A$39:$E$39,0)-1),N48)</f>
        <v>200</v>
      </c>
      <c r="G48" s="1"/>
      <c r="H48" s="126" t="str">
        <f>IF('AM572x PET'!D51="Enabled","Always enabled","Disabled")</f>
        <v>Disabled</v>
      </c>
      <c r="I48" s="64"/>
      <c r="J48" s="124" t="str">
        <f>'AM572x PET'!E51</f>
        <v>idle</v>
      </c>
      <c r="K48" s="124">
        <f>'AM572x PET'!F51</f>
        <v>0</v>
      </c>
      <c r="L48" s="124">
        <v>0</v>
      </c>
      <c r="M48" s="124">
        <v>0</v>
      </c>
      <c r="N48" s="112"/>
      <c r="O48" s="64"/>
      <c r="P48" s="64"/>
      <c r="Q48" s="64"/>
      <c r="R48" s="64"/>
      <c r="S48" s="64"/>
      <c r="T48" s="64"/>
      <c r="U48" s="124"/>
      <c r="V48" s="128"/>
      <c r="W48" s="5"/>
    </row>
    <row r="49" spans="2:23" ht="15">
      <c r="B49" s="171"/>
      <c r="C49" s="168"/>
      <c r="D49" s="1" t="s">
        <v>182</v>
      </c>
      <c r="E49" s="56">
        <f t="shared" si="0"/>
        <v>0.92</v>
      </c>
      <c r="F49" s="57">
        <f ca="1">IF(OFFSET('IP Dynamic Power Data'!$A$1,MATCH($D49,'IP Dynamic Power Data'!A:A,0)-1,1)="Core",OFFSET('SoC Data'!$A$39,MATCH($D49,'SoC Data'!$A$40:$A$53,0),MATCH($C$24,'SoC Data'!$A$39:$E$39,0)-1),N49)</f>
        <v>200</v>
      </c>
      <c r="G49" s="1"/>
      <c r="H49" s="126" t="str">
        <f>IF('AM572x PET'!D52="Enabled","Always enabled","Disabled")</f>
        <v>Disabled</v>
      </c>
      <c r="I49" s="64"/>
      <c r="J49" s="124" t="str">
        <f>'AM572x PET'!E52</f>
        <v>idle</v>
      </c>
      <c r="K49" s="124">
        <f>'AM572x PET'!F52</f>
        <v>0</v>
      </c>
      <c r="L49" s="124">
        <v>0</v>
      </c>
      <c r="M49" s="124">
        <v>0</v>
      </c>
      <c r="N49" s="112"/>
      <c r="O49" s="64"/>
      <c r="P49" s="64"/>
      <c r="Q49" s="64"/>
      <c r="R49" s="64"/>
      <c r="S49" s="64"/>
      <c r="T49" s="64"/>
      <c r="U49" s="124"/>
      <c r="V49" s="128"/>
      <c r="W49" s="5"/>
    </row>
    <row r="50" spans="2:23" ht="15">
      <c r="B50" s="171"/>
      <c r="C50" s="168"/>
      <c r="D50" s="1" t="s">
        <v>183</v>
      </c>
      <c r="E50" s="56">
        <f t="shared" si="0"/>
        <v>0.92</v>
      </c>
      <c r="F50" s="57">
        <f ca="1">IF(OFFSET('IP Dynamic Power Data'!$A$1,MATCH($D50,'IP Dynamic Power Data'!A:A,0)-1,1)="Core",OFFSET('SoC Data'!$A$39,MATCH($D50,'SoC Data'!$A$40:$A$53,0),MATCH($C$24,'SoC Data'!$A$39:$E$39,0)-1),N50)</f>
        <v>750</v>
      </c>
      <c r="G50" s="1"/>
      <c r="H50" s="126" t="str">
        <f>IF('AM572x PET'!D53="Enabled","Always enabled","Disabled")</f>
        <v>Always enabled</v>
      </c>
      <c r="I50" s="64"/>
      <c r="J50" s="124" t="str">
        <f>'AM572x PET'!E53</f>
        <v>typ</v>
      </c>
      <c r="K50" s="124">
        <f>'AM572x PET'!F53</f>
        <v>100</v>
      </c>
      <c r="L50" s="124">
        <f>'AM572x PET'!G53</f>
        <v>0</v>
      </c>
      <c r="M50" s="124">
        <f>'AM572x PET'!H53</f>
        <v>0</v>
      </c>
      <c r="N50" s="124">
        <f>'AM572x PET'!I53</f>
        <v>750</v>
      </c>
      <c r="O50" s="64">
        <v>0</v>
      </c>
      <c r="P50" s="64">
        <v>10</v>
      </c>
      <c r="Q50" s="64">
        <v>1</v>
      </c>
      <c r="R50" s="64">
        <v>2</v>
      </c>
      <c r="S50" s="64">
        <v>8</v>
      </c>
      <c r="T50" s="64">
        <v>10</v>
      </c>
      <c r="U50" s="124" t="str">
        <f>'AM572x PET'!K53</f>
        <v>VDDSHV9</v>
      </c>
      <c r="V50" s="128">
        <f>LOOKUP(U50,'AM572x PET'!$D$6:$E$16)</f>
        <v>3.3</v>
      </c>
      <c r="W50" s="5">
        <f>IF(H50="Disabled",0.1,(N50*(2*Q50+S50*0.3+S50*0.7)*(IF(V50=1.8,40/1.8,110/3.3)/1000+T50*V50/1000)+N50*(2*O50+P50*0.7)*(10/1000)*V50))</f>
        <v>670.75</v>
      </c>
    </row>
    <row r="51" spans="2:23" ht="15">
      <c r="B51" s="171"/>
      <c r="C51" s="168"/>
      <c r="D51" s="1" t="s">
        <v>184</v>
      </c>
      <c r="E51" s="56">
        <f t="shared" si="0"/>
        <v>0.92</v>
      </c>
      <c r="F51" s="57">
        <f ca="1">IF(OFFSET('IP Dynamic Power Data'!$A$1,MATCH($D51,'IP Dynamic Power Data'!A:A,0)-1,1)="Core",OFFSET('SoC Data'!$A$39,MATCH($D51,'SoC Data'!$A$40:$A$53,0),MATCH($C$24,'SoC Data'!$A$39:$E$39,0)-1),N51)</f>
        <v>750</v>
      </c>
      <c r="G51" s="1"/>
      <c r="H51" s="126" t="str">
        <f>IF('AM572x PET'!D54="Enabled","Always enabled","Disabled")</f>
        <v>Always enabled</v>
      </c>
      <c r="I51" s="64"/>
      <c r="J51" s="124" t="str">
        <f>'AM572x PET'!E54</f>
        <v>typ</v>
      </c>
      <c r="K51" s="124">
        <f>'AM572x PET'!F54</f>
        <v>100</v>
      </c>
      <c r="L51" s="124">
        <f>'AM572x PET'!G54</f>
        <v>0</v>
      </c>
      <c r="M51" s="124">
        <f>'AM572x PET'!H54</f>
        <v>0</v>
      </c>
      <c r="N51" s="124">
        <f>'AM572x PET'!I54</f>
        <v>750</v>
      </c>
      <c r="O51" s="64">
        <v>0</v>
      </c>
      <c r="P51" s="64">
        <v>10</v>
      </c>
      <c r="Q51" s="64">
        <v>1</v>
      </c>
      <c r="R51" s="64">
        <v>2</v>
      </c>
      <c r="S51" s="64">
        <v>8</v>
      </c>
      <c r="T51" s="64">
        <v>10</v>
      </c>
      <c r="U51" s="124" t="str">
        <f>'AM572x PET'!K54</f>
        <v>VDDSHV1</v>
      </c>
      <c r="V51" s="128">
        <f>LOOKUP(U51,'AM572x PET'!$D$6:$E$16)</f>
        <v>3.3</v>
      </c>
      <c r="W51" s="5">
        <f>IF(H51="Disabled",0.1,(N51*(2*Q51+S51*0.3+S51*0.7)*(IF(V51=1.8,40/1.8,110/3.3)/1000+T51*V51/1000)+N51*(2*O51+P51*0.7)*(10/1000)*V51))</f>
        <v>670.75</v>
      </c>
    </row>
    <row r="52" spans="2:23" ht="15">
      <c r="B52" s="171"/>
      <c r="C52" s="168"/>
      <c r="D52" s="1" t="s">
        <v>179</v>
      </c>
      <c r="E52" s="56">
        <f t="shared" si="0"/>
        <v>0.92</v>
      </c>
      <c r="F52" s="57">
        <f ca="1">IF(OFFSET('IP Dynamic Power Data'!$A$1,MATCH($D52,'IP Dynamic Power Data'!A:A,0)-1,1)="Core",OFFSET('SoC Data'!$A$39,MATCH($D52,'SoC Data'!$A$40:$A$53,0),MATCH($C$24,'SoC Data'!$A$39:$E$39,0)-1),N52/IF(USB1_FREQ&gt;480,10,8))</f>
        <v>60</v>
      </c>
      <c r="G52" s="1"/>
      <c r="H52" s="126" t="str">
        <f>IF('AM572x PET'!D55="Enabled","Always enabled","Disabled")</f>
        <v>Always enabled</v>
      </c>
      <c r="I52" s="64"/>
      <c r="J52" s="124" t="str">
        <f>'AM572x PET'!E55</f>
        <v>typ</v>
      </c>
      <c r="K52" s="124">
        <f>'AM572x PET'!F55</f>
        <v>100</v>
      </c>
      <c r="L52" s="124">
        <f>'AM572x PET'!G55</f>
        <v>0</v>
      </c>
      <c r="M52" s="124">
        <f>'AM572x PET'!H55</f>
        <v>0</v>
      </c>
      <c r="N52" s="124">
        <f>'AM572x PET'!I55</f>
        <v>480</v>
      </c>
      <c r="O52" s="65">
        <v>0</v>
      </c>
      <c r="P52" s="65">
        <v>8</v>
      </c>
      <c r="Q52" s="65">
        <v>0</v>
      </c>
      <c r="R52" s="65">
        <v>0</v>
      </c>
      <c r="S52" s="65">
        <v>8</v>
      </c>
      <c r="T52" s="65">
        <v>5</v>
      </c>
      <c r="U52" s="124" t="s">
        <v>133</v>
      </c>
      <c r="V52" s="128">
        <v>1.8</v>
      </c>
      <c r="W52" s="32"/>
    </row>
    <row r="53" spans="2:23" ht="15">
      <c r="B53" s="171"/>
      <c r="C53" s="168"/>
      <c r="D53" s="1" t="s">
        <v>41</v>
      </c>
      <c r="E53" s="56">
        <f t="shared" si="0"/>
        <v>0.92</v>
      </c>
      <c r="F53" s="57">
        <f ca="1">IF(OFFSET('IP Dynamic Power Data'!$A$1,MATCH($D53,'IP Dynamic Power Data'!A:A,0)-1,1)="Core",OFFSET('SoC Data'!$A$39,MATCH($D53,'SoC Data'!$A$40:$A$53,0),MATCH($C$24,'SoC Data'!$A$39:$E$39,0)-1),N53)/8</f>
        <v>60</v>
      </c>
      <c r="G53" s="1"/>
      <c r="H53" s="126" t="str">
        <f>IF('AM572x PET'!D56="Enabled","Always enabled","Disabled")</f>
        <v>Always enabled</v>
      </c>
      <c r="I53" s="64"/>
      <c r="J53" s="124" t="str">
        <f>'AM572x PET'!E56</f>
        <v>typ</v>
      </c>
      <c r="K53" s="124">
        <f>'AM572x PET'!F56</f>
        <v>100</v>
      </c>
      <c r="L53" s="124">
        <f>'AM572x PET'!G56</f>
        <v>0</v>
      </c>
      <c r="M53" s="124">
        <f>'AM572x PET'!H56</f>
        <v>0</v>
      </c>
      <c r="N53" s="124">
        <f>'AM572x PET'!I56</f>
        <v>480</v>
      </c>
      <c r="O53" s="65">
        <v>0</v>
      </c>
      <c r="P53" s="65">
        <v>10</v>
      </c>
      <c r="Q53" s="65">
        <v>1</v>
      </c>
      <c r="R53" s="65">
        <v>2</v>
      </c>
      <c r="S53" s="65">
        <v>8</v>
      </c>
      <c r="T53" s="65">
        <v>5</v>
      </c>
      <c r="U53" s="124" t="s">
        <v>325</v>
      </c>
      <c r="V53" s="128">
        <v>1.8</v>
      </c>
      <c r="W53" s="32"/>
    </row>
    <row r="54" spans="2:23" ht="15">
      <c r="B54" s="171"/>
      <c r="C54" s="168"/>
      <c r="D54" s="139" t="s">
        <v>19</v>
      </c>
      <c r="E54" s="140">
        <f t="shared" si="0"/>
        <v>0.92</v>
      </c>
      <c r="F54" s="141">
        <f ca="1">IF(OFFSET('IP Dynamic Power Data'!$A$1,MATCH($D54,'IP Dynamic Power Data'!A:A,0)-1,1)="Core",OFFSET('SoC Data'!$A$39,MATCH($D54,'SoC Data'!$A$40:$A$53,0),MATCH($C$24,'SoC Data'!$A$39:$E$39,0)-1),N54)</f>
        <v>60</v>
      </c>
      <c r="G54" s="139"/>
      <c r="H54" s="142" t="s">
        <v>13</v>
      </c>
      <c r="I54" s="143"/>
      <c r="J54" s="143" t="s">
        <v>64</v>
      </c>
      <c r="K54" s="143">
        <v>0</v>
      </c>
      <c r="L54" s="143">
        <v>0</v>
      </c>
      <c r="M54" s="143">
        <v>0</v>
      </c>
      <c r="N54" s="124">
        <v>60</v>
      </c>
      <c r="O54" s="65">
        <v>1</v>
      </c>
      <c r="P54" s="65">
        <v>10</v>
      </c>
      <c r="Q54" s="65">
        <v>0</v>
      </c>
      <c r="R54" s="65">
        <v>1</v>
      </c>
      <c r="S54" s="65">
        <v>8</v>
      </c>
      <c r="T54" s="65">
        <v>5</v>
      </c>
      <c r="U54" s="124" t="s">
        <v>163</v>
      </c>
      <c r="V54" s="128">
        <f>LOOKUP(U54,'AM572x PET'!$D$6:$E$16)</f>
        <v>3.3</v>
      </c>
      <c r="W54" s="5">
        <f aca="true" t="shared" si="2" ref="W54:W74">IF(H54="Disabled",0.1,(N54*(2*Q54+S54*0.3+S54*0.7)*(IF(V54=1.8,40/1.8,110/3.3)/1000+T54*V54/1000)+N54*(2*O54+P54*0.7)*(10/1000)*V54))</f>
        <v>0.1</v>
      </c>
    </row>
    <row r="55" spans="2:23" ht="15">
      <c r="B55" s="171"/>
      <c r="C55" s="168"/>
      <c r="D55" s="139" t="s">
        <v>180</v>
      </c>
      <c r="E55" s="140">
        <f t="shared" si="0"/>
        <v>0.92</v>
      </c>
      <c r="F55" s="141">
        <f ca="1">IF(OFFSET('IP Dynamic Power Data'!$A$1,MATCH($D55,'IP Dynamic Power Data'!A:A,0)-1,1)="Core",OFFSET('SoC Data'!$A$39,MATCH($D55,'SoC Data'!$A$40:$A$53,0),MATCH($C$24,'SoC Data'!$A$39:$E$39,0)-1),N55)</f>
        <v>60</v>
      </c>
      <c r="G55" s="139"/>
      <c r="H55" s="142" t="s">
        <v>13</v>
      </c>
      <c r="I55" s="143"/>
      <c r="J55" s="143" t="s">
        <v>64</v>
      </c>
      <c r="K55" s="143">
        <v>0</v>
      </c>
      <c r="L55" s="143">
        <v>0</v>
      </c>
      <c r="M55" s="143">
        <v>0</v>
      </c>
      <c r="N55" s="124">
        <v>60</v>
      </c>
      <c r="O55" s="65">
        <v>1</v>
      </c>
      <c r="P55" s="65">
        <v>10</v>
      </c>
      <c r="Q55" s="65">
        <v>0</v>
      </c>
      <c r="R55" s="65">
        <v>1</v>
      </c>
      <c r="S55" s="65">
        <v>8</v>
      </c>
      <c r="T55" s="65">
        <v>5</v>
      </c>
      <c r="U55" s="124" t="s">
        <v>166</v>
      </c>
      <c r="V55" s="128">
        <f>LOOKUP(U55,'AM572x PET'!$D$6:$E$16)</f>
        <v>3.3</v>
      </c>
      <c r="W55" s="5">
        <f t="shared" si="2"/>
        <v>0.1</v>
      </c>
    </row>
    <row r="56" spans="2:23" ht="15">
      <c r="B56" s="171"/>
      <c r="C56" s="168"/>
      <c r="D56" s="1" t="s">
        <v>20</v>
      </c>
      <c r="E56" s="56">
        <f aca="true" t="shared" si="3" ref="E56:E82">CORE_AVS_VOLTAGE</f>
        <v>0.92</v>
      </c>
      <c r="F56" s="57">
        <f ca="1">IF(OFFSET('IP Dynamic Power Data'!$A$1,MATCH($D56,'IP Dynamic Power Data'!A:A,0)-1,1)="Core",OFFSET('SoC Data'!$A$39,MATCH($D56,'SoC Data'!$A$40:$A$53,0),MATCH($C$24,'SoC Data'!$A$39:$E$39,0)-1),N56)</f>
        <v>80</v>
      </c>
      <c r="G56" s="1"/>
      <c r="H56" s="126" t="str">
        <f>IF('AM572x PET'!D57="Enabled","Always enabled","Disabled")</f>
        <v>Disabled</v>
      </c>
      <c r="I56" s="64"/>
      <c r="J56" s="124" t="str">
        <f>'AM572x PET'!E57</f>
        <v>idle</v>
      </c>
      <c r="K56" s="124">
        <f>'AM572x PET'!F57</f>
        <v>0</v>
      </c>
      <c r="L56" s="124">
        <f>'AM572x PET'!G57</f>
        <v>0</v>
      </c>
      <c r="M56" s="124">
        <f>'AM572x PET'!H57</f>
        <v>0</v>
      </c>
      <c r="N56" s="124">
        <f>'AM572x PET'!I57</f>
        <v>80</v>
      </c>
      <c r="O56" s="64">
        <v>0</v>
      </c>
      <c r="P56" s="64">
        <v>4</v>
      </c>
      <c r="Q56" s="64">
        <v>1</v>
      </c>
      <c r="R56" s="64">
        <v>4</v>
      </c>
      <c r="S56" s="64">
        <v>1</v>
      </c>
      <c r="T56" s="64">
        <v>20</v>
      </c>
      <c r="U56" s="124" t="str">
        <f>'AM572x PET'!K57</f>
        <v>VDDSHV10</v>
      </c>
      <c r="V56" s="128">
        <f>LOOKUP(U56,'AM572x PET'!$D$6:$E$16)</f>
        <v>3.3</v>
      </c>
      <c r="W56" s="5">
        <f t="shared" si="2"/>
        <v>0.1</v>
      </c>
    </row>
    <row r="57" spans="2:23" ht="15">
      <c r="B57" s="171"/>
      <c r="C57" s="168"/>
      <c r="D57" s="1" t="s">
        <v>177</v>
      </c>
      <c r="E57" s="56">
        <f t="shared" si="3"/>
        <v>0.92</v>
      </c>
      <c r="F57" s="57">
        <f ca="1">IF(OFFSET('IP Dynamic Power Data'!$A$1,MATCH($D57,'IP Dynamic Power Data'!A:A,0)-1,1)="Core",OFFSET('SoC Data'!$A$39,MATCH($D57,'SoC Data'!$A$40:$A$53,0),MATCH($C$24,'SoC Data'!$A$39:$E$39,0)-1),N57)</f>
        <v>27</v>
      </c>
      <c r="G57" s="1"/>
      <c r="H57" s="126" t="str">
        <f>IF('AM572x PET'!D58="Enabled","Always enabled","Disabled")</f>
        <v>Disabled</v>
      </c>
      <c r="I57" s="64"/>
      <c r="J57" s="124" t="str">
        <f>'AM572x PET'!E58</f>
        <v>idle</v>
      </c>
      <c r="K57" s="124">
        <f>'AM572x PET'!F58</f>
        <v>0</v>
      </c>
      <c r="L57" s="124">
        <v>0</v>
      </c>
      <c r="M57" s="124">
        <v>0</v>
      </c>
      <c r="N57" s="124">
        <v>27</v>
      </c>
      <c r="O57" s="64">
        <v>0</v>
      </c>
      <c r="P57" s="64">
        <v>1</v>
      </c>
      <c r="Q57" s="64">
        <v>0</v>
      </c>
      <c r="R57" s="64">
        <v>1</v>
      </c>
      <c r="S57" s="64">
        <v>1</v>
      </c>
      <c r="T57" s="64">
        <v>20</v>
      </c>
      <c r="U57" s="124" t="str">
        <f>'AM572x PET'!K58</f>
        <v>VDDSHV3</v>
      </c>
      <c r="V57" s="128">
        <f>LOOKUP(U57,'AM572x PET'!$D$6:$E$16)</f>
        <v>3.3</v>
      </c>
      <c r="W57" s="5">
        <f t="shared" si="2"/>
        <v>0.1</v>
      </c>
    </row>
    <row r="58" spans="2:23" ht="15">
      <c r="B58" s="171"/>
      <c r="C58" s="168"/>
      <c r="D58" s="1" t="s">
        <v>178</v>
      </c>
      <c r="E58" s="56">
        <f t="shared" si="3"/>
        <v>0.92</v>
      </c>
      <c r="F58" s="57">
        <f ca="1">IF(OFFSET('IP Dynamic Power Data'!$A$1,MATCH($D58,'IP Dynamic Power Data'!A:A,0)-1,1)="Core",OFFSET('SoC Data'!$A$39,MATCH($D58,'SoC Data'!$A$40:$A$53,0),MATCH($C$24,'SoC Data'!$A$39:$E$39,0)-1),N58)</f>
        <v>27</v>
      </c>
      <c r="G58" s="1"/>
      <c r="H58" s="126" t="str">
        <f>IF('AM572x PET'!D59="Enabled","Always enabled","Disabled")</f>
        <v>Disabled</v>
      </c>
      <c r="I58" s="64"/>
      <c r="J58" s="124" t="str">
        <f>'AM572x PET'!E59</f>
        <v>idle</v>
      </c>
      <c r="K58" s="124">
        <f>'AM572x PET'!F59</f>
        <v>0</v>
      </c>
      <c r="L58" s="124">
        <v>0</v>
      </c>
      <c r="M58" s="124">
        <v>0</v>
      </c>
      <c r="N58" s="124">
        <v>27</v>
      </c>
      <c r="O58" s="64">
        <v>0</v>
      </c>
      <c r="P58" s="64">
        <v>1</v>
      </c>
      <c r="Q58" s="64">
        <v>0</v>
      </c>
      <c r="R58" s="64">
        <v>1</v>
      </c>
      <c r="S58" s="64">
        <v>1</v>
      </c>
      <c r="T58" s="64">
        <v>20</v>
      </c>
      <c r="U58" s="124" t="str">
        <f>'AM572x PET'!K59</f>
        <v>VDDSHV3</v>
      </c>
      <c r="V58" s="128">
        <f>LOOKUP(U58,'AM572x PET'!$D$6:$E$16)</f>
        <v>3.3</v>
      </c>
      <c r="W58" s="5">
        <f t="shared" si="2"/>
        <v>0.1</v>
      </c>
    </row>
    <row r="59" spans="2:23" ht="15">
      <c r="B59" s="171"/>
      <c r="C59" s="168"/>
      <c r="D59" s="1" t="s">
        <v>185</v>
      </c>
      <c r="E59" s="56">
        <f t="shared" si="3"/>
        <v>0.92</v>
      </c>
      <c r="F59" s="57">
        <f ca="1">IF(OFFSET('IP Dynamic Power Data'!$A$1,MATCH($D59,'IP Dynamic Power Data'!A:A,0)-1,1)="Core",OFFSET('SoC Data'!$A$39,MATCH($D59,'SoC Data'!$A$40:$A$53,0),MATCH($C$24,'SoC Data'!$A$39:$E$39,0)-1),N59)</f>
        <v>50</v>
      </c>
      <c r="G59" s="1"/>
      <c r="H59" s="126" t="str">
        <f>IF('AM572x PET'!D60="Enabled","Always enabled","Disabled")</f>
        <v>Disabled</v>
      </c>
      <c r="I59" s="64"/>
      <c r="J59" s="124" t="str">
        <f>'AM572x PET'!E60</f>
        <v>idle</v>
      </c>
      <c r="K59" s="124">
        <f>'AM572x PET'!F60</f>
        <v>0</v>
      </c>
      <c r="L59" s="124">
        <f>'AM572x PET'!G60</f>
        <v>0</v>
      </c>
      <c r="M59" s="124">
        <f>'AM572x PET'!H60</f>
        <v>0</v>
      </c>
      <c r="N59" s="124">
        <f>'AM572x PET'!I60</f>
        <v>50</v>
      </c>
      <c r="O59" s="64">
        <v>0</v>
      </c>
      <c r="P59" s="64">
        <v>10</v>
      </c>
      <c r="Q59" s="64">
        <v>2</v>
      </c>
      <c r="R59" s="64">
        <v>2</v>
      </c>
      <c r="S59" s="64">
        <v>8</v>
      </c>
      <c r="T59" s="64">
        <v>15</v>
      </c>
      <c r="U59" s="124" t="str">
        <f>'AM572x PET'!K60</f>
        <v>VDDSHV3</v>
      </c>
      <c r="V59" s="128">
        <f>LOOKUP(U59,'AM572x PET'!$D$6:$E$16)</f>
        <v>3.3</v>
      </c>
      <c r="W59" s="5">
        <f t="shared" si="2"/>
        <v>0.1</v>
      </c>
    </row>
    <row r="60" spans="2:23" ht="15">
      <c r="B60" s="171"/>
      <c r="C60" s="168"/>
      <c r="D60" s="1" t="s">
        <v>186</v>
      </c>
      <c r="E60" s="56">
        <f t="shared" si="3"/>
        <v>0.92</v>
      </c>
      <c r="F60" s="57">
        <f ca="1">IF(OFFSET('IP Dynamic Power Data'!$A$1,MATCH($D60,'IP Dynamic Power Data'!A:A,0)-1,1)="Core",OFFSET('SoC Data'!$A$39,MATCH($D60,'SoC Data'!$A$40:$A$53,0),MATCH($C$24,'SoC Data'!$A$39:$E$39,0)-1),N60)</f>
        <v>50</v>
      </c>
      <c r="G60" s="1"/>
      <c r="H60" s="126" t="str">
        <f>IF('AM572x PET'!D61="Enabled","Always enabled","Disabled")</f>
        <v>Disabled</v>
      </c>
      <c r="I60" s="64"/>
      <c r="J60" s="124" t="str">
        <f>'AM572x PET'!E61</f>
        <v>idle</v>
      </c>
      <c r="K60" s="124">
        <f>'AM572x PET'!F61</f>
        <v>0</v>
      </c>
      <c r="L60" s="124">
        <f>'AM572x PET'!G61</f>
        <v>0</v>
      </c>
      <c r="M60" s="124">
        <f>'AM572x PET'!H61</f>
        <v>0</v>
      </c>
      <c r="N60" s="124">
        <f>'AM572x PET'!I61</f>
        <v>50</v>
      </c>
      <c r="O60" s="64">
        <v>0</v>
      </c>
      <c r="P60" s="64">
        <v>10</v>
      </c>
      <c r="Q60" s="64">
        <v>2</v>
      </c>
      <c r="R60" s="64">
        <v>2</v>
      </c>
      <c r="S60" s="64">
        <v>8</v>
      </c>
      <c r="T60" s="64">
        <v>15</v>
      </c>
      <c r="U60" s="124" t="str">
        <f>'AM572x PET'!K61</f>
        <v>VDDSHV3</v>
      </c>
      <c r="V60" s="128">
        <f>LOOKUP(U60,'AM572x PET'!$D$6:$E$16)</f>
        <v>3.3</v>
      </c>
      <c r="W60" s="5">
        <f t="shared" si="2"/>
        <v>0.1</v>
      </c>
    </row>
    <row r="61" spans="2:23" ht="15">
      <c r="B61" s="171"/>
      <c r="C61" s="168"/>
      <c r="D61" s="1" t="s">
        <v>187</v>
      </c>
      <c r="E61" s="56">
        <f t="shared" si="3"/>
        <v>0.92</v>
      </c>
      <c r="F61" s="57">
        <f ca="1">IF(OFFSET('IP Dynamic Power Data'!$A$1,MATCH($D61,'IP Dynamic Power Data'!A:A,0)-1,1)="Core",OFFSET('SoC Data'!$A$39,MATCH($D61,'SoC Data'!$A$40:$A$53,0),MATCH($C$24,'SoC Data'!$A$39:$E$39,0)-1),N61)</f>
        <v>50</v>
      </c>
      <c r="G61" s="1"/>
      <c r="H61" s="126" t="str">
        <f>IF('AM572x PET'!D62="Enabled","Always enabled","Disabled")</f>
        <v>Disabled</v>
      </c>
      <c r="I61" s="64"/>
      <c r="J61" s="124" t="str">
        <f>'AM572x PET'!E62</f>
        <v>idle</v>
      </c>
      <c r="K61" s="124">
        <f>'AM572x PET'!F62</f>
        <v>0</v>
      </c>
      <c r="L61" s="124">
        <f>'AM572x PET'!G62</f>
        <v>0</v>
      </c>
      <c r="M61" s="124">
        <f>'AM572x PET'!H62</f>
        <v>0</v>
      </c>
      <c r="N61" s="124">
        <f>'AM572x PET'!I62</f>
        <v>50</v>
      </c>
      <c r="O61" s="64">
        <v>0</v>
      </c>
      <c r="P61" s="64">
        <v>10</v>
      </c>
      <c r="Q61" s="64">
        <v>2</v>
      </c>
      <c r="R61" s="64">
        <v>2</v>
      </c>
      <c r="S61" s="64">
        <v>8</v>
      </c>
      <c r="T61" s="64">
        <v>15</v>
      </c>
      <c r="U61" s="124" t="str">
        <f>'AM572x PET'!K62</f>
        <v>VDDSHV3</v>
      </c>
      <c r="V61" s="128">
        <f>LOOKUP(U61,'AM572x PET'!$D$6:$E$16)</f>
        <v>3.3</v>
      </c>
      <c r="W61" s="5">
        <f t="shared" si="2"/>
        <v>0.1</v>
      </c>
    </row>
    <row r="62" spans="2:23" ht="15">
      <c r="B62" s="171"/>
      <c r="C62" s="168"/>
      <c r="D62" s="1" t="s">
        <v>188</v>
      </c>
      <c r="E62" s="56">
        <f t="shared" si="3"/>
        <v>0.92</v>
      </c>
      <c r="F62" s="57">
        <f ca="1">IF(OFFSET('IP Dynamic Power Data'!$A$1,MATCH($D62,'IP Dynamic Power Data'!A:A,0)-1,1)="Core",OFFSET('SoC Data'!$A$39,MATCH($D62,'SoC Data'!$A$40:$A$53,0),MATCH($C$24,'SoC Data'!$A$39:$E$39,0)-1),N62)</f>
        <v>50</v>
      </c>
      <c r="G62" s="1"/>
      <c r="H62" s="126" t="str">
        <f>IF('AM572x PET'!D63="Enabled","Always enabled","Disabled")</f>
        <v>Disabled</v>
      </c>
      <c r="I62" s="64"/>
      <c r="J62" s="124" t="str">
        <f>'AM572x PET'!E63</f>
        <v>idle</v>
      </c>
      <c r="K62" s="124">
        <f>'AM572x PET'!F63</f>
        <v>0</v>
      </c>
      <c r="L62" s="124">
        <f>'AM572x PET'!G63</f>
        <v>0</v>
      </c>
      <c r="M62" s="124">
        <f>'AM572x PET'!H63</f>
        <v>0</v>
      </c>
      <c r="N62" s="124">
        <f>'AM572x PET'!I63</f>
        <v>50</v>
      </c>
      <c r="O62" s="64">
        <v>0</v>
      </c>
      <c r="P62" s="64">
        <v>10</v>
      </c>
      <c r="Q62" s="64">
        <v>2</v>
      </c>
      <c r="R62" s="64">
        <v>2</v>
      </c>
      <c r="S62" s="64">
        <v>8</v>
      </c>
      <c r="T62" s="64">
        <v>15</v>
      </c>
      <c r="U62" s="124" t="str">
        <f>'AM572x PET'!K63</f>
        <v>VDDSHV3</v>
      </c>
      <c r="V62" s="128">
        <f>LOOKUP(U62,'AM572x PET'!$D$6:$E$16)</f>
        <v>3.3</v>
      </c>
      <c r="W62" s="5">
        <f t="shared" si="2"/>
        <v>0.1</v>
      </c>
    </row>
    <row r="63" spans="2:23" ht="15">
      <c r="B63" s="171"/>
      <c r="C63" s="168"/>
      <c r="D63" s="1" t="s">
        <v>189</v>
      </c>
      <c r="E63" s="56">
        <f t="shared" si="3"/>
        <v>0.92</v>
      </c>
      <c r="F63" s="57">
        <f ca="1">IF(OFFSET('IP Dynamic Power Data'!$A$1,MATCH($D63,'IP Dynamic Power Data'!A:A,0)-1,1)="Core",OFFSET('SoC Data'!$A$39,MATCH($D63,'SoC Data'!$A$40:$A$53,0),MATCH($C$24,'SoC Data'!$A$39:$E$39,0)-1),N63)</f>
        <v>50</v>
      </c>
      <c r="G63" s="1"/>
      <c r="H63" s="126" t="str">
        <f>IF('AM572x PET'!D64="Enabled","Always enabled","Disabled")</f>
        <v>Disabled</v>
      </c>
      <c r="I63" s="64"/>
      <c r="J63" s="124" t="str">
        <f>'AM572x PET'!E64</f>
        <v>idle</v>
      </c>
      <c r="K63" s="124">
        <f>'AM572x PET'!F64</f>
        <v>0</v>
      </c>
      <c r="L63" s="124">
        <f>'AM572x PET'!G64</f>
        <v>0</v>
      </c>
      <c r="M63" s="124">
        <f>'AM572x PET'!H64</f>
        <v>0</v>
      </c>
      <c r="N63" s="124">
        <f>'AM572x PET'!I64</f>
        <v>50</v>
      </c>
      <c r="O63" s="64">
        <v>0</v>
      </c>
      <c r="P63" s="64">
        <v>10</v>
      </c>
      <c r="Q63" s="64">
        <v>2</v>
      </c>
      <c r="R63" s="64">
        <v>2</v>
      </c>
      <c r="S63" s="64">
        <v>8</v>
      </c>
      <c r="T63" s="64">
        <v>15</v>
      </c>
      <c r="U63" s="124" t="str">
        <f>'AM572x PET'!K64</f>
        <v>VDDSHV7</v>
      </c>
      <c r="V63" s="128">
        <f>LOOKUP(U63,'AM572x PET'!$D$6:$E$16)</f>
        <v>3.3</v>
      </c>
      <c r="W63" s="5">
        <f t="shared" si="2"/>
        <v>0.1</v>
      </c>
    </row>
    <row r="64" spans="2:23" ht="15">
      <c r="B64" s="171"/>
      <c r="C64" s="168"/>
      <c r="D64" s="1" t="s">
        <v>190</v>
      </c>
      <c r="E64" s="56">
        <f t="shared" si="3"/>
        <v>0.92</v>
      </c>
      <c r="F64" s="57">
        <f ca="1">IF(OFFSET('IP Dynamic Power Data'!$A$1,MATCH($D64,'IP Dynamic Power Data'!A:A,0)-1,1)="Core",OFFSET('SoC Data'!$A$39,MATCH($D64,'SoC Data'!$A$40:$A$53,0),MATCH($C$24,'SoC Data'!$A$39:$E$39,0)-1),N64)</f>
        <v>50</v>
      </c>
      <c r="G64" s="1"/>
      <c r="H64" s="126" t="str">
        <f>IF('AM572x PET'!D65="Enabled","Always enabled","Disabled")</f>
        <v>Disabled</v>
      </c>
      <c r="I64" s="64"/>
      <c r="J64" s="124" t="str">
        <f>'AM572x PET'!E65</f>
        <v>idle</v>
      </c>
      <c r="K64" s="124">
        <f>'AM572x PET'!F65</f>
        <v>0</v>
      </c>
      <c r="L64" s="124">
        <f>'AM572x PET'!G65</f>
        <v>0</v>
      </c>
      <c r="M64" s="124">
        <f>'AM572x PET'!H65</f>
        <v>0</v>
      </c>
      <c r="N64" s="124">
        <f>'AM572x PET'!I65</f>
        <v>50</v>
      </c>
      <c r="O64" s="64">
        <v>0</v>
      </c>
      <c r="P64" s="64">
        <v>10</v>
      </c>
      <c r="Q64" s="64">
        <v>2</v>
      </c>
      <c r="R64" s="64">
        <v>2</v>
      </c>
      <c r="S64" s="64">
        <v>8</v>
      </c>
      <c r="T64" s="64">
        <v>15</v>
      </c>
      <c r="U64" s="124" t="str">
        <f>'AM572x PET'!K65</f>
        <v>VDDSHV3</v>
      </c>
      <c r="V64" s="128">
        <f>LOOKUP(U64,'AM572x PET'!$D$6:$E$16)</f>
        <v>3.3</v>
      </c>
      <c r="W64" s="5">
        <f t="shared" si="2"/>
        <v>0.1</v>
      </c>
    </row>
    <row r="65" spans="2:23" ht="15">
      <c r="B65" s="171"/>
      <c r="C65" s="168"/>
      <c r="D65" s="1" t="s">
        <v>191</v>
      </c>
      <c r="E65" s="56">
        <f t="shared" si="3"/>
        <v>0.92</v>
      </c>
      <c r="F65" s="57">
        <f ca="1">IF(OFFSET('IP Dynamic Power Data'!$A$1,MATCH($D65,'IP Dynamic Power Data'!A:A,0)-1,1)="Core",OFFSET('SoC Data'!$A$39,MATCH($D65,'SoC Data'!$A$40:$A$53,0),MATCH($C$24,'SoC Data'!$A$39:$E$39,0)-1),N65)</f>
        <v>50</v>
      </c>
      <c r="G65" s="1"/>
      <c r="H65" s="126" t="str">
        <f>IF('AM572x PET'!D66="Enabled","Always enabled","Disabled")</f>
        <v>Disabled</v>
      </c>
      <c r="I65" s="64"/>
      <c r="J65" s="124" t="str">
        <f>'AM572x PET'!E66</f>
        <v>idle</v>
      </c>
      <c r="K65" s="124">
        <f>'AM572x PET'!F66</f>
        <v>0</v>
      </c>
      <c r="L65" s="124">
        <f>'AM572x PET'!G66</f>
        <v>0</v>
      </c>
      <c r="M65" s="124">
        <f>'AM572x PET'!H66</f>
        <v>0</v>
      </c>
      <c r="N65" s="124">
        <f>'AM572x PET'!I66</f>
        <v>50</v>
      </c>
      <c r="O65" s="64">
        <v>0</v>
      </c>
      <c r="P65" s="64">
        <v>10</v>
      </c>
      <c r="Q65" s="64">
        <v>2</v>
      </c>
      <c r="R65" s="64">
        <v>2</v>
      </c>
      <c r="S65" s="64">
        <v>8</v>
      </c>
      <c r="T65" s="64">
        <v>15</v>
      </c>
      <c r="U65" s="124" t="str">
        <f>'AM572x PET'!K66</f>
        <v>VDDSHV3</v>
      </c>
      <c r="V65" s="128">
        <f>LOOKUP(U65,'AM572x PET'!$D$6:$E$16)</f>
        <v>3.3</v>
      </c>
      <c r="W65" s="5">
        <f t="shared" si="2"/>
        <v>0.1</v>
      </c>
    </row>
    <row r="66" spans="2:23" ht="15">
      <c r="B66" s="171"/>
      <c r="C66" s="168"/>
      <c r="D66" s="1" t="s">
        <v>192</v>
      </c>
      <c r="E66" s="56">
        <f t="shared" si="3"/>
        <v>0.92</v>
      </c>
      <c r="F66" s="57">
        <f ca="1">IF(OFFSET('IP Dynamic Power Data'!$A$1,MATCH($D66,'IP Dynamic Power Data'!A:A,0)-1,1)="Core",OFFSET('SoC Data'!$A$39,MATCH($D66,'SoC Data'!$A$40:$A$53,0),MATCH($C$24,'SoC Data'!$A$39:$E$39,0)-1),N66)</f>
        <v>50</v>
      </c>
      <c r="G66" s="1"/>
      <c r="H66" s="126" t="str">
        <f>IF('AM572x PET'!D67="Enabled","Always enabled","Disabled")</f>
        <v>Disabled</v>
      </c>
      <c r="I66" s="64"/>
      <c r="J66" s="124" t="str">
        <f>'AM572x PET'!E67</f>
        <v>idle</v>
      </c>
      <c r="K66" s="124">
        <f>'AM572x PET'!F67</f>
        <v>0</v>
      </c>
      <c r="L66" s="124">
        <f>'AM572x PET'!G67</f>
        <v>0</v>
      </c>
      <c r="M66" s="124">
        <f>'AM572x PET'!H67</f>
        <v>0</v>
      </c>
      <c r="N66" s="124">
        <f>'AM572x PET'!I67</f>
        <v>50</v>
      </c>
      <c r="O66" s="64">
        <v>0</v>
      </c>
      <c r="P66" s="64">
        <v>10</v>
      </c>
      <c r="Q66" s="64">
        <v>2</v>
      </c>
      <c r="R66" s="64">
        <v>2</v>
      </c>
      <c r="S66" s="64">
        <v>8</v>
      </c>
      <c r="T66" s="64">
        <v>15</v>
      </c>
      <c r="U66" s="124" t="str">
        <f>'AM572x PET'!K67</f>
        <v>VDDSHV3</v>
      </c>
      <c r="V66" s="128">
        <f>LOOKUP(U66,'AM572x PET'!$D$6:$E$16)</f>
        <v>3.3</v>
      </c>
      <c r="W66" s="5">
        <f t="shared" si="2"/>
        <v>0.1</v>
      </c>
    </row>
    <row r="67" spans="2:23" ht="15">
      <c r="B67" s="171"/>
      <c r="C67" s="168"/>
      <c r="D67" s="139" t="s">
        <v>21</v>
      </c>
      <c r="E67" s="140">
        <f t="shared" si="3"/>
        <v>0.92</v>
      </c>
      <c r="F67" s="141">
        <f ca="1">IF(OFFSET('IP Dynamic Power Data'!$A$1,MATCH($D67,'IP Dynamic Power Data'!A:A,0)-1,1)="Core",OFFSET('SoC Data'!$A$39,MATCH($D67,'SoC Data'!$A$40:$A$53,0),MATCH($C$24,'SoC Data'!$A$39:$E$39,0)-1),N67)</f>
        <v>50</v>
      </c>
      <c r="G67" s="139"/>
      <c r="H67" s="142" t="s">
        <v>13</v>
      </c>
      <c r="I67" s="143"/>
      <c r="J67" s="143" t="s">
        <v>64</v>
      </c>
      <c r="K67" s="143">
        <v>0</v>
      </c>
      <c r="L67" s="143">
        <v>0</v>
      </c>
      <c r="M67" s="143">
        <v>0</v>
      </c>
      <c r="N67" s="124">
        <v>50</v>
      </c>
      <c r="O67" s="64">
        <v>1</v>
      </c>
      <c r="P67" s="64">
        <v>2</v>
      </c>
      <c r="Q67" s="64">
        <v>0</v>
      </c>
      <c r="R67" s="64">
        <v>1</v>
      </c>
      <c r="S67" s="64">
        <v>1</v>
      </c>
      <c r="T67" s="64">
        <v>40</v>
      </c>
      <c r="U67" s="124" t="s">
        <v>156</v>
      </c>
      <c r="V67" s="128">
        <v>1.8</v>
      </c>
      <c r="W67" s="5">
        <f t="shared" si="2"/>
        <v>0.1</v>
      </c>
    </row>
    <row r="68" spans="2:23" ht="15">
      <c r="B68" s="171"/>
      <c r="C68" s="168"/>
      <c r="D68" s="1" t="s">
        <v>22</v>
      </c>
      <c r="E68" s="56">
        <f t="shared" si="3"/>
        <v>0.92</v>
      </c>
      <c r="F68" s="57">
        <f ca="1">IF(OFFSET('IP Dynamic Power Data'!$A$1,MATCH($D68,'IP Dynamic Power Data'!A:A,0)-1,1)="Core",OFFSET('SoC Data'!$A$39,MATCH($D68,'SoC Data'!$A$40:$A$53,0),MATCH($C$24,'SoC Data'!$A$39:$E$39,0)-1),N68)</f>
        <v>66.5</v>
      </c>
      <c r="G68" s="1"/>
      <c r="H68" s="126" t="str">
        <f>IF('AM572x PET'!D68="Enabled","Always enabled","Disabled")</f>
        <v>Always enabled</v>
      </c>
      <c r="I68" s="64"/>
      <c r="J68" s="124" t="str">
        <f>'AM572x PET'!E68</f>
        <v>typ</v>
      </c>
      <c r="K68" s="124">
        <f>'AM572x PET'!F68</f>
        <v>100</v>
      </c>
      <c r="L68" s="124">
        <f>'AM572x PET'!G68</f>
        <v>0</v>
      </c>
      <c r="M68" s="124">
        <f>'AM572x PET'!H68</f>
        <v>0</v>
      </c>
      <c r="N68" s="124">
        <f>'AM572x PET'!I68</f>
        <v>66.5</v>
      </c>
      <c r="O68" s="64">
        <v>0</v>
      </c>
      <c r="P68" s="64">
        <v>17</v>
      </c>
      <c r="Q68" s="64">
        <v>1</v>
      </c>
      <c r="R68" s="64">
        <v>2</v>
      </c>
      <c r="S68" s="64">
        <v>16</v>
      </c>
      <c r="T68" s="64">
        <v>20</v>
      </c>
      <c r="U68" s="124" t="str">
        <f>'AM572x PET'!K68</f>
        <v>VDDSHV10</v>
      </c>
      <c r="V68" s="128">
        <f>LOOKUP(U68,'AM572x PET'!$D$6:$E$16)</f>
        <v>3.3</v>
      </c>
      <c r="W68" s="5">
        <f t="shared" si="2"/>
        <v>145.01655</v>
      </c>
    </row>
    <row r="69" spans="2:23" ht="15">
      <c r="B69" s="171"/>
      <c r="C69" s="168"/>
      <c r="D69" s="1" t="s">
        <v>193</v>
      </c>
      <c r="E69" s="56">
        <f t="shared" si="3"/>
        <v>0.92</v>
      </c>
      <c r="F69" s="57">
        <f ca="1">IF(OFFSET('IP Dynamic Power Data'!$A$1,MATCH($D69,'IP Dynamic Power Data'!A:A,0)-1,1)="Core",OFFSET('SoC Data'!$A$39,MATCH($D69,'SoC Data'!$A$40:$A$53,0),MATCH($C$24,'SoC Data'!$A$39:$E$39,0)-1),N69)</f>
        <v>50</v>
      </c>
      <c r="G69" s="1"/>
      <c r="H69" s="126" t="str">
        <f>IF('AM572x PET'!D69="Enabled","Always enabled","Disabled")</f>
        <v>Always enabled</v>
      </c>
      <c r="I69" s="64"/>
      <c r="J69" s="124" t="str">
        <f>'AM572x PET'!E69</f>
        <v>typ</v>
      </c>
      <c r="K69" s="124">
        <f>'AM572x PET'!F69</f>
        <v>100</v>
      </c>
      <c r="L69" s="124">
        <f>'AM572x PET'!G69</f>
        <v>0</v>
      </c>
      <c r="M69" s="124">
        <f>'AM572x PET'!H69</f>
        <v>0</v>
      </c>
      <c r="N69" s="124">
        <f>'AM572x PET'!I69</f>
        <v>50</v>
      </c>
      <c r="O69" s="64">
        <v>0</v>
      </c>
      <c r="P69" s="64">
        <v>5</v>
      </c>
      <c r="Q69" s="64">
        <v>1</v>
      </c>
      <c r="R69" s="64">
        <v>0</v>
      </c>
      <c r="S69" s="64">
        <v>4</v>
      </c>
      <c r="T69" s="64">
        <v>10</v>
      </c>
      <c r="U69" s="124" t="str">
        <f>'AM572x PET'!K69</f>
        <v>VDDSHV8</v>
      </c>
      <c r="V69" s="128">
        <f>LOOKUP(U69,'AM572x PET'!$D$6:$E$16)</f>
        <v>3.3</v>
      </c>
      <c r="W69" s="5">
        <f t="shared" si="2"/>
        <v>25.674999999999997</v>
      </c>
    </row>
    <row r="70" spans="2:23" ht="15">
      <c r="B70" s="171"/>
      <c r="C70" s="168"/>
      <c r="D70" s="1" t="s">
        <v>194</v>
      </c>
      <c r="E70" s="56">
        <f t="shared" si="3"/>
        <v>0.92</v>
      </c>
      <c r="F70" s="57">
        <f ca="1">IF(OFFSET('IP Dynamic Power Data'!$A$1,MATCH($D70,'IP Dynamic Power Data'!A:A,0)-1,1)="Core",OFFSET('SoC Data'!$A$39,MATCH($D70,'SoC Data'!$A$40:$A$53,0),MATCH($C$24,'SoC Data'!$A$39:$E$39,0)-1),N70)</f>
        <v>50</v>
      </c>
      <c r="G70" s="1"/>
      <c r="H70" s="126" t="str">
        <f>IF('AM572x PET'!D70="Enabled","Always enabled","Disabled")</f>
        <v>Always enabled</v>
      </c>
      <c r="I70" s="64"/>
      <c r="J70" s="124" t="str">
        <f>'AM572x PET'!E70</f>
        <v>typ</v>
      </c>
      <c r="K70" s="124">
        <f>'AM572x PET'!F70</f>
        <v>100</v>
      </c>
      <c r="L70" s="124">
        <f>'AM572x PET'!G70</f>
        <v>0</v>
      </c>
      <c r="M70" s="124">
        <f>'AM572x PET'!H70</f>
        <v>0</v>
      </c>
      <c r="N70" s="124">
        <f>'AM572x PET'!I70</f>
        <v>50</v>
      </c>
      <c r="O70" s="64">
        <v>0</v>
      </c>
      <c r="P70" s="64">
        <v>5</v>
      </c>
      <c r="Q70" s="64">
        <v>1</v>
      </c>
      <c r="R70" s="64">
        <v>0</v>
      </c>
      <c r="S70" s="64">
        <v>4</v>
      </c>
      <c r="T70" s="64">
        <v>10</v>
      </c>
      <c r="U70" s="124" t="str">
        <f>'AM572x PET'!K70</f>
        <v>VDDSHV11</v>
      </c>
      <c r="V70" s="128">
        <f>LOOKUP(U70,'AM572x PET'!$D$6:$E$16)</f>
        <v>3.3</v>
      </c>
      <c r="W70" s="5">
        <f t="shared" si="2"/>
        <v>25.674999999999997</v>
      </c>
    </row>
    <row r="71" spans="2:23" ht="15">
      <c r="B71" s="171"/>
      <c r="C71" s="168"/>
      <c r="D71" s="1" t="s">
        <v>195</v>
      </c>
      <c r="E71" s="56">
        <f t="shared" si="3"/>
        <v>0.92</v>
      </c>
      <c r="F71" s="57">
        <f ca="1">IF(OFFSET('IP Dynamic Power Data'!$A$1,MATCH($D71,'IP Dynamic Power Data'!A:A,0)-1,1)="Core",OFFSET('SoC Data'!$A$39,MATCH($D71,'SoC Data'!$A$40:$A$53,0),MATCH($C$24,'SoC Data'!$A$39:$E$39,0)-1),N71)</f>
        <v>96</v>
      </c>
      <c r="G71" s="1"/>
      <c r="H71" s="126" t="str">
        <f>IF('AM572x PET'!D71="Enabled","Always enabled","Disabled")</f>
        <v>Disabled</v>
      </c>
      <c r="I71" s="64"/>
      <c r="J71" s="124" t="str">
        <f>'AM572x PET'!E71</f>
        <v>idle</v>
      </c>
      <c r="K71" s="124">
        <f>'AM572x PET'!F71</f>
        <v>0</v>
      </c>
      <c r="L71" s="124">
        <f>'AM572x PET'!G71</f>
        <v>0</v>
      </c>
      <c r="M71" s="124">
        <f>'AM572x PET'!H71</f>
        <v>0</v>
      </c>
      <c r="N71" s="124">
        <f>'AM572x PET'!I71</f>
        <v>96</v>
      </c>
      <c r="O71" s="64">
        <v>0</v>
      </c>
      <c r="P71" s="64">
        <v>5</v>
      </c>
      <c r="Q71" s="64">
        <v>1</v>
      </c>
      <c r="R71" s="64">
        <v>0</v>
      </c>
      <c r="S71" s="64">
        <v>4</v>
      </c>
      <c r="T71" s="64">
        <v>10</v>
      </c>
      <c r="U71" s="124" t="str">
        <f>'AM572x PET'!K71</f>
        <v>VDDSHV7</v>
      </c>
      <c r="V71" s="128">
        <f>LOOKUP(U71,'AM572x PET'!$D$6:$E$16)</f>
        <v>3.3</v>
      </c>
      <c r="W71" s="5">
        <f t="shared" si="2"/>
        <v>0.1</v>
      </c>
    </row>
    <row r="72" spans="2:23" ht="15">
      <c r="B72" s="171"/>
      <c r="C72" s="168"/>
      <c r="D72" s="1" t="s">
        <v>196</v>
      </c>
      <c r="E72" s="56">
        <f t="shared" si="3"/>
        <v>0.92</v>
      </c>
      <c r="F72" s="57">
        <f ca="1">IF(OFFSET('IP Dynamic Power Data'!$A$1,MATCH($D72,'IP Dynamic Power Data'!A:A,0)-1,1)="Core",OFFSET('SoC Data'!$A$39,MATCH($D72,'SoC Data'!$A$40:$A$53,0),MATCH($C$24,'SoC Data'!$A$39:$E$39,0)-1),N72)</f>
        <v>96</v>
      </c>
      <c r="G72" s="1"/>
      <c r="H72" s="126" t="str">
        <f>IF('AM572x PET'!D72="Enabled","Always enabled","Disabled")</f>
        <v>Disabled</v>
      </c>
      <c r="I72" s="64"/>
      <c r="J72" s="124" t="str">
        <f>'AM572x PET'!E72</f>
        <v>idle</v>
      </c>
      <c r="K72" s="124">
        <f>'AM572x PET'!F72</f>
        <v>0</v>
      </c>
      <c r="L72" s="124">
        <f>'AM572x PET'!G72</f>
        <v>0</v>
      </c>
      <c r="M72" s="124">
        <f>'AM572x PET'!H72</f>
        <v>0</v>
      </c>
      <c r="N72" s="124">
        <f>'AM572x PET'!I72</f>
        <v>96</v>
      </c>
      <c r="O72" s="64">
        <v>0</v>
      </c>
      <c r="P72" s="64">
        <v>5</v>
      </c>
      <c r="Q72" s="64">
        <v>1</v>
      </c>
      <c r="R72" s="64">
        <v>0</v>
      </c>
      <c r="S72" s="64">
        <v>4</v>
      </c>
      <c r="T72" s="64">
        <v>10</v>
      </c>
      <c r="U72" s="124" t="str">
        <f>'AM572x PET'!K72</f>
        <v>VDDSHV4</v>
      </c>
      <c r="V72" s="128">
        <f>LOOKUP(U72,'AM572x PET'!$D$6:$E$16)</f>
        <v>3.3</v>
      </c>
      <c r="W72" s="5">
        <f t="shared" si="2"/>
        <v>0.1</v>
      </c>
    </row>
    <row r="73" spans="2:23" ht="15">
      <c r="B73" s="171"/>
      <c r="C73" s="168"/>
      <c r="D73" s="1" t="s">
        <v>24</v>
      </c>
      <c r="E73" s="56">
        <f t="shared" si="3"/>
        <v>0.92</v>
      </c>
      <c r="F73" s="57">
        <f ca="1">IF(OFFSET('IP Dynamic Power Data'!$A$1,MATCH($D73,'IP Dynamic Power Data'!A:A,0)-1,1)="Core",OFFSET('SoC Data'!$A$39,MATCH($D73,'SoC Data'!$A$40:$A$53,0),MATCH($C$24,'SoC Data'!$A$39:$E$39,0)-1),N73)</f>
        <v>10</v>
      </c>
      <c r="G73" s="1"/>
      <c r="H73" s="126" t="str">
        <f>IF('AM572x PET'!D73="Enabled","Always enabled","Disabled")</f>
        <v>Always enabled</v>
      </c>
      <c r="I73" s="64"/>
      <c r="J73" s="124" t="str">
        <f>'AM572x PET'!E73</f>
        <v>typ</v>
      </c>
      <c r="K73" s="124">
        <f>'AM572x PET'!F73</f>
        <v>100</v>
      </c>
      <c r="L73" s="124">
        <f>'AM572x PET'!G73</f>
        <v>0</v>
      </c>
      <c r="M73" s="124">
        <f>'AM572x PET'!H73</f>
        <v>0</v>
      </c>
      <c r="N73" s="124">
        <f>'AM572x PET'!I73</f>
        <v>10</v>
      </c>
      <c r="O73" s="65">
        <v>0</v>
      </c>
      <c r="P73" s="65">
        <v>1</v>
      </c>
      <c r="Q73" s="65">
        <v>1</v>
      </c>
      <c r="R73" s="65">
        <v>1</v>
      </c>
      <c r="S73" s="65">
        <v>1</v>
      </c>
      <c r="T73" s="65">
        <v>20</v>
      </c>
      <c r="U73" s="124" t="str">
        <f>'AM572x PET'!K73</f>
        <v>VDDSHV3</v>
      </c>
      <c r="V73" s="128">
        <f>LOOKUP(U73,'AM572x PET'!$D$6:$E$16)</f>
        <v>3.3</v>
      </c>
      <c r="W73" s="5">
        <f t="shared" si="2"/>
        <v>3.211</v>
      </c>
    </row>
    <row r="74" spans="2:23" ht="15.75" thickBot="1">
      <c r="B74" s="171"/>
      <c r="C74" s="168"/>
      <c r="D74" s="22" t="s">
        <v>211</v>
      </c>
      <c r="E74" s="56">
        <f t="shared" si="3"/>
        <v>0.92</v>
      </c>
      <c r="F74" s="58">
        <f ca="1">IF(OFFSET('IP Dynamic Power Data'!$A$1,MATCH($D74,'IP Dynamic Power Data'!A:A,0)-1,1)="Core",OFFSET('SoC Data'!$A$39,MATCH($D74,'SoC Data'!$A$40:$A$53,0),MATCH($C$24,'SoC Data'!$A$39:$E$39,0)-1),N74)</f>
        <v>27</v>
      </c>
      <c r="G74" s="2"/>
      <c r="H74" s="126" t="str">
        <f>IF('AM572x PET'!D74="Enabled","Always enabled","Disabled")</f>
        <v>Always enabled</v>
      </c>
      <c r="I74" s="66"/>
      <c r="J74" s="124" t="str">
        <f>'AM572x PET'!E74</f>
        <v>typ</v>
      </c>
      <c r="K74" s="127">
        <f>'AM572x PET'!F74</f>
        <v>100</v>
      </c>
      <c r="L74" s="127">
        <f>'AM572x PET'!G74</f>
        <v>0</v>
      </c>
      <c r="M74" s="127">
        <f>'AM572x PET'!H74</f>
        <v>0</v>
      </c>
      <c r="N74" s="127">
        <v>27</v>
      </c>
      <c r="O74" s="66"/>
      <c r="P74" s="66"/>
      <c r="Q74" s="66"/>
      <c r="R74" s="66"/>
      <c r="S74" s="66"/>
      <c r="T74" s="66"/>
      <c r="U74" s="124" t="str">
        <f>'AM572x PET'!K74</f>
        <v>VDDSHV4</v>
      </c>
      <c r="V74" s="128">
        <f>LOOKUP(U74,'AM572x PET'!$D$6:$E$16)</f>
        <v>3.3</v>
      </c>
      <c r="W74" s="5">
        <f t="shared" si="2"/>
        <v>0</v>
      </c>
    </row>
    <row r="75" spans="2:23" ht="15" customHeight="1">
      <c r="B75" s="171"/>
      <c r="C75" s="168"/>
      <c r="D75" s="20" t="s">
        <v>409</v>
      </c>
      <c r="E75" s="56">
        <f t="shared" si="3"/>
        <v>0.92</v>
      </c>
      <c r="F75" s="59">
        <f>DDR_FREQ</f>
        <v>532</v>
      </c>
      <c r="G75" s="86"/>
      <c r="H75" s="126" t="s">
        <v>14</v>
      </c>
      <c r="I75" s="87"/>
      <c r="J75" s="124" t="s">
        <v>64</v>
      </c>
      <c r="K75" s="136"/>
      <c r="L75" s="115"/>
      <c r="M75" s="115"/>
      <c r="N75" s="115"/>
      <c r="O75" s="67"/>
      <c r="P75" s="67"/>
      <c r="Q75" s="67"/>
      <c r="R75" s="67"/>
      <c r="S75" s="67"/>
      <c r="T75" s="67"/>
      <c r="U75" s="67"/>
      <c r="V75" s="67"/>
      <c r="W75" s="5"/>
    </row>
    <row r="76" spans="2:23" ht="15" customHeight="1">
      <c r="B76" s="171"/>
      <c r="C76" s="168"/>
      <c r="D76" s="20" t="s">
        <v>410</v>
      </c>
      <c r="E76" s="56">
        <f t="shared" si="3"/>
        <v>0.92</v>
      </c>
      <c r="F76" s="59">
        <f>DDR_FREQ</f>
        <v>532</v>
      </c>
      <c r="G76" s="86"/>
      <c r="H76" s="126" t="s">
        <v>14</v>
      </c>
      <c r="I76" s="87"/>
      <c r="J76" s="124" t="s">
        <v>64</v>
      </c>
      <c r="K76" s="136"/>
      <c r="L76" s="115"/>
      <c r="M76" s="115"/>
      <c r="N76" s="115"/>
      <c r="O76" s="67"/>
      <c r="P76" s="67"/>
      <c r="Q76" s="67"/>
      <c r="R76" s="67"/>
      <c r="S76" s="67"/>
      <c r="T76" s="67"/>
      <c r="U76" s="67"/>
      <c r="V76" s="67"/>
      <c r="W76" s="5"/>
    </row>
    <row r="77" spans="2:23" ht="15" customHeight="1">
      <c r="B77" s="171"/>
      <c r="C77" s="168"/>
      <c r="D77" s="20" t="s">
        <v>411</v>
      </c>
      <c r="E77" s="56">
        <f t="shared" si="3"/>
        <v>0.92</v>
      </c>
      <c r="F77" s="59">
        <f>DDR_FREQ/2</f>
        <v>266</v>
      </c>
      <c r="G77" s="86"/>
      <c r="H77" s="126" t="s">
        <v>14</v>
      </c>
      <c r="I77" s="87"/>
      <c r="J77" s="124" t="s">
        <v>64</v>
      </c>
      <c r="K77" s="136"/>
      <c r="L77" s="115"/>
      <c r="M77" s="115"/>
      <c r="N77" s="115"/>
      <c r="O77" s="67"/>
      <c r="P77" s="67"/>
      <c r="Q77" s="67"/>
      <c r="R77" s="67"/>
      <c r="S77" s="67"/>
      <c r="T77" s="67"/>
      <c r="U77" s="67"/>
      <c r="V77" s="67"/>
      <c r="W77" s="5"/>
    </row>
    <row r="78" spans="2:23" ht="15" customHeight="1">
      <c r="B78" s="171"/>
      <c r="C78" s="168"/>
      <c r="D78" s="20" t="s">
        <v>265</v>
      </c>
      <c r="E78" s="56">
        <f t="shared" si="3"/>
        <v>0.92</v>
      </c>
      <c r="F78" s="59">
        <f>HLOOKUP($C$21,'SoC Data'!$A$35:$E$36,2)</f>
        <v>532</v>
      </c>
      <c r="G78" s="21"/>
      <c r="H78" s="126" t="s">
        <v>14</v>
      </c>
      <c r="I78" s="67"/>
      <c r="J78" s="124" t="s">
        <v>69</v>
      </c>
      <c r="K78" s="136">
        <v>0</v>
      </c>
      <c r="L78" s="115"/>
      <c r="M78" s="115"/>
      <c r="N78" s="119"/>
      <c r="O78" s="71"/>
      <c r="P78" s="71"/>
      <c r="Q78" s="71"/>
      <c r="R78" s="71"/>
      <c r="S78" s="71"/>
      <c r="T78" s="71"/>
      <c r="U78" s="65" t="s">
        <v>161</v>
      </c>
      <c r="V78" s="79">
        <v>1.8</v>
      </c>
      <c r="W78" s="32"/>
    </row>
    <row r="79" spans="2:23" ht="15" customHeight="1">
      <c r="B79" s="171"/>
      <c r="C79" s="168"/>
      <c r="D79" s="15" t="s">
        <v>264</v>
      </c>
      <c r="E79" s="56">
        <f t="shared" si="3"/>
        <v>0.92</v>
      </c>
      <c r="F79" s="60">
        <f>HLOOKUP($C$21,'SoC Data'!$A$35:$E$36,2)</f>
        <v>532</v>
      </c>
      <c r="G79" s="16"/>
      <c r="H79" s="126" t="s">
        <v>14</v>
      </c>
      <c r="I79" s="68"/>
      <c r="J79" s="124" t="s">
        <v>69</v>
      </c>
      <c r="K79" s="137">
        <v>30</v>
      </c>
      <c r="L79" s="116"/>
      <c r="M79" s="116"/>
      <c r="N79" s="120"/>
      <c r="O79" s="72"/>
      <c r="P79" s="72"/>
      <c r="Q79" s="72"/>
      <c r="R79" s="72"/>
      <c r="S79" s="72"/>
      <c r="T79" s="72"/>
      <c r="U79" s="72" t="s">
        <v>148</v>
      </c>
      <c r="V79" s="72">
        <v>1.8</v>
      </c>
      <c r="W79" s="5"/>
    </row>
    <row r="80" spans="2:23" ht="15.75" customHeight="1" thickBot="1">
      <c r="B80" s="171"/>
      <c r="C80" s="168"/>
      <c r="D80" s="52" t="s">
        <v>213</v>
      </c>
      <c r="E80" s="56">
        <f t="shared" si="3"/>
        <v>0.92</v>
      </c>
      <c r="F80" s="61">
        <f ca="1">IF(OFFSET('IP Dynamic Power Data'!$A$1,MATCH($D80,'IP Dynamic Power Data'!A:A,0)-1,1)="Core",OFFSET('SoC Data'!$A$57,MATCH($D80,'SoC Data'!$A$57:$A$58,0),MATCH($C$24,'SoC Data'!$A$57:$E$57,0)-1),N80)</f>
        <v>0</v>
      </c>
      <c r="G80" s="51"/>
      <c r="H80" s="126" t="s">
        <v>14</v>
      </c>
      <c r="I80" s="69"/>
      <c r="J80" s="124" t="s">
        <v>64</v>
      </c>
      <c r="K80" s="137">
        <v>0</v>
      </c>
      <c r="L80" s="117"/>
      <c r="M80" s="117"/>
      <c r="N80" s="121"/>
      <c r="O80" s="73"/>
      <c r="P80" s="73"/>
      <c r="Q80" s="73"/>
      <c r="R80" s="73"/>
      <c r="S80" s="73"/>
      <c r="T80" s="73"/>
      <c r="U80" s="69" t="s">
        <v>162</v>
      </c>
      <c r="V80" s="73">
        <v>1.8</v>
      </c>
      <c r="W80" s="5"/>
    </row>
    <row r="81" spans="2:22" ht="15">
      <c r="B81" s="171"/>
      <c r="C81" s="168"/>
      <c r="D81" s="53" t="s">
        <v>266</v>
      </c>
      <c r="E81" s="56">
        <f t="shared" si="3"/>
        <v>0.92</v>
      </c>
      <c r="F81" s="62">
        <f ca="1">IF(OFFSET('IP Dynamic Power Data'!$A$1,MATCH($D81,'IP Dynamic Power Data'!A:A,0)-1,1)="Core",OFFSET('SoC Data'!$A$39,MATCH($D81,'SoC Data'!$A$40:$A$53,0),MATCH($C$24,'SoC Data'!$A$39:$E$39,0)-1),N81)</f>
        <v>266</v>
      </c>
      <c r="G81" s="53"/>
      <c r="H81" s="126" t="s">
        <v>13</v>
      </c>
      <c r="I81" s="70"/>
      <c r="J81" s="124" t="s">
        <v>64</v>
      </c>
      <c r="K81" s="138">
        <v>0</v>
      </c>
      <c r="L81" s="118">
        <v>0</v>
      </c>
      <c r="M81" s="118">
        <v>0</v>
      </c>
      <c r="N81" s="122"/>
      <c r="O81" s="70"/>
      <c r="P81" s="70"/>
      <c r="Q81" s="70"/>
      <c r="R81" s="70"/>
      <c r="S81" s="70"/>
      <c r="T81" s="70"/>
      <c r="U81" s="70" t="s">
        <v>161</v>
      </c>
      <c r="V81" s="80">
        <v>1.8</v>
      </c>
    </row>
    <row r="82" spans="2:22" ht="15.75" thickBot="1">
      <c r="B82" s="172"/>
      <c r="C82" s="169"/>
      <c r="D82" s="2" t="s">
        <v>267</v>
      </c>
      <c r="E82" s="56">
        <f t="shared" si="3"/>
        <v>0.92</v>
      </c>
      <c r="F82" s="58">
        <f ca="1">IF(OFFSET('IP Dynamic Power Data'!$A$1,MATCH($D82,'IP Dynamic Power Data'!A:A,0)-1,1)="Core",OFFSET('SoC Data'!$A$39,MATCH($D82,'SoC Data'!$A$40:$A$54,0),MATCH($C$24,'SoC Data'!$A$39:$E$39,0)-1),N82)</f>
        <v>266</v>
      </c>
      <c r="G82" s="2"/>
      <c r="H82" s="126" t="s">
        <v>13</v>
      </c>
      <c r="I82" s="66"/>
      <c r="J82" s="124" t="s">
        <v>64</v>
      </c>
      <c r="K82" s="127">
        <v>0</v>
      </c>
      <c r="L82" s="114">
        <v>0</v>
      </c>
      <c r="M82" s="114">
        <v>0</v>
      </c>
      <c r="N82" s="123"/>
      <c r="O82" s="66"/>
      <c r="P82" s="66"/>
      <c r="Q82" s="66"/>
      <c r="R82" s="66"/>
      <c r="S82" s="66"/>
      <c r="T82" s="66"/>
      <c r="U82" s="66" t="s">
        <v>161</v>
      </c>
      <c r="V82" s="81">
        <v>1.8</v>
      </c>
    </row>
    <row r="83" ht="15" customHeight="1">
      <c r="B83">
        <f>IF(E7="Yes",1,0)</f>
        <v>0</v>
      </c>
    </row>
    <row r="84" spans="28:29" ht="15" customHeight="1">
      <c r="AB84" s="9"/>
      <c r="AC84" s="9"/>
    </row>
    <row r="85" spans="28:29" ht="15" customHeight="1">
      <c r="AB85" s="9"/>
      <c r="AC85" s="9"/>
    </row>
    <row r="86" spans="28:29" ht="15" customHeight="1">
      <c r="AB86" s="9"/>
      <c r="AC86" s="9"/>
    </row>
    <row r="87" ht="15" customHeight="1">
      <c r="B87" s="82"/>
    </row>
    <row r="88" ht="15" customHeight="1">
      <c r="B88" s="82"/>
    </row>
    <row r="89" ht="15" customHeight="1"/>
    <row r="90" ht="15" customHeight="1"/>
    <row r="91" ht="15" customHeight="1"/>
    <row r="92" ht="15" customHeight="1"/>
    <row r="93" ht="15" customHeight="1"/>
    <row r="94" ht="15" customHeight="1"/>
    <row r="95" ht="15" customHeight="1"/>
    <row r="96" ht="15" customHeight="1"/>
    <row r="97" ht="15" customHeight="1"/>
    <row r="98" ht="15" customHeight="1">
      <c r="B98" s="4" t="s">
        <v>369</v>
      </c>
    </row>
    <row r="99" spans="3:5" ht="15" customHeight="1">
      <c r="C99" t="s">
        <v>371</v>
      </c>
      <c r="D99" t="s">
        <v>372</v>
      </c>
      <c r="E99" t="s">
        <v>373</v>
      </c>
    </row>
    <row r="100" spans="2:5" ht="15" customHeight="1">
      <c r="B100" t="s">
        <v>370</v>
      </c>
      <c r="C100">
        <v>1434</v>
      </c>
      <c r="D100">
        <v>1688</v>
      </c>
      <c r="E100">
        <v>1945</v>
      </c>
    </row>
    <row r="101" ht="15" customHeight="1">
      <c r="B101" t="s">
        <v>374</v>
      </c>
    </row>
    <row r="102" ht="15" customHeight="1"/>
    <row r="103" spans="2:8" ht="15" customHeight="1">
      <c r="B103" t="s">
        <v>375</v>
      </c>
      <c r="C103">
        <v>0.00343</v>
      </c>
      <c r="D103">
        <v>0.00557</v>
      </c>
      <c r="E103">
        <v>0.00448</v>
      </c>
      <c r="F103">
        <v>0.00452</v>
      </c>
      <c r="H103">
        <v>0.00487</v>
      </c>
    </row>
    <row r="104" spans="2:3" ht="15" customHeight="1">
      <c r="B104" t="s">
        <v>380</v>
      </c>
      <c r="C104">
        <v>0.003</v>
      </c>
    </row>
    <row r="105" spans="2:5" ht="15" customHeight="1">
      <c r="B105" t="s">
        <v>376</v>
      </c>
      <c r="C105">
        <v>0</v>
      </c>
      <c r="D105" t="s">
        <v>378</v>
      </c>
      <c r="E105">
        <v>1700</v>
      </c>
    </row>
    <row r="106" ht="15" customHeight="1"/>
    <row r="107" spans="2:3" ht="15" customHeight="1">
      <c r="B107" t="s">
        <v>377</v>
      </c>
      <c r="C107">
        <f>IF(N2P_Override,User_N2P,IF(PROCESS="Strong",E100,D100))</f>
        <v>1945</v>
      </c>
    </row>
    <row r="108" ht="15" customHeight="1"/>
    <row r="109" spans="2:8" ht="15" customHeight="1">
      <c r="B109" t="s">
        <v>379</v>
      </c>
      <c r="C109">
        <f>EXP(Process_coeff_VDD_CORE*Eff_N2P)/EXP(Process_coeff_VDD_CORE*SVT_USL)</f>
        <v>1</v>
      </c>
      <c r="D109">
        <f>EXP(Process_coeff_VDD_MPU*Eff_N2P)/EXP(Process_coeff_VDD_MPU*SVT_USL)</f>
        <v>1</v>
      </c>
      <c r="E109">
        <f>EXP(Process_coeff_VDD_DSPEVE*Eff_N2P)/EXP(Process_coeff_VDD_DSPEVE*SVT_USL)</f>
        <v>1</v>
      </c>
      <c r="F109">
        <f>EXP(Process_coeff_VDD_IVA*Eff_N2P)/EXP(Process_coeff_VDD_IVA*SVT_USL)</f>
        <v>1</v>
      </c>
      <c r="H109">
        <f>EXP(Process_coeff_VDD_GPU*Eff_N2P)/EXP(Process_coeff_VDD_GPU*SVT_USL)</f>
        <v>1</v>
      </c>
    </row>
    <row r="110" spans="2:3" ht="15" customHeight="1">
      <c r="B110" t="s">
        <v>381</v>
      </c>
      <c r="C110">
        <f>EXP(Array_Process_coeff*Eff_N2P)/EXP(Array_Process_coeff*SVT_USL)</f>
        <v>1</v>
      </c>
    </row>
    <row r="111" ht="15" customHeight="1"/>
    <row r="112" ht="15" customHeight="1"/>
    <row r="113" ht="15" customHeight="1">
      <c r="B113" s="4" t="s">
        <v>382</v>
      </c>
    </row>
    <row r="114" spans="2:3" ht="15" customHeight="1">
      <c r="B114" t="s">
        <v>383</v>
      </c>
      <c r="C114" s="82">
        <v>0</v>
      </c>
    </row>
    <row r="115" spans="2:3" ht="15" customHeight="1">
      <c r="B115" t="s">
        <v>386</v>
      </c>
      <c r="C115">
        <v>0.0025</v>
      </c>
    </row>
    <row r="116" ht="15" customHeight="1"/>
    <row r="117" spans="3:13" ht="30" customHeight="1">
      <c r="C117" s="84" t="s">
        <v>384</v>
      </c>
      <c r="D117" t="s">
        <v>385</v>
      </c>
      <c r="E117" t="s">
        <v>387</v>
      </c>
      <c r="F117" t="s">
        <v>389</v>
      </c>
      <c r="H117" t="s">
        <v>388</v>
      </c>
      <c r="K117" t="s">
        <v>396</v>
      </c>
      <c r="L117" t="s">
        <v>397</v>
      </c>
      <c r="M117" t="s">
        <v>263</v>
      </c>
    </row>
    <row r="118" spans="2:13" ht="15" customHeight="1">
      <c r="B118" t="s">
        <v>130</v>
      </c>
      <c r="C118">
        <v>-0.35</v>
      </c>
      <c r="D118">
        <f>(F118)-C118*0.0417</f>
        <v>0.9345950000000001</v>
      </c>
      <c r="E118" s="85">
        <f>IF(EN_BB=1,EXP(C118*$C$115*1000)*(Tj_eff*Tj_eff*K118+Tj_eff*L118+M118),1)</f>
        <v>1</v>
      </c>
      <c r="F118">
        <f>IF($C$2="None",HLOOKUP(CORE_OPP,CORE_NO_AVS_TBL,2),(IF($C$2="Class 0",HLOOKUP(CORE_OPP,CORE_C0_AVS_TBL,2),HLOOKUP(CORE_OPP,CORE_C1_AVS_TBL,2))))</f>
        <v>0.92</v>
      </c>
      <c r="H118" s="85">
        <f>IF(OR(EN_BB=0,C118=0),F118,D118)</f>
        <v>0.92</v>
      </c>
      <c r="K118" s="14">
        <v>2E-06</v>
      </c>
      <c r="L118">
        <v>0.0004</v>
      </c>
      <c r="M118">
        <v>0.9263</v>
      </c>
    </row>
    <row r="119" spans="2:13" ht="15" customHeight="1">
      <c r="B119" t="s">
        <v>126</v>
      </c>
      <c r="C119">
        <v>-0.35</v>
      </c>
      <c r="D119">
        <f aca="true" t="shared" si="4" ref="D119:D122">(F119)-C119*0.0417</f>
        <v>1.1645949999999998</v>
      </c>
      <c r="E119" s="85">
        <f>IF(EN_BB=1,EXP(C119*$C$115*1000)*(Tj_eff*Tj_eff*K119+Tj_eff*L119+M119),1)</f>
        <v>1</v>
      </c>
      <c r="F119">
        <f>IF($C$2="None",HLOOKUP(MPU_OPP,MPU_NO_AVS_TBL,2),(IF($C$2="Class 0",HLOOKUP(MPU_OPP,MPU_C0_AVS_TBL,2),HLOOKUP(MPU_OPP,MPU_C1_AVS_TBL,2))))</f>
        <v>1.15</v>
      </c>
      <c r="H119" s="85">
        <f>IF(OR(EN_BB=0,C119=0),F119,D119)</f>
        <v>1.15</v>
      </c>
      <c r="K119" s="14">
        <v>1E-06</v>
      </c>
      <c r="L119">
        <v>0.000382</v>
      </c>
      <c r="M119">
        <v>0.917711</v>
      </c>
    </row>
    <row r="120" spans="2:13" ht="15" customHeight="1">
      <c r="B120" t="s">
        <v>127</v>
      </c>
      <c r="C120">
        <v>-0.35</v>
      </c>
      <c r="D120">
        <f t="shared" si="4"/>
        <v>1.1645949999999998</v>
      </c>
      <c r="E120" s="85">
        <f>IF(EN_BB=1,EXP(C120*$C$115*1000)*(Tj_eff*Tj_eff*K120+Tj_eff*L120+M120),1)</f>
        <v>1</v>
      </c>
      <c r="F120">
        <f>IF($C$2="None",HLOOKUP(DSPEVE_OPP,DSPEVE_NO_AVS_TBL,2),(IF($C$2="Class 0",HLOOKUP(DSPEVE_OPP,DSPEVE_C0_AVS_TBL,2),HLOOKUP(DSPEVE_OPP,DSPEVE_C1_AVS_TBL,2))))</f>
        <v>1.15</v>
      </c>
      <c r="H120" s="85">
        <f>IF(OR(EN_BB=0,C120=0),F120,D120)</f>
        <v>1.15</v>
      </c>
      <c r="K120" s="14">
        <v>2E-06</v>
      </c>
      <c r="L120">
        <v>0.0005</v>
      </c>
      <c r="M120">
        <v>0.909</v>
      </c>
    </row>
    <row r="121" spans="2:13" ht="15" customHeight="1">
      <c r="B121" t="s">
        <v>128</v>
      </c>
      <c r="C121">
        <v>-0.35</v>
      </c>
      <c r="D121">
        <f t="shared" si="4"/>
        <v>1.1645949999999998</v>
      </c>
      <c r="E121" s="85">
        <f>IF(EN_BB=1,EXP(C121*$C$115*1000)*(Tj_eff*Tj_eff*K121+Tj_eff*L121+M121),1)</f>
        <v>1</v>
      </c>
      <c r="F121">
        <f>IF($C$2="None",HLOOKUP(IVA_OPP,IVA_NO_AVS_TBL,2),(IF($C$2="Class 0",HLOOKUP(IVA_OPP,IVA_C0_AVS_TBL,2),HLOOKUP(IVA_OPP,IVA_C1_AVS_TBL,2))))</f>
        <v>1.15</v>
      </c>
      <c r="H121" s="85">
        <f>IF(OR(EN_BB=0,C121=0),F121,D121)</f>
        <v>1.15</v>
      </c>
      <c r="K121" s="14">
        <v>2E-06</v>
      </c>
      <c r="L121">
        <v>0.0004</v>
      </c>
      <c r="M121">
        <v>0.9263</v>
      </c>
    </row>
    <row r="122" spans="2:13" ht="15" customHeight="1">
      <c r="B122" t="s">
        <v>129</v>
      </c>
      <c r="C122">
        <v>-0.35</v>
      </c>
      <c r="D122">
        <f t="shared" si="4"/>
        <v>1.1645949999999998</v>
      </c>
      <c r="E122" s="85">
        <f>IF(EN_BB=1,EXP(C122*$C$115*1000)*(Tj_eff*Tj_eff*K122+Tj_eff*L122+M122),1)</f>
        <v>1</v>
      </c>
      <c r="F122">
        <f>IF($C$2="None",HLOOKUP(GPU_OPP,GPU_NO_AVS_TBL,2),(IF($C$2="Class 0",HLOOKUP(GPU_OPP,GPU_C0_AVS_TBL,2),HLOOKUP(GPU_OPP,GPU_C1_AVS_TBL,2))))</f>
        <v>1.15</v>
      </c>
      <c r="H122" s="85">
        <f>IF(OR(EN_BB=0,C122=0),F122,D122)</f>
        <v>1.15</v>
      </c>
      <c r="K122" s="14">
        <v>3E-06</v>
      </c>
      <c r="L122">
        <v>0.0003</v>
      </c>
      <c r="M122">
        <v>0.9183</v>
      </c>
    </row>
    <row r="123" ht="15" customHeight="1">
      <c r="D123" t="s">
        <v>367</v>
      </c>
    </row>
    <row r="124" ht="15" customHeight="1">
      <c r="B124" s="4" t="s">
        <v>404</v>
      </c>
    </row>
    <row r="125" spans="2:10" ht="15" customHeight="1">
      <c r="B125" s="4" t="s">
        <v>405</v>
      </c>
      <c r="C125">
        <v>0</v>
      </c>
      <c r="D125" t="s">
        <v>406</v>
      </c>
      <c r="E125" t="s">
        <v>407</v>
      </c>
      <c r="F125" t="s">
        <v>408</v>
      </c>
      <c r="J125">
        <f>0.776*5</f>
        <v>3.88</v>
      </c>
    </row>
    <row r="126" spans="2:3" ht="15" customHeight="1">
      <c r="B126" s="4" t="s">
        <v>403</v>
      </c>
      <c r="C126" s="82">
        <f>IF(EN_Therm=1,Tj+ThetaJ*Total_Power/1000,Tj)</f>
        <v>85</v>
      </c>
    </row>
    <row r="127" spans="2:3" ht="15" customHeight="1">
      <c r="B127" s="34" t="s">
        <v>402</v>
      </c>
      <c r="C127" s="64">
        <v>10</v>
      </c>
    </row>
  </sheetData>
  <mergeCells count="18">
    <mergeCell ref="C24:C82"/>
    <mergeCell ref="B24:B82"/>
    <mergeCell ref="H9:H10"/>
    <mergeCell ref="E9:E10"/>
    <mergeCell ref="B21:B23"/>
    <mergeCell ref="Q5:U5"/>
    <mergeCell ref="AA1:AB1"/>
    <mergeCell ref="AD1:AF1"/>
    <mergeCell ref="B14:B19"/>
    <mergeCell ref="L9:V9"/>
    <mergeCell ref="B9:B10"/>
    <mergeCell ref="I9:I10"/>
    <mergeCell ref="J9:K9"/>
    <mergeCell ref="B11:B13"/>
    <mergeCell ref="C9:C10"/>
    <mergeCell ref="D9:D10"/>
    <mergeCell ref="F9:F10"/>
    <mergeCell ref="G9:G10"/>
  </mergeCells>
  <conditionalFormatting sqref="N11:W74 N81:V82 N78:W80 W75:W77">
    <cfRule type="expression" priority="8" dxfId="0">
      <formula>OFFSET('Clock Domain Map'!$D$1,MATCH($D11,'Clock Domain Map'!$A:$A,0)-1,0,1)="Core"</formula>
    </cfRule>
  </conditionalFormatting>
  <dataValidations count="22">
    <dataValidation type="list" allowBlank="1" showInputMessage="1" showErrorMessage="1" sqref="C6">
      <formula1>"1,2"</formula1>
    </dataValidation>
    <dataValidation type="list" allowBlank="1" showInputMessage="1" showErrorMessage="1" sqref="C7">
      <formula1>"16,32"</formula1>
    </dataValidation>
    <dataValidation showInputMessage="1" showErrorMessage="1" sqref="C3"/>
    <dataValidation type="list" allowBlank="1" showInputMessage="1" showErrorMessage="1" sqref="E7">
      <formula1>"Yes, No"</formula1>
    </dataValidation>
    <dataValidation type="list" allowBlank="1" showInputMessage="1" showErrorMessage="1" sqref="U30:U35 U80:U82 U68:U78 U50:U51 U54:U66 U40:U42">
      <formula1>"VDDSHV1,VDDSHV2,VDDSHV3,VDDSHV4,VDDSHV5,VDDSHV6,VDDSHV7,VDDSHV8,VDDSHV9,VDDSHV10,VDDSHV11"</formula1>
    </dataValidation>
    <dataValidation type="list" allowBlank="1" showInputMessage="1" showErrorMessage="1" sqref="V54:V66 V30:V35 V40:V42 V50:V51 V68:V82 W78:W80">
      <formula1>"1.8,3.3"</formula1>
    </dataValidation>
    <dataValidation type="list" allowBlank="1" showInputMessage="1" showErrorMessage="1" sqref="N45:N46">
      <formula1>"2500,5000"</formula1>
    </dataValidation>
    <dataValidation type="list" allowBlank="1" showInputMessage="1" showErrorMessage="1" sqref="N47">
      <formula1>"1500,3000"</formula1>
    </dataValidation>
    <dataValidation type="list" allowBlank="1" sqref="J13">
      <formula1>OFFSET($A$1,MATCH($D13,$A$1:$A$275,0)-1,3,1,5)</formula1>
    </dataValidation>
    <dataValidation type="list" allowBlank="1" showInputMessage="1" showErrorMessage="1" sqref="J22:J23">
      <formula1>OFFSET($A$1,MATCH($D22,$A$1:$A$276,0)-1,3,1,5)</formula1>
    </dataValidation>
    <dataValidation type="list" allowBlank="1" showInputMessage="1" showErrorMessage="1" sqref="H13">
      <formula1>'SoC Data'!$B$2:$D$2</formula1>
    </dataValidation>
    <dataValidation type="list" allowBlank="1" showInputMessage="1" showErrorMessage="1" sqref="C11:C13">
      <formula1>'SoC Data'!$B$7:$K$7</formula1>
    </dataValidation>
    <dataValidation type="list" allowBlank="1" showInputMessage="1" showErrorMessage="1" sqref="C14:C19">
      <formula1>'SoC Data'!$B$8:$K$8</formula1>
    </dataValidation>
    <dataValidation type="list" allowBlank="1" showInputMessage="1" showErrorMessage="1" sqref="C20">
      <formula1>'SoC Data'!$B$9:$D$9</formula1>
    </dataValidation>
    <dataValidation type="list" allowBlank="1" showInputMessage="1" showErrorMessage="1" sqref="C21">
      <formula1>'SoC Data'!$B$10:$D$10</formula1>
    </dataValidation>
    <dataValidation type="list" allowBlank="1" showInputMessage="1" showErrorMessage="1" sqref="C1">
      <formula1>'SoC Data'!$B$1:$D$1</formula1>
    </dataValidation>
    <dataValidation type="list" allowBlank="1" showInputMessage="1" showErrorMessage="1" sqref="C2">
      <formula1>'SoC Data'!$B$13:$D$13</formula1>
    </dataValidation>
    <dataValidation type="list" allowBlank="1" showInputMessage="1" showErrorMessage="1" sqref="C4">
      <formula1>'SoC Data'!$B$4:$D$4</formula1>
    </dataValidation>
    <dataValidation type="list" allowBlank="1" showInputMessage="1" showErrorMessage="1" sqref="C5">
      <formula1>'SoC Data'!$B$5:$G$5</formula1>
    </dataValidation>
    <dataValidation type="list" allowBlank="1" showInputMessage="1" showErrorMessage="1" sqref="C24">
      <formula1>'SoC Data'!$B$11:$D$11</formula1>
    </dataValidation>
    <dataValidation type="list" allowBlank="1" showInputMessage="1" showErrorMessage="1" sqref="J11:J12 J24:J82 J14:J21">
      <formula1>OFFSET('IP Dynamic Power Data'!$A$1,MATCH($D11,'IP Dynamic Power Data'!$A$1:$A$267,0)-1,3,1,5)</formula1>
    </dataValidation>
    <dataValidation type="list" allowBlank="1" showInputMessage="1" showErrorMessage="1" sqref="H11:H12 H14:H82">
      <formula1>OFFSET('IP Dynamic Power Data'!$A$1,MATCH($D11,'IP Dynamic Power Data'!$A$1:$A$267,0)-1,13,1,5)</formula1>
    </dataValidation>
  </dataValidations>
  <printOptions/>
  <pageMargins left="0.7" right="0.7" top="0.75" bottom="0.75" header="0.3" footer="0.3"/>
  <pageSetup horizontalDpi="600" verticalDpi="600" orientation="portrait" paperSize="9" r:id="rId2"/>
  <legacyDrawing r:id="rId1"/>
  <extLst>
    <ext xmlns:x14="http://schemas.microsoft.com/office/spreadsheetml/2009/9/main" uri="{78C0D931-6437-407d-A8EE-F0AAD7539E65}">
      <x14:conditionalFormattings>
        <x14:conditionalFormatting xmlns:xm="http://schemas.microsoft.com/office/excel/2006/main">
          <x14:cfRule type="expression" priority="8">
            <xm:f>OFFSET('Clock Domain Map'!$D$1,MATCH($D11,'Clock Domain Map'!$A:$A,0)-1,0,1)="Core"</xm:f>
            <x14:dxf>
              <fill>
                <patternFill>
                  <bgColor theme="1" tint="0.34999001026153564"/>
                </patternFill>
              </fill>
              <border/>
            </x14:dxf>
          </x14:cfRule>
          <xm:sqref>N11:W74 N81:V82 N78:W80 W75:W77</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11"/>
  <dimension ref="B2:N72"/>
  <sheetViews>
    <sheetView showGridLines="0" zoomScale="80" zoomScaleNormal="80" workbookViewId="0" topLeftCell="A1">
      <selection activeCell="C33" sqref="C33"/>
    </sheetView>
  </sheetViews>
  <sheetFormatPr defaultColWidth="9.140625" defaultRowHeight="15"/>
  <cols>
    <col min="2" max="2" width="17.7109375" style="0" customWidth="1"/>
    <col min="3" max="3" width="18.8515625" style="0" bestFit="1" customWidth="1"/>
    <col min="4" max="4" width="9.8515625" style="0" bestFit="1" customWidth="1"/>
    <col min="6" max="6" width="14.8515625" style="0" customWidth="1"/>
    <col min="7" max="7" width="9.8515625" style="0" bestFit="1" customWidth="1"/>
  </cols>
  <sheetData>
    <row r="2" ht="15.75" thickBot="1">
      <c r="B2" s="4" t="s">
        <v>42</v>
      </c>
    </row>
    <row r="3" spans="2:14" ht="30">
      <c r="B3" s="37" t="s">
        <v>344</v>
      </c>
      <c r="C3" s="39" t="s">
        <v>46</v>
      </c>
      <c r="D3" s="38" t="s">
        <v>47</v>
      </c>
      <c r="E3" s="38" t="s">
        <v>43</v>
      </c>
      <c r="F3" s="38" t="s">
        <v>44</v>
      </c>
      <c r="G3" s="38" t="s">
        <v>45</v>
      </c>
      <c r="H3" s="38" t="s">
        <v>48</v>
      </c>
      <c r="I3" s="38" t="s">
        <v>50</v>
      </c>
      <c r="J3" s="40" t="s">
        <v>49</v>
      </c>
      <c r="L3" s="33" t="s">
        <v>43</v>
      </c>
      <c r="M3" s="33" t="s">
        <v>258</v>
      </c>
      <c r="N3" s="33" t="s">
        <v>259</v>
      </c>
    </row>
    <row r="4" spans="2:14" ht="15">
      <c r="B4" s="41" t="s">
        <v>345</v>
      </c>
      <c r="C4" s="34" t="s">
        <v>130</v>
      </c>
      <c r="D4" s="57">
        <f>'Vayu Power'!E24</f>
        <v>0.92</v>
      </c>
      <c r="E4" s="74">
        <f aca="true" t="shared" si="0" ref="E4:E47">F4+G4</f>
        <v>1038.7830985242222</v>
      </c>
      <c r="F4" s="74">
        <f ca="1">SUM(rngFindAll($C4,'Voltage Domain Map'!$B$1:$B$101,'Voltage Domain Map'!$D$1:$D$101))</f>
        <v>791.9645559167998</v>
      </c>
      <c r="G4" s="74">
        <f ca="1">SUM(rngFindAll($C4,'Voltage Domain Map'!$B$1:$B$101,'Voltage Domain Map'!$E$1:$E$101))*Lkg_Process_Factor_VDD_CORE*CORE_BB_FACTOR</f>
        <v>246.81854260742233</v>
      </c>
      <c r="H4" s="74">
        <f aca="true" t="shared" si="1" ref="H4:H47">I4+J4</f>
        <v>1129.1120636132848</v>
      </c>
      <c r="I4" s="74">
        <f ca="1">F4/$D4</f>
        <v>860.8310390399997</v>
      </c>
      <c r="J4" s="75">
        <f aca="true" t="shared" si="2" ref="J4:J10">G4/$D4</f>
        <v>268.28102457328515</v>
      </c>
      <c r="L4" s="8">
        <f ca="1">SUM(E4:E47)</f>
        <v>14546.908490744543</v>
      </c>
      <c r="M4" s="8">
        <f ca="1">SUM(F4:F47)</f>
        <v>12769.30688723259</v>
      </c>
      <c r="N4" s="8">
        <f ca="1">SUM(G4:G47)</f>
        <v>1777.6016035119555</v>
      </c>
    </row>
    <row r="5" spans="2:10" ht="15">
      <c r="B5" s="41" t="s">
        <v>346</v>
      </c>
      <c r="C5" s="34" t="s">
        <v>126</v>
      </c>
      <c r="D5" s="57">
        <f>'Vayu Power'!E11</f>
        <v>1.15</v>
      </c>
      <c r="E5" s="74">
        <f ca="1" t="shared" si="0"/>
        <v>4660.656259333706</v>
      </c>
      <c r="F5" s="74">
        <f ca="1">SUM(rngFindAll($C5,'Voltage Domain Map'!$B$1:$B$101,'Voltage Domain Map'!$D$1:$D$101))</f>
        <v>3679.062749999999</v>
      </c>
      <c r="G5" s="74">
        <f ca="1">SUM(rngFindAll($C5,'Voltage Domain Map'!$B$1:$B$101,'Voltage Domain Map'!$E$1:$E$101))*Lkg_Process_Factor_VDD_MPU*MPU_BB_FACTOR</f>
        <v>981.5935093337066</v>
      </c>
      <c r="H5" s="74">
        <f ca="1" t="shared" si="1"/>
        <v>4052.7445733336576</v>
      </c>
      <c r="I5" s="74">
        <f aca="true" t="shared" si="3" ref="I5:I36">F5/$D5</f>
        <v>3199.1849999999995</v>
      </c>
      <c r="J5" s="75">
        <f ca="1" t="shared" si="2"/>
        <v>853.559573333658</v>
      </c>
    </row>
    <row r="6" spans="2:10" ht="15">
      <c r="B6" s="41" t="s">
        <v>347</v>
      </c>
      <c r="C6" s="34" t="s">
        <v>127</v>
      </c>
      <c r="D6" s="57">
        <f>'Vayu Power'!E14</f>
        <v>1.15</v>
      </c>
      <c r="E6" s="74">
        <f ca="1" t="shared" si="0"/>
        <v>1592.7984670906417</v>
      </c>
      <c r="F6" s="74">
        <f ca="1">SUM(rngFindAll($C6,'Voltage Domain Map'!$B$1:$B$101,'Voltage Domain Map'!$D$1:$D$101))</f>
        <v>1285.4699999999996</v>
      </c>
      <c r="G6" s="74">
        <f ca="1">SUM(rngFindAll($C6,'Voltage Domain Map'!$B$1:$B$101,'Voltage Domain Map'!$E$1:$E$101))*Lkg_Process_Factor_VDD_DSPEVE*DSPEVE_BB_FACTOR</f>
        <v>307.32846709064216</v>
      </c>
      <c r="H6" s="74">
        <f ca="1" t="shared" si="1"/>
        <v>1385.0421452962103</v>
      </c>
      <c r="I6" s="74">
        <f ca="1" t="shared" si="3"/>
        <v>1117.7999999999997</v>
      </c>
      <c r="J6" s="75">
        <f ca="1" t="shared" si="2"/>
        <v>267.2421452962106</v>
      </c>
    </row>
    <row r="7" spans="2:10" ht="15">
      <c r="B7" s="41" t="s">
        <v>348</v>
      </c>
      <c r="C7" s="34" t="s">
        <v>128</v>
      </c>
      <c r="D7" s="57">
        <f>'Vayu Power'!E20</f>
        <v>1.15</v>
      </c>
      <c r="E7" s="74">
        <f ca="1" t="shared" si="0"/>
        <v>330.79099420561437</v>
      </c>
      <c r="F7" s="74">
        <f ca="1">SUM(rngFindAll($C7,'Voltage Domain Map'!$B$1:$B$101,'Voltage Domain Map'!$D$1:$D$101))</f>
        <v>254.69233999999997</v>
      </c>
      <c r="G7" s="74">
        <f ca="1">SUM(rngFindAll($C7,'Voltage Domain Map'!$B$1:$B$101,'Voltage Domain Map'!$E$1:$E$101))*Lkg_Process_Factor_VDD_IVA*IVA_BB_FACTOR</f>
        <v>76.09865420561438</v>
      </c>
      <c r="H7" s="74">
        <f ca="1" t="shared" si="1"/>
        <v>287.64434278749076</v>
      </c>
      <c r="I7" s="74">
        <f ca="1" t="shared" si="3"/>
        <v>221.4716</v>
      </c>
      <c r="J7" s="75">
        <f ca="1" t="shared" si="2"/>
        <v>66.17274278749078</v>
      </c>
    </row>
    <row r="8" spans="2:10" ht="15">
      <c r="B8" s="41" t="s">
        <v>349</v>
      </c>
      <c r="C8" s="34" t="s">
        <v>129</v>
      </c>
      <c r="D8" s="57">
        <f>'Vayu Power'!E23</f>
        <v>1.15</v>
      </c>
      <c r="E8" s="74">
        <f ca="1" t="shared" si="0"/>
        <v>36.93724138245573</v>
      </c>
      <c r="F8" s="74">
        <f ca="1">SUM(rngFindAll($C8,'Voltage Domain Map'!$B$1:$B$101,'Voltage Domain Map'!$D$1:$D$101))</f>
        <v>0</v>
      </c>
      <c r="G8" s="74">
        <f ca="1">SUM(rngFindAll($C8,'Voltage Domain Map'!$B$1:$B$101,'Voltage Domain Map'!$E$1:$E$101))*Lkg_Process_Factor_VDD_GPU*GPU_BB_FACTOR</f>
        <v>36.93724138245573</v>
      </c>
      <c r="H8" s="74">
        <f ca="1" t="shared" si="1"/>
        <v>32.119340332570204</v>
      </c>
      <c r="I8" s="74">
        <f ca="1" t="shared" si="3"/>
        <v>0</v>
      </c>
      <c r="J8" s="75">
        <f ca="1" t="shared" si="2"/>
        <v>32.119340332570204</v>
      </c>
    </row>
    <row r="9" spans="2:10" ht="15">
      <c r="B9" s="42" t="s">
        <v>350</v>
      </c>
      <c r="C9" s="34" t="s">
        <v>131</v>
      </c>
      <c r="D9" s="57">
        <f>'Vayu Power'!E80</f>
        <v>0.92</v>
      </c>
      <c r="E9" s="74">
        <f ca="1" t="shared" si="0"/>
        <v>0</v>
      </c>
      <c r="F9" s="74">
        <f ca="1">SUM(rngFindAll($C9,'Voltage Domain Map'!$B$1:$B$101,'Voltage Domain Map'!$D$1:$D$101))</f>
        <v>0</v>
      </c>
      <c r="G9" s="74">
        <f ca="1">SUM(rngFindAll($C9,'Voltage Domain Map'!$B$1:$B$101,'Voltage Domain Map'!$E$1:$E$101))</f>
        <v>0</v>
      </c>
      <c r="H9" s="74">
        <f ca="1" t="shared" si="1"/>
        <v>0</v>
      </c>
      <c r="I9" s="74">
        <f ca="1" t="shared" si="3"/>
        <v>0</v>
      </c>
      <c r="J9" s="75">
        <f ca="1" t="shared" si="2"/>
        <v>0</v>
      </c>
    </row>
    <row r="10" spans="2:10" ht="15">
      <c r="B10" s="43" t="s">
        <v>351</v>
      </c>
      <c r="C10" s="34" t="s">
        <v>132</v>
      </c>
      <c r="D10" s="57">
        <v>1.8</v>
      </c>
      <c r="E10" s="74">
        <f ca="1" t="shared" si="0"/>
        <v>579.3399888921141</v>
      </c>
      <c r="F10" s="74">
        <f ca="1">(SUM(rngFindAll("VDD_CORE",'Voltage Domain Map'!$B$1:$B$101,'Voltage Domain Map'!$F$1:$F$101))+SUM(rngFindAll("VDD_MPU",'Voltage Domain Map'!$B$1:$B$101,'Voltage Domain Map'!$F$1:$F$101))+SUM(rngFindAll("VDD_DSPEVE",'Voltage Domain Map'!$B$1:$B$101,'Voltage Domain Map'!$F$1:$F$101))+SUM(rngFindAll("VDD_IVA",'Voltage Domain Map'!$B$1:$B$101,'Voltage Domain Map'!$F$1:$F$101))+SUM(rngFindAll("VDD_GPU",'Voltage Domain Map'!$B$1:$B$101,'Voltage Domain Map'!$F$1:$F$101)))*1.8/1.15</f>
        <v>450.51479999999987</v>
      </c>
      <c r="G10" s="74">
        <f ca="1">(SUM(rngFindAll("VDD_CORE",'Voltage Domain Map'!$B$1:$B$101,'Voltage Domain Map'!$G$1:$G$101))+SUM(rngFindAll("VDD_MPU",'Voltage Domain Map'!$B$1:$B$101,'Voltage Domain Map'!$G$1:$G$101))+SUM(rngFindAll("VDD_DSPEVE",'Voltage Domain Map'!$B$1:$B$101,'Voltage Domain Map'!$G$1:$G$101))+SUM(rngFindAll("VDD_IVA",'Voltage Domain Map'!$B$1:$B$101,'Voltage Domain Map'!$G$1:$G$101))+SUM(rngFindAll("VDD_GPU",'Voltage Domain Map'!$B$1:$B$101,'Voltage Domain Map'!$G$1:$G$101)))*1.8/1.15*Lkg_Process_Factor_Array</f>
        <v>128.82518889211426</v>
      </c>
      <c r="H10" s="74">
        <f ca="1" t="shared" si="1"/>
        <v>321.85554938450787</v>
      </c>
      <c r="I10" s="74">
        <f ca="1" t="shared" si="3"/>
        <v>250.28599999999992</v>
      </c>
      <c r="J10" s="75">
        <f ca="1" t="shared" si="2"/>
        <v>71.56954938450792</v>
      </c>
    </row>
    <row r="11" spans="2:10" ht="15">
      <c r="B11" s="43" t="s">
        <v>352</v>
      </c>
      <c r="C11" s="35" t="s">
        <v>157</v>
      </c>
      <c r="D11" s="57">
        <v>1.8</v>
      </c>
      <c r="E11" s="74">
        <f ca="1">F11+G11</f>
        <v>58.637593984962415</v>
      </c>
      <c r="F11" s="74">
        <f ca="1">OFFSET('Clock Domain Map'!$A$1,MATCH("EMIFIO1_1p8",'Clock Domain Map'!$B:$B,0)-1,15)</f>
        <v>58.637593984962415</v>
      </c>
      <c r="G11" s="74">
        <f ca="1">OFFSET('Clock Domain Map'!$A$1,MATCH("EMIFIO1_1p8",'Clock Domain Map'!$B:$B,0)-1,16)</f>
        <v>0</v>
      </c>
      <c r="H11" s="74">
        <f ca="1">I11+J11</f>
        <v>32.576441102756895</v>
      </c>
      <c r="I11" s="74">
        <f ca="1">F11/$D11</f>
        <v>32.576441102756895</v>
      </c>
      <c r="J11" s="75">
        <f ca="1">G11/$D11</f>
        <v>0</v>
      </c>
    </row>
    <row r="12" spans="2:10" ht="15">
      <c r="B12" s="43" t="s">
        <v>353</v>
      </c>
      <c r="C12" s="35" t="s">
        <v>212</v>
      </c>
      <c r="D12" s="57">
        <v>1.8</v>
      </c>
      <c r="E12" s="74">
        <f ca="1">F12+G12</f>
        <v>58.637593984962415</v>
      </c>
      <c r="F12" s="74">
        <f ca="1">OFFSET('Clock Domain Map'!$A$1,MATCH("EMIFIO2_1p8",'Clock Domain Map'!$B:$B,0)-1,15)</f>
        <v>58.637593984962415</v>
      </c>
      <c r="G12" s="74">
        <f ca="1">OFFSET('Clock Domain Map'!$A$1,MATCH("EMIFIO2_1p8",'Clock Domain Map'!$B:$B,0)-1,16)</f>
        <v>0</v>
      </c>
      <c r="H12" s="74">
        <f ca="1">I12+J12</f>
        <v>32.576441102756895</v>
      </c>
      <c r="I12" s="74">
        <f ca="1">F12/$D12</f>
        <v>32.576441102756895</v>
      </c>
      <c r="J12" s="75">
        <f ca="1">G12/$D12</f>
        <v>0</v>
      </c>
    </row>
    <row r="13" spans="2:10" ht="15">
      <c r="B13" s="43" t="s">
        <v>357</v>
      </c>
      <c r="C13" s="35" t="s">
        <v>156</v>
      </c>
      <c r="D13" s="57">
        <v>1.8</v>
      </c>
      <c r="E13" s="74">
        <f>F13+G13</f>
        <v>0.18000000000000002</v>
      </c>
      <c r="F13" s="74">
        <f>I13*D13</f>
        <v>0.18000000000000002</v>
      </c>
      <c r="G13" s="74">
        <f aca="true" t="shared" si="4" ref="G13">J13*D13</f>
        <v>0</v>
      </c>
      <c r="H13" s="74">
        <f>I13+J13</f>
        <v>0.1</v>
      </c>
      <c r="I13" s="74">
        <f>(SUM(rngFindAll($C13,'Vayu Power'!$U$30:$U$80,'Vayu Power'!$W$30:$W$80)))</f>
        <v>0.1</v>
      </c>
      <c r="J13" s="75">
        <v>0</v>
      </c>
    </row>
    <row r="14" spans="2:10" ht="15">
      <c r="B14" s="175" t="s">
        <v>355</v>
      </c>
      <c r="C14" s="34" t="s">
        <v>134</v>
      </c>
      <c r="D14" s="57">
        <v>1.8</v>
      </c>
      <c r="E14" s="74">
        <f ca="1" t="shared" si="0"/>
        <v>13.23</v>
      </c>
      <c r="F14" s="74">
        <f aca="true" t="shared" si="5" ref="F14:F34">I14*D14</f>
        <v>13.23</v>
      </c>
      <c r="G14" s="74">
        <f aca="true" t="shared" si="6" ref="G14:G34">J14*D14</f>
        <v>0</v>
      </c>
      <c r="H14" s="74">
        <f ca="1" t="shared" si="1"/>
        <v>7.35</v>
      </c>
      <c r="I14" s="74">
        <f ca="1">(SUM(rngFindAll($C14,'DPLL Map'!$H$2:$H$24,'DPLL Map'!$K$2:$K$24)))</f>
        <v>7.35</v>
      </c>
      <c r="J14" s="75">
        <v>0</v>
      </c>
    </row>
    <row r="15" spans="2:10" ht="15">
      <c r="B15" s="175"/>
      <c r="C15" s="34" t="s">
        <v>135</v>
      </c>
      <c r="D15" s="57">
        <v>1.8</v>
      </c>
      <c r="E15" s="74">
        <f ca="1" t="shared" si="0"/>
        <v>7.2</v>
      </c>
      <c r="F15" s="74">
        <f ca="1" t="shared" si="5"/>
        <v>7.2</v>
      </c>
      <c r="G15" s="74">
        <f t="shared" si="6"/>
        <v>0</v>
      </c>
      <c r="H15" s="74">
        <f ca="1" t="shared" si="1"/>
        <v>4</v>
      </c>
      <c r="I15" s="74">
        <f ca="1">(SUM(rngFindAll($C15,'DPLL Map'!$H$2:$H$24,'DPLL Map'!$K$2:$K$24)))</f>
        <v>4</v>
      </c>
      <c r="J15" s="75">
        <v>0</v>
      </c>
    </row>
    <row r="16" spans="2:10" ht="15">
      <c r="B16" s="175"/>
      <c r="C16" s="34" t="s">
        <v>136</v>
      </c>
      <c r="D16" s="57">
        <v>1.8</v>
      </c>
      <c r="E16" s="74">
        <f t="shared" si="0"/>
        <v>0.18000000000000002</v>
      </c>
      <c r="F16" s="74">
        <f t="shared" si="5"/>
        <v>0.18000000000000002</v>
      </c>
      <c r="G16" s="74">
        <f t="shared" si="6"/>
        <v>0</v>
      </c>
      <c r="H16" s="74">
        <f t="shared" si="1"/>
        <v>0.1</v>
      </c>
      <c r="I16" s="74">
        <f>(SUM(rngFindAll($C16,'DPLL Map'!$H$2:$H$24,'DPLL Map'!$K$2:$K$24)))</f>
        <v>0.1</v>
      </c>
      <c r="J16" s="75">
        <v>0</v>
      </c>
    </row>
    <row r="17" spans="2:10" ht="15">
      <c r="B17" s="175"/>
      <c r="C17" s="34" t="s">
        <v>137</v>
      </c>
      <c r="D17" s="57">
        <v>1.8</v>
      </c>
      <c r="E17" s="74">
        <f ca="1" t="shared" si="0"/>
        <v>6.210000000000001</v>
      </c>
      <c r="F17" s="74">
        <f ca="1" t="shared" si="5"/>
        <v>6.210000000000001</v>
      </c>
      <c r="G17" s="74">
        <f t="shared" si="6"/>
        <v>0</v>
      </c>
      <c r="H17" s="74">
        <f ca="1" t="shared" si="1"/>
        <v>3.45</v>
      </c>
      <c r="I17" s="74">
        <f ca="1">(SUM(rngFindAll($C17,'DPLL Map'!$H$2:$H$24,'DPLL Map'!$K$2:$K$24)))</f>
        <v>3.45</v>
      </c>
      <c r="J17" s="75">
        <v>0</v>
      </c>
    </row>
    <row r="18" spans="2:10" ht="15">
      <c r="B18" s="175"/>
      <c r="C18" s="34" t="s">
        <v>138</v>
      </c>
      <c r="D18" s="57">
        <v>1.8</v>
      </c>
      <c r="E18" s="74">
        <f ca="1" t="shared" si="0"/>
        <v>14.129999999999999</v>
      </c>
      <c r="F18" s="74">
        <f ca="1" t="shared" si="5"/>
        <v>14.129999999999999</v>
      </c>
      <c r="G18" s="74">
        <f t="shared" si="6"/>
        <v>0</v>
      </c>
      <c r="H18" s="74">
        <f ca="1" t="shared" si="1"/>
        <v>7.85</v>
      </c>
      <c r="I18" s="74">
        <f ca="1">(SUM(rngFindAll($C18,'DPLL Map'!$H$2:$H$24,'DPLL Map'!$K$2:$K$24)))</f>
        <v>7.85</v>
      </c>
      <c r="J18" s="75">
        <v>0</v>
      </c>
    </row>
    <row r="19" spans="2:10" ht="15">
      <c r="B19" s="175"/>
      <c r="C19" s="34" t="s">
        <v>139</v>
      </c>
      <c r="D19" s="57">
        <v>1.8</v>
      </c>
      <c r="E19" s="74">
        <f ca="1" t="shared" si="0"/>
        <v>0.18000000000000002</v>
      </c>
      <c r="F19" s="74">
        <f ca="1" t="shared" si="5"/>
        <v>0.18000000000000002</v>
      </c>
      <c r="G19" s="74">
        <f t="shared" si="6"/>
        <v>0</v>
      </c>
      <c r="H19" s="74">
        <f ca="1" t="shared" si="1"/>
        <v>0.1</v>
      </c>
      <c r="I19" s="74">
        <f ca="1">(SUM(rngFindAll($C19,'DPLL Map'!$H$2:$H$24,'DPLL Map'!$K$2:$K$24)))</f>
        <v>0.1</v>
      </c>
      <c r="J19" s="75">
        <v>0</v>
      </c>
    </row>
    <row r="20" spans="2:10" ht="15">
      <c r="B20" s="175"/>
      <c r="C20" s="34" t="s">
        <v>141</v>
      </c>
      <c r="D20" s="57">
        <v>1.8</v>
      </c>
      <c r="E20" s="74">
        <f aca="true" t="shared" si="7" ref="E20:E25">F20+G20</f>
        <v>6.03</v>
      </c>
      <c r="F20" s="74">
        <f aca="true" t="shared" si="8" ref="F20:F25">I20*D20</f>
        <v>6.03</v>
      </c>
      <c r="G20" s="74">
        <f aca="true" t="shared" si="9" ref="G20:G25">J20*D20</f>
        <v>0</v>
      </c>
      <c r="H20" s="74">
        <f aca="true" t="shared" si="10" ref="H20:H25">I20+J20</f>
        <v>3.35</v>
      </c>
      <c r="I20" s="74">
        <f ca="1">(SUM(rngFindAll($C20,'DPLL Map'!$H$2:$H$24,'DPLL Map'!$K$2:$K$24)))</f>
        <v>3.35</v>
      </c>
      <c r="J20" s="75">
        <v>0</v>
      </c>
    </row>
    <row r="21" spans="2:10" ht="15">
      <c r="B21" s="175"/>
      <c r="C21" s="35" t="s">
        <v>145</v>
      </c>
      <c r="D21" s="57">
        <v>1.8</v>
      </c>
      <c r="E21" s="74">
        <f ca="1" t="shared" si="7"/>
        <v>0.108</v>
      </c>
      <c r="F21" s="74">
        <f ca="1" t="shared" si="8"/>
        <v>0.108</v>
      </c>
      <c r="G21" s="74">
        <f t="shared" si="9"/>
        <v>0</v>
      </c>
      <c r="H21" s="74">
        <f ca="1" t="shared" si="10"/>
        <v>0.06</v>
      </c>
      <c r="I21" s="74">
        <f ca="1">(SUM(rngFindAll($C21,'DPLL Map'!$H$2:$H$24,'DPLL Map'!$K$2:$K$24)))</f>
        <v>0.06</v>
      </c>
      <c r="J21" s="75">
        <v>0</v>
      </c>
    </row>
    <row r="22" spans="2:10" ht="15">
      <c r="B22" s="175"/>
      <c r="C22" s="35" t="s">
        <v>146</v>
      </c>
      <c r="D22" s="57">
        <v>1.8</v>
      </c>
      <c r="E22" s="74">
        <f ca="1" t="shared" si="7"/>
        <v>6.03</v>
      </c>
      <c r="F22" s="74">
        <f ca="1" t="shared" si="8"/>
        <v>6.03</v>
      </c>
      <c r="G22" s="74">
        <f t="shared" si="9"/>
        <v>0</v>
      </c>
      <c r="H22" s="74">
        <f ca="1" t="shared" si="10"/>
        <v>3.35</v>
      </c>
      <c r="I22" s="74">
        <f ca="1">(SUM(rngFindAll($C22,'DPLL Map'!$H$2:$H$24,'DPLL Map'!$K$2:$K$24)))</f>
        <v>3.35</v>
      </c>
      <c r="J22" s="75">
        <v>0</v>
      </c>
    </row>
    <row r="23" spans="2:10" ht="15">
      <c r="B23" s="175"/>
      <c r="C23" s="35" t="s">
        <v>148</v>
      </c>
      <c r="D23" s="57">
        <v>1.8</v>
      </c>
      <c r="E23" s="74">
        <f ca="1" t="shared" si="7"/>
        <v>3.6</v>
      </c>
      <c r="F23" s="74">
        <f ca="1" t="shared" si="8"/>
        <v>3.6</v>
      </c>
      <c r="G23" s="74">
        <f t="shared" si="9"/>
        <v>0</v>
      </c>
      <c r="H23" s="74">
        <f ca="1" t="shared" si="10"/>
        <v>2</v>
      </c>
      <c r="I23" s="74">
        <f ca="1">(SUM(rngFindAll($C23,'DPLL Map'!$H$2:$H$24,'DPLL Map'!$K$2:$K$24)))</f>
        <v>2</v>
      </c>
      <c r="J23" s="75">
        <v>0</v>
      </c>
    </row>
    <row r="24" spans="2:10" ht="15">
      <c r="B24" s="176" t="s">
        <v>359</v>
      </c>
      <c r="C24" s="35" t="s">
        <v>133</v>
      </c>
      <c r="D24" s="57">
        <v>1.8</v>
      </c>
      <c r="E24" s="74">
        <f ca="1" t="shared" si="7"/>
        <v>37.800000000000004</v>
      </c>
      <c r="F24" s="74">
        <f ca="1" t="shared" si="8"/>
        <v>37.800000000000004</v>
      </c>
      <c r="G24" s="74">
        <f t="shared" si="9"/>
        <v>0</v>
      </c>
      <c r="H24" s="74">
        <f ca="1" t="shared" si="10"/>
        <v>21</v>
      </c>
      <c r="I24" s="74">
        <f ca="1">(SUM(rngFindAll($C24,'DPLL Map'!$H$2:$H$24,'DPLL Map'!$K$2:$K$24)))</f>
        <v>21</v>
      </c>
      <c r="J24" s="75">
        <v>0</v>
      </c>
    </row>
    <row r="25" spans="2:10" ht="15">
      <c r="B25" s="176"/>
      <c r="C25" s="35" t="s">
        <v>152</v>
      </c>
      <c r="D25" s="57">
        <v>1.8</v>
      </c>
      <c r="E25" s="74">
        <f ca="1" t="shared" si="7"/>
        <v>37.800000000000004</v>
      </c>
      <c r="F25" s="74">
        <f ca="1" t="shared" si="8"/>
        <v>37.800000000000004</v>
      </c>
      <c r="G25" s="74">
        <f t="shared" si="9"/>
        <v>0</v>
      </c>
      <c r="H25" s="74">
        <f ca="1" t="shared" si="10"/>
        <v>21</v>
      </c>
      <c r="I25" s="74">
        <f ca="1">(SUM(rngFindAll($C25,'DPLL Map'!$H$2:$H$24,'DPLL Map'!$K$2:$K$24)))</f>
        <v>21</v>
      </c>
      <c r="J25" s="75">
        <v>0</v>
      </c>
    </row>
    <row r="26" spans="2:10" ht="15">
      <c r="B26" s="176"/>
      <c r="C26" s="34" t="s">
        <v>140</v>
      </c>
      <c r="D26" s="57">
        <v>1.8</v>
      </c>
      <c r="E26" s="74">
        <f ca="1" t="shared" si="0"/>
        <v>0.054</v>
      </c>
      <c r="F26" s="74">
        <f ca="1" t="shared" si="5"/>
        <v>0.054</v>
      </c>
      <c r="G26" s="74">
        <f t="shared" si="6"/>
        <v>0</v>
      </c>
      <c r="H26" s="74">
        <f ca="1" t="shared" si="1"/>
        <v>0.03</v>
      </c>
      <c r="I26" s="74">
        <f ca="1">(SUM(rngFindAll($C26,'DPLL Map'!$H$2:$H$24,'DPLL Map'!$K$2:$K$24)))</f>
        <v>0.03</v>
      </c>
      <c r="J26" s="75">
        <v>0</v>
      </c>
    </row>
    <row r="27" spans="2:10" ht="15">
      <c r="B27" s="176"/>
      <c r="C27" s="34" t="s">
        <v>142</v>
      </c>
      <c r="D27" s="57">
        <v>1.8</v>
      </c>
      <c r="E27" s="74">
        <f t="shared" si="0"/>
        <v>0</v>
      </c>
      <c r="F27" s="74">
        <f t="shared" si="5"/>
        <v>0</v>
      </c>
      <c r="G27" s="74">
        <f t="shared" si="6"/>
        <v>0</v>
      </c>
      <c r="H27" s="74">
        <f t="shared" si="1"/>
        <v>0</v>
      </c>
      <c r="I27" s="74">
        <f>(SUM(rngFindAll($C27,'DPLL Map'!$H$2:$H$24,'DPLL Map'!$K$2:$K$24)))</f>
        <v>0</v>
      </c>
      <c r="J27" s="75">
        <v>0</v>
      </c>
    </row>
    <row r="28" spans="2:10" ht="15">
      <c r="B28" s="176"/>
      <c r="C28" s="34" t="s">
        <v>143</v>
      </c>
      <c r="D28" s="57">
        <v>1.8</v>
      </c>
      <c r="E28" s="74">
        <f ca="1" t="shared" si="0"/>
        <v>1.8</v>
      </c>
      <c r="F28" s="74">
        <f ca="1" t="shared" si="5"/>
        <v>1.8</v>
      </c>
      <c r="G28" s="74">
        <f t="shared" si="6"/>
        <v>0</v>
      </c>
      <c r="H28" s="74">
        <f ca="1" t="shared" si="1"/>
        <v>1</v>
      </c>
      <c r="I28" s="74">
        <f ca="1">(SUM(rngFindAll($C28,'DPLL Map'!$H$2:$H$24,'DPLL Map'!$K$2:$K$24)))</f>
        <v>1</v>
      </c>
      <c r="J28" s="75">
        <v>0</v>
      </c>
    </row>
    <row r="29" spans="2:10" ht="15">
      <c r="B29" s="176"/>
      <c r="C29" s="34" t="s">
        <v>150</v>
      </c>
      <c r="D29" s="57">
        <v>1.8</v>
      </c>
      <c r="E29" s="74">
        <f ca="1" t="shared" si="0"/>
        <v>1.8</v>
      </c>
      <c r="F29" s="74">
        <f ca="1" t="shared" si="5"/>
        <v>1.8</v>
      </c>
      <c r="G29" s="74">
        <f t="shared" si="6"/>
        <v>0</v>
      </c>
      <c r="H29" s="74">
        <f ca="1" t="shared" si="1"/>
        <v>1</v>
      </c>
      <c r="I29" s="74">
        <f ca="1">(SUM(rngFindAll($C29,'DPLL Map'!$H$2:$H$24,'DPLL Map'!$K$2:$K$24)))</f>
        <v>1</v>
      </c>
      <c r="J29" s="75">
        <v>0</v>
      </c>
    </row>
    <row r="30" spans="2:10" ht="15">
      <c r="B30" s="176"/>
      <c r="C30" s="35" t="s">
        <v>151</v>
      </c>
      <c r="D30" s="57">
        <v>1.8</v>
      </c>
      <c r="E30" s="74">
        <f ca="1">F30+G30</f>
        <v>100.8</v>
      </c>
      <c r="F30" s="74">
        <f ca="1">I30*D30</f>
        <v>100.8</v>
      </c>
      <c r="G30" s="74">
        <f>J30*D30</f>
        <v>0</v>
      </c>
      <c r="H30" s="74">
        <f ca="1">I30+J30</f>
        <v>56</v>
      </c>
      <c r="I30" s="74">
        <f ca="1">(SUM(rngFindAll($C30,'DPLL Map'!$H$2:$H$24,'DPLL Map'!$K$2:$K$24)))</f>
        <v>56</v>
      </c>
      <c r="J30" s="75">
        <v>0</v>
      </c>
    </row>
    <row r="31" spans="2:10" ht="15">
      <c r="B31" s="176"/>
      <c r="C31" s="35" t="s">
        <v>144</v>
      </c>
      <c r="D31" s="57">
        <v>1.8</v>
      </c>
      <c r="E31" s="74">
        <f>F31+G31</f>
        <v>0</v>
      </c>
      <c r="F31" s="74">
        <f>I31*D31</f>
        <v>0</v>
      </c>
      <c r="G31" s="74">
        <f>J31*D31</f>
        <v>0</v>
      </c>
      <c r="H31" s="74">
        <f>I31+J31</f>
        <v>0</v>
      </c>
      <c r="I31" s="74">
        <f>(SUM(rngFindAll($C31,'DPLL Map'!$H$2:$H$24,'DPLL Map'!$K$2:$K$24)))</f>
        <v>0</v>
      </c>
      <c r="J31" s="75">
        <v>0</v>
      </c>
    </row>
    <row r="32" spans="2:10" ht="15">
      <c r="B32" s="42" t="s">
        <v>358</v>
      </c>
      <c r="C32" s="35" t="s">
        <v>147</v>
      </c>
      <c r="D32" s="57">
        <v>1.8</v>
      </c>
      <c r="E32" s="74">
        <f ca="1" t="shared" si="0"/>
        <v>0.018000000000000002</v>
      </c>
      <c r="F32" s="74">
        <f ca="1" t="shared" si="5"/>
        <v>0.018000000000000002</v>
      </c>
      <c r="G32" s="74">
        <f t="shared" si="6"/>
        <v>0</v>
      </c>
      <c r="H32" s="74">
        <f ca="1" t="shared" si="1"/>
        <v>0.01</v>
      </c>
      <c r="I32" s="74">
        <f ca="1">(SUM(rngFindAll($C32,'DPLL Map'!$H$2:$H$24,'DPLL Map'!$K$2:$K$24)))</f>
        <v>0.01</v>
      </c>
      <c r="J32" s="75">
        <v>0</v>
      </c>
    </row>
    <row r="33" spans="2:10" ht="15">
      <c r="B33" s="184" t="s">
        <v>360</v>
      </c>
      <c r="C33" s="35" t="s">
        <v>153</v>
      </c>
      <c r="D33" s="57">
        <v>3.3</v>
      </c>
      <c r="E33" s="74">
        <f ca="1" t="shared" si="0"/>
        <v>33</v>
      </c>
      <c r="F33" s="74">
        <f ca="1" t="shared" si="5"/>
        <v>33</v>
      </c>
      <c r="G33" s="74">
        <f t="shared" si="6"/>
        <v>0</v>
      </c>
      <c r="H33" s="74">
        <f ca="1" t="shared" si="1"/>
        <v>10</v>
      </c>
      <c r="I33" s="74">
        <f ca="1">(SUM(rngFindAll($C33,'DPLL Map'!$H$2:$H$24,'DPLL Map'!$K$2:$K$24)))</f>
        <v>10</v>
      </c>
      <c r="J33" s="75">
        <v>0</v>
      </c>
    </row>
    <row r="34" spans="2:10" ht="15">
      <c r="B34" s="184"/>
      <c r="C34" s="35" t="s">
        <v>154</v>
      </c>
      <c r="D34" s="57">
        <v>3.3</v>
      </c>
      <c r="E34" s="74">
        <f ca="1" t="shared" si="0"/>
        <v>33</v>
      </c>
      <c r="F34" s="74">
        <f ca="1" t="shared" si="5"/>
        <v>33</v>
      </c>
      <c r="G34" s="74">
        <f t="shared" si="6"/>
        <v>0</v>
      </c>
      <c r="H34" s="74">
        <f ca="1" t="shared" si="1"/>
        <v>10</v>
      </c>
      <c r="I34" s="74">
        <f ca="1">(SUM(rngFindAll($C34,'DPLL Map'!$H$2:$H$24,'DPLL Map'!$K$2:$K$24)))</f>
        <v>10</v>
      </c>
      <c r="J34" s="75">
        <v>0</v>
      </c>
    </row>
    <row r="35" spans="2:10" ht="15">
      <c r="B35" s="44" t="s">
        <v>354</v>
      </c>
      <c r="C35" s="35" t="s">
        <v>149</v>
      </c>
      <c r="D35" s="57">
        <f>IF('Vayu Power'!$C$1="DDR2",1.8,(IF('Vayu Power'!$C$1="DDR3",1.5,(IF('Vayu Power'!$C$1="DDR3L",1.35,"NA")))))</f>
        <v>1.5</v>
      </c>
      <c r="E35" s="74">
        <f ca="1" t="shared" si="0"/>
        <v>253.26766917293236</v>
      </c>
      <c r="F35" s="74">
        <f ca="1">OFFSET('Clock Domain Map'!$A$1,MATCH("EMIFIO1_1p5",'Clock Domain Map'!$B:$B,0)-1,15)</f>
        <v>253.26766917293236</v>
      </c>
      <c r="G35" s="74">
        <f ca="1">OFFSET('Clock Domain Map'!$A$1,MATCH("EMIFIO1_1p5",'Clock Domain Map'!$B:$B,0)-1,16)</f>
        <v>0</v>
      </c>
      <c r="H35" s="74">
        <f ca="1" t="shared" si="1"/>
        <v>168.8451127819549</v>
      </c>
      <c r="I35" s="74">
        <f ca="1" t="shared" si="3"/>
        <v>168.8451127819549</v>
      </c>
      <c r="J35" s="75">
        <f aca="true" t="shared" si="11" ref="J35:J36">G35/$D35</f>
        <v>0</v>
      </c>
    </row>
    <row r="36" spans="2:10" ht="15">
      <c r="B36" s="44" t="s">
        <v>52</v>
      </c>
      <c r="C36" s="35" t="s">
        <v>155</v>
      </c>
      <c r="D36" s="57">
        <f>IF('Vayu Power'!$C$1="DDR2",1.8,(IF('Vayu Power'!$C$1="DDR3",1.5,(IF('Vayu Power'!$C$1="DDR3L",1.35,"NA")))))</f>
        <v>1.5</v>
      </c>
      <c r="E36" s="74">
        <f ca="1" t="shared" si="0"/>
        <v>253.26766917293236</v>
      </c>
      <c r="F36" s="74">
        <f ca="1">OFFSET('Clock Domain Map'!$A$1,MATCH("EMIFIO2_1p5",'Clock Domain Map'!$B:$B,0)-1,15)</f>
        <v>253.26766917293236</v>
      </c>
      <c r="G36" s="74">
        <f ca="1">OFFSET('Clock Domain Map'!$A$1,MATCH("EMIFIO2_1p5",'Clock Domain Map'!$B:$B,0)-1,16)</f>
        <v>0</v>
      </c>
      <c r="H36" s="74">
        <f ca="1" t="shared" si="1"/>
        <v>168.8451127819549</v>
      </c>
      <c r="I36" s="74">
        <f ca="1" t="shared" si="3"/>
        <v>168.8451127819549</v>
      </c>
      <c r="J36" s="75">
        <f ca="1" t="shared" si="11"/>
        <v>0</v>
      </c>
    </row>
    <row r="37" spans="2:10" ht="15">
      <c r="B37" s="182" t="s">
        <v>356</v>
      </c>
      <c r="C37" s="35" t="s">
        <v>158</v>
      </c>
      <c r="D37" s="57">
        <f ca="1">OFFSET('Vayu Power'!$U$1,MATCH($C37,'Vayu Power'!$U:$U,0)-1,1,1,1)</f>
        <v>3.3</v>
      </c>
      <c r="E37" s="74">
        <f ca="1" t="shared" si="0"/>
        <v>2214.135</v>
      </c>
      <c r="F37" s="74">
        <f ca="1">I37*D37</f>
        <v>2214.135</v>
      </c>
      <c r="G37" s="74">
        <f aca="true" t="shared" si="12" ref="G37:G47">J37*D37</f>
        <v>0</v>
      </c>
      <c r="H37" s="74">
        <f t="shared" si="1"/>
        <v>670.95</v>
      </c>
      <c r="I37" s="74">
        <f>(SUM(rngFindAll($C37,'Vayu Power'!$U$30:$U$80,'Vayu Power'!$W$30:$W$80)))</f>
        <v>670.95</v>
      </c>
      <c r="J37" s="75">
        <v>0</v>
      </c>
    </row>
    <row r="38" spans="2:10" ht="15">
      <c r="B38" s="182"/>
      <c r="C38" s="35" t="s">
        <v>159</v>
      </c>
      <c r="D38" s="57">
        <f ca="1">OFFSET('Vayu Power'!$U$1,MATCH($C38,'Vayu Power'!$U:$U,0)-1,1,1,1)</f>
        <v>3.3</v>
      </c>
      <c r="E38" s="74">
        <f ca="1" t="shared" si="0"/>
        <v>0.33</v>
      </c>
      <c r="F38" s="74">
        <f aca="true" t="shared" si="13" ref="F38:F47">I38*D38</f>
        <v>0.33</v>
      </c>
      <c r="G38" s="74">
        <f ca="1" t="shared" si="12"/>
        <v>0</v>
      </c>
      <c r="H38" s="74">
        <f t="shared" si="1"/>
        <v>0.1</v>
      </c>
      <c r="I38" s="74">
        <f>(SUM(rngFindAll($C38,'Vayu Power'!$U$30:$U$80,'Vayu Power'!$W$30:$W$80)))</f>
        <v>0.1</v>
      </c>
      <c r="J38" s="75">
        <v>0</v>
      </c>
    </row>
    <row r="39" spans="2:10" ht="15">
      <c r="B39" s="182"/>
      <c r="C39" s="35" t="s">
        <v>160</v>
      </c>
      <c r="D39" s="57">
        <f ca="1">OFFSET('Vayu Power'!$U$1,MATCH($C39,'Vayu Power'!$U:$U,0)-1,1,1,1)</f>
        <v>3.3</v>
      </c>
      <c r="E39" s="74">
        <f ca="1" t="shared" si="0"/>
        <v>13.896299999999997</v>
      </c>
      <c r="F39" s="74">
        <f ca="1" t="shared" si="13"/>
        <v>13.896299999999997</v>
      </c>
      <c r="G39" s="74">
        <f ca="1" t="shared" si="12"/>
        <v>0</v>
      </c>
      <c r="H39" s="74">
        <f t="shared" si="1"/>
        <v>4.210999999999999</v>
      </c>
      <c r="I39" s="74">
        <f>(SUM(rngFindAll($C39,'Vayu Power'!$U$30:$U$80,'Vayu Power'!$W$30:$W$80)))</f>
        <v>4.210999999999999</v>
      </c>
      <c r="J39" s="75">
        <v>0</v>
      </c>
    </row>
    <row r="40" spans="2:10" ht="15">
      <c r="B40" s="182"/>
      <c r="C40" s="35" t="s">
        <v>161</v>
      </c>
      <c r="D40" s="57">
        <f ca="1">OFFSET('Vayu Power'!$U$1,MATCH($C40,'Vayu Power'!$U:$U,0)-1,1,1,1)</f>
        <v>3.3</v>
      </c>
      <c r="E40" s="74">
        <f ca="1" t="shared" si="0"/>
        <v>0.33</v>
      </c>
      <c r="F40" s="74">
        <f ca="1" t="shared" si="13"/>
        <v>0.33</v>
      </c>
      <c r="G40" s="74">
        <f ca="1" t="shared" si="12"/>
        <v>0</v>
      </c>
      <c r="H40" s="74">
        <f t="shared" si="1"/>
        <v>0.1</v>
      </c>
      <c r="I40" s="74">
        <f>(SUM(rngFindAll($C40,'Vayu Power'!$U$30:$U$80,'Vayu Power'!$W$30:$W$80)))</f>
        <v>0.1</v>
      </c>
      <c r="J40" s="75">
        <v>0</v>
      </c>
    </row>
    <row r="41" spans="2:10" ht="15">
      <c r="B41" s="182"/>
      <c r="C41" s="35" t="s">
        <v>162</v>
      </c>
      <c r="D41" s="57">
        <f ca="1">OFFSET('Vayu Power'!$U$1,MATCH($C41,'Vayu Power'!$U:$U,0)-1,1,1,1)</f>
        <v>1.8</v>
      </c>
      <c r="E41" s="74">
        <f ca="1" t="shared" si="0"/>
        <v>0</v>
      </c>
      <c r="F41" s="74">
        <f ca="1" t="shared" si="13"/>
        <v>0</v>
      </c>
      <c r="G41" s="74">
        <f ca="1" t="shared" si="12"/>
        <v>0</v>
      </c>
      <c r="H41" s="74">
        <f t="shared" si="1"/>
        <v>0</v>
      </c>
      <c r="I41" s="74">
        <f>(SUM(rngFindAll($C41,'Vayu Power'!$U$30:$U$80,'Vayu Power'!$W$30:$W$80)))</f>
        <v>0</v>
      </c>
      <c r="J41" s="75">
        <v>0</v>
      </c>
    </row>
    <row r="42" spans="2:10" ht="15">
      <c r="B42" s="182"/>
      <c r="C42" s="35" t="s">
        <v>163</v>
      </c>
      <c r="D42" s="57">
        <f ca="1">OFFSET('Vayu Power'!$U$1,MATCH($C42,'Vayu Power'!$U:$U,0)-1,1,1,1)</f>
        <v>3.3</v>
      </c>
      <c r="E42" s="74">
        <f ca="1" t="shared" si="0"/>
        <v>288.15599999999995</v>
      </c>
      <c r="F42" s="74">
        <f ca="1" t="shared" si="13"/>
        <v>288.15599999999995</v>
      </c>
      <c r="G42" s="74">
        <f ca="1" t="shared" si="12"/>
        <v>0</v>
      </c>
      <c r="H42" s="74">
        <f t="shared" si="1"/>
        <v>87.32</v>
      </c>
      <c r="I42" s="74">
        <f>(SUM(rngFindAll($C42,'Vayu Power'!$U$30:$U$80,'Vayu Power'!$W$30:$W$80)))</f>
        <v>87.32</v>
      </c>
      <c r="J42" s="75">
        <v>0</v>
      </c>
    </row>
    <row r="43" spans="2:10" ht="15">
      <c r="B43" s="182"/>
      <c r="C43" s="35" t="s">
        <v>164</v>
      </c>
      <c r="D43" s="57">
        <f ca="1">OFFSET('Vayu Power'!$U$1,MATCH($C43,'Vayu Power'!$U:$U,0)-1,1,1,1)</f>
        <v>3.3</v>
      </c>
      <c r="E43" s="74">
        <f ca="1" t="shared" si="0"/>
        <v>0.9900000000000001</v>
      </c>
      <c r="F43" s="74">
        <f ca="1" t="shared" si="13"/>
        <v>0.9900000000000001</v>
      </c>
      <c r="G43" s="74">
        <f ca="1" t="shared" si="12"/>
        <v>0</v>
      </c>
      <c r="H43" s="74">
        <f t="shared" si="1"/>
        <v>0.30000000000000004</v>
      </c>
      <c r="I43" s="74">
        <f>(SUM(rngFindAll($C43,'Vayu Power'!$U$30:$U$80,'Vayu Power'!$W$30:$W$80)))</f>
        <v>0.30000000000000004</v>
      </c>
      <c r="J43" s="75">
        <v>0</v>
      </c>
    </row>
    <row r="44" spans="2:10" ht="15">
      <c r="B44" s="182"/>
      <c r="C44" s="35" t="s">
        <v>165</v>
      </c>
      <c r="D44" s="57">
        <f ca="1">OFFSET('Vayu Power'!$U$1,MATCH($C44,'Vayu Power'!$U:$U,0)-1,1,1,1)</f>
        <v>3.3</v>
      </c>
      <c r="E44" s="74">
        <f ca="1" t="shared" si="0"/>
        <v>84.72749999999999</v>
      </c>
      <c r="F44" s="74">
        <f ca="1" t="shared" si="13"/>
        <v>84.72749999999999</v>
      </c>
      <c r="G44" s="74">
        <f ca="1" t="shared" si="12"/>
        <v>0</v>
      </c>
      <c r="H44" s="74">
        <f t="shared" si="1"/>
        <v>25.674999999999997</v>
      </c>
      <c r="I44" s="74">
        <f>(SUM(rngFindAll($C44,'Vayu Power'!$U$30:$U$80,'Vayu Power'!$W$30:$W$80)))</f>
        <v>25.674999999999997</v>
      </c>
      <c r="J44" s="75">
        <v>0</v>
      </c>
    </row>
    <row r="45" spans="2:10" ht="15">
      <c r="B45" s="182"/>
      <c r="C45" s="35" t="s">
        <v>166</v>
      </c>
      <c r="D45" s="57">
        <f ca="1">OFFSET('Vayu Power'!$U$1,MATCH($C45,'Vayu Power'!$U:$U,0)-1,1,1,1)</f>
        <v>3.3</v>
      </c>
      <c r="E45" s="74">
        <f ca="1" t="shared" si="0"/>
        <v>2213.805</v>
      </c>
      <c r="F45" s="74">
        <f ca="1" t="shared" si="13"/>
        <v>2213.805</v>
      </c>
      <c r="G45" s="74">
        <f ca="1" t="shared" si="12"/>
        <v>0</v>
      </c>
      <c r="H45" s="74">
        <f t="shared" si="1"/>
        <v>670.85</v>
      </c>
      <c r="I45" s="74">
        <f>(SUM(rngFindAll($C45,'Vayu Power'!$U$30:$U$80,'Vayu Power'!$W$30:$W$80)))</f>
        <v>670.85</v>
      </c>
      <c r="J45" s="75">
        <v>0</v>
      </c>
    </row>
    <row r="46" spans="2:10" ht="15">
      <c r="B46" s="182"/>
      <c r="C46" s="35" t="s">
        <v>167</v>
      </c>
      <c r="D46" s="57">
        <f ca="1">OFFSET('Vayu Power'!$U$1,MATCH($C46,'Vayu Power'!$U:$U,0)-1,1,1,1)</f>
        <v>3.3</v>
      </c>
      <c r="E46" s="74">
        <f ca="1" t="shared" si="0"/>
        <v>479.2146149999999</v>
      </c>
      <c r="F46" s="74">
        <f ca="1" t="shared" si="13"/>
        <v>479.2146149999999</v>
      </c>
      <c r="G46" s="74">
        <f ca="1" t="shared" si="12"/>
        <v>0</v>
      </c>
      <c r="H46" s="74">
        <f t="shared" si="1"/>
        <v>145.21654999999998</v>
      </c>
      <c r="I46" s="74">
        <f>(SUM(rngFindAll($C46,'Vayu Power'!$U$30:$U$80,'Vayu Power'!$W$30:$W$80)))</f>
        <v>145.21654999999998</v>
      </c>
      <c r="J46" s="75">
        <v>0</v>
      </c>
    </row>
    <row r="47" spans="2:10" ht="15.75" thickBot="1">
      <c r="B47" s="183"/>
      <c r="C47" s="36" t="s">
        <v>168</v>
      </c>
      <c r="D47" s="58">
        <f ca="1">OFFSET('Vayu Power'!$U$1,MATCH($C47,'Vayu Power'!$U:$U,0)-1,1,1,1)</f>
        <v>3.3</v>
      </c>
      <c r="E47" s="76">
        <f ca="1" t="shared" si="0"/>
        <v>85.05749999999999</v>
      </c>
      <c r="F47" s="76">
        <f ca="1" t="shared" si="13"/>
        <v>85.05749999999999</v>
      </c>
      <c r="G47" s="76">
        <f ca="1" t="shared" si="12"/>
        <v>0</v>
      </c>
      <c r="H47" s="76">
        <f t="shared" si="1"/>
        <v>25.775</v>
      </c>
      <c r="I47" s="76">
        <f>(SUM(rngFindAll($C47,'Vayu Power'!$U$30:$U$80,'Vayu Power'!$W$30:$W$80)))</f>
        <v>25.775</v>
      </c>
      <c r="J47" s="77">
        <v>0</v>
      </c>
    </row>
    <row r="50" spans="3:7" ht="15">
      <c r="C50" s="177" t="s">
        <v>226</v>
      </c>
      <c r="D50" s="177"/>
      <c r="F50" s="177" t="s">
        <v>227</v>
      </c>
      <c r="G50" s="177"/>
    </row>
    <row r="51" spans="3:7" ht="15">
      <c r="C51" s="49" t="s">
        <v>239</v>
      </c>
      <c r="D51" s="50" t="str">
        <f ca="1">OFFSET('Power Domain Map'!$A$1,MATCH($C51,'Power Domain Map'!$A:$A,0)-1,2,1,1)</f>
        <v>AlwaysOn</v>
      </c>
      <c r="F51" s="178" t="s">
        <v>79</v>
      </c>
      <c r="G51" s="180" t="str">
        <f ca="1">OFFSET('Voltage Domain Map'!$A$1,MATCH($F51,'Voltage Domain Map'!$A:$A,0)-1,2,1,1)</f>
        <v>AlwaysOn</v>
      </c>
    </row>
    <row r="52" spans="3:7" ht="15">
      <c r="C52" s="49" t="s">
        <v>240</v>
      </c>
      <c r="D52" s="50" t="str">
        <f ca="1">OFFSET('Power Domain Map'!$A$1,MATCH($C52,'Power Domain Map'!$A:$A,0)-1,2,1,1)</f>
        <v>AlwaysOn</v>
      </c>
      <c r="F52" s="179"/>
      <c r="G52" s="181"/>
    </row>
    <row r="53" spans="3:7" ht="15">
      <c r="C53" s="49" t="s">
        <v>72</v>
      </c>
      <c r="D53" s="50" t="str">
        <f ca="1">OFFSET('Power Domain Map'!$A$1,MATCH($C53,'Power Domain Map'!$A:$A,0)-1,2,1,1)</f>
        <v>AlwaysOn</v>
      </c>
      <c r="F53" s="49" t="s">
        <v>80</v>
      </c>
      <c r="G53" s="50" t="str">
        <f ca="1">OFFSET('Voltage Domain Map'!$A$1,MATCH($F53,'Voltage Domain Map'!$A:$A,0)-1,2,1,1)</f>
        <v>AlwaysOn</v>
      </c>
    </row>
    <row r="54" spans="3:7" ht="15">
      <c r="C54" s="49" t="s">
        <v>73</v>
      </c>
      <c r="D54" s="50" t="str">
        <f ca="1">OFFSET('Power Domain Map'!$A$1,MATCH($C54,'Power Domain Map'!$A:$A,0)-1,2,1,1)</f>
        <v>AlwaysOn</v>
      </c>
      <c r="F54" s="49" t="s">
        <v>81</v>
      </c>
      <c r="G54" s="50" t="str">
        <f ca="1">OFFSET('Voltage Domain Map'!$A$1,MATCH($F54,'Voltage Domain Map'!$A:$A,0)-1,2,1,1)</f>
        <v>AlwaysOn</v>
      </c>
    </row>
    <row r="55" spans="3:7" ht="15">
      <c r="C55" s="49" t="s">
        <v>74</v>
      </c>
      <c r="D55" s="50" t="str">
        <f ca="1">OFFSET('Power Domain Map'!$A$1,MATCH($C55,'Power Domain Map'!$A:$A,0)-1,2,1,1)</f>
        <v>Disabled</v>
      </c>
      <c r="F55" s="49" t="s">
        <v>82</v>
      </c>
      <c r="G55" s="50" t="str">
        <f ca="1">OFFSET('Voltage Domain Map'!$A$1,MATCH($F55,'Voltage Domain Map'!$A:$A,0)-1,2,1,1)</f>
        <v>Off</v>
      </c>
    </row>
    <row r="56" spans="3:7" ht="15">
      <c r="C56" s="49" t="s">
        <v>75</v>
      </c>
      <c r="D56" s="50" t="str">
        <f ca="1">OFFSET('Power Domain Map'!$A$1,MATCH($C56,'Power Domain Map'!$A:$A,0)-1,2,1,1)</f>
        <v>Disabled</v>
      </c>
      <c r="F56" s="49" t="s">
        <v>83</v>
      </c>
      <c r="G56" s="50" t="str">
        <f ca="1">OFFSET('Voltage Domain Map'!$A$1,MATCH($F56,'Voltage Domain Map'!$A:$A,0)-1,2,1,1)</f>
        <v>Off</v>
      </c>
    </row>
    <row r="57" spans="3:7" ht="15">
      <c r="C57" s="49" t="s">
        <v>76</v>
      </c>
      <c r="D57" s="50" t="str">
        <f ca="1">OFFSET('Power Domain Map'!$A$1,MATCH($C57,'Power Domain Map'!$A:$A,0)-1,2,1,1)</f>
        <v>Disabled</v>
      </c>
      <c r="F57" s="49" t="s">
        <v>84</v>
      </c>
      <c r="G57" s="50" t="str">
        <f ca="1">OFFSET('Voltage Domain Map'!$A$1,MATCH($F57,'Voltage Domain Map'!$A:$A,0)-1,2,1,1)</f>
        <v>Off</v>
      </c>
    </row>
    <row r="58" spans="3:7" ht="15">
      <c r="C58" s="49" t="s">
        <v>77</v>
      </c>
      <c r="D58" s="50" t="str">
        <f ca="1">OFFSET('Power Domain Map'!$A$1,MATCH($C58,'Power Domain Map'!$A:$A,0)-1,2,1,1)</f>
        <v>Disabled</v>
      </c>
      <c r="F58" s="49" t="s">
        <v>85</v>
      </c>
      <c r="G58" s="50" t="str">
        <f ca="1">OFFSET('Voltage Domain Map'!$A$1,MATCH($F58,'Voltage Domain Map'!$A:$A,0)-1,2,1,1)</f>
        <v>Off</v>
      </c>
    </row>
    <row r="59" spans="3:7" ht="15">
      <c r="C59" s="49" t="s">
        <v>98</v>
      </c>
      <c r="D59" s="50" t="str">
        <f ca="1">OFFSET('Power Domain Map'!$A$1,MATCH($C59,'Power Domain Map'!$A:$A,0)-1,2,1,1)</f>
        <v>AlwaysOn</v>
      </c>
      <c r="F59" s="49" t="s">
        <v>111</v>
      </c>
      <c r="G59" s="50" t="str">
        <f ca="1">OFFSET('Voltage Domain Map'!$A$1,MATCH($F59,'Voltage Domain Map'!$A:$A,0)-1,2,1,1)</f>
        <v>AlwaysOn</v>
      </c>
    </row>
    <row r="60" spans="3:7" ht="15">
      <c r="C60" s="49" t="s">
        <v>99</v>
      </c>
      <c r="D60" s="50" t="str">
        <f ca="1">OFFSET('Power Domain Map'!$A$1,MATCH($C60,'Power Domain Map'!$A:$A,0)-1,2,1,1)</f>
        <v>Disabled</v>
      </c>
      <c r="F60" s="49" t="s">
        <v>112</v>
      </c>
      <c r="G60" s="50" t="str">
        <f ca="1">OFFSET('Voltage Domain Map'!$A$1,MATCH($F60,'Voltage Domain Map'!$A:$A,0)-1,2,1,1)</f>
        <v>Off</v>
      </c>
    </row>
    <row r="61" spans="3:7" ht="15">
      <c r="C61" s="49" t="s">
        <v>100</v>
      </c>
      <c r="D61" s="50" t="str">
        <f ca="1">OFFSET('Power Domain Map'!$A$1,MATCH($C61,'Power Domain Map'!$A:$A,0)-1,2,1,1)</f>
        <v>AlwaysOn</v>
      </c>
      <c r="F61" s="49" t="s">
        <v>113</v>
      </c>
      <c r="G61" s="50" t="str">
        <f ca="1">OFFSET('Voltage Domain Map'!$A$1,MATCH($F61,'Voltage Domain Map'!$A:$A,0)-1,2,1,1)</f>
        <v>AlwaysOn</v>
      </c>
    </row>
    <row r="62" spans="3:7" ht="15">
      <c r="C62" s="49" t="s">
        <v>101</v>
      </c>
      <c r="D62" s="50" t="str">
        <f ca="1">OFFSET('Power Domain Map'!$A$1,MATCH($C62,'Power Domain Map'!$A:$A,0)-1,2,1,1)</f>
        <v>AlwaysOn</v>
      </c>
      <c r="F62" s="49" t="s">
        <v>114</v>
      </c>
      <c r="G62" s="50" t="str">
        <f ca="1">OFFSET('Voltage Domain Map'!$A$1,MATCH($F62,'Voltage Domain Map'!$A:$A,0)-1,2,1,1)</f>
        <v>AlwaysOn</v>
      </c>
    </row>
    <row r="63" spans="3:7" ht="15">
      <c r="C63" s="49" t="s">
        <v>102</v>
      </c>
      <c r="D63" s="50" t="str">
        <f ca="1">OFFSET('Power Domain Map'!$A$1,MATCH($C63,'Power Domain Map'!$A:$A,0)-1,2,1,1)</f>
        <v>AlwaysOn</v>
      </c>
      <c r="F63" s="49" t="s">
        <v>115</v>
      </c>
      <c r="G63" s="50" t="str">
        <f ca="1">OFFSET('Voltage Domain Map'!$A$1,MATCH($F63,'Voltage Domain Map'!$A:$A,0)-1,2,1,1)</f>
        <v>AlwaysOn</v>
      </c>
    </row>
    <row r="64" spans="3:7" ht="15">
      <c r="C64" s="49" t="s">
        <v>103</v>
      </c>
      <c r="D64" s="50" t="str">
        <f ca="1">OFFSET('Power Domain Map'!$A$1,MATCH($C64,'Power Domain Map'!$A:$A,0)-1,2,1,1)</f>
        <v>AlwaysOn</v>
      </c>
      <c r="F64" s="49" t="s">
        <v>116</v>
      </c>
      <c r="G64" s="50" t="str">
        <f ca="1">OFFSET('Voltage Domain Map'!$A$1,MATCH($F64,'Voltage Domain Map'!$A:$A,0)-1,2,1,1)</f>
        <v>AlwaysOn</v>
      </c>
    </row>
    <row r="65" spans="3:7" ht="15">
      <c r="C65" s="49" t="s">
        <v>104</v>
      </c>
      <c r="D65" s="50" t="str">
        <f ca="1">OFFSET('Power Domain Map'!$A$1,MATCH($C65,'Power Domain Map'!$A:$A,0)-1,2,1,1)</f>
        <v>AlwaysOn</v>
      </c>
      <c r="F65" s="49" t="s">
        <v>117</v>
      </c>
      <c r="G65" s="50" t="str">
        <f ca="1">OFFSET('Voltage Domain Map'!$A$1,MATCH($F65,'Voltage Domain Map'!$A:$A,0)-1,2,1,1)</f>
        <v>AlwaysOn</v>
      </c>
    </row>
    <row r="66" spans="3:7" ht="15">
      <c r="C66" s="49" t="s">
        <v>105</v>
      </c>
      <c r="D66" s="50" t="str">
        <f ca="1">OFFSET('Power Domain Map'!$A$1,MATCH($C66,'Power Domain Map'!$A:$A,0)-1,2,1,1)</f>
        <v>Disabled</v>
      </c>
      <c r="F66" s="49" t="s">
        <v>118</v>
      </c>
      <c r="G66" s="50" t="str">
        <f ca="1">OFFSET('Voltage Domain Map'!$A$1,MATCH($F66,'Voltage Domain Map'!$A:$A,0)-1,2,1,1)</f>
        <v>AlwaysOn</v>
      </c>
    </row>
    <row r="67" spans="3:7" ht="15">
      <c r="C67" s="49" t="s">
        <v>106</v>
      </c>
      <c r="D67" s="50" t="str">
        <f ca="1">OFFSET('Power Domain Map'!$A$1,MATCH($C67,'Power Domain Map'!$A:$A,0)-1,2,1,1)</f>
        <v>Disabled</v>
      </c>
      <c r="F67" s="49" t="s">
        <v>117</v>
      </c>
      <c r="G67" s="50" t="str">
        <f ca="1">OFFSET('Voltage Domain Map'!$A$1,MATCH($F67,'Voltage Domain Map'!$A:$A,0)-1,2,1,1)</f>
        <v>AlwaysOn</v>
      </c>
    </row>
    <row r="68" spans="3:7" ht="15">
      <c r="C68" s="49" t="s">
        <v>109</v>
      </c>
      <c r="D68" s="50" t="str">
        <f ca="1">OFFSET('Power Domain Map'!$A$1,MATCH($C68,'Power Domain Map'!$A:$A,0)-1,2,1,1)</f>
        <v>AlwaysOn</v>
      </c>
      <c r="F68" s="49" t="s">
        <v>216</v>
      </c>
      <c r="G68" s="50" t="str">
        <f ca="1">OFFSET('Voltage Domain Map'!$A$1,MATCH($F68,'Voltage Domain Map'!$A:$A,0)-1,2,1,1)</f>
        <v>AlwaysOn</v>
      </c>
    </row>
    <row r="69" spans="3:4" ht="15">
      <c r="C69" s="49" t="s">
        <v>110</v>
      </c>
      <c r="D69" s="50" t="str">
        <f ca="1">OFFSET('Power Domain Map'!$A$1,MATCH($C69,'Power Domain Map'!$A:$A,0)-1,2,1,1)</f>
        <v>AlwaysOn</v>
      </c>
    </row>
    <row r="70" spans="3:4" ht="15">
      <c r="C70" s="49" t="s">
        <v>107</v>
      </c>
      <c r="D70" s="50" t="str">
        <f ca="1">OFFSET('Power Domain Map'!$A$1,MATCH($C70,'Power Domain Map'!$A:$A,0)-1,2,1,1)</f>
        <v>AlwaysOn</v>
      </c>
    </row>
    <row r="71" spans="3:4" ht="15">
      <c r="C71" s="49" t="s">
        <v>108</v>
      </c>
      <c r="D71" s="50" t="str">
        <f ca="1">OFFSET('Power Domain Map'!$A$1,MATCH($C71,'Power Domain Map'!$A:$A,0)-1,2,1,1)</f>
        <v>AlwaysOn</v>
      </c>
    </row>
    <row r="72" spans="3:4" ht="15">
      <c r="C72" s="49" t="s">
        <v>215</v>
      </c>
      <c r="D72" s="50" t="str">
        <f ca="1">OFFSET('Power Domain Map'!$A$1,MATCH($C72,'Power Domain Map'!$A:$A,0)-1,2,1,1)</f>
        <v>AlwaysOn</v>
      </c>
    </row>
  </sheetData>
  <sheetProtection password="A4B3" sheet="1" objects="1" scenarios="1"/>
  <mergeCells count="8">
    <mergeCell ref="B14:B23"/>
    <mergeCell ref="B24:B31"/>
    <mergeCell ref="C50:D50"/>
    <mergeCell ref="F50:G50"/>
    <mergeCell ref="F51:F52"/>
    <mergeCell ref="G51:G52"/>
    <mergeCell ref="B37:B47"/>
    <mergeCell ref="B33:B3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X58"/>
  <sheetViews>
    <sheetView workbookViewId="0" topLeftCell="A5">
      <selection activeCell="I18" sqref="I18"/>
    </sheetView>
  </sheetViews>
  <sheetFormatPr defaultColWidth="9.140625" defaultRowHeight="15"/>
  <cols>
    <col min="1" max="1" width="15.7109375" style="0" customWidth="1"/>
    <col min="2" max="2" width="10.140625" style="0" bestFit="1" customWidth="1"/>
    <col min="3" max="3" width="11.28125" style="0" bestFit="1" customWidth="1"/>
    <col min="4" max="4" width="15.140625" style="0" bestFit="1" customWidth="1"/>
    <col min="5" max="5" width="11.00390625" style="0" customWidth="1"/>
    <col min="6" max="6" width="9.7109375" style="0" customWidth="1"/>
    <col min="7" max="7" width="11.28125" style="0" customWidth="1"/>
    <col min="13" max="13" width="10.7109375" style="0" customWidth="1"/>
  </cols>
  <sheetData>
    <row r="1" spans="1:4" ht="15">
      <c r="A1" t="s">
        <v>51</v>
      </c>
      <c r="B1" t="s">
        <v>52</v>
      </c>
      <c r="C1" t="s">
        <v>53</v>
      </c>
      <c r="D1" t="s">
        <v>54</v>
      </c>
    </row>
    <row r="2" spans="1:4" ht="15">
      <c r="A2" t="s">
        <v>25</v>
      </c>
      <c r="B2" t="s">
        <v>13</v>
      </c>
      <c r="C2" t="s">
        <v>12</v>
      </c>
      <c r="D2" t="s">
        <v>14</v>
      </c>
    </row>
    <row r="3" spans="1:2" ht="15">
      <c r="A3" t="s">
        <v>218</v>
      </c>
      <c r="B3">
        <v>125</v>
      </c>
    </row>
    <row r="4" spans="1:3" ht="15">
      <c r="A4" t="s">
        <v>219</v>
      </c>
      <c r="B4" t="s">
        <v>220</v>
      </c>
      <c r="C4" t="s">
        <v>221</v>
      </c>
    </row>
    <row r="5" spans="1:4" ht="15">
      <c r="A5" t="s">
        <v>237</v>
      </c>
      <c r="B5">
        <v>333</v>
      </c>
      <c r="C5">
        <v>400</v>
      </c>
      <c r="D5">
        <v>532</v>
      </c>
    </row>
    <row r="7" spans="1:6" ht="15">
      <c r="A7" t="s">
        <v>26</v>
      </c>
      <c r="B7" t="s">
        <v>34</v>
      </c>
      <c r="C7" t="s">
        <v>31</v>
      </c>
      <c r="D7" t="s">
        <v>32</v>
      </c>
      <c r="E7" t="s">
        <v>273</v>
      </c>
      <c r="F7" t="s">
        <v>33</v>
      </c>
    </row>
    <row r="8" spans="1:5" ht="15">
      <c r="A8" t="s">
        <v>27</v>
      </c>
      <c r="B8" t="s">
        <v>34</v>
      </c>
      <c r="C8" t="s">
        <v>31</v>
      </c>
      <c r="D8" t="s">
        <v>32</v>
      </c>
      <c r="E8" t="s">
        <v>33</v>
      </c>
    </row>
    <row r="9" spans="1:4" ht="15">
      <c r="A9" t="s">
        <v>28</v>
      </c>
      <c r="B9" t="s">
        <v>34</v>
      </c>
      <c r="C9" t="s">
        <v>35</v>
      </c>
      <c r="D9" t="s">
        <v>33</v>
      </c>
    </row>
    <row r="10" spans="1:4" ht="15">
      <c r="A10" t="s">
        <v>29</v>
      </c>
      <c r="B10" t="s">
        <v>34</v>
      </c>
      <c r="C10" t="s">
        <v>35</v>
      </c>
      <c r="D10" t="s">
        <v>33</v>
      </c>
    </row>
    <row r="11" spans="1:2" ht="15">
      <c r="A11" t="s">
        <v>30</v>
      </c>
      <c r="B11" t="s">
        <v>35</v>
      </c>
    </row>
    <row r="12" spans="1:2" ht="15">
      <c r="A12" t="s">
        <v>217</v>
      </c>
      <c r="B12" t="s">
        <v>35</v>
      </c>
    </row>
    <row r="13" spans="1:3" ht="15">
      <c r="A13" t="s">
        <v>60</v>
      </c>
      <c r="B13" t="s">
        <v>61</v>
      </c>
      <c r="C13" t="s">
        <v>58</v>
      </c>
    </row>
    <row r="15" spans="1:20" ht="15">
      <c r="A15" t="s">
        <v>26</v>
      </c>
      <c r="H15" t="s">
        <v>57</v>
      </c>
      <c r="N15" t="s">
        <v>58</v>
      </c>
      <c r="T15" t="s">
        <v>59</v>
      </c>
    </row>
    <row r="16" spans="2:24" ht="15">
      <c r="B16" t="s">
        <v>34</v>
      </c>
      <c r="C16" t="s">
        <v>31</v>
      </c>
      <c r="D16" t="s">
        <v>32</v>
      </c>
      <c r="E16" t="s">
        <v>273</v>
      </c>
      <c r="F16" t="s">
        <v>33</v>
      </c>
      <c r="H16" t="s">
        <v>34</v>
      </c>
      <c r="I16" t="s">
        <v>31</v>
      </c>
      <c r="J16" t="s">
        <v>32</v>
      </c>
      <c r="K16" t="s">
        <v>273</v>
      </c>
      <c r="L16" t="s">
        <v>33</v>
      </c>
      <c r="N16" t="s">
        <v>34</v>
      </c>
      <c r="O16" t="s">
        <v>31</v>
      </c>
      <c r="P16" t="s">
        <v>32</v>
      </c>
      <c r="Q16" t="s">
        <v>273</v>
      </c>
      <c r="R16" t="s">
        <v>33</v>
      </c>
      <c r="T16" t="s">
        <v>34</v>
      </c>
      <c r="U16" t="s">
        <v>31</v>
      </c>
      <c r="V16" t="s">
        <v>32</v>
      </c>
      <c r="W16" t="s">
        <v>273</v>
      </c>
      <c r="X16" t="s">
        <v>33</v>
      </c>
    </row>
    <row r="17" spans="1:24" ht="15">
      <c r="A17" t="s">
        <v>228</v>
      </c>
      <c r="B17">
        <v>1500</v>
      </c>
      <c r="C17">
        <v>500</v>
      </c>
      <c r="D17">
        <v>750</v>
      </c>
      <c r="E17">
        <v>1000</v>
      </c>
      <c r="F17">
        <v>1176</v>
      </c>
      <c r="H17">
        <f>1.22+VDD_MPU_MARGIN</f>
        <v>1.22</v>
      </c>
      <c r="I17">
        <f>1.1+VDD_MPU_MARGIN</f>
        <v>1.1</v>
      </c>
      <c r="J17">
        <f>1.06+VDD_MPU_MARGIN</f>
        <v>1.06</v>
      </c>
      <c r="K17">
        <f>1.06+VDD_MPU_MARGIN</f>
        <v>1.06</v>
      </c>
      <c r="L17">
        <f>1.12+VDD_MPU_MARGIN</f>
        <v>1.12</v>
      </c>
      <c r="N17">
        <f>IF(PROCESS="Strong",1.15,1.2)+VDD_MPU_MARGIN</f>
        <v>1.15</v>
      </c>
      <c r="O17">
        <f>0.92+VDD_MPU_MARGIN</f>
        <v>0.92</v>
      </c>
      <c r="P17">
        <f>0.92+VDD_MPU_MARGIN</f>
        <v>0.92</v>
      </c>
      <c r="Q17">
        <f>0.92+VDD_MPU_MARGIN</f>
        <v>0.92</v>
      </c>
      <c r="R17">
        <f>IF(PROCESS="Strong",1.03,1.1)+VDD_MPU_MARGIN</f>
        <v>1.03</v>
      </c>
      <c r="T17">
        <v>1.12</v>
      </c>
      <c r="U17">
        <v>0.89</v>
      </c>
      <c r="V17">
        <v>0.89</v>
      </c>
      <c r="W17">
        <v>0.89</v>
      </c>
      <c r="X17">
        <v>1</v>
      </c>
    </row>
    <row r="18" spans="1:6" ht="15">
      <c r="A18" t="s">
        <v>229</v>
      </c>
      <c r="B18">
        <v>1500</v>
      </c>
      <c r="C18">
        <v>500</v>
      </c>
      <c r="D18">
        <v>750</v>
      </c>
      <c r="E18">
        <v>1000</v>
      </c>
      <c r="F18">
        <v>1176</v>
      </c>
    </row>
    <row r="19" spans="1:6" ht="15">
      <c r="A19" t="s">
        <v>230</v>
      </c>
      <c r="B19">
        <v>1500</v>
      </c>
      <c r="C19">
        <v>500</v>
      </c>
      <c r="D19">
        <v>750</v>
      </c>
      <c r="E19">
        <v>1000</v>
      </c>
      <c r="F19">
        <v>1176</v>
      </c>
    </row>
    <row r="21" ht="15">
      <c r="A21" t="s">
        <v>36</v>
      </c>
    </row>
    <row r="22" spans="2:20" ht="15">
      <c r="B22" t="s">
        <v>34</v>
      </c>
      <c r="C22" t="s">
        <v>31</v>
      </c>
      <c r="D22" t="s">
        <v>32</v>
      </c>
      <c r="E22" t="s">
        <v>33</v>
      </c>
      <c r="H22" t="s">
        <v>57</v>
      </c>
      <c r="N22" t="s">
        <v>58</v>
      </c>
      <c r="T22" t="s">
        <v>59</v>
      </c>
    </row>
    <row r="23" spans="1:23" ht="15">
      <c r="A23" t="s">
        <v>169</v>
      </c>
      <c r="B23">
        <v>750</v>
      </c>
      <c r="C23">
        <v>500</v>
      </c>
      <c r="D23">
        <v>600</v>
      </c>
      <c r="E23">
        <v>700</v>
      </c>
      <c r="H23" t="s">
        <v>34</v>
      </c>
      <c r="I23" t="s">
        <v>31</v>
      </c>
      <c r="J23" t="s">
        <v>32</v>
      </c>
      <c r="K23" t="s">
        <v>33</v>
      </c>
      <c r="N23" t="s">
        <v>34</v>
      </c>
      <c r="O23" t="s">
        <v>31</v>
      </c>
      <c r="P23" t="s">
        <v>32</v>
      </c>
      <c r="Q23" t="s">
        <v>33</v>
      </c>
      <c r="T23" t="s">
        <v>34</v>
      </c>
      <c r="U23" t="s">
        <v>31</v>
      </c>
      <c r="V23" t="s">
        <v>32</v>
      </c>
      <c r="W23" t="s">
        <v>33</v>
      </c>
    </row>
    <row r="24" spans="1:23" ht="15">
      <c r="A24" t="s">
        <v>170</v>
      </c>
      <c r="B24">
        <v>750</v>
      </c>
      <c r="C24">
        <v>500</v>
      </c>
      <c r="D24">
        <v>600</v>
      </c>
      <c r="E24">
        <v>700</v>
      </c>
      <c r="H24">
        <f>1.22+VDD_DSPEVE_MARGIN</f>
        <v>1.22</v>
      </c>
      <c r="I24">
        <f>1.06+VDD_DSPEVE_MARGIN</f>
        <v>1.06</v>
      </c>
      <c r="J24">
        <f>1.06+VDD_DSPEVE_MARGIN</f>
        <v>1.06</v>
      </c>
      <c r="K24">
        <f>1.12+VDD_DSPEVE_MARGIN</f>
        <v>1.12</v>
      </c>
      <c r="N24">
        <f>IF(PROCESS="Strong",1.15,1.2)+VDD_DSPEVE_MARGIN</f>
        <v>1.15</v>
      </c>
      <c r="O24">
        <f>0.92+VDD_DSPEVE_MARGIN</f>
        <v>0.92</v>
      </c>
      <c r="P24">
        <f>0.92+VDD_DSPEVE_MARGIN</f>
        <v>0.92</v>
      </c>
      <c r="Q24">
        <f>IF(PROCESS="Strong",1.03,1.1)+VDD_DSPEVE_MARGIN</f>
        <v>1.03</v>
      </c>
      <c r="T24">
        <v>1.07</v>
      </c>
      <c r="U24">
        <v>0.89</v>
      </c>
      <c r="V24">
        <v>0.89</v>
      </c>
      <c r="W24">
        <v>1</v>
      </c>
    </row>
    <row r="25" spans="1:5" ht="15">
      <c r="A25" t="s">
        <v>171</v>
      </c>
      <c r="B25">
        <v>650</v>
      </c>
      <c r="C25">
        <v>500</v>
      </c>
      <c r="D25">
        <v>535</v>
      </c>
      <c r="E25">
        <v>625</v>
      </c>
    </row>
    <row r="26" spans="1:5" ht="15">
      <c r="A26" t="s">
        <v>172</v>
      </c>
      <c r="B26">
        <v>650</v>
      </c>
      <c r="C26">
        <v>500</v>
      </c>
      <c r="D26">
        <v>535</v>
      </c>
      <c r="E26">
        <v>625</v>
      </c>
    </row>
    <row r="27" spans="1:5" ht="15">
      <c r="A27" t="s">
        <v>173</v>
      </c>
      <c r="B27">
        <v>650</v>
      </c>
      <c r="C27">
        <v>500</v>
      </c>
      <c r="D27">
        <v>535</v>
      </c>
      <c r="E27">
        <v>625</v>
      </c>
    </row>
    <row r="28" spans="1:5" ht="15">
      <c r="A28" t="s">
        <v>174</v>
      </c>
      <c r="B28">
        <v>650</v>
      </c>
      <c r="C28">
        <v>500</v>
      </c>
      <c r="D28">
        <v>535</v>
      </c>
      <c r="E28">
        <v>625</v>
      </c>
    </row>
    <row r="30" spans="1:20" ht="15">
      <c r="A30" t="s">
        <v>37</v>
      </c>
      <c r="H30" t="s">
        <v>57</v>
      </c>
      <c r="N30" t="s">
        <v>58</v>
      </c>
      <c r="T30" t="s">
        <v>59</v>
      </c>
    </row>
    <row r="31" spans="2:22" ht="15">
      <c r="B31" t="s">
        <v>34</v>
      </c>
      <c r="C31" t="s">
        <v>35</v>
      </c>
      <c r="D31" t="s">
        <v>33</v>
      </c>
      <c r="H31" t="s">
        <v>34</v>
      </c>
      <c r="I31" t="s">
        <v>35</v>
      </c>
      <c r="J31" t="s">
        <v>33</v>
      </c>
      <c r="N31" t="s">
        <v>34</v>
      </c>
      <c r="O31" t="s">
        <v>35</v>
      </c>
      <c r="P31" t="s">
        <v>33</v>
      </c>
      <c r="T31" t="s">
        <v>34</v>
      </c>
      <c r="U31" t="s">
        <v>35</v>
      </c>
      <c r="V31" t="s">
        <v>33</v>
      </c>
    </row>
    <row r="32" spans="1:22" ht="15">
      <c r="A32" t="s">
        <v>9</v>
      </c>
      <c r="B32">
        <v>532</v>
      </c>
      <c r="C32">
        <v>388.3</v>
      </c>
      <c r="D32">
        <v>430</v>
      </c>
      <c r="H32">
        <f>1.22+VDD_IVA_MARGIN</f>
        <v>1.22</v>
      </c>
      <c r="I32">
        <f>1.06+VDD_IVA_MARGIN</f>
        <v>1.06</v>
      </c>
      <c r="J32">
        <f>1.12+VDD_IVA_MARGIN</f>
        <v>1.12</v>
      </c>
      <c r="N32">
        <f>IF(PROCESS="Strong",1.15,1.2)+VDD_IVA_MARGIN</f>
        <v>1.15</v>
      </c>
      <c r="O32">
        <f>0.92+VDD_IVA_MARGIN</f>
        <v>0.92</v>
      </c>
      <c r="P32">
        <f>IF(PROCESS="Strong",1.03,1.1)+VDD_IVA_MARGIN</f>
        <v>1.03</v>
      </c>
      <c r="T32">
        <v>1.07</v>
      </c>
      <c r="U32">
        <v>0.89</v>
      </c>
      <c r="V32">
        <v>1</v>
      </c>
    </row>
    <row r="34" spans="1:20" ht="15">
      <c r="A34" t="s">
        <v>38</v>
      </c>
      <c r="H34" t="s">
        <v>57</v>
      </c>
      <c r="N34" t="s">
        <v>58</v>
      </c>
      <c r="T34" t="s">
        <v>59</v>
      </c>
    </row>
    <row r="35" spans="2:22" ht="15">
      <c r="B35" t="s">
        <v>34</v>
      </c>
      <c r="C35" t="s">
        <v>35</v>
      </c>
      <c r="D35" t="s">
        <v>33</v>
      </c>
      <c r="H35" t="s">
        <v>34</v>
      </c>
      <c r="I35" t="s">
        <v>35</v>
      </c>
      <c r="J35" t="s">
        <v>33</v>
      </c>
      <c r="N35" t="s">
        <v>34</v>
      </c>
      <c r="O35" t="s">
        <v>35</v>
      </c>
      <c r="P35" t="s">
        <v>33</v>
      </c>
      <c r="T35" t="s">
        <v>34</v>
      </c>
      <c r="U35" t="s">
        <v>35</v>
      </c>
      <c r="V35" t="s">
        <v>33</v>
      </c>
    </row>
    <row r="36" spans="1:22" ht="15">
      <c r="A36" t="s">
        <v>287</v>
      </c>
      <c r="B36">
        <v>532</v>
      </c>
      <c r="C36">
        <v>425.6</v>
      </c>
      <c r="D36">
        <v>500</v>
      </c>
      <c r="H36">
        <f>1.22+VDD_GPU_MARGIN</f>
        <v>1.22</v>
      </c>
      <c r="I36">
        <f>1.06+VDD_GPU_MARGIN</f>
        <v>1.06</v>
      </c>
      <c r="J36">
        <f>1.12+VDD_GPU_MARGIN</f>
        <v>1.12</v>
      </c>
      <c r="N36">
        <f>IF(PROCESS="Strong",1.15,1.2)+VDD_GPU_MARGIN</f>
        <v>1.15</v>
      </c>
      <c r="O36">
        <f>0.92+VDD_GPU_MARGIN</f>
        <v>0.92</v>
      </c>
      <c r="P36">
        <f>IF(PROCESS="Strong",1.03,1.1)+VDD_GPU_MARGIN</f>
        <v>1.03</v>
      </c>
      <c r="T36">
        <v>1.12</v>
      </c>
      <c r="U36">
        <v>0.89</v>
      </c>
      <c r="V36">
        <v>1</v>
      </c>
    </row>
    <row r="38" spans="1:20" ht="15">
      <c r="A38" t="s">
        <v>39</v>
      </c>
      <c r="H38" t="s">
        <v>57</v>
      </c>
      <c r="N38" t="s">
        <v>58</v>
      </c>
      <c r="T38" t="s">
        <v>59</v>
      </c>
    </row>
    <row r="39" spans="2:22" ht="15">
      <c r="B39" t="s">
        <v>34</v>
      </c>
      <c r="C39" t="s">
        <v>35</v>
      </c>
      <c r="D39" t="s">
        <v>33</v>
      </c>
      <c r="H39" t="s">
        <v>34</v>
      </c>
      <c r="I39" t="s">
        <v>35</v>
      </c>
      <c r="J39" t="s">
        <v>33</v>
      </c>
      <c r="N39" t="s">
        <v>34</v>
      </c>
      <c r="O39" t="s">
        <v>35</v>
      </c>
      <c r="P39" t="s">
        <v>33</v>
      </c>
      <c r="T39" t="s">
        <v>34</v>
      </c>
      <c r="U39" t="s">
        <v>35</v>
      </c>
      <c r="V39" t="s">
        <v>33</v>
      </c>
    </row>
    <row r="40" spans="1:22" ht="15">
      <c r="A40" t="s">
        <v>175</v>
      </c>
      <c r="B40">
        <v>212.8</v>
      </c>
      <c r="C40">
        <v>212.8</v>
      </c>
      <c r="D40">
        <v>212.8</v>
      </c>
      <c r="H40">
        <f>1.22+VDD_CORE_MARGIN</f>
        <v>1.22</v>
      </c>
      <c r="I40">
        <f>1.06+VDD_CORE_MARGIN</f>
        <v>1.06</v>
      </c>
      <c r="J40">
        <f>1.12+VDD_CORE_MARGIN</f>
        <v>1.12</v>
      </c>
      <c r="N40">
        <f>IF(PROCESS="Strong",1.15,1.2)+VDD_CORE_MARGIN</f>
        <v>1.15</v>
      </c>
      <c r="O40">
        <f>0.92+VDD_CORE_MARGIN</f>
        <v>0.92</v>
      </c>
      <c r="P40">
        <f>IF(PROCESS="Strong",1.03,1.1)+VDD_CORE_MARGIN</f>
        <v>1.03</v>
      </c>
      <c r="T40">
        <v>1.12</v>
      </c>
      <c r="U40">
        <v>0.89</v>
      </c>
      <c r="V40">
        <v>1</v>
      </c>
    </row>
    <row r="41" spans="1:4" ht="15">
      <c r="A41" t="s">
        <v>176</v>
      </c>
      <c r="B41">
        <v>212.8</v>
      </c>
      <c r="C41">
        <v>212.8</v>
      </c>
      <c r="D41">
        <v>212.8</v>
      </c>
    </row>
    <row r="42" spans="1:4" ht="15">
      <c r="A42" t="s">
        <v>10</v>
      </c>
      <c r="B42">
        <v>300</v>
      </c>
      <c r="C42">
        <v>300</v>
      </c>
      <c r="D42">
        <v>300</v>
      </c>
    </row>
    <row r="43" spans="1:4" ht="15">
      <c r="A43" t="s">
        <v>15</v>
      </c>
      <c r="B43">
        <v>266</v>
      </c>
      <c r="C43">
        <v>266</v>
      </c>
      <c r="D43">
        <v>266</v>
      </c>
    </row>
    <row r="44" spans="1:4" ht="15">
      <c r="A44" t="s">
        <v>40</v>
      </c>
      <c r="B44">
        <v>266</v>
      </c>
      <c r="C44">
        <v>266</v>
      </c>
      <c r="D44">
        <v>266</v>
      </c>
    </row>
    <row r="45" spans="1:4" ht="15">
      <c r="A45" t="s">
        <v>181</v>
      </c>
      <c r="B45">
        <v>200</v>
      </c>
      <c r="C45">
        <v>200</v>
      </c>
      <c r="D45">
        <v>200</v>
      </c>
    </row>
    <row r="46" spans="1:4" ht="15">
      <c r="A46" t="s">
        <v>182</v>
      </c>
      <c r="B46">
        <v>200</v>
      </c>
      <c r="C46">
        <v>200</v>
      </c>
      <c r="D46">
        <v>200</v>
      </c>
    </row>
    <row r="47" spans="1:4" ht="15">
      <c r="A47" t="s">
        <v>242</v>
      </c>
      <c r="B47">
        <f aca="true" t="shared" si="0" ref="B47:D52">DDR_FREQ/2</f>
        <v>266</v>
      </c>
      <c r="C47">
        <f t="shared" si="0"/>
        <v>266</v>
      </c>
      <c r="D47">
        <f t="shared" si="0"/>
        <v>266</v>
      </c>
    </row>
    <row r="48" spans="1:4" ht="15">
      <c r="A48" t="s">
        <v>243</v>
      </c>
      <c r="B48">
        <f t="shared" si="0"/>
        <v>266</v>
      </c>
      <c r="C48">
        <f t="shared" si="0"/>
        <v>266</v>
      </c>
      <c r="D48">
        <f t="shared" si="0"/>
        <v>266</v>
      </c>
    </row>
    <row r="49" spans="1:4" ht="15">
      <c r="A49" t="s">
        <v>245</v>
      </c>
      <c r="B49">
        <f t="shared" si="0"/>
        <v>266</v>
      </c>
      <c r="C49">
        <f t="shared" si="0"/>
        <v>266</v>
      </c>
      <c r="D49">
        <f t="shared" si="0"/>
        <v>266</v>
      </c>
    </row>
    <row r="50" spans="1:4" ht="15">
      <c r="A50" t="s">
        <v>203</v>
      </c>
      <c r="B50">
        <f t="shared" si="0"/>
        <v>266</v>
      </c>
      <c r="C50">
        <f t="shared" si="0"/>
        <v>266</v>
      </c>
      <c r="D50">
        <f t="shared" si="0"/>
        <v>266</v>
      </c>
    </row>
    <row r="51" spans="1:4" ht="15">
      <c r="A51" t="s">
        <v>204</v>
      </c>
      <c r="B51">
        <f t="shared" si="0"/>
        <v>266</v>
      </c>
      <c r="C51">
        <f t="shared" si="0"/>
        <v>266</v>
      </c>
      <c r="D51">
        <f t="shared" si="0"/>
        <v>266</v>
      </c>
    </row>
    <row r="52" spans="1:4" ht="15">
      <c r="A52" t="s">
        <v>23</v>
      </c>
      <c r="B52">
        <f t="shared" si="0"/>
        <v>266</v>
      </c>
      <c r="C52">
        <f t="shared" si="0"/>
        <v>266</v>
      </c>
      <c r="D52">
        <f t="shared" si="0"/>
        <v>266</v>
      </c>
    </row>
    <row r="53" spans="1:4" ht="15">
      <c r="A53" t="s">
        <v>266</v>
      </c>
      <c r="B53">
        <v>266</v>
      </c>
      <c r="C53">
        <v>266</v>
      </c>
      <c r="D53">
        <v>266</v>
      </c>
    </row>
    <row r="54" spans="1:4" ht="15">
      <c r="A54" t="s">
        <v>267</v>
      </c>
      <c r="B54">
        <v>266</v>
      </c>
      <c r="C54">
        <v>266</v>
      </c>
      <c r="D54">
        <v>266</v>
      </c>
    </row>
    <row r="56" ht="15">
      <c r="A56" t="s">
        <v>214</v>
      </c>
    </row>
    <row r="57" spans="2:4" ht="15">
      <c r="B57" t="s">
        <v>34</v>
      </c>
      <c r="C57" t="s">
        <v>35</v>
      </c>
      <c r="D57" t="s">
        <v>33</v>
      </c>
    </row>
    <row r="58" spans="1:4" ht="15">
      <c r="A58" t="s">
        <v>213</v>
      </c>
      <c r="B58">
        <v>0.032</v>
      </c>
      <c r="C58">
        <v>0.032</v>
      </c>
      <c r="D58">
        <v>0.032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K72"/>
  <sheetViews>
    <sheetView workbookViewId="0" topLeftCell="A1">
      <selection activeCell="J10" sqref="J10"/>
    </sheetView>
  </sheetViews>
  <sheetFormatPr defaultColWidth="9.140625" defaultRowHeight="15"/>
  <cols>
    <col min="1" max="1" width="11.7109375" style="0" bestFit="1" customWidth="1"/>
    <col min="2" max="2" width="14.28125" style="0" bestFit="1" customWidth="1"/>
    <col min="3" max="3" width="18.57421875" style="0" bestFit="1" customWidth="1"/>
    <col min="4" max="4" width="15.8515625" style="0" bestFit="1" customWidth="1"/>
    <col min="7" max="7" width="14.28125" style="0" bestFit="1" customWidth="1"/>
    <col min="8" max="8" width="18.57421875" style="0" bestFit="1" customWidth="1"/>
    <col min="9" max="10" width="18.57421875" style="0" customWidth="1"/>
  </cols>
  <sheetData>
    <row r="1" spans="1:11" ht="15">
      <c r="A1" t="s">
        <v>0</v>
      </c>
      <c r="B1" t="s">
        <v>293</v>
      </c>
      <c r="C1" t="s">
        <v>320</v>
      </c>
      <c r="G1" t="s">
        <v>293</v>
      </c>
      <c r="H1" t="s">
        <v>319</v>
      </c>
      <c r="I1" t="s">
        <v>331</v>
      </c>
      <c r="J1" t="s">
        <v>332</v>
      </c>
      <c r="K1" t="s">
        <v>333</v>
      </c>
    </row>
    <row r="2" spans="1:11" ht="15">
      <c r="A2" t="s">
        <v>228</v>
      </c>
      <c r="B2" t="s">
        <v>294</v>
      </c>
      <c r="C2">
        <f ca="1">IF(OFFSET(INDIRECT(ADDRESS(1,4,1,1,Info!$B$1&amp;" Power")),MATCH($A2,OFFSET(INDIRECT(ADDRESS(1,4,1,1,Info!$B$1&amp;" Power")),3,0,100,1),0)+2,4,1,1)="Disabled",0,1)</f>
        <v>1</v>
      </c>
      <c r="G2" t="s">
        <v>294</v>
      </c>
      <c r="H2" t="s">
        <v>146</v>
      </c>
      <c r="I2">
        <v>0.1</v>
      </c>
      <c r="J2">
        <v>3.35</v>
      </c>
      <c r="K2">
        <f ca="1">IF(SUM(rngFindAll($G2,$B$1:$B$207,$C$1:$C$207))&gt;0,J2,I2)</f>
        <v>3.35</v>
      </c>
    </row>
    <row r="3" spans="1:11" ht="15">
      <c r="A3" t="s">
        <v>229</v>
      </c>
      <c r="B3" t="s">
        <v>294</v>
      </c>
      <c r="C3">
        <f ca="1">IF(OFFSET(INDIRECT(ADDRESS(1,4,1,1,Info!$B$1&amp;" Power")),MATCH($A3,OFFSET(INDIRECT(ADDRESS(1,4,1,1,Info!$B$1&amp;" Power")),3,0,100,1),0)+2,4,1,1)="Disabled",0,1)</f>
        <v>1</v>
      </c>
      <c r="G3" t="s">
        <v>295</v>
      </c>
      <c r="H3" t="s">
        <v>137</v>
      </c>
      <c r="I3">
        <v>0.1</v>
      </c>
      <c r="J3">
        <v>3.35</v>
      </c>
      <c r="K3">
        <f aca="true" t="shared" si="0" ref="K3:K24">IF(SUM(rngFindAll($G3,$B$1:$B$207,$C$1:$C$207))&gt;0,J3,I3)</f>
        <v>3.35</v>
      </c>
    </row>
    <row r="4" spans="1:11" ht="15">
      <c r="A4" t="s">
        <v>230</v>
      </c>
      <c r="B4" t="s">
        <v>294</v>
      </c>
      <c r="C4">
        <f ca="1">IF(OFFSET(INDIRECT(ADDRESS(1,4,1,1,Info!$B$1&amp;" Power")),MATCH($A4,OFFSET(INDIRECT(ADDRESS(1,4,1,1,Info!$B$1&amp;" Power")),3,0,100,1),0)+2,4,1,1)="Disabled",0,1)</f>
        <v>1</v>
      </c>
      <c r="G4" t="s">
        <v>296</v>
      </c>
      <c r="H4" t="s">
        <v>137</v>
      </c>
      <c r="I4">
        <v>0.1</v>
      </c>
      <c r="J4">
        <v>3.35</v>
      </c>
      <c r="K4">
        <f ca="1" t="shared" si="0"/>
        <v>0.1</v>
      </c>
    </row>
    <row r="5" spans="1:11" ht="15">
      <c r="A5" t="s">
        <v>169</v>
      </c>
      <c r="B5" t="s">
        <v>295</v>
      </c>
      <c r="C5">
        <f ca="1">IF(OFFSET(INDIRECT(ADDRESS(1,4,1,1,Info!$B$1&amp;" Power")),MATCH($A5,OFFSET(INDIRECT(ADDRESS(1,4,1,1,Info!$B$1&amp;" Power")),3,0,100,1),0)+2,4,1,1)="Disabled",0,1)</f>
        <v>1</v>
      </c>
      <c r="G5" t="s">
        <v>297</v>
      </c>
      <c r="H5" t="s">
        <v>141</v>
      </c>
      <c r="I5">
        <v>0.1</v>
      </c>
      <c r="J5">
        <v>3.35</v>
      </c>
      <c r="K5">
        <f ca="1" t="shared" si="0"/>
        <v>3.35</v>
      </c>
    </row>
    <row r="6" spans="1:11" ht="15">
      <c r="A6" t="s">
        <v>170</v>
      </c>
      <c r="B6" t="s">
        <v>295</v>
      </c>
      <c r="C6">
        <f ca="1">IF(OFFSET(INDIRECT(ADDRESS(1,4,1,1,Info!$B$1&amp;" Power")),MATCH($A6,OFFSET(INDIRECT(ADDRESS(1,4,1,1,Info!$B$1&amp;" Power")),3,0,100,1),0)+2,4,1,1)="Disabled",0,1)</f>
        <v>1</v>
      </c>
      <c r="G6" t="s">
        <v>298</v>
      </c>
      <c r="H6" t="s">
        <v>139</v>
      </c>
      <c r="I6">
        <v>0.1</v>
      </c>
      <c r="J6">
        <v>3.35</v>
      </c>
      <c r="K6">
        <f ca="1" t="shared" si="0"/>
        <v>0.1</v>
      </c>
    </row>
    <row r="7" spans="1:11" ht="15">
      <c r="A7" t="s">
        <v>171</v>
      </c>
      <c r="B7" t="s">
        <v>296</v>
      </c>
      <c r="C7">
        <f ca="1">IF(OFFSET(INDIRECT(ADDRESS(1,4,1,1,Info!$B$1&amp;" Power")),MATCH($A7,OFFSET(INDIRECT(ADDRESS(1,4,1,1,Info!$B$1&amp;" Power")),3,0,100,1),0)+2,4,1,1)="Disabled",0,1)</f>
        <v>0</v>
      </c>
      <c r="G7" t="s">
        <v>299</v>
      </c>
      <c r="H7" t="s">
        <v>134</v>
      </c>
      <c r="I7">
        <v>0.1</v>
      </c>
      <c r="J7">
        <v>3.35</v>
      </c>
      <c r="K7">
        <f ca="1" t="shared" si="0"/>
        <v>3.35</v>
      </c>
    </row>
    <row r="8" spans="1:11" ht="15">
      <c r="A8" t="s">
        <v>172</v>
      </c>
      <c r="B8" t="s">
        <v>296</v>
      </c>
      <c r="C8">
        <f ca="1">IF(OFFSET(INDIRECT(ADDRESS(1,4,1,1,Info!$B$1&amp;" Power")),MATCH($A8,OFFSET(INDIRECT(ADDRESS(1,4,1,1,Info!$B$1&amp;" Power")),3,0,100,1),0)+2,4,1,1)="Disabled",0,1)</f>
        <v>0</v>
      </c>
      <c r="G8" t="s">
        <v>300</v>
      </c>
      <c r="H8" t="s">
        <v>138</v>
      </c>
      <c r="I8">
        <v>0.1</v>
      </c>
      <c r="J8">
        <v>4.5</v>
      </c>
      <c r="K8">
        <f ca="1" t="shared" si="0"/>
        <v>4.5</v>
      </c>
    </row>
    <row r="9" spans="1:11" ht="15">
      <c r="A9" t="s">
        <v>173</v>
      </c>
      <c r="B9" t="s">
        <v>296</v>
      </c>
      <c r="C9">
        <f ca="1">IF(OFFSET(INDIRECT(ADDRESS(1,4,1,1,Info!$B$1&amp;" Power")),MATCH($A9,OFFSET(INDIRECT(ADDRESS(1,4,1,1,Info!$B$1&amp;" Power")),3,0,100,1),0)+2,4,1,1)="Disabled",0,1)</f>
        <v>0</v>
      </c>
      <c r="G9" t="s">
        <v>312</v>
      </c>
      <c r="H9" t="s">
        <v>145</v>
      </c>
      <c r="I9">
        <f>0.03*2</f>
        <v>0.06</v>
      </c>
      <c r="J9">
        <f>5.7*2</f>
        <v>11.4</v>
      </c>
      <c r="K9">
        <f ca="1" t="shared" si="0"/>
        <v>0.06</v>
      </c>
    </row>
    <row r="10" spans="1:11" ht="15">
      <c r="A10" t="s">
        <v>174</v>
      </c>
      <c r="B10" t="s">
        <v>296</v>
      </c>
      <c r="C10">
        <f ca="1">IF(OFFSET(INDIRECT(ADDRESS(1,4,1,1,Info!$B$1&amp;" Power")),MATCH($A10,OFFSET(INDIRECT(ADDRESS(1,4,1,1,Info!$B$1&amp;" Power")),3,0,100,1),0)+2,4,1,1)="Disabled",0,1)</f>
        <v>0</v>
      </c>
      <c r="G10" t="s">
        <v>301</v>
      </c>
      <c r="H10" t="s">
        <v>140</v>
      </c>
      <c r="I10">
        <v>0.03</v>
      </c>
      <c r="J10">
        <f>5.7+13</f>
        <v>18.7</v>
      </c>
      <c r="K10">
        <f ca="1" t="shared" si="0"/>
        <v>0.03</v>
      </c>
    </row>
    <row r="11" spans="1:11" ht="15">
      <c r="A11" t="s">
        <v>9</v>
      </c>
      <c r="B11" t="s">
        <v>297</v>
      </c>
      <c r="C11">
        <f ca="1">IF(OFFSET(INDIRECT(ADDRESS(1,4,1,1,Info!$B$1&amp;" Power")),MATCH($A11,OFFSET(INDIRECT(ADDRESS(1,4,1,1,Info!$B$1&amp;" Power")),3,0,100,1),0)+2,4,1,1)="Disabled",0,1)</f>
        <v>1</v>
      </c>
      <c r="G11" t="s">
        <v>302</v>
      </c>
      <c r="H11" t="s">
        <v>308</v>
      </c>
      <c r="I11">
        <v>0.04</v>
      </c>
      <c r="J11">
        <v>10.7</v>
      </c>
      <c r="K11">
        <f ca="1" t="shared" si="0"/>
        <v>0.04</v>
      </c>
    </row>
    <row r="12" spans="1:11" ht="15">
      <c r="A12" s="1" t="s">
        <v>287</v>
      </c>
      <c r="B12" t="s">
        <v>298</v>
      </c>
      <c r="C12">
        <f ca="1">IF(OFFSET(INDIRECT(ADDRESS(1,4,1,1,Info!$B$1&amp;" Power")),MATCH($A12,OFFSET(INDIRECT(ADDRESS(1,4,1,1,Info!$B$1&amp;" Power")),3,0,100,1),0)+2,4,1,1)="Disabled",0,1)</f>
        <v>0</v>
      </c>
      <c r="G12" t="s">
        <v>313</v>
      </c>
      <c r="H12" t="s">
        <v>143</v>
      </c>
      <c r="I12">
        <v>1</v>
      </c>
      <c r="J12">
        <f>25+60*IF(PCI1_FREQ=5000,1,0.67)</f>
        <v>85</v>
      </c>
      <c r="K12">
        <f ca="1" t="shared" si="0"/>
        <v>1</v>
      </c>
    </row>
    <row r="13" spans="1:11" ht="15">
      <c r="A13" s="10" t="s">
        <v>288</v>
      </c>
      <c r="B13" t="s">
        <v>298</v>
      </c>
      <c r="C13">
        <f ca="1">IF(OFFSET(INDIRECT(ADDRESS(1,4,1,1,Info!$B$1&amp;" Power")),MATCH($A13,OFFSET(INDIRECT(ADDRESS(1,4,1,1,Info!$B$1&amp;" Power")),3,0,100,1),0)+2,4,1,1)="Disabled",0,1)</f>
        <v>0</v>
      </c>
      <c r="G13" t="s">
        <v>314</v>
      </c>
      <c r="H13" t="s">
        <v>150</v>
      </c>
      <c r="I13">
        <v>1</v>
      </c>
      <c r="J13">
        <f>25+60*IF(PCI2_FREQ=5000,1,0.67)</f>
        <v>85</v>
      </c>
      <c r="K13">
        <f ca="1" t="shared" si="0"/>
        <v>1</v>
      </c>
    </row>
    <row r="14" spans="1:11" ht="15">
      <c r="A14" s="10" t="s">
        <v>289</v>
      </c>
      <c r="B14" t="s">
        <v>298</v>
      </c>
      <c r="C14">
        <f ca="1">IF(OFFSET(INDIRECT(ADDRESS(1,4,1,1,Info!$B$1&amp;" Power")),MATCH($A14,OFFSET(INDIRECT(ADDRESS(1,4,1,1,Info!$B$1&amp;" Power")),3,0,100,1),0)+2,4,1,1)="Disabled",0,1)</f>
        <v>0</v>
      </c>
      <c r="G14" t="s">
        <v>303</v>
      </c>
      <c r="H14" t="s">
        <v>151</v>
      </c>
      <c r="I14">
        <v>1</v>
      </c>
      <c r="J14">
        <f>20+36*IF(SATA_FREQ=3000,1,0.67)</f>
        <v>56</v>
      </c>
      <c r="K14">
        <f ca="1" t="shared" si="0"/>
        <v>56</v>
      </c>
    </row>
    <row r="15" spans="1:11" ht="15">
      <c r="A15" s="5" t="s">
        <v>175</v>
      </c>
      <c r="B15" t="s">
        <v>299</v>
      </c>
      <c r="C15">
        <f ca="1">IF(OFFSET(INDIRECT(ADDRESS(1,4,1,1,Info!$B$1&amp;" Power")),MATCH($A15,OFFSET(INDIRECT(ADDRESS(1,4,1,1,Info!$B$1&amp;" Power")),3,0,100,1),0)+2,4,1,1)="Disabled",0,1)</f>
        <v>1</v>
      </c>
      <c r="G15" t="s">
        <v>304</v>
      </c>
      <c r="H15" t="s">
        <v>138</v>
      </c>
      <c r="I15">
        <v>0.1</v>
      </c>
      <c r="J15">
        <v>3.35</v>
      </c>
      <c r="K15">
        <f ca="1" t="shared" si="0"/>
        <v>3.35</v>
      </c>
    </row>
    <row r="16" spans="1:11" ht="15">
      <c r="A16" s="5" t="s">
        <v>176</v>
      </c>
      <c r="B16" t="s">
        <v>299</v>
      </c>
      <c r="C16">
        <f ca="1">IF(OFFSET(INDIRECT(ADDRESS(1,4,1,1,Info!$B$1&amp;" Power")),MATCH($A16,OFFSET(INDIRECT(ADDRESS(1,4,1,1,Info!$B$1&amp;" Power")),3,0,100,1),0)+2,4,1,1)="Disabled",0,1)</f>
        <v>1</v>
      </c>
      <c r="G16" t="s">
        <v>315</v>
      </c>
      <c r="H16" t="s">
        <v>133</v>
      </c>
      <c r="I16">
        <v>1</v>
      </c>
      <c r="J16">
        <f>IF('Vayu Power'!N52&gt;480,22+52*IF(USB1_FREQ=5000,1,0.67),21)</f>
        <v>21</v>
      </c>
      <c r="K16">
        <f ca="1" t="shared" si="0"/>
        <v>21</v>
      </c>
    </row>
    <row r="17" spans="1:11" ht="15">
      <c r="A17" s="5" t="s">
        <v>205</v>
      </c>
      <c r="B17" t="s">
        <v>300</v>
      </c>
      <c r="C17">
        <f ca="1">IF(OFFSET(INDIRECT(ADDRESS(1,4,1,1,Info!$B$1&amp;" Power")),MATCH($A17,OFFSET(INDIRECT(ADDRESS(1,4,1,1,Info!$B$1&amp;" Power")),3,0,100,1),0)+2,4,1,1)="Disabled",0,1)</f>
        <v>1</v>
      </c>
      <c r="G17" t="s">
        <v>316</v>
      </c>
      <c r="H17" t="s">
        <v>153</v>
      </c>
      <c r="I17">
        <v>0.1</v>
      </c>
      <c r="J17">
        <v>10</v>
      </c>
      <c r="K17">
        <f ca="1" t="shared" si="0"/>
        <v>10</v>
      </c>
    </row>
    <row r="18" spans="1:11" ht="15">
      <c r="A18" s="5" t="s">
        <v>206</v>
      </c>
      <c r="B18" t="s">
        <v>300</v>
      </c>
      <c r="C18">
        <f ca="1">IF(OFFSET(INDIRECT(ADDRESS(1,4,1,1,Info!$B$1&amp;" Power")),MATCH($A18,OFFSET(INDIRECT(ADDRESS(1,4,1,1,Info!$B$1&amp;" Power")),3,0,100,1),0)+2,4,1,1)="Disabled",0,1)</f>
        <v>0</v>
      </c>
      <c r="G18" t="s">
        <v>318</v>
      </c>
      <c r="H18" t="s">
        <v>152</v>
      </c>
      <c r="I18">
        <v>0.05</v>
      </c>
      <c r="J18">
        <v>21</v>
      </c>
      <c r="K18">
        <f ca="1" t="shared" si="0"/>
        <v>21</v>
      </c>
    </row>
    <row r="19" spans="1:11" ht="15">
      <c r="A19" s="5" t="s">
        <v>207</v>
      </c>
      <c r="B19" t="s">
        <v>300</v>
      </c>
      <c r="C19">
        <f ca="1">IF(OFFSET(INDIRECT(ADDRESS(1,4,1,1,Info!$B$1&amp;" Power")),MATCH($A19,OFFSET(INDIRECT(ADDRESS(1,4,1,1,Info!$B$1&amp;" Power")),3,0,100,1),0)+2,4,1,1)="Disabled",0,1)</f>
        <v>0</v>
      </c>
      <c r="G19" t="s">
        <v>317</v>
      </c>
      <c r="H19" t="s">
        <v>154</v>
      </c>
      <c r="I19">
        <v>0.1</v>
      </c>
      <c r="J19">
        <v>10</v>
      </c>
      <c r="K19">
        <f ca="1" t="shared" si="0"/>
        <v>10</v>
      </c>
    </row>
    <row r="20" spans="1:11" ht="15">
      <c r="A20" s="10" t="s">
        <v>208</v>
      </c>
      <c r="B20" t="s">
        <v>300</v>
      </c>
      <c r="C20">
        <f ca="1">IF(OFFSET(INDIRECT(ADDRESS(1,4,1,1,Info!$B$1&amp;" Power")),MATCH($A20,OFFSET(INDIRECT(ADDRESS(1,4,1,1,Info!$B$1&amp;" Power")),3,0,100,1),0)+2,4,1,1)="Disabled",0,1)</f>
        <v>0</v>
      </c>
      <c r="G20" t="s">
        <v>305</v>
      </c>
      <c r="H20" t="s">
        <v>134</v>
      </c>
      <c r="I20">
        <v>0.1</v>
      </c>
      <c r="J20">
        <v>4</v>
      </c>
      <c r="K20">
        <f ca="1" t="shared" si="0"/>
        <v>4</v>
      </c>
    </row>
    <row r="21" spans="1:11" ht="15">
      <c r="A21" s="10" t="s">
        <v>209</v>
      </c>
      <c r="B21" t="s">
        <v>300</v>
      </c>
      <c r="C21">
        <f ca="1">IF(OFFSET(INDIRECT(ADDRESS(1,4,1,1,Info!$B$1&amp;" Power")),MATCH($A21,OFFSET(INDIRECT(ADDRESS(1,4,1,1,Info!$B$1&amp;" Power")),3,0,100,1),0)+2,4,1,1)="Disabled",0,1)</f>
        <v>0</v>
      </c>
      <c r="G21" t="s">
        <v>307</v>
      </c>
      <c r="H21" t="s">
        <v>148</v>
      </c>
      <c r="I21">
        <v>0.02</v>
      </c>
      <c r="J21">
        <v>2</v>
      </c>
      <c r="K21">
        <f ca="1" t="shared" si="0"/>
        <v>2</v>
      </c>
    </row>
    <row r="22" spans="1:11" ht="15">
      <c r="A22" s="10" t="s">
        <v>210</v>
      </c>
      <c r="B22" t="s">
        <v>300</v>
      </c>
      <c r="C22">
        <f ca="1">IF(OFFSET(INDIRECT(ADDRESS(1,4,1,1,Info!$B$1&amp;" Power")),MATCH($A22,OFFSET(INDIRECT(ADDRESS(1,4,1,1,Info!$B$1&amp;" Power")),3,0,100,1),0)+2,4,1,1)="Disabled",0,1)</f>
        <v>0</v>
      </c>
      <c r="G22" t="s">
        <v>309</v>
      </c>
      <c r="H22" t="s">
        <v>147</v>
      </c>
      <c r="I22">
        <v>0.001</v>
      </c>
      <c r="J22">
        <v>0.01</v>
      </c>
      <c r="K22">
        <f ca="1" t="shared" si="0"/>
        <v>0.01</v>
      </c>
    </row>
    <row r="23" spans="1:11" ht="15">
      <c r="A23" s="5" t="s">
        <v>10</v>
      </c>
      <c r="B23" t="s">
        <v>300</v>
      </c>
      <c r="C23">
        <f ca="1">IF(OFFSET(INDIRECT(ADDRESS(1,4,1,1,Info!$B$1&amp;" Power")),MATCH($A23,OFFSET(INDIRECT(ADDRESS(1,4,1,1,Info!$B$1&amp;" Power")),3,0,100,1),0)+2,4,1,1)="Disabled",0,1)</f>
        <v>1</v>
      </c>
      <c r="G23" t="s">
        <v>311</v>
      </c>
      <c r="H23" t="s">
        <v>136</v>
      </c>
      <c r="I23">
        <v>0.1</v>
      </c>
      <c r="J23">
        <v>4</v>
      </c>
      <c r="K23">
        <f t="shared" si="0"/>
        <v>0.1</v>
      </c>
    </row>
    <row r="24" spans="1:11" ht="15">
      <c r="A24" s="5" t="s">
        <v>15</v>
      </c>
      <c r="B24" t="s">
        <v>300</v>
      </c>
      <c r="C24">
        <f ca="1">IF(OFFSET(INDIRECT(ADDRESS(1,4,1,1,Info!$B$1&amp;" Power")),MATCH($A24,OFFSET(INDIRECT(ADDRESS(1,4,1,1,Info!$B$1&amp;" Power")),3,0,100,1),0)+2,4,1,1)="Disabled",0,1)</f>
        <v>1</v>
      </c>
      <c r="G24" t="s">
        <v>306</v>
      </c>
      <c r="H24" t="s">
        <v>135</v>
      </c>
      <c r="I24">
        <v>0.1</v>
      </c>
      <c r="J24">
        <v>4</v>
      </c>
      <c r="K24">
        <f ca="1" t="shared" si="0"/>
        <v>4</v>
      </c>
    </row>
    <row r="25" spans="1:3" ht="15">
      <c r="A25" s="5" t="s">
        <v>203</v>
      </c>
      <c r="B25" t="s">
        <v>300</v>
      </c>
      <c r="C25">
        <f ca="1">IF(OFFSET(INDIRECT(ADDRESS(1,4,1,1,Info!$B$1&amp;" Power")),MATCH($A25,OFFSET(INDIRECT(ADDRESS(1,4,1,1,Info!$B$1&amp;" Power")),3,0,100,1),0)+2,4,1,1)="Disabled",0,1)</f>
        <v>0</v>
      </c>
    </row>
    <row r="26" spans="1:3" ht="15">
      <c r="A26" s="10" t="s">
        <v>204</v>
      </c>
      <c r="B26" t="s">
        <v>300</v>
      </c>
      <c r="C26">
        <f ca="1">IF(OFFSET(INDIRECT(ADDRESS(1,4,1,1,Info!$B$1&amp;" Power")),MATCH($A26,OFFSET(INDIRECT(ADDRESS(1,4,1,1,Info!$B$1&amp;" Power")),3,0,100,1),0)+2,4,1,1)="Disabled",0,1)</f>
        <v>0</v>
      </c>
    </row>
    <row r="27" spans="1:3" ht="15">
      <c r="A27" s="5" t="s">
        <v>199</v>
      </c>
      <c r="B27" t="s">
        <v>312</v>
      </c>
      <c r="C27">
        <f ca="1">IF(OFFSET(INDIRECT(ADDRESS(1,4,1,1,Info!$B$1&amp;" Power")),MATCH($A27,OFFSET(INDIRECT(ADDRESS(1,4,1,1,Info!$B$1&amp;" Power")),3,0,100,1),0)+2,4,1,1)="Disabled",0,1)</f>
        <v>0</v>
      </c>
    </row>
    <row r="28" spans="1:3" ht="15">
      <c r="A28" s="5" t="s">
        <v>200</v>
      </c>
      <c r="B28" t="s">
        <v>312</v>
      </c>
      <c r="C28">
        <f ca="1">IF(OFFSET(INDIRECT(ADDRESS(1,4,1,1,Info!$B$1&amp;" Power")),MATCH($A28,OFFSET(INDIRECT(ADDRESS(1,4,1,1,Info!$B$1&amp;" Power")),3,0,100,1),0)+2,4,1,1)="Disabled",0,1)</f>
        <v>0</v>
      </c>
    </row>
    <row r="29" spans="1:3" ht="15">
      <c r="A29" s="5" t="s">
        <v>201</v>
      </c>
      <c r="B29" t="s">
        <v>312</v>
      </c>
      <c r="C29">
        <f ca="1">IF(OFFSET(INDIRECT(ADDRESS(1,4,1,1,Info!$B$1&amp;" Power")),MATCH($A29,OFFSET(INDIRECT(ADDRESS(1,4,1,1,Info!$B$1&amp;" Power")),3,0,100,1),0)+2,4,1,1)="Disabled",0,1)</f>
        <v>0</v>
      </c>
    </row>
    <row r="30" spans="1:3" ht="15">
      <c r="A30" s="5" t="s">
        <v>202</v>
      </c>
      <c r="B30" t="s">
        <v>301</v>
      </c>
      <c r="C30">
        <f ca="1">IF(OFFSET(INDIRECT(ADDRESS(1,4,1,1,Info!$B$1&amp;" Power")),MATCH($A30,OFFSET(INDIRECT(ADDRESS(1,4,1,1,Info!$B$1&amp;" Power")),3,0,100,1),0)+2,4,1,1)="Disabled",0,1)</f>
        <v>0</v>
      </c>
    </row>
    <row r="31" spans="1:3" ht="15">
      <c r="A31" s="5" t="s">
        <v>23</v>
      </c>
      <c r="B31" t="s">
        <v>300</v>
      </c>
      <c r="C31">
        <f ca="1">IF(OFFSET(INDIRECT(ADDRESS(1,4,1,1,Info!$B$1&amp;" Power")),MATCH($A31,OFFSET(INDIRECT(ADDRESS(1,4,1,1,Info!$B$1&amp;" Power")),3,0,100,1),0)+2,4,1,1)="Disabled",0,1)</f>
        <v>0</v>
      </c>
    </row>
    <row r="32" spans="1:3" ht="15">
      <c r="A32" s="5" t="s">
        <v>197</v>
      </c>
      <c r="B32" t="s">
        <v>302</v>
      </c>
      <c r="C32">
        <f ca="1">IF(OFFSET(INDIRECT(ADDRESS(1,4,1,1,Info!$B$1&amp;" Power")),MATCH($A32,OFFSET(INDIRECT(ADDRESS(1,4,1,1,Info!$B$1&amp;" Power")),3,0,100,1),0)+2,4,1,1)="Disabled",0,1)</f>
        <v>0</v>
      </c>
    </row>
    <row r="33" spans="1:3" ht="15">
      <c r="A33" s="5" t="s">
        <v>197</v>
      </c>
      <c r="B33" t="s">
        <v>313</v>
      </c>
      <c r="C33">
        <f ca="1">IF(OFFSET(INDIRECT(ADDRESS(1,4,1,1,Info!$B$1&amp;" Power")),MATCH($A33,OFFSET(INDIRECT(ADDRESS(1,4,1,1,Info!$B$1&amp;" Power")),3,0,100,1),0)+2,4,1,1)="Disabled",0,1)</f>
        <v>0</v>
      </c>
    </row>
    <row r="34" spans="1:3" ht="15">
      <c r="A34" s="5" t="s">
        <v>198</v>
      </c>
      <c r="B34" t="s">
        <v>302</v>
      </c>
      <c r="C34">
        <f ca="1">IF(OFFSET(INDIRECT(ADDRESS(1,4,1,1,Info!$B$1&amp;" Power")),MATCH($A34,OFFSET(INDIRECT(ADDRESS(1,4,1,1,Info!$B$1&amp;" Power")),3,0,100,1),0)+2,4,1,1)="Disabled",0,1)</f>
        <v>0</v>
      </c>
    </row>
    <row r="35" spans="1:3" ht="15">
      <c r="A35" s="5" t="s">
        <v>198</v>
      </c>
      <c r="B35" t="s">
        <v>314</v>
      </c>
      <c r="C35">
        <f ca="1">IF(OFFSET(INDIRECT(ADDRESS(1,4,1,1,Info!$B$1&amp;" Power")),MATCH($A35,OFFSET(INDIRECT(ADDRESS(1,4,1,1,Info!$B$1&amp;" Power")),3,0,100,1),0)+2,4,1,1)="Disabled",0,1)</f>
        <v>0</v>
      </c>
    </row>
    <row r="36" spans="1:3" ht="15">
      <c r="A36" s="5" t="s">
        <v>17</v>
      </c>
      <c r="B36" t="s">
        <v>303</v>
      </c>
      <c r="C36">
        <f ca="1">IF(OFFSET(INDIRECT(ADDRESS(1,4,1,1,Info!$B$1&amp;" Power")),MATCH($A36,OFFSET(INDIRECT(ADDRESS(1,4,1,1,Info!$B$1&amp;" Power")),3,0,100,1),0)+2,4,1,1)="Disabled",0,1)</f>
        <v>1</v>
      </c>
    </row>
    <row r="37" spans="1:3" ht="15">
      <c r="A37" s="5" t="s">
        <v>181</v>
      </c>
      <c r="B37" t="s">
        <v>304</v>
      </c>
      <c r="C37">
        <f ca="1">IF(OFFSET(INDIRECT(ADDRESS(1,4,1,1,Info!$B$1&amp;" Power")),MATCH($A37,OFFSET(INDIRECT(ADDRESS(1,4,1,1,Info!$B$1&amp;" Power")),3,0,100,1),0)+2,4,1,1)="Disabled",0,1)</f>
        <v>0</v>
      </c>
    </row>
    <row r="38" spans="1:3" ht="15">
      <c r="A38" s="5" t="s">
        <v>182</v>
      </c>
      <c r="B38" t="s">
        <v>304</v>
      </c>
      <c r="C38">
        <f ca="1">IF(OFFSET(INDIRECT(ADDRESS(1,4,1,1,Info!$B$1&amp;" Power")),MATCH($A38,OFFSET(INDIRECT(ADDRESS(1,4,1,1,Info!$B$1&amp;" Power")),3,0,100,1),0)+2,4,1,1)="Disabled",0,1)</f>
        <v>0</v>
      </c>
    </row>
    <row r="39" spans="1:3" ht="15">
      <c r="A39" s="5" t="s">
        <v>183</v>
      </c>
      <c r="B39" t="s">
        <v>304</v>
      </c>
      <c r="C39">
        <f ca="1">IF(OFFSET(INDIRECT(ADDRESS(1,4,1,1,Info!$B$1&amp;" Power")),MATCH($A39,OFFSET(INDIRECT(ADDRESS(1,4,1,1,Info!$B$1&amp;" Power")),3,0,100,1),0)+2,4,1,1)="Disabled",0,1)</f>
        <v>1</v>
      </c>
    </row>
    <row r="40" spans="1:3" ht="15">
      <c r="A40" s="10" t="s">
        <v>184</v>
      </c>
      <c r="B40" t="s">
        <v>304</v>
      </c>
      <c r="C40">
        <f ca="1">IF(OFFSET(INDIRECT(ADDRESS(1,4,1,1,Info!$B$1&amp;" Power")),MATCH($A40,OFFSET(INDIRECT(ADDRESS(1,4,1,1,Info!$B$1&amp;" Power")),3,0,100,1),0)+2,4,1,1)="Disabled",0,1)</f>
        <v>1</v>
      </c>
    </row>
    <row r="41" spans="1:3" ht="15">
      <c r="A41" s="5" t="s">
        <v>179</v>
      </c>
      <c r="B41" t="s">
        <v>315</v>
      </c>
      <c r="C41">
        <f ca="1">IF(OFFSET(INDIRECT(ADDRESS(1,4,1,1,Info!$B$1&amp;" Power")),MATCH($A41,OFFSET(INDIRECT(ADDRESS(1,4,1,1,Info!$B$1&amp;" Power")),3,0,100,1),0)+2,4,1,1)="Disabled",0,1)</f>
        <v>1</v>
      </c>
    </row>
    <row r="42" spans="1:3" ht="15">
      <c r="A42" s="5" t="s">
        <v>179</v>
      </c>
      <c r="B42" t="s">
        <v>316</v>
      </c>
      <c r="C42">
        <f ca="1">IF(OFFSET(INDIRECT(ADDRESS(1,4,1,1,Info!$B$1&amp;" Power")),MATCH($A42,OFFSET(INDIRECT(ADDRESS(1,4,1,1,Info!$B$1&amp;" Power")),3,0,100,1),0)+2,4,1,1)="Disabled",0,1)</f>
        <v>1</v>
      </c>
    </row>
    <row r="43" spans="1:3" ht="15">
      <c r="A43" s="5" t="s">
        <v>41</v>
      </c>
      <c r="B43" t="s">
        <v>318</v>
      </c>
      <c r="C43">
        <f ca="1">IF(OFFSET(INDIRECT(ADDRESS(1,4,1,1,Info!$B$1&amp;" Power")),MATCH($A43,OFFSET(INDIRECT(ADDRESS(1,4,1,1,Info!$B$1&amp;" Power")),3,0,100,1),0)+2,4,1,1)="Disabled",0,1)</f>
        <v>1</v>
      </c>
    </row>
    <row r="44" spans="1:3" ht="15">
      <c r="A44" s="5" t="s">
        <v>41</v>
      </c>
      <c r="B44" t="s">
        <v>317</v>
      </c>
      <c r="C44">
        <f ca="1">IF(OFFSET(INDIRECT(ADDRESS(1,4,1,1,Info!$B$1&amp;" Power")),MATCH($A44,OFFSET(INDIRECT(ADDRESS(1,4,1,1,Info!$B$1&amp;" Power")),3,0,100,1),0)+2,4,1,1)="Disabled",0,1)</f>
        <v>1</v>
      </c>
    </row>
    <row r="45" spans="1:3" ht="15">
      <c r="A45" s="5" t="s">
        <v>19</v>
      </c>
      <c r="B45" t="s">
        <v>300</v>
      </c>
      <c r="C45">
        <f ca="1">IF(OFFSET(INDIRECT(ADDRESS(1,4,1,1,Info!$B$1&amp;" Power")),MATCH($A45,OFFSET(INDIRECT(ADDRESS(1,4,1,1,Info!$B$1&amp;" Power")),3,0,100,1),0)+2,4,1,1)="Disabled",0,1)</f>
        <v>0</v>
      </c>
    </row>
    <row r="46" spans="1:3" ht="15">
      <c r="A46" s="5" t="s">
        <v>180</v>
      </c>
      <c r="B46" t="s">
        <v>300</v>
      </c>
      <c r="C46">
        <f ca="1">IF(OFFSET(INDIRECT(ADDRESS(1,4,1,1,Info!$B$1&amp;" Power")),MATCH($A46,OFFSET(INDIRECT(ADDRESS(1,4,1,1,Info!$B$1&amp;" Power")),3,0,100,1),0)+2,4,1,1)="Disabled",0,1)</f>
        <v>0</v>
      </c>
    </row>
    <row r="47" spans="1:3" ht="15">
      <c r="A47" s="5" t="s">
        <v>20</v>
      </c>
      <c r="B47" t="s">
        <v>305</v>
      </c>
      <c r="C47">
        <f ca="1">IF(OFFSET(INDIRECT(ADDRESS(1,4,1,1,Info!$B$1&amp;" Power")),MATCH($A47,OFFSET(INDIRECT(ADDRESS(1,4,1,1,Info!$B$1&amp;" Power")),3,0,100,1),0)+2,4,1,1)="Disabled",0,1)</f>
        <v>0</v>
      </c>
    </row>
    <row r="48" spans="1:3" ht="15">
      <c r="A48" s="5" t="s">
        <v>177</v>
      </c>
      <c r="B48" t="s">
        <v>305</v>
      </c>
      <c r="C48">
        <f ca="1">IF(OFFSET(INDIRECT(ADDRESS(1,4,1,1,Info!$B$1&amp;" Power")),MATCH($A48,OFFSET(INDIRECT(ADDRESS(1,4,1,1,Info!$B$1&amp;" Power")),3,0,100,1),0)+2,4,1,1)="Disabled",0,1)</f>
        <v>0</v>
      </c>
    </row>
    <row r="49" spans="1:3" ht="15">
      <c r="A49" s="5" t="s">
        <v>178</v>
      </c>
      <c r="B49" t="s">
        <v>305</v>
      </c>
      <c r="C49">
        <f ca="1">IF(OFFSET(INDIRECT(ADDRESS(1,4,1,1,Info!$B$1&amp;" Power")),MATCH($A49,OFFSET(INDIRECT(ADDRESS(1,4,1,1,Info!$B$1&amp;" Power")),3,0,100,1),0)+2,4,1,1)="Disabled",0,1)</f>
        <v>0</v>
      </c>
    </row>
    <row r="50" spans="1:3" ht="15">
      <c r="A50" s="5" t="s">
        <v>185</v>
      </c>
      <c r="B50" t="s">
        <v>305</v>
      </c>
      <c r="C50">
        <f ca="1">IF(OFFSET(INDIRECT(ADDRESS(1,4,1,1,Info!$B$1&amp;" Power")),MATCH($A50,OFFSET(INDIRECT(ADDRESS(1,4,1,1,Info!$B$1&amp;" Power")),3,0,100,1),0)+2,4,1,1)="Disabled",0,1)</f>
        <v>0</v>
      </c>
    </row>
    <row r="51" spans="1:3" ht="15">
      <c r="A51" s="5" t="s">
        <v>186</v>
      </c>
      <c r="B51" t="s">
        <v>305</v>
      </c>
      <c r="C51">
        <f ca="1">IF(OFFSET(INDIRECT(ADDRESS(1,4,1,1,Info!$B$1&amp;" Power")),MATCH($A51,OFFSET(INDIRECT(ADDRESS(1,4,1,1,Info!$B$1&amp;" Power")),3,0,100,1),0)+2,4,1,1)="Disabled",0,1)</f>
        <v>0</v>
      </c>
    </row>
    <row r="52" spans="1:3" ht="15">
      <c r="A52" s="5" t="s">
        <v>187</v>
      </c>
      <c r="B52" t="s">
        <v>305</v>
      </c>
      <c r="C52">
        <f ca="1">IF(OFFSET(INDIRECT(ADDRESS(1,4,1,1,Info!$B$1&amp;" Power")),MATCH($A52,OFFSET(INDIRECT(ADDRESS(1,4,1,1,Info!$B$1&amp;" Power")),3,0,100,1),0)+2,4,1,1)="Disabled",0,1)</f>
        <v>0</v>
      </c>
    </row>
    <row r="53" spans="1:3" ht="15">
      <c r="A53" s="5" t="s">
        <v>188</v>
      </c>
      <c r="B53" t="s">
        <v>305</v>
      </c>
      <c r="C53">
        <f ca="1">IF(OFFSET(INDIRECT(ADDRESS(1,4,1,1,Info!$B$1&amp;" Power")),MATCH($A53,OFFSET(INDIRECT(ADDRESS(1,4,1,1,Info!$B$1&amp;" Power")),3,0,100,1),0)+2,4,1,1)="Disabled",0,1)</f>
        <v>0</v>
      </c>
    </row>
    <row r="54" spans="1:3" ht="15">
      <c r="A54" s="5" t="s">
        <v>189</v>
      </c>
      <c r="B54" t="s">
        <v>305</v>
      </c>
      <c r="C54">
        <f ca="1">IF(OFFSET(INDIRECT(ADDRESS(1,4,1,1,Info!$B$1&amp;" Power")),MATCH($A54,OFFSET(INDIRECT(ADDRESS(1,4,1,1,Info!$B$1&amp;" Power")),3,0,100,1),0)+2,4,1,1)="Disabled",0,1)</f>
        <v>0</v>
      </c>
    </row>
    <row r="55" spans="1:3" ht="15">
      <c r="A55" s="5" t="s">
        <v>190</v>
      </c>
      <c r="B55" t="s">
        <v>305</v>
      </c>
      <c r="C55">
        <f ca="1">IF(OFFSET(INDIRECT(ADDRESS(1,4,1,1,Info!$B$1&amp;" Power")),MATCH($A55,OFFSET(INDIRECT(ADDRESS(1,4,1,1,Info!$B$1&amp;" Power")),3,0,100,1),0)+2,4,1,1)="Disabled",0,1)</f>
        <v>0</v>
      </c>
    </row>
    <row r="56" spans="1:3" ht="15">
      <c r="A56" s="5" t="s">
        <v>191</v>
      </c>
      <c r="B56" t="s">
        <v>305</v>
      </c>
      <c r="C56">
        <f ca="1">IF(OFFSET(INDIRECT(ADDRESS(1,4,1,1,Info!$B$1&amp;" Power")),MATCH($A56,OFFSET(INDIRECT(ADDRESS(1,4,1,1,Info!$B$1&amp;" Power")),3,0,100,1),0)+2,4,1,1)="Disabled",0,1)</f>
        <v>0</v>
      </c>
    </row>
    <row r="57" spans="1:3" ht="15">
      <c r="A57" s="5" t="s">
        <v>192</v>
      </c>
      <c r="B57" t="s">
        <v>305</v>
      </c>
      <c r="C57">
        <f ca="1">IF(OFFSET(INDIRECT(ADDRESS(1,4,1,1,Info!$B$1&amp;" Power")),MATCH($A57,OFFSET(INDIRECT(ADDRESS(1,4,1,1,Info!$B$1&amp;" Power")),3,0,100,1),0)+2,4,1,1)="Disabled",0,1)</f>
        <v>0</v>
      </c>
    </row>
    <row r="58" spans="1:3" ht="15">
      <c r="A58" s="5" t="s">
        <v>21</v>
      </c>
      <c r="B58" t="s">
        <v>305</v>
      </c>
      <c r="C58">
        <f ca="1">IF(OFFSET(INDIRECT(ADDRESS(1,4,1,1,Info!$B$1&amp;" Power")),MATCH($A58,OFFSET(INDIRECT(ADDRESS(1,4,1,1,Info!$B$1&amp;" Power")),3,0,100,1),0)+2,4,1,1)="Disabled",0,1)</f>
        <v>0</v>
      </c>
    </row>
    <row r="59" spans="1:3" ht="15">
      <c r="A59" s="5" t="s">
        <v>22</v>
      </c>
      <c r="B59" t="s">
        <v>300</v>
      </c>
      <c r="C59">
        <f ca="1">IF(OFFSET(INDIRECT(ADDRESS(1,4,1,1,Info!$B$1&amp;" Power")),MATCH($A59,OFFSET(INDIRECT(ADDRESS(1,4,1,1,Info!$B$1&amp;" Power")),3,0,100,1),0)+2,4,1,1)="Disabled",0,1)</f>
        <v>1</v>
      </c>
    </row>
    <row r="60" spans="1:3" ht="15">
      <c r="A60" s="5" t="s">
        <v>193</v>
      </c>
      <c r="B60" t="s">
        <v>305</v>
      </c>
      <c r="C60">
        <f ca="1">IF(OFFSET(INDIRECT(ADDRESS(1,4,1,1,Info!$B$1&amp;" Power")),MATCH($A60,OFFSET(INDIRECT(ADDRESS(1,4,1,1,Info!$B$1&amp;" Power")),3,0,100,1),0)+2,4,1,1)="Disabled",0,1)</f>
        <v>1</v>
      </c>
    </row>
    <row r="61" spans="1:3" ht="15">
      <c r="A61" s="5" t="s">
        <v>194</v>
      </c>
      <c r="B61" t="s">
        <v>305</v>
      </c>
      <c r="C61">
        <f ca="1">IF(OFFSET(INDIRECT(ADDRESS(1,4,1,1,Info!$B$1&amp;" Power")),MATCH($A61,OFFSET(INDIRECT(ADDRESS(1,4,1,1,Info!$B$1&amp;" Power")),3,0,100,1),0)+2,4,1,1)="Disabled",0,1)</f>
        <v>1</v>
      </c>
    </row>
    <row r="62" spans="1:3" ht="15">
      <c r="A62" s="5" t="s">
        <v>195</v>
      </c>
      <c r="B62" t="s">
        <v>305</v>
      </c>
      <c r="C62">
        <f ca="1">IF(OFFSET(INDIRECT(ADDRESS(1,4,1,1,Info!$B$1&amp;" Power")),MATCH($A62,OFFSET(INDIRECT(ADDRESS(1,4,1,1,Info!$B$1&amp;" Power")),3,0,100,1),0)+2,4,1,1)="Disabled",0,1)</f>
        <v>0</v>
      </c>
    </row>
    <row r="63" spans="1:3" ht="15">
      <c r="A63" s="5" t="s">
        <v>196</v>
      </c>
      <c r="B63" t="s">
        <v>305</v>
      </c>
      <c r="C63">
        <f ca="1">IF(OFFSET(INDIRECT(ADDRESS(1,4,1,1,Info!$B$1&amp;" Power")),MATCH($A63,OFFSET(INDIRECT(ADDRESS(1,4,1,1,Info!$B$1&amp;" Power")),3,0,100,1),0)+2,4,1,1)="Disabled",0,1)</f>
        <v>0</v>
      </c>
    </row>
    <row r="64" spans="1:3" ht="15">
      <c r="A64" s="5" t="s">
        <v>24</v>
      </c>
      <c r="B64" t="s">
        <v>305</v>
      </c>
      <c r="C64">
        <f ca="1">IF(OFFSET(INDIRECT(ADDRESS(1,4,1,1,Info!$B$1&amp;" Power")),MATCH($A64,OFFSET(INDIRECT(ADDRESS(1,4,1,1,Info!$B$1&amp;" Power")),3,0,100,1),0)+2,4,1,1)="Disabled",0,1)</f>
        <v>1</v>
      </c>
    </row>
    <row r="65" spans="1:3" ht="30">
      <c r="A65" s="6" t="s">
        <v>211</v>
      </c>
      <c r="B65" t="s">
        <v>305</v>
      </c>
      <c r="C65">
        <f ca="1">IF(OFFSET(INDIRECT(ADDRESS(1,4,1,1,Info!$B$1&amp;" Power")),MATCH($A65,OFFSET(INDIRECT(ADDRESS(1,4,1,1,Info!$B$1&amp;" Power")),3,0,100,1),0)+2,4,1,1)="Disabled",0,1)</f>
        <v>1</v>
      </c>
    </row>
    <row r="66" spans="1:3" ht="15">
      <c r="A66" s="6" t="s">
        <v>265</v>
      </c>
      <c r="B66" t="s">
        <v>300</v>
      </c>
      <c r="C66">
        <f ca="1">IF(OFFSET(INDIRECT(ADDRESS(1,4,1,1,Info!$B$1&amp;" Power")),MATCH($A66,OFFSET(INDIRECT(ADDRESS(1,4,1,1,Info!$B$1&amp;" Power")),3,0,100,1),0)+2,4,1,1)="Disabled",0,1)</f>
        <v>1</v>
      </c>
    </row>
    <row r="67" spans="1:3" ht="15">
      <c r="A67" s="6" t="s">
        <v>264</v>
      </c>
      <c r="B67" t="s">
        <v>307</v>
      </c>
      <c r="C67">
        <f ca="1">IF(OFFSET(INDIRECT(ADDRESS(1,4,1,1,Info!$B$1&amp;" Power")),MATCH($A67,OFFSET(INDIRECT(ADDRESS(1,4,1,1,Info!$B$1&amp;" Power")),3,0,100,1),0)+2,4,1,1)="Disabled",0,1)</f>
        <v>1</v>
      </c>
    </row>
    <row r="68" spans="1:3" ht="15">
      <c r="A68" s="10" t="s">
        <v>213</v>
      </c>
      <c r="B68" t="s">
        <v>309</v>
      </c>
      <c r="C68">
        <f ca="1">IF(OFFSET(INDIRECT(ADDRESS(1,4,1,1,Info!$B$1&amp;" Power")),MATCH($A68,OFFSET(INDIRECT(ADDRESS(1,4,1,1,Info!$B$1&amp;" Power")),3,0,100,1),0)+2,4,1,1)="Disabled",0,1)</f>
        <v>1</v>
      </c>
    </row>
    <row r="69" spans="1:3" ht="15">
      <c r="A69" s="10" t="s">
        <v>242</v>
      </c>
      <c r="B69" t="s">
        <v>306</v>
      </c>
      <c r="C69">
        <f ca="1">IF(OFFSET(INDIRECT(ADDRESS(1,4,1,1,Info!$B$1&amp;" Power")),MATCH($A69,OFFSET(INDIRECT(ADDRESS(1,4,1,1,Info!$B$1&amp;" Power")),3,0,100,1),0)+2,4,1,1)="Disabled",0,1)</f>
        <v>1</v>
      </c>
    </row>
    <row r="70" spans="1:3" ht="15">
      <c r="A70" s="10" t="s">
        <v>243</v>
      </c>
      <c r="B70" t="s">
        <v>306</v>
      </c>
      <c r="C70">
        <f ca="1">IF(OFFSET(INDIRECT(ADDRESS(1,4,1,1,Info!$B$1&amp;" Power")),MATCH($A70,OFFSET(INDIRECT(ADDRESS(1,4,1,1,Info!$B$1&amp;" Power")),3,0,100,1),0)+2,4,1,1)="Disabled",0,1)</f>
        <v>1</v>
      </c>
    </row>
    <row r="71" spans="1:3" ht="15">
      <c r="A71" s="10" t="s">
        <v>245</v>
      </c>
      <c r="B71" t="s">
        <v>300</v>
      </c>
      <c r="C71">
        <f ca="1">IF(OFFSET(INDIRECT(ADDRESS(1,4,1,1,Info!$B$1&amp;" Power")),MATCH($A71,OFFSET(INDIRECT(ADDRESS(1,4,1,1,Info!$B$1&amp;" Power")),3,0,100,1),0)+2,4,1,1)="Disabled",0,1)</f>
        <v>1</v>
      </c>
    </row>
    <row r="72" spans="1:3" ht="15">
      <c r="A72" s="10" t="s">
        <v>310</v>
      </c>
      <c r="B72" t="s">
        <v>311</v>
      </c>
      <c r="C72">
        <v>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5"/>
  <dimension ref="A1:AA80"/>
  <sheetViews>
    <sheetView workbookViewId="0" topLeftCell="L61">
      <selection activeCell="P70" sqref="P70:P71"/>
    </sheetView>
  </sheetViews>
  <sheetFormatPr defaultColWidth="9.140625" defaultRowHeight="15"/>
  <cols>
    <col min="1" max="2" width="13.421875" style="0" customWidth="1"/>
    <col min="3" max="3" width="13.140625" style="0" bestFit="1" customWidth="1"/>
    <col min="4" max="4" width="13.140625" style="0" customWidth="1"/>
    <col min="5" max="5" width="15.140625" style="0" bestFit="1" customWidth="1"/>
    <col min="6" max="7" width="15.140625" style="0" customWidth="1"/>
    <col min="10" max="10" width="9.8515625" style="0" bestFit="1" customWidth="1"/>
    <col min="11" max="15" width="9.8515625" style="0" customWidth="1"/>
    <col min="16" max="16" width="14.8515625" style="0" bestFit="1" customWidth="1"/>
    <col min="17" max="17" width="14.421875" style="0" bestFit="1" customWidth="1"/>
    <col min="18" max="24" width="14.421875" style="0" customWidth="1"/>
    <col min="25" max="25" width="12.140625" style="0" customWidth="1"/>
    <col min="26" max="26" width="28.28125" style="0" customWidth="1"/>
  </cols>
  <sheetData>
    <row r="1" spans="1:25" ht="15">
      <c r="A1" t="s">
        <v>222</v>
      </c>
      <c r="B1" t="s">
        <v>0</v>
      </c>
      <c r="C1" t="s">
        <v>71</v>
      </c>
      <c r="D1" t="s">
        <v>232</v>
      </c>
      <c r="F1" t="s">
        <v>121</v>
      </c>
      <c r="G1" t="s">
        <v>95</v>
      </c>
      <c r="H1" t="s">
        <v>96</v>
      </c>
      <c r="I1" t="s">
        <v>97</v>
      </c>
      <c r="J1" t="s">
        <v>90</v>
      </c>
      <c r="K1" t="s">
        <v>271</v>
      </c>
      <c r="L1" t="s">
        <v>122</v>
      </c>
      <c r="M1" t="s">
        <v>123</v>
      </c>
      <c r="N1" t="s">
        <v>124</v>
      </c>
      <c r="O1" t="s">
        <v>125</v>
      </c>
      <c r="P1" t="s">
        <v>44</v>
      </c>
      <c r="Q1" t="s">
        <v>45</v>
      </c>
      <c r="R1" t="s">
        <v>235</v>
      </c>
      <c r="S1" t="s">
        <v>236</v>
      </c>
      <c r="T1" t="s">
        <v>253</v>
      </c>
      <c r="U1" t="s">
        <v>254</v>
      </c>
      <c r="V1" t="s">
        <v>255</v>
      </c>
      <c r="W1" t="s">
        <v>125</v>
      </c>
      <c r="X1" t="s">
        <v>256</v>
      </c>
      <c r="Y1" t="s">
        <v>257</v>
      </c>
    </row>
    <row r="2" spans="1:27" ht="15">
      <c r="A2" t="s">
        <v>228</v>
      </c>
      <c r="B2" t="str">
        <f ca="1">OFFSET('IP Dynamic Power Data'!$C$1,MATCH($A2,'IP Dynamic Power Data'!$A:$A,0)-1,0)</f>
        <v>MPU_C0</v>
      </c>
      <c r="C2" t="s">
        <v>239</v>
      </c>
      <c r="D2" t="str">
        <f ca="1">OFFSET('IP Dynamic Power Data'!$B$1,MATCH($A2,'IP Dynamic Power Data'!$A:$A,0)-1,0)</f>
        <v>Core</v>
      </c>
      <c r="E2" t="str">
        <f ca="1">OFFSET(INDIRECT(ADDRESS(1,4,1,1,Info!$B$1&amp;" Power")),MATCH($A2,OFFSET(INDIRECT(ADDRESS(1,4,1,1,Info!$B$1&amp;" Power")),3,0,100,1),0)+2,4,1,1)</f>
        <v>Always enabled</v>
      </c>
      <c r="F2" t="str">
        <f ca="1">OFFSET(INDIRECT(ADDRESS(1,4,1,1,Info!$B$1&amp;" Power")),MATCH($A2,OFFSET(INDIRECT(ADDRESS(1,4,1,1,Info!$B$1&amp;" Power")),3,0,100,1),0)+2,6,1,1)</f>
        <v>max</v>
      </c>
      <c r="G2" s="17">
        <f ca="1">OFFSET(INDIRECT(ADDRESS(1,4,1,1,Info!$B$1&amp;" Power")),MATCH($A2,OFFSET(INDIRECT(ADDRESS(1,4,1,1,Info!$B$1&amp;" Power")),3,0,100,1),0)+2,7,1,1)</f>
        <v>90</v>
      </c>
      <c r="H2">
        <f ca="1">IF(E2="Always enabled",1,0)</f>
        <v>1</v>
      </c>
      <c r="I2">
        <f ca="1">IF(OR(E2="AutoCG",E2="AutoPD",E2="AutoPD with Ret",E2="Auto"),1,0)</f>
        <v>0</v>
      </c>
      <c r="J2" t="str">
        <f ca="1">OFFSET('Power Domain Map'!$A$1,MATCH($C2,'Power Domain Map'!$A:$A,0)-1,2,1,1)</f>
        <v>AlwaysOn</v>
      </c>
      <c r="K2" s="17">
        <f ca="1">OFFSET('Power Domain Map'!$A$1,MATCH($C2,'Power Domain Map'!$A:$A,0)-1,3,1,1)</f>
        <v>100</v>
      </c>
      <c r="L2">
        <f ca="1">OFFSET('IP Dynamic Power Data'!$A$1,MATCH($A2,'IP Dynamic Power Data'!A:A,0),MATCH($F2,OFFSET('IP Dynamic Power Data'!$A$1,MATCH($A2,'IP Dynamic Power Data'!A:A,0)-1,0,1,10),0)-1)</f>
        <v>0.966</v>
      </c>
      <c r="M2">
        <f ca="1">OFFSET('IP Dynamic Power Data'!$A$1,MATCH($A2,'IP Dynamic Power Data'!A:A,0),MATCH("idle",OFFSET('IP Dynamic Power Data'!$A$1,MATCH($A2,'IP Dynamic Power Data'!A:A,0)-1,0,1,10),0)-1)</f>
        <v>0.01</v>
      </c>
      <c r="N2">
        <f ca="1">OFFSET(INDIRECT(ADDRESS(1,4,1,1,Info!$B$1&amp;" Power")),MATCH($A2,OFFSET(INDIRECT(ADDRESS(1,4,1,1,Info!$B$1&amp;" Power")),3,0,100,1),0)+2,1,1,1)</f>
        <v>1.15</v>
      </c>
      <c r="O2">
        <f ca="1">OFFSET(INDIRECT(ADDRESS(1,4,1,1,Info!$B$1&amp;" Power")),MATCH($A2,OFFSET(INDIRECT(ADDRESS(1,4,1,1,Info!$B$1&amp;" Power")),3,0,100,1),0)+2,2,1,1)</f>
        <v>1500</v>
      </c>
      <c r="P2" s="7">
        <f ca="1">IF(J2="AlwaysOn",G2*L2/100+(1-G2/100)*M2,(IF(AND(J2="Auto",F2&lt;&gt;"idle"),G2/100*L2+(K2-G2)*M2/100,(K2)*M2/100)))*O2*N2*N2</f>
        <v>1726.6559999999997</v>
      </c>
      <c r="Q2" s="7">
        <f ca="1">IF(MATCH($B2,$B:$B,0)=ROW($B2),OFFSET('SoC Leakage'!$B$1,MATCH($B2,'SoC Leakage'!A:A,0)-1,0)*EXP(OFFSET('SoC Leakage'!$C$1,MATCH($B2,'SoC Leakage'!A:A,0)-1,0)*$N2)*EXP((OFFSET('SoC Leakage'!$D$1,MATCH($B2,'SoC Leakage'!A:A,0)-1,0)*$N2+OFFSET('SoC Leakage'!$E$1,MATCH($B2,'SoC Leakage'!A:A,0)-1,0))*Tj_eff),0)*1000*IF(OR(E2="AutoPD with Ret",E2="Auto"),G2*(F2&lt;&gt;"idle")+(100-G2*(F2&lt;&gt;"idle"))*0.1,IF(E2="AutoPD",G2*(F2&lt;&gt;"idle")+(100-G2*(F2&lt;&gt;"idle"))*0.05,100))/100*1.03</f>
        <v>386.8032564224925</v>
      </c>
      <c r="R2" s="7">
        <f ca="1">IF($E2="Disabled",0,OFFSET(INDIRECT(ADDRESS(1,4,1,1,Info!$B$1&amp;" Power")),MATCH($A2,OFFSET(INDIRECT(ADDRESS(1,4,1,1,Info!$B$1&amp;" Power")),3,0,100,1),0)+2,8,1,1))</f>
        <v>500</v>
      </c>
      <c r="S2" s="7">
        <f ca="1">IF($E2="Disabled",0,OFFSET(INDIRECT(ADDRESS(1,4,1,1,Info!$B$1&amp;" Power")),MATCH($A2,OFFSET(INDIRECT(ADDRESS(1,4,1,1,Info!$B$1&amp;" Power")),3,0,100,1),0)+2,9,1,1))</f>
        <v>500</v>
      </c>
      <c r="T2" s="7">
        <f ca="1">OFFSET('IP Dynamic Power Data'!$A$1,MATCH($A2,'IP Dynamic Power Data'!A:A,0)+1,MATCH($F2,OFFSET('IP Dynamic Power Data'!$A$1,MATCH($A2,'IP Dynamic Power Data'!A:A,0)-1,0,1,10),0)-1)</f>
        <v>0.05</v>
      </c>
      <c r="U2" s="7">
        <f ca="1">OFFSET('IP Dynamic Power Data'!$A$1,MATCH($A2,'IP Dynamic Power Data'!A:A,0)+1,MATCH("idle",OFFSET('IP Dynamic Power Data'!$A$1,MATCH($A2,'IP Dynamic Power Data'!A:A,0)-1,0,1,10),0)-1)</f>
        <v>0.01</v>
      </c>
      <c r="V2" s="7">
        <f ca="1">IF(N2&gt;1.15,N2,1.15)</f>
        <v>1.15</v>
      </c>
      <c r="W2" s="7">
        <f ca="1">O2</f>
        <v>1500</v>
      </c>
      <c r="X2" s="7">
        <f ca="1">IF(J2="AlwaysOn",G2*T2/100+(1-G2/100)*U2,(IF(J2="Auto",G2/100*T2,0)))*W2*V2*V2</f>
        <v>91.25249999999998</v>
      </c>
      <c r="Y2" s="7">
        <f ca="1">IF(MATCH($B2,$B:$B,0)=ROW($B2),OFFSET('SoC Leakage'!$G$1,MATCH($B2,'SoC Leakage'!A:A,0)-1,0)*EXP(OFFSET('SoC Leakage'!$H$1,MATCH($B2,'SoC Leakage'!A:A,0)-1,0)*$V2)*EXP((OFFSET('SoC Leakage'!$I$1,MATCH($B2,'SoC Leakage'!A:A,0)-1,0)*$V2+OFFSET('SoC Leakage'!$J$1,MATCH($B2,'SoC Leakage'!A:A,0)-1,0))*Tj_eff),0)*1000</f>
        <v>5.39076846236998</v>
      </c>
      <c r="Z2" t="s">
        <v>91</v>
      </c>
      <c r="AA2" t="s">
        <v>88</v>
      </c>
    </row>
    <row r="3" spans="1:25" ht="15">
      <c r="A3" t="s">
        <v>229</v>
      </c>
      <c r="B3" t="str">
        <f ca="1">OFFSET('IP Dynamic Power Data'!$C$1,MATCH($A3,'IP Dynamic Power Data'!$A:$A,0)-1,0)</f>
        <v>MPU_C1</v>
      </c>
      <c r="C3" t="s">
        <v>240</v>
      </c>
      <c r="D3" t="str">
        <f ca="1">OFFSET('IP Dynamic Power Data'!$B$1,MATCH($A3,'IP Dynamic Power Data'!$A:$A,0)-1,0)</f>
        <v>Core</v>
      </c>
      <c r="E3" t="str">
        <f ca="1">OFFSET(INDIRECT(ADDRESS(1,4,1,1,Info!$B$1&amp;" Power")),MATCH($A3,OFFSET(INDIRECT(ADDRESS(1,4,1,1,Info!$B$1&amp;" Power")),3,0,100,1),0)+2,4,1,1)</f>
        <v>Always enabled</v>
      </c>
      <c r="F3" t="str">
        <f ca="1">OFFSET(INDIRECT(ADDRESS(1,4,1,1,Info!$B$1&amp;" Power")),MATCH($A3,OFFSET(INDIRECT(ADDRESS(1,4,1,1,Info!$B$1&amp;" Power")),3,0,100,1),0)+2,6,1,1)</f>
        <v>max</v>
      </c>
      <c r="G3" s="17">
        <f ca="1">OFFSET(INDIRECT(ADDRESS(1,4,1,1,Info!$B$1&amp;" Power")),MATCH($A3,OFFSET(INDIRECT(ADDRESS(1,4,1,1,Info!$B$1&amp;" Power")),3,0,100,1),0)+2,7,1,1)</f>
        <v>90</v>
      </c>
      <c r="H3">
        <f aca="true" t="shared" si="0" ref="H3:H4">IF(E3="Always enabled",1,0)</f>
        <v>1</v>
      </c>
      <c r="I3">
        <f aca="true" t="shared" si="1" ref="I3:I64">IF(OR(E3="AutoCG",E3="AutoPD",E3="AutoPD with Ret",E3="Auto"),1,0)</f>
        <v>0</v>
      </c>
      <c r="J3" t="str">
        <f ca="1">OFFSET('Power Domain Map'!$A$1,MATCH($C3,'Power Domain Map'!$A:$A,0)-1,2,1,1)</f>
        <v>AlwaysOn</v>
      </c>
      <c r="K3" s="17">
        <f ca="1">OFFSET('Power Domain Map'!$A$1,MATCH($C3,'Power Domain Map'!$A:$A,0)-1,3,1,1)</f>
        <v>100</v>
      </c>
      <c r="L3">
        <f ca="1">OFFSET('IP Dynamic Power Data'!$A$1,MATCH($A3,'IP Dynamic Power Data'!A:A,0),MATCH($F3,OFFSET('IP Dynamic Power Data'!$A$1,MATCH($A3,'IP Dynamic Power Data'!A:A,0)-1,0,1,10),0)-1)</f>
        <v>0.966</v>
      </c>
      <c r="M3">
        <f ca="1">OFFSET('IP Dynamic Power Data'!$A$1,MATCH($A3,'IP Dynamic Power Data'!A:A,0),MATCH("idle",OFFSET('IP Dynamic Power Data'!$A$1,MATCH($A3,'IP Dynamic Power Data'!A:A,0)-1,0,1,10),0)-1)</f>
        <v>0.01</v>
      </c>
      <c r="N3">
        <f ca="1">OFFSET(INDIRECT(ADDRESS(1,4,1,1,Info!$B$1&amp;" Power")),MATCH($A3,OFFSET(INDIRECT(ADDRESS(1,4,1,1,Info!$B$1&amp;" Power")),3,0,100,1),0)+2,1,1,1)</f>
        <v>1.15</v>
      </c>
      <c r="O3">
        <f ca="1">OFFSET(INDIRECT(ADDRESS(1,4,1,1,Info!$B$1&amp;" Power")),MATCH($A3,OFFSET(INDIRECT(ADDRESS(1,4,1,1,Info!$B$1&amp;" Power")),3,0,100,1),0)+2,2,1,1)</f>
        <v>1500</v>
      </c>
      <c r="P3" s="7">
        <f aca="true" t="shared" si="2" ref="P3:P64">IF(J3="AlwaysOn",G3*L3/100+(1-G3/100)*M3,(IF(AND(J3="Auto",F3&lt;&gt;"idle"),G3/100*L3+(K3-G3)*M3/100,(K3)*M3/100)))*O3*N3*N3</f>
        <v>1726.6559999999997</v>
      </c>
      <c r="Q3" s="7">
        <f ca="1">IF(MATCH($B3,$B:$B,0)=ROW($B3),OFFSET('SoC Leakage'!$B$1,MATCH($B3,'SoC Leakage'!A:A,0)-1,0)*EXP(OFFSET('SoC Leakage'!$C$1,MATCH($B3,'SoC Leakage'!A:A,0)-1,0)*$N3)*EXP((OFFSET('SoC Leakage'!$D$1,MATCH($B3,'SoC Leakage'!A:A,0)-1,0)*$N3+OFFSET('SoC Leakage'!$E$1,MATCH($B3,'SoC Leakage'!A:A,0)-1,0))*Tj_eff),0)*1000*IF(OR(E3="AutoPD with Ret",E3="Auto"),G3*(F3&lt;&gt;"idle")+(100-G3*(F3&lt;&gt;"idle"))*0.1,IF(E3="AutoPD",G3*(F3&lt;&gt;"idle")+(100-G3*(F3&lt;&gt;"idle"))*0.05,100))/100*1.03</f>
        <v>386.8032564224925</v>
      </c>
      <c r="R3" s="7">
        <f ca="1">IF($E3="Disabled",0,OFFSET(INDIRECT(ADDRESS(1,4,1,1,Info!$B$1&amp;" Power")),MATCH($A3,OFFSET(INDIRECT(ADDRESS(1,4,1,1,Info!$B$1&amp;" Power")),3,0,100,1),0)+2,8,1,1))</f>
        <v>500</v>
      </c>
      <c r="S3" s="7">
        <f ca="1">IF($E3="Disabled",0,OFFSET(INDIRECT(ADDRESS(1,4,1,1,Info!$B$1&amp;" Power")),MATCH($A3,OFFSET(INDIRECT(ADDRESS(1,4,1,1,Info!$B$1&amp;" Power")),3,0,100,1),0)+2,9,1,1))</f>
        <v>500</v>
      </c>
      <c r="T3" s="7">
        <f ca="1">OFFSET('IP Dynamic Power Data'!$A$1,MATCH($A3,'IP Dynamic Power Data'!A:A,0)+1,MATCH($F3,OFFSET('IP Dynamic Power Data'!$A$1,MATCH($A3,'IP Dynamic Power Data'!A:A,0)-1,0,1,10),0)-1)</f>
        <v>0.05</v>
      </c>
      <c r="U3" s="7">
        <f ca="1">OFFSET('IP Dynamic Power Data'!$A$1,MATCH($A3,'IP Dynamic Power Data'!A:A,0)+1,MATCH("idle",OFFSET('IP Dynamic Power Data'!$A$1,MATCH($A3,'IP Dynamic Power Data'!A:A,0)-1,0,1,10),0)-1)</f>
        <v>0.01</v>
      </c>
      <c r="V3" s="7">
        <f aca="true" t="shared" si="3" ref="V3:V68">IF(N3&gt;1.15,N3,1.15)</f>
        <v>1.15</v>
      </c>
      <c r="W3" s="7">
        <f aca="true" t="shared" si="4" ref="W3:W68">O3</f>
        <v>1500</v>
      </c>
      <c r="X3" s="7">
        <f aca="true" t="shared" si="5" ref="X3:X68">IF(J3="AlwaysOn",G3*T3/100+(1-G3/100)*U3,(IF(J3="Auto",G3/100*T3,0)))*W3*V3*V3</f>
        <v>91.25249999999998</v>
      </c>
      <c r="Y3" s="7">
        <f ca="1">IF(MATCH($B3,$B:$B,0)=ROW($B3),OFFSET('SoC Leakage'!$G$1,MATCH($B3,'SoC Leakage'!A:A,0)-1,0)*EXP(OFFSET('SoC Leakage'!$H$1,MATCH($B3,'SoC Leakage'!A:A,0)-1,0)*$V3)*EXP((OFFSET('SoC Leakage'!$I$1,MATCH($B3,'SoC Leakage'!A:A,0)-1,0)*$V3+OFFSET('SoC Leakage'!$J$1,MATCH($B3,'SoC Leakage'!A:A,0)-1,0))*Tj_eff),0)*1000</f>
        <v>5.39076846236998</v>
      </c>
    </row>
    <row r="4" spans="1:25" ht="15">
      <c r="A4" t="s">
        <v>230</v>
      </c>
      <c r="B4" t="str">
        <f ca="1">OFFSET('IP Dynamic Power Data'!$C$1,MATCH($A4,'IP Dynamic Power Data'!$A:$A,0)-1,0)</f>
        <v>MPU_SS</v>
      </c>
      <c r="C4" t="s">
        <v>241</v>
      </c>
      <c r="D4" t="str">
        <f ca="1">OFFSET('IP Dynamic Power Data'!$B$1,MATCH($A4,'IP Dynamic Power Data'!$A:$A,0)-1,0)</f>
        <v>Core</v>
      </c>
      <c r="E4" t="str">
        <f ca="1">OFFSET(INDIRECT(ADDRESS(1,4,1,1,Info!$B$1&amp;" Power")),MATCH($A4,OFFSET(INDIRECT(ADDRESS(1,4,1,1,Info!$B$1&amp;" Power")),3,0,100,1),0)+2,4,1,1)</f>
        <v>Always Enabled</v>
      </c>
      <c r="F4" t="s">
        <v>335</v>
      </c>
      <c r="G4" s="17">
        <f ca="1">OFFSET(INDIRECT(ADDRESS(1,4,1,1,Info!$B$1&amp;" Power")),MATCH($A4,OFFSET(INDIRECT(ADDRESS(1,4,1,1,Info!$B$1&amp;" Power")),3,0,100,1),0)+2,7,1,1)</f>
        <v>90</v>
      </c>
      <c r="H4">
        <f ca="1" t="shared" si="0"/>
        <v>1</v>
      </c>
      <c r="I4">
        <f ca="1" t="shared" si="1"/>
        <v>0</v>
      </c>
      <c r="J4" t="str">
        <f ca="1">OFFSET('Power Domain Map'!$A$1,MATCH($C4,'Power Domain Map'!$A:$A,0)-1,2,1,1)</f>
        <v>AlwaysOn</v>
      </c>
      <c r="K4" s="17">
        <f ca="1">OFFSET('Power Domain Map'!$A$1,MATCH($C4,'Power Domain Map'!$A:$A,0)-1,3,1,1)</f>
        <v>100</v>
      </c>
      <c r="L4">
        <f ca="1">OFFSET('IP Dynamic Power Data'!$A$1,MATCH($A4,'IP Dynamic Power Data'!A:A,0),MATCH($F4,OFFSET('IP Dynamic Power Data'!$A$1,MATCH($A4,'IP Dynamic Power Data'!A:A,0)-1,0,1,10),0)-1)</f>
        <v>0.122</v>
      </c>
      <c r="M4">
        <f ca="1">OFFSET('IP Dynamic Power Data'!$A$1,MATCH($A4,'IP Dynamic Power Data'!A:A,0),MATCH("idle",OFFSET('IP Dynamic Power Data'!$A$1,MATCH($A4,'IP Dynamic Power Data'!A:A,0)-1,0,1,10),0)-1)</f>
        <v>0.04</v>
      </c>
      <c r="N4">
        <f ca="1">OFFSET(INDIRECT(ADDRESS(1,4,1,1,Info!$B$1&amp;" Power")),MATCH($A4,OFFSET(INDIRECT(ADDRESS(1,4,1,1,Info!$B$1&amp;" Power")),3,0,100,1),0)+2,1,1,1)</f>
        <v>1.15</v>
      </c>
      <c r="O4">
        <f ca="1">OFFSET(INDIRECT(ADDRESS(1,4,1,1,Info!$B$1&amp;" Power")),MATCH($A4,OFFSET(INDIRECT(ADDRESS(1,4,1,1,Info!$B$1&amp;" Power")),3,0,100,1),0)+2,2,1,1)</f>
        <v>1500</v>
      </c>
      <c r="P4" s="7">
        <f ca="1" t="shared" si="2"/>
        <v>225.75074999999998</v>
      </c>
      <c r="Q4" s="7">
        <f ca="1">IF(MATCH($B4,$B:$B,0)=ROW($B4),OFFSET('SoC Leakage'!$B$1,MATCH($B4,'SoC Leakage'!A:A,0)-1,0)*EXP(OFFSET('SoC Leakage'!$C$1,MATCH($B4,'SoC Leakage'!A:A,0)-1,0)*$N4)*EXP((OFFSET('SoC Leakage'!$D$1,MATCH($B4,'SoC Leakage'!A:A,0)-1,0)*$N4+OFFSET('SoC Leakage'!$E$1,MATCH($B4,'SoC Leakage'!A:A,0)-1,0))*Tj_eff),0)*1000*IF(OR(E4="AutoPD with Ret",E4="Auto"),G4*(F4&lt;&gt;"idle")+(100-G4*(F4&lt;&gt;"idle"))*0.1,IF(E4="AutoPD",G4*(F4&lt;&gt;"idle")+(100-G4*(F4&lt;&gt;"idle"))*0.05,100))/100*1.03</f>
        <v>207.98699648872156</v>
      </c>
      <c r="R4" s="7">
        <f ca="1">IF($E4="Disabled",0,OFFSET(INDIRECT(ADDRESS(1,4,1,1,Info!$B$1&amp;" Power")),MATCH($A4,OFFSET(INDIRECT(ADDRESS(1,4,1,1,Info!$B$1&amp;" Power")),3,0,100,1),0)+2,8,1,1))</f>
        <v>0</v>
      </c>
      <c r="S4" s="7">
        <f ca="1">IF($E4="Disabled",0,OFFSET(INDIRECT(ADDRESS(1,4,1,1,Info!$B$1&amp;" Power")),MATCH($A4,OFFSET(INDIRECT(ADDRESS(1,4,1,1,Info!$B$1&amp;" Power")),3,0,100,1),0)+2,9,1,1))</f>
        <v>0</v>
      </c>
      <c r="T4" s="7">
        <f ca="1">OFFSET('IP Dynamic Power Data'!$A$1,MATCH($A4,'IP Dynamic Power Data'!A:A,0)+1,MATCH($F4,OFFSET('IP Dynamic Power Data'!$A$1,MATCH($A4,'IP Dynamic Power Data'!A:A,0)-1,0,1,10),0)-1)</f>
        <v>0.05</v>
      </c>
      <c r="U4" s="7">
        <f ca="1">OFFSET('IP Dynamic Power Data'!$A$1,MATCH($A4,'IP Dynamic Power Data'!A:A,0)+1,MATCH("idle",OFFSET('IP Dynamic Power Data'!$A$1,MATCH($A4,'IP Dynamic Power Data'!A:A,0)-1,0,1,10),0)-1)</f>
        <v>0.01</v>
      </c>
      <c r="V4" s="7">
        <f ca="1" t="shared" si="3"/>
        <v>1.15</v>
      </c>
      <c r="W4" s="7">
        <f ca="1" t="shared" si="4"/>
        <v>1500</v>
      </c>
      <c r="X4" s="7">
        <f ca="1" t="shared" si="5"/>
        <v>91.25249999999998</v>
      </c>
      <c r="Y4" s="7">
        <f ca="1">IF(MATCH($B4,$B:$B,0)=ROW($B4),OFFSET('SoC Leakage'!$G$1,MATCH($B4,'SoC Leakage'!A:A,0)-1,0)*EXP(OFFSET('SoC Leakage'!$H$1,MATCH($B4,'SoC Leakage'!A:A,0)-1,0)*$V4)*EXP((OFFSET('SoC Leakage'!$I$1,MATCH($B4,'SoC Leakage'!A:A,0)-1,0)*$V4+OFFSET('SoC Leakage'!$J$1,MATCH($B4,'SoC Leakage'!A:A,0)-1,0))*Tj_eff),0)*1000</f>
        <v>20.964634170310987</v>
      </c>
    </row>
    <row r="5" spans="1:27" ht="15">
      <c r="A5" t="s">
        <v>169</v>
      </c>
      <c r="B5" t="str">
        <f ca="1">OFFSET('IP Dynamic Power Data'!$C$1,MATCH($A5,'IP Dynamic Power Data'!$A:$A,0)-1,0)</f>
        <v>DSP1</v>
      </c>
      <c r="C5" t="s">
        <v>72</v>
      </c>
      <c r="D5" t="str">
        <f ca="1">OFFSET('IP Dynamic Power Data'!$B$1,MATCH($A5,'IP Dynamic Power Data'!$A:$A,0)-1,0)</f>
        <v>Core</v>
      </c>
      <c r="E5" t="str">
        <f ca="1">OFFSET(INDIRECT(ADDRESS(1,4,1,1,Info!$B$1&amp;" Power")),MATCH($A5,OFFSET(INDIRECT(ADDRESS(1,4,1,1,Info!$B$1&amp;" Power")),3,0,100,1),0)+2,4,1,1)</f>
        <v>Always enabled</v>
      </c>
      <c r="F5" t="str">
        <f ca="1">OFFSET(INDIRECT(ADDRESS(1,4,1,1,Info!$B$1&amp;" Power")),MATCH($A5,OFFSET(INDIRECT(ADDRESS(1,4,1,1,Info!$B$1&amp;" Power")),3,0,100,1),0)+2,6,1,1)</f>
        <v>max</v>
      </c>
      <c r="G5" s="17">
        <f ca="1">OFFSET(INDIRECT(ADDRESS(1,4,1,1,Info!$B$1&amp;" Power")),MATCH($A5,OFFSET(INDIRECT(ADDRESS(1,4,1,1,Info!$B$1&amp;" Power")),3,0,100,1),0)+2,7,1,1)</f>
        <v>90</v>
      </c>
      <c r="H5">
        <f aca="true" t="shared" si="6" ref="H5:H61">IF(E5="Always enabled",1,0)</f>
        <v>1</v>
      </c>
      <c r="I5">
        <f ca="1" t="shared" si="1"/>
        <v>0</v>
      </c>
      <c r="J5" t="str">
        <f ca="1">OFFSET('Power Domain Map'!$A$1,MATCH($C5,'Power Domain Map'!$A:$A,0)-1,2,1,1)</f>
        <v>AlwaysOn</v>
      </c>
      <c r="K5" s="17">
        <f ca="1">OFFSET('Power Domain Map'!$A$1,MATCH($C5,'Power Domain Map'!$A:$A,0)-1,3,1,1)</f>
        <v>100</v>
      </c>
      <c r="L5">
        <f ca="1">OFFSET('IP Dynamic Power Data'!$A$1,MATCH($A5,'IP Dynamic Power Data'!A:A,0),MATCH($F5,OFFSET('IP Dynamic Power Data'!$A$1,MATCH($A5,'IP Dynamic Power Data'!A:A,0)-1,0,1,10),0)-1)</f>
        <v>0.7</v>
      </c>
      <c r="M5">
        <f ca="1">OFFSET('IP Dynamic Power Data'!$A$1,MATCH($A5,'IP Dynamic Power Data'!A:A,0),MATCH("idle",OFFSET('IP Dynamic Power Data'!$A$1,MATCH($A5,'IP Dynamic Power Data'!A:A,0)-1,0,1,10),0)-1)</f>
        <v>0.18</v>
      </c>
      <c r="N5">
        <f ca="1">OFFSET(INDIRECT(ADDRESS(1,4,1,1,Info!$B$1&amp;" Power")),MATCH($A5,OFFSET(INDIRECT(ADDRESS(1,4,1,1,Info!$B$1&amp;" Power")),3,0,100,1),0)+2,1,1,1)</f>
        <v>1.15</v>
      </c>
      <c r="O5">
        <f ca="1">OFFSET(INDIRECT(ADDRESS(1,4,1,1,Info!$B$1&amp;" Power")),MATCH($A5,OFFSET(INDIRECT(ADDRESS(1,4,1,1,Info!$B$1&amp;" Power")),3,0,100,1),0)+2,2,1,1)</f>
        <v>750</v>
      </c>
      <c r="P5" s="7">
        <f ca="1" t="shared" si="2"/>
        <v>642.7349999999998</v>
      </c>
      <c r="Q5" s="7">
        <f ca="1">IF(MATCH($B5,$B:$B,0)=ROW($B5),OFFSET('SoC Leakage'!$B$1,MATCH($B5,'SoC Leakage'!A:A,0)-1,0)*EXP(OFFSET('SoC Leakage'!$C$1,MATCH($B5,'SoC Leakage'!A:A,0)-1,0)*$N5)*EXP((OFFSET('SoC Leakage'!$D$1,MATCH($B5,'SoC Leakage'!A:A,0)-1,0)*$N5+OFFSET('SoC Leakage'!$E$1,MATCH($B5,'SoC Leakage'!A:A,0)-1,0))*Tj_eff),0)*1000*IF(OR(E5="AutoPD with Ret",E5="Auto"),G5*(F5&lt;&gt;"idle")+(100-G5*(F5&lt;&gt;"idle"))*0.1,IF(E5="AutoPD",G5*(F5&lt;&gt;"idle")+(100-G5*(F5&lt;&gt;"idle"))*0.05,100))/100*1.03</f>
        <v>146.2693413718662</v>
      </c>
      <c r="R5" s="7">
        <f ca="1">IF($E5="Disabled",0,OFFSET(INDIRECT(ADDRESS(1,4,1,1,Info!$B$1&amp;" Power")),MATCH($A5,OFFSET(INDIRECT(ADDRESS(1,4,1,1,Info!$B$1&amp;" Power")),3,0,100,1),0)+2,8,1,1))</f>
        <v>500</v>
      </c>
      <c r="S5" s="7">
        <f ca="1">IF($E5="Disabled",0,OFFSET(INDIRECT(ADDRESS(1,4,1,1,Info!$B$1&amp;" Power")),MATCH($A5,OFFSET(INDIRECT(ADDRESS(1,4,1,1,Info!$B$1&amp;" Power")),3,0,100,1),0)+2,9,1,1))</f>
        <v>500</v>
      </c>
      <c r="T5" s="7">
        <f ca="1">OFFSET('IP Dynamic Power Data'!$A$1,MATCH($A5,'IP Dynamic Power Data'!A:A,0)+1,MATCH($F5,OFFSET('IP Dynamic Power Data'!$A$1,MATCH($A5,'IP Dynamic Power Data'!A:A,0)-1,0,1,10),0)-1)</f>
        <v>0</v>
      </c>
      <c r="U5" s="7">
        <f ca="1">OFFSET('IP Dynamic Power Data'!$A$1,MATCH($A5,'IP Dynamic Power Data'!A:A,0)+1,MATCH("idle",OFFSET('IP Dynamic Power Data'!$A$1,MATCH($A5,'IP Dynamic Power Data'!A:A,0)-1,0,1,10),0)-1)</f>
        <v>0</v>
      </c>
      <c r="V5" s="7">
        <f ca="1" t="shared" si="3"/>
        <v>1.15</v>
      </c>
      <c r="W5" s="7">
        <f ca="1" t="shared" si="4"/>
        <v>750</v>
      </c>
      <c r="X5" s="7">
        <f ca="1" t="shared" si="5"/>
        <v>0</v>
      </c>
      <c r="Y5" s="7">
        <f ca="1">IF(MATCH($B5,$B:$B,0)=ROW($B5),OFFSET('SoC Leakage'!$G$1,MATCH($B5,'SoC Leakage'!A:A,0)-1,0)*EXP(OFFSET('SoC Leakage'!$H$1,MATCH($B5,'SoC Leakage'!A:A,0)-1,0)*$V5)*EXP((OFFSET('SoC Leakage'!$I$1,MATCH($B5,'SoC Leakage'!A:A,0)-1,0)*$V5+OFFSET('SoC Leakage'!$J$1,MATCH($B5,'SoC Leakage'!A:A,0)-1,0))*Tj_eff),0)*1000</f>
        <v>6.120898388563255</v>
      </c>
      <c r="Z5" t="s">
        <v>92</v>
      </c>
      <c r="AA5" t="s">
        <v>89</v>
      </c>
    </row>
    <row r="6" spans="1:27" ht="15">
      <c r="A6" t="s">
        <v>170</v>
      </c>
      <c r="B6" t="str">
        <f ca="1">OFFSET('IP Dynamic Power Data'!$C$1,MATCH($A6,'IP Dynamic Power Data'!$A:$A,0)-1,0)</f>
        <v>DSP2</v>
      </c>
      <c r="C6" t="s">
        <v>73</v>
      </c>
      <c r="D6" t="str">
        <f ca="1">OFFSET('IP Dynamic Power Data'!$B$1,MATCH($A6,'IP Dynamic Power Data'!$A:$A,0)-1,0)</f>
        <v>Core</v>
      </c>
      <c r="E6" t="str">
        <f ca="1">OFFSET(INDIRECT(ADDRESS(1,4,1,1,Info!$B$1&amp;" Power")),MATCH($A6,OFFSET(INDIRECT(ADDRESS(1,4,1,1,Info!$B$1&amp;" Power")),3,0,100,1),0)+2,4,1,1)</f>
        <v>Always enabled</v>
      </c>
      <c r="F6" t="str">
        <f ca="1">OFFSET(INDIRECT(ADDRESS(1,4,1,1,Info!$B$1&amp;" Power")),MATCH($A6,OFFSET(INDIRECT(ADDRESS(1,4,1,1,Info!$B$1&amp;" Power")),3,0,100,1),0)+2,6,1,1)</f>
        <v>max</v>
      </c>
      <c r="G6" s="17">
        <f ca="1">OFFSET(INDIRECT(ADDRESS(1,4,1,1,Info!$B$1&amp;" Power")),MATCH($A6,OFFSET(INDIRECT(ADDRESS(1,4,1,1,Info!$B$1&amp;" Power")),3,0,100,1),0)+2,7,1,1)</f>
        <v>90</v>
      </c>
      <c r="H6">
        <f ca="1" t="shared" si="6"/>
        <v>1</v>
      </c>
      <c r="I6">
        <f ca="1" t="shared" si="1"/>
        <v>0</v>
      </c>
      <c r="J6" t="str">
        <f ca="1">OFFSET('Power Domain Map'!$A$1,MATCH($C6,'Power Domain Map'!$A:$A,0)-1,2,1,1)</f>
        <v>AlwaysOn</v>
      </c>
      <c r="K6" s="17">
        <f ca="1">OFFSET('Power Domain Map'!$A$1,MATCH($C6,'Power Domain Map'!$A:$A,0)-1,3,1,1)</f>
        <v>100</v>
      </c>
      <c r="L6">
        <f ca="1">OFFSET('IP Dynamic Power Data'!$A$1,MATCH($A6,'IP Dynamic Power Data'!A:A,0),MATCH($F6,OFFSET('IP Dynamic Power Data'!$A$1,MATCH($A6,'IP Dynamic Power Data'!A:A,0)-1,0,1,10),0)-1)</f>
        <v>0.7</v>
      </c>
      <c r="M6">
        <f ca="1">OFFSET('IP Dynamic Power Data'!$A$1,MATCH($A6,'IP Dynamic Power Data'!A:A,0),MATCH("idle",OFFSET('IP Dynamic Power Data'!$A$1,MATCH($A6,'IP Dynamic Power Data'!A:A,0)-1,0,1,10),0)-1)</f>
        <v>0.18</v>
      </c>
      <c r="N6">
        <f ca="1">OFFSET(INDIRECT(ADDRESS(1,4,1,1,Info!$B$1&amp;" Power")),MATCH($A6,OFFSET(INDIRECT(ADDRESS(1,4,1,1,Info!$B$1&amp;" Power")),3,0,100,1),0)+2,1,1,1)</f>
        <v>1.15</v>
      </c>
      <c r="O6">
        <f ca="1">OFFSET(INDIRECT(ADDRESS(1,4,1,1,Info!$B$1&amp;" Power")),MATCH($A6,OFFSET(INDIRECT(ADDRESS(1,4,1,1,Info!$B$1&amp;" Power")),3,0,100,1),0)+2,2,1,1)</f>
        <v>750</v>
      </c>
      <c r="P6" s="7">
        <f ca="1" t="shared" si="2"/>
        <v>642.7349999999998</v>
      </c>
      <c r="Q6" s="7">
        <f ca="1">IF(MATCH($B6,$B:$B,0)=ROW($B6),OFFSET('SoC Leakage'!$B$1,MATCH($B6,'SoC Leakage'!A:A,0)-1,0)*EXP(OFFSET('SoC Leakage'!$C$1,MATCH($B6,'SoC Leakage'!A:A,0)-1,0)*$N6)*EXP((OFFSET('SoC Leakage'!$D$1,MATCH($B6,'SoC Leakage'!A:A,0)-1,0)*$N6+OFFSET('SoC Leakage'!$E$1,MATCH($B6,'SoC Leakage'!A:A,0)-1,0))*Tj_eff),0)*1000*IF(OR(E6="AutoPD with Ret",E6="Auto"),G6*(F6&lt;&gt;"idle")+(100-G6*(F6&lt;&gt;"idle"))*0.1,IF(E6="AutoPD",G6*(F6&lt;&gt;"idle")+(100-G6*(F6&lt;&gt;"idle"))*0.05,100))/100*1.03</f>
        <v>146.2693413718662</v>
      </c>
      <c r="R6" s="7">
        <f ca="1">IF($E6="Disabled",0,OFFSET(INDIRECT(ADDRESS(1,4,1,1,Info!$B$1&amp;" Power")),MATCH($A6,OFFSET(INDIRECT(ADDRESS(1,4,1,1,Info!$B$1&amp;" Power")),3,0,100,1),0)+2,8,1,1))</f>
        <v>500</v>
      </c>
      <c r="S6" s="7">
        <f ca="1">IF($E6="Disabled",0,OFFSET(INDIRECT(ADDRESS(1,4,1,1,Info!$B$1&amp;" Power")),MATCH($A6,OFFSET(INDIRECT(ADDRESS(1,4,1,1,Info!$B$1&amp;" Power")),3,0,100,1),0)+2,9,1,1))</f>
        <v>500</v>
      </c>
      <c r="T6" s="7">
        <f ca="1">OFFSET('IP Dynamic Power Data'!$A$1,MATCH($A6,'IP Dynamic Power Data'!A:A,0)+1,MATCH($F6,OFFSET('IP Dynamic Power Data'!$A$1,MATCH($A6,'IP Dynamic Power Data'!A:A,0)-1,0,1,10),0)-1)</f>
        <v>0</v>
      </c>
      <c r="U6" s="7">
        <f ca="1">OFFSET('IP Dynamic Power Data'!$A$1,MATCH($A6,'IP Dynamic Power Data'!A:A,0)+1,MATCH("idle",OFFSET('IP Dynamic Power Data'!$A$1,MATCH($A6,'IP Dynamic Power Data'!A:A,0)-1,0,1,10),0)-1)</f>
        <v>0</v>
      </c>
      <c r="V6" s="7">
        <f ca="1" t="shared" si="3"/>
        <v>1.15</v>
      </c>
      <c r="W6" s="7">
        <f ca="1" t="shared" si="4"/>
        <v>750</v>
      </c>
      <c r="X6" s="7">
        <f ca="1" t="shared" si="5"/>
        <v>0</v>
      </c>
      <c r="Y6" s="7">
        <f ca="1">IF(MATCH($B6,$B:$B,0)=ROW($B6),OFFSET('SoC Leakage'!$G$1,MATCH($B6,'SoC Leakage'!A:A,0)-1,0)*EXP(OFFSET('SoC Leakage'!$H$1,MATCH($B6,'SoC Leakage'!A:A,0)-1,0)*$V6)*EXP((OFFSET('SoC Leakage'!$I$1,MATCH($B6,'SoC Leakage'!A:A,0)-1,0)*$V6+OFFSET('SoC Leakage'!$J$1,MATCH($B6,'SoC Leakage'!A:A,0)-1,0))*Tj_eff),0)*1000</f>
        <v>6.120898388563255</v>
      </c>
      <c r="Z6" t="s">
        <v>93</v>
      </c>
      <c r="AA6" t="s">
        <v>94</v>
      </c>
    </row>
    <row r="7" spans="1:25" ht="15">
      <c r="A7" t="s">
        <v>171</v>
      </c>
      <c r="B7" t="str">
        <f ca="1">OFFSET('IP Dynamic Power Data'!$C$1,MATCH($A7,'IP Dynamic Power Data'!$A:$A,0)-1,0)</f>
        <v>EVE1</v>
      </c>
      <c r="C7" t="s">
        <v>74</v>
      </c>
      <c r="D7" t="str">
        <f ca="1">OFFSET('IP Dynamic Power Data'!$B$1,MATCH($A7,'IP Dynamic Power Data'!$A:$A,0)-1,0)</f>
        <v>Core</v>
      </c>
      <c r="E7" t="str">
        <f ca="1">OFFSET(INDIRECT(ADDRESS(1,4,1,1,Info!$B$1&amp;" Power")),MATCH($A7,OFFSET(INDIRECT(ADDRESS(1,4,1,1,Info!$B$1&amp;" Power")),3,0,100,1),0)+2,4,1,1)</f>
        <v>Disabled</v>
      </c>
      <c r="F7" t="str">
        <f ca="1">OFFSET(INDIRECT(ADDRESS(1,4,1,1,Info!$B$1&amp;" Power")),MATCH($A7,OFFSET(INDIRECT(ADDRESS(1,4,1,1,Info!$B$1&amp;" Power")),3,0,100,1),0)+2,6,1,1)</f>
        <v>idle</v>
      </c>
      <c r="G7" s="17">
        <f ca="1">OFFSET(INDIRECT(ADDRESS(1,4,1,1,Info!$B$1&amp;" Power")),MATCH($A7,OFFSET(INDIRECT(ADDRESS(1,4,1,1,Info!$B$1&amp;" Power")),3,0,100,1),0)+2,7,1,1)</f>
        <v>0</v>
      </c>
      <c r="H7">
        <f ca="1" t="shared" si="6"/>
        <v>0</v>
      </c>
      <c r="I7">
        <f ca="1" t="shared" si="1"/>
        <v>0</v>
      </c>
      <c r="J7" t="str">
        <f ca="1">OFFSET('Power Domain Map'!$A$1,MATCH($C7,'Power Domain Map'!$A:$A,0)-1,2,1,1)</f>
        <v>Disabled</v>
      </c>
      <c r="K7" s="17">
        <f ca="1">OFFSET('Power Domain Map'!$A$1,MATCH($C7,'Power Domain Map'!$A:$A,0)-1,3,1,1)</f>
        <v>0</v>
      </c>
      <c r="L7">
        <f ca="1">OFFSET('IP Dynamic Power Data'!$A$1,MATCH($A7,'IP Dynamic Power Data'!A:A,0),MATCH($F7,OFFSET('IP Dynamic Power Data'!$A$1,MATCH($A7,'IP Dynamic Power Data'!A:A,0)-1,0,1,10),0)-1)</f>
        <v>0.07</v>
      </c>
      <c r="M7">
        <f ca="1">OFFSET('IP Dynamic Power Data'!$A$1,MATCH($A7,'IP Dynamic Power Data'!A:A,0),MATCH("idle",OFFSET('IP Dynamic Power Data'!$A$1,MATCH($A7,'IP Dynamic Power Data'!A:A,0)-1,0,1,10),0)-1)</f>
        <v>0.07</v>
      </c>
      <c r="N7">
        <f ca="1">OFFSET(INDIRECT(ADDRESS(1,4,1,1,Info!$B$1&amp;" Power")),MATCH($A7,OFFSET(INDIRECT(ADDRESS(1,4,1,1,Info!$B$1&amp;" Power")),3,0,100,1),0)+2,1,1,1)</f>
        <v>1.15</v>
      </c>
      <c r="O7">
        <f ca="1">OFFSET(INDIRECT(ADDRESS(1,4,1,1,Info!$B$1&amp;" Power")),MATCH($A7,OFFSET(INDIRECT(ADDRESS(1,4,1,1,Info!$B$1&amp;" Power")),3,0,100,1),0)+2,2,1,1)</f>
        <v>650</v>
      </c>
      <c r="P7" s="7">
        <f ca="1" t="shared" si="2"/>
        <v>0</v>
      </c>
      <c r="Q7" s="7">
        <f ca="1">IF(MATCH($B7,$B:$B,0)=ROW($B7),OFFSET('SoC Leakage'!$B$1,MATCH($B7,'SoC Leakage'!A:A,0)-1,0)*EXP(OFFSET('SoC Leakage'!$C$1,MATCH($B7,'SoC Leakage'!A:A,0)-1,0)*$N7)*EXP((OFFSET('SoC Leakage'!$D$1,MATCH($B7,'SoC Leakage'!A:A,0)-1,0)*$N7+OFFSET('SoC Leakage'!$E$1,MATCH($B7,'SoC Leakage'!A:A,0)-1,0))*Tj_eff),0)*1000*IF(OR(E7="AutoPD with Ret",E7="Auto"),G7*(F7&lt;&gt;"idle")+(100-G7*(F7&lt;&gt;"idle"))*0.1,IF(E7="AutoPD",G7*(F7&lt;&gt;"idle")+(100-G7*(F7&lt;&gt;"idle"))*0.05,100))/100*1.03</f>
        <v>73.94892173454855</v>
      </c>
      <c r="R7" s="7">
        <f ca="1">IF($E7="Disabled",0,OFFSET(INDIRECT(ADDRESS(1,4,1,1,Info!$B$1&amp;" Power")),MATCH($A7,OFFSET(INDIRECT(ADDRESS(1,4,1,1,Info!$B$1&amp;" Power")),3,0,100,1),0)+2,8,1,1))</f>
        <v>0</v>
      </c>
      <c r="S7" s="7">
        <f ca="1">IF($E7="Disabled",0,OFFSET(INDIRECT(ADDRESS(1,4,1,1,Info!$B$1&amp;" Power")),MATCH($A7,OFFSET(INDIRECT(ADDRESS(1,4,1,1,Info!$B$1&amp;" Power")),3,0,100,1),0)+2,9,1,1))</f>
        <v>0</v>
      </c>
      <c r="T7" s="7">
        <f ca="1">OFFSET('IP Dynamic Power Data'!$A$1,MATCH($A7,'IP Dynamic Power Data'!A:A,0)+1,MATCH($F7,OFFSET('IP Dynamic Power Data'!$A$1,MATCH($A7,'IP Dynamic Power Data'!A:A,0)-1,0,1,10),0)-1)</f>
        <v>0</v>
      </c>
      <c r="U7" s="7">
        <f ca="1">OFFSET('IP Dynamic Power Data'!$A$1,MATCH($A7,'IP Dynamic Power Data'!A:A,0)+1,MATCH("idle",OFFSET('IP Dynamic Power Data'!$A$1,MATCH($A7,'IP Dynamic Power Data'!A:A,0)-1,0,1,10),0)-1)</f>
        <v>0</v>
      </c>
      <c r="V7" s="7">
        <f ca="1" t="shared" si="3"/>
        <v>1.15</v>
      </c>
      <c r="W7" s="7">
        <f ca="1" t="shared" si="4"/>
        <v>650</v>
      </c>
      <c r="X7" s="7">
        <f ca="1" t="shared" si="5"/>
        <v>0</v>
      </c>
      <c r="Y7" s="7">
        <f ca="1">IF(MATCH($B7,$B:$B,0)=ROW($B7),OFFSET('SoC Leakage'!$G$1,MATCH($B7,'SoC Leakage'!A:A,0)-1,0)*EXP(OFFSET('SoC Leakage'!$H$1,MATCH($B7,'SoC Leakage'!A:A,0)-1,0)*$V7)*EXP((OFFSET('SoC Leakage'!$I$1,MATCH($B7,'SoC Leakage'!A:A,0)-1,0)*$V7+OFFSET('SoC Leakage'!$J$1,MATCH($B7,'SoC Leakage'!A:A,0)-1,0))*Tj_eff),0)*1000</f>
        <v>6.590362778737589</v>
      </c>
    </row>
    <row r="8" spans="1:25" ht="15">
      <c r="A8" t="s">
        <v>172</v>
      </c>
      <c r="B8" t="str">
        <f ca="1">OFFSET('IP Dynamic Power Data'!$C$1,MATCH($A8,'IP Dynamic Power Data'!$A:$A,0)-1,0)</f>
        <v>EVE2</v>
      </c>
      <c r="C8" t="s">
        <v>75</v>
      </c>
      <c r="D8" t="str">
        <f ca="1">OFFSET('IP Dynamic Power Data'!$B$1,MATCH($A8,'IP Dynamic Power Data'!$A:$A,0)-1,0)</f>
        <v>Core</v>
      </c>
      <c r="E8" t="str">
        <f ca="1">OFFSET(INDIRECT(ADDRESS(1,4,1,1,Info!$B$1&amp;" Power")),MATCH($A8,OFFSET(INDIRECT(ADDRESS(1,4,1,1,Info!$B$1&amp;" Power")),3,0,100,1),0)+2,4,1,1)</f>
        <v>Disabled</v>
      </c>
      <c r="F8" t="str">
        <f ca="1">OFFSET(INDIRECT(ADDRESS(1,4,1,1,Info!$B$1&amp;" Power")),MATCH($A8,OFFSET(INDIRECT(ADDRESS(1,4,1,1,Info!$B$1&amp;" Power")),3,0,100,1),0)+2,6,1,1)</f>
        <v>idle</v>
      </c>
      <c r="G8" s="17">
        <f ca="1">OFFSET(INDIRECT(ADDRESS(1,4,1,1,Info!$B$1&amp;" Power")),MATCH($A8,OFFSET(INDIRECT(ADDRESS(1,4,1,1,Info!$B$1&amp;" Power")),3,0,100,1),0)+2,7,1,1)</f>
        <v>0</v>
      </c>
      <c r="H8">
        <f ca="1" t="shared" si="6"/>
        <v>0</v>
      </c>
      <c r="I8">
        <f ca="1" t="shared" si="1"/>
        <v>0</v>
      </c>
      <c r="J8" t="str">
        <f ca="1">OFFSET('Power Domain Map'!$A$1,MATCH($C8,'Power Domain Map'!$A:$A,0)-1,2,1,1)</f>
        <v>Disabled</v>
      </c>
      <c r="K8" s="17">
        <f ca="1">OFFSET('Power Domain Map'!$A$1,MATCH($C8,'Power Domain Map'!$A:$A,0)-1,3,1,1)</f>
        <v>0</v>
      </c>
      <c r="L8">
        <f ca="1">OFFSET('IP Dynamic Power Data'!$A$1,MATCH($A8,'IP Dynamic Power Data'!A:A,0),MATCH($F8,OFFSET('IP Dynamic Power Data'!$A$1,MATCH($A8,'IP Dynamic Power Data'!A:A,0)-1,0,1,10),0)-1)</f>
        <v>0.07</v>
      </c>
      <c r="M8">
        <f ca="1">OFFSET('IP Dynamic Power Data'!$A$1,MATCH($A8,'IP Dynamic Power Data'!A:A,0),MATCH("idle",OFFSET('IP Dynamic Power Data'!$A$1,MATCH($A8,'IP Dynamic Power Data'!A:A,0)-1,0,1,10),0)-1)</f>
        <v>0.07</v>
      </c>
      <c r="N8">
        <f ca="1">OFFSET(INDIRECT(ADDRESS(1,4,1,1,Info!$B$1&amp;" Power")),MATCH($A8,OFFSET(INDIRECT(ADDRESS(1,4,1,1,Info!$B$1&amp;" Power")),3,0,100,1),0)+2,1,1,1)</f>
        <v>1.15</v>
      </c>
      <c r="O8">
        <f ca="1">OFFSET(INDIRECT(ADDRESS(1,4,1,1,Info!$B$1&amp;" Power")),MATCH($A8,OFFSET(INDIRECT(ADDRESS(1,4,1,1,Info!$B$1&amp;" Power")),3,0,100,1),0)+2,2,1,1)</f>
        <v>650</v>
      </c>
      <c r="P8" s="7">
        <f ca="1" t="shared" si="2"/>
        <v>0</v>
      </c>
      <c r="Q8" s="7">
        <f ca="1">IF(MATCH($B8,$B:$B,0)=ROW($B8),OFFSET('SoC Leakage'!$B$1,MATCH($B8,'SoC Leakage'!A:A,0)-1,0)*EXP(OFFSET('SoC Leakage'!$C$1,MATCH($B8,'SoC Leakage'!A:A,0)-1,0)*$N8)*EXP((OFFSET('SoC Leakage'!$D$1,MATCH($B8,'SoC Leakage'!A:A,0)-1,0)*$N8+OFFSET('SoC Leakage'!$E$1,MATCH($B8,'SoC Leakage'!A:A,0)-1,0))*Tj_eff),0)*1000*IF(OR(E8="AutoPD with Ret",E8="Auto"),G8*(F8&lt;&gt;"idle")+(100-G8*(F8&lt;&gt;"idle"))*0.1,IF(E8="AutoPD",G8*(F8&lt;&gt;"idle")+(100-G8*(F8&lt;&gt;"idle"))*0.05,100))/100*1.03</f>
        <v>73.94892173454855</v>
      </c>
      <c r="R8" s="7">
        <f ca="1">IF($E8="Disabled",0,OFFSET(INDIRECT(ADDRESS(1,4,1,1,Info!$B$1&amp;" Power")),MATCH($A8,OFFSET(INDIRECT(ADDRESS(1,4,1,1,Info!$B$1&amp;" Power")),3,0,100,1),0)+2,8,1,1))</f>
        <v>0</v>
      </c>
      <c r="S8" s="7">
        <f ca="1">IF($E8="Disabled",0,OFFSET(INDIRECT(ADDRESS(1,4,1,1,Info!$B$1&amp;" Power")),MATCH($A8,OFFSET(INDIRECT(ADDRESS(1,4,1,1,Info!$B$1&amp;" Power")),3,0,100,1),0)+2,9,1,1))</f>
        <v>0</v>
      </c>
      <c r="T8" s="7">
        <f ca="1">OFFSET('IP Dynamic Power Data'!$A$1,MATCH($A8,'IP Dynamic Power Data'!A:A,0)+1,MATCH($F8,OFFSET('IP Dynamic Power Data'!$A$1,MATCH($A8,'IP Dynamic Power Data'!A:A,0)-1,0,1,10),0)-1)</f>
        <v>0</v>
      </c>
      <c r="U8" s="7">
        <f ca="1">OFFSET('IP Dynamic Power Data'!$A$1,MATCH($A8,'IP Dynamic Power Data'!A:A,0)+1,MATCH("idle",OFFSET('IP Dynamic Power Data'!$A$1,MATCH($A8,'IP Dynamic Power Data'!A:A,0)-1,0,1,10),0)-1)</f>
        <v>0</v>
      </c>
      <c r="V8" s="7">
        <f ca="1" t="shared" si="3"/>
        <v>1.15</v>
      </c>
      <c r="W8" s="7">
        <f ca="1" t="shared" si="4"/>
        <v>650</v>
      </c>
      <c r="X8" s="7">
        <f ca="1" t="shared" si="5"/>
        <v>0</v>
      </c>
      <c r="Y8" s="7">
        <f ca="1">IF(MATCH($B8,$B:$B,0)=ROW($B8),OFFSET('SoC Leakage'!$G$1,MATCH($B8,'SoC Leakage'!A:A,0)-1,0)*EXP(OFFSET('SoC Leakage'!$H$1,MATCH($B8,'SoC Leakage'!A:A,0)-1,0)*$V8)*EXP((OFFSET('SoC Leakage'!$I$1,MATCH($B8,'SoC Leakage'!A:A,0)-1,0)*$V8+OFFSET('SoC Leakage'!$J$1,MATCH($B8,'SoC Leakage'!A:A,0)-1,0))*Tj_eff),0)*1000</f>
        <v>6.590362778737589</v>
      </c>
    </row>
    <row r="9" spans="1:25" ht="15">
      <c r="A9" t="s">
        <v>173</v>
      </c>
      <c r="B9" t="str">
        <f ca="1">OFFSET('IP Dynamic Power Data'!$C$1,MATCH($A9,'IP Dynamic Power Data'!$A:$A,0)-1,0)</f>
        <v>EVE3</v>
      </c>
      <c r="C9" t="s">
        <v>76</v>
      </c>
      <c r="D9" t="str">
        <f ca="1">OFFSET('IP Dynamic Power Data'!$B$1,MATCH($A9,'IP Dynamic Power Data'!$A:$A,0)-1,0)</f>
        <v>Core</v>
      </c>
      <c r="E9" t="str">
        <f ca="1">OFFSET(INDIRECT(ADDRESS(1,4,1,1,Info!$B$1&amp;" Power")),MATCH($A9,OFFSET(INDIRECT(ADDRESS(1,4,1,1,Info!$B$1&amp;" Power")),3,0,100,1),0)+2,4,1,1)</f>
        <v>Disabled</v>
      </c>
      <c r="F9" t="str">
        <f ca="1">OFFSET(INDIRECT(ADDRESS(1,4,1,1,Info!$B$1&amp;" Power")),MATCH($A9,OFFSET(INDIRECT(ADDRESS(1,4,1,1,Info!$B$1&amp;" Power")),3,0,100,1),0)+2,6,1,1)</f>
        <v>idle</v>
      </c>
      <c r="G9" s="17">
        <f ca="1">OFFSET(INDIRECT(ADDRESS(1,4,1,1,Info!$B$1&amp;" Power")),MATCH($A9,OFFSET(INDIRECT(ADDRESS(1,4,1,1,Info!$B$1&amp;" Power")),3,0,100,1),0)+2,7,1,1)</f>
        <v>0</v>
      </c>
      <c r="H9">
        <f ca="1" t="shared" si="6"/>
        <v>0</v>
      </c>
      <c r="I9">
        <f ca="1" t="shared" si="1"/>
        <v>0</v>
      </c>
      <c r="J9" t="str">
        <f ca="1">OFFSET('Power Domain Map'!$A$1,MATCH($C9,'Power Domain Map'!$A:$A,0)-1,2,1,1)</f>
        <v>Disabled</v>
      </c>
      <c r="K9" s="17">
        <f ca="1">OFFSET('Power Domain Map'!$A$1,MATCH($C9,'Power Domain Map'!$A:$A,0)-1,3,1,1)</f>
        <v>0</v>
      </c>
      <c r="L9">
        <f ca="1">OFFSET('IP Dynamic Power Data'!$A$1,MATCH($A9,'IP Dynamic Power Data'!A:A,0),MATCH($F9,OFFSET('IP Dynamic Power Data'!$A$1,MATCH($A9,'IP Dynamic Power Data'!A:A,0)-1,0,1,10),0)-1)</f>
        <v>0.07</v>
      </c>
      <c r="M9">
        <f ca="1">OFFSET('IP Dynamic Power Data'!$A$1,MATCH($A9,'IP Dynamic Power Data'!A:A,0),MATCH("idle",OFFSET('IP Dynamic Power Data'!$A$1,MATCH($A9,'IP Dynamic Power Data'!A:A,0)-1,0,1,10),0)-1)</f>
        <v>0.07</v>
      </c>
      <c r="N9">
        <f ca="1">OFFSET(INDIRECT(ADDRESS(1,4,1,1,Info!$B$1&amp;" Power")),MATCH($A9,OFFSET(INDIRECT(ADDRESS(1,4,1,1,Info!$B$1&amp;" Power")),3,0,100,1),0)+2,1,1,1)</f>
        <v>1.15</v>
      </c>
      <c r="O9">
        <f ca="1">OFFSET(INDIRECT(ADDRESS(1,4,1,1,Info!$B$1&amp;" Power")),MATCH($A9,OFFSET(INDIRECT(ADDRESS(1,4,1,1,Info!$B$1&amp;" Power")),3,0,100,1),0)+2,2,1,1)</f>
        <v>650</v>
      </c>
      <c r="P9" s="7">
        <f ca="1" t="shared" si="2"/>
        <v>0</v>
      </c>
      <c r="Q9" s="7">
        <f ca="1">IF(MATCH($B9,$B:$B,0)=ROW($B9),OFFSET('SoC Leakage'!$B$1,MATCH($B9,'SoC Leakage'!A:A,0)-1,0)*EXP(OFFSET('SoC Leakage'!$C$1,MATCH($B9,'SoC Leakage'!A:A,0)-1,0)*$N9)*EXP((OFFSET('SoC Leakage'!$D$1,MATCH($B9,'SoC Leakage'!A:A,0)-1,0)*$N9+OFFSET('SoC Leakage'!$E$1,MATCH($B9,'SoC Leakage'!A:A,0)-1,0))*Tj_eff),0)*1000*IF(OR(E9="AutoPD with Ret",E9="Auto"),G9*(F9&lt;&gt;"idle")+(100-G9*(F9&lt;&gt;"idle"))*0.1,IF(E9="AutoPD",G9*(F9&lt;&gt;"idle")+(100-G9*(F9&lt;&gt;"idle"))*0.05,100))/100*1.03</f>
        <v>73.94892173454855</v>
      </c>
      <c r="R9" s="7">
        <f ca="1">IF($E9="Disabled",0,OFFSET(INDIRECT(ADDRESS(1,4,1,1,Info!$B$1&amp;" Power")),MATCH($A9,OFFSET(INDIRECT(ADDRESS(1,4,1,1,Info!$B$1&amp;" Power")),3,0,100,1),0)+2,8,1,1))</f>
        <v>0</v>
      </c>
      <c r="S9" s="7">
        <f ca="1">IF($E9="Disabled",0,OFFSET(INDIRECT(ADDRESS(1,4,1,1,Info!$B$1&amp;" Power")),MATCH($A9,OFFSET(INDIRECT(ADDRESS(1,4,1,1,Info!$B$1&amp;" Power")),3,0,100,1),0)+2,9,1,1))</f>
        <v>0</v>
      </c>
      <c r="T9" s="7">
        <f ca="1">OFFSET('IP Dynamic Power Data'!$A$1,MATCH($A9,'IP Dynamic Power Data'!A:A,0)+1,MATCH($F9,OFFSET('IP Dynamic Power Data'!$A$1,MATCH($A9,'IP Dynamic Power Data'!A:A,0)-1,0,1,10),0)-1)</f>
        <v>0</v>
      </c>
      <c r="U9" s="7">
        <f ca="1">OFFSET('IP Dynamic Power Data'!$A$1,MATCH($A9,'IP Dynamic Power Data'!A:A,0)+1,MATCH("idle",OFFSET('IP Dynamic Power Data'!$A$1,MATCH($A9,'IP Dynamic Power Data'!A:A,0)-1,0,1,10),0)-1)</f>
        <v>0</v>
      </c>
      <c r="V9" s="7">
        <f ca="1" t="shared" si="3"/>
        <v>1.15</v>
      </c>
      <c r="W9" s="7">
        <f ca="1" t="shared" si="4"/>
        <v>650</v>
      </c>
      <c r="X9" s="7">
        <f ca="1" t="shared" si="5"/>
        <v>0</v>
      </c>
      <c r="Y9" s="7">
        <f ca="1">IF(MATCH($B9,$B:$B,0)=ROW($B9),OFFSET('SoC Leakage'!$G$1,MATCH($B9,'SoC Leakage'!A:A,0)-1,0)*EXP(OFFSET('SoC Leakage'!$H$1,MATCH($B9,'SoC Leakage'!A:A,0)-1,0)*$V9)*EXP((OFFSET('SoC Leakage'!$I$1,MATCH($B9,'SoC Leakage'!A:A,0)-1,0)*$V9+OFFSET('SoC Leakage'!$J$1,MATCH($B9,'SoC Leakage'!A:A,0)-1,0))*Tj_eff),0)*1000</f>
        <v>6.590362778737589</v>
      </c>
    </row>
    <row r="10" spans="1:25" ht="15">
      <c r="A10" t="s">
        <v>174</v>
      </c>
      <c r="B10" t="str">
        <f ca="1">OFFSET('IP Dynamic Power Data'!$C$1,MATCH($A10,'IP Dynamic Power Data'!$A:$A,0)-1,0)</f>
        <v>EVE4</v>
      </c>
      <c r="C10" t="s">
        <v>77</v>
      </c>
      <c r="D10" t="str">
        <f ca="1">OFFSET('IP Dynamic Power Data'!$B$1,MATCH($A10,'IP Dynamic Power Data'!$A:$A,0)-1,0)</f>
        <v>Core</v>
      </c>
      <c r="E10" t="str">
        <f ca="1">OFFSET(INDIRECT(ADDRESS(1,4,1,1,Info!$B$1&amp;" Power")),MATCH($A10,OFFSET(INDIRECT(ADDRESS(1,4,1,1,Info!$B$1&amp;" Power")),3,0,100,1),0)+2,4,1,1)</f>
        <v>Disabled</v>
      </c>
      <c r="F10" t="str">
        <f ca="1">OFFSET(INDIRECT(ADDRESS(1,4,1,1,Info!$B$1&amp;" Power")),MATCH($A10,OFFSET(INDIRECT(ADDRESS(1,4,1,1,Info!$B$1&amp;" Power")),3,0,100,1),0)+2,6,1,1)</f>
        <v>idle</v>
      </c>
      <c r="G10" s="17">
        <f ca="1">OFFSET(INDIRECT(ADDRESS(1,4,1,1,Info!$B$1&amp;" Power")),MATCH($A10,OFFSET(INDIRECT(ADDRESS(1,4,1,1,Info!$B$1&amp;" Power")),3,0,100,1),0)+2,7,1,1)</f>
        <v>0</v>
      </c>
      <c r="H10">
        <f ca="1" t="shared" si="6"/>
        <v>0</v>
      </c>
      <c r="I10">
        <f ca="1" t="shared" si="1"/>
        <v>0</v>
      </c>
      <c r="J10" t="str">
        <f ca="1">OFFSET('Power Domain Map'!$A$1,MATCH($C10,'Power Domain Map'!$A:$A,0)-1,2,1,1)</f>
        <v>Disabled</v>
      </c>
      <c r="K10" s="17">
        <f ca="1">OFFSET('Power Domain Map'!$A$1,MATCH($C10,'Power Domain Map'!$A:$A,0)-1,3,1,1)</f>
        <v>0</v>
      </c>
      <c r="L10">
        <f ca="1">OFFSET('IP Dynamic Power Data'!$A$1,MATCH($A10,'IP Dynamic Power Data'!A:A,0),MATCH($F10,OFFSET('IP Dynamic Power Data'!$A$1,MATCH($A10,'IP Dynamic Power Data'!A:A,0)-1,0,1,10),0)-1)</f>
        <v>0.07</v>
      </c>
      <c r="M10">
        <f ca="1">OFFSET('IP Dynamic Power Data'!$A$1,MATCH($A10,'IP Dynamic Power Data'!A:A,0),MATCH("idle",OFFSET('IP Dynamic Power Data'!$A$1,MATCH($A10,'IP Dynamic Power Data'!A:A,0)-1,0,1,10),0)-1)</f>
        <v>0.07</v>
      </c>
      <c r="N10">
        <f ca="1">OFFSET(INDIRECT(ADDRESS(1,4,1,1,Info!$B$1&amp;" Power")),MATCH($A10,OFFSET(INDIRECT(ADDRESS(1,4,1,1,Info!$B$1&amp;" Power")),3,0,100,1),0)+2,1,1,1)</f>
        <v>1.15</v>
      </c>
      <c r="O10">
        <f ca="1">OFFSET(INDIRECT(ADDRESS(1,4,1,1,Info!$B$1&amp;" Power")),MATCH($A10,OFFSET(INDIRECT(ADDRESS(1,4,1,1,Info!$B$1&amp;" Power")),3,0,100,1),0)+2,2,1,1)</f>
        <v>650</v>
      </c>
      <c r="P10" s="7">
        <f ca="1" t="shared" si="2"/>
        <v>0</v>
      </c>
      <c r="Q10" s="7">
        <f ca="1">IF(MATCH($B10,$B:$B,0)=ROW($B10),OFFSET('SoC Leakage'!$B$1,MATCH($B10,'SoC Leakage'!A:A,0)-1,0)*EXP(OFFSET('SoC Leakage'!$C$1,MATCH($B10,'SoC Leakage'!A:A,0)-1,0)*$N10)*EXP((OFFSET('SoC Leakage'!$D$1,MATCH($B10,'SoC Leakage'!A:A,0)-1,0)*$N10+OFFSET('SoC Leakage'!$E$1,MATCH($B10,'SoC Leakage'!A:A,0)-1,0))*Tj_eff),0)*1000*IF(OR(E10="AutoPD with Ret",E10="Auto"),G10*(F10&lt;&gt;"idle")+(100-G10*(F10&lt;&gt;"idle"))*0.1,IF(E10="AutoPD",G10*(F10&lt;&gt;"idle")+(100-G10*(F10&lt;&gt;"idle"))*0.05,100))/100*1.03</f>
        <v>73.94892173454855</v>
      </c>
      <c r="R10" s="7">
        <f ca="1">IF($E10="Disabled",0,OFFSET(INDIRECT(ADDRESS(1,4,1,1,Info!$B$1&amp;" Power")),MATCH($A10,OFFSET(INDIRECT(ADDRESS(1,4,1,1,Info!$B$1&amp;" Power")),3,0,100,1),0)+2,8,1,1))</f>
        <v>0</v>
      </c>
      <c r="S10" s="7">
        <f ca="1">IF($E10="Disabled",0,OFFSET(INDIRECT(ADDRESS(1,4,1,1,Info!$B$1&amp;" Power")),MATCH($A10,OFFSET(INDIRECT(ADDRESS(1,4,1,1,Info!$B$1&amp;" Power")),3,0,100,1),0)+2,9,1,1))</f>
        <v>0</v>
      </c>
      <c r="T10" s="7">
        <f ca="1">OFFSET('IP Dynamic Power Data'!$A$1,MATCH($A10,'IP Dynamic Power Data'!A:A,0)+1,MATCH($F10,OFFSET('IP Dynamic Power Data'!$A$1,MATCH($A10,'IP Dynamic Power Data'!A:A,0)-1,0,1,10),0)-1)</f>
        <v>0</v>
      </c>
      <c r="U10" s="7">
        <f ca="1">OFFSET('IP Dynamic Power Data'!$A$1,MATCH($A10,'IP Dynamic Power Data'!A:A,0)+1,MATCH("idle",OFFSET('IP Dynamic Power Data'!$A$1,MATCH($A10,'IP Dynamic Power Data'!A:A,0)-1,0,1,10),0)-1)</f>
        <v>0</v>
      </c>
      <c r="V10" s="7">
        <f ca="1" t="shared" si="3"/>
        <v>1.15</v>
      </c>
      <c r="W10" s="7">
        <f ca="1" t="shared" si="4"/>
        <v>650</v>
      </c>
      <c r="X10" s="7">
        <f ca="1" t="shared" si="5"/>
        <v>0</v>
      </c>
      <c r="Y10" s="7">
        <f ca="1">IF(MATCH($B10,$B:$B,0)=ROW($B10),OFFSET('SoC Leakage'!$G$1,MATCH($B10,'SoC Leakage'!A:A,0)-1,0)*EXP(OFFSET('SoC Leakage'!$H$1,MATCH($B10,'SoC Leakage'!A:A,0)-1,0)*$V10)*EXP((OFFSET('SoC Leakage'!$I$1,MATCH($B10,'SoC Leakage'!A:A,0)-1,0)*$V10+OFFSET('SoC Leakage'!$J$1,MATCH($B10,'SoC Leakage'!A:A,0)-1,0))*Tj_eff),0)*1000</f>
        <v>6.590362778737589</v>
      </c>
    </row>
    <row r="11" spans="1:25" ht="15">
      <c r="A11" t="s">
        <v>9</v>
      </c>
      <c r="B11" t="str">
        <f ca="1">OFFSET('IP Dynamic Power Data'!$C$1,MATCH($A11,'IP Dynamic Power Data'!$A:$A,0)-1,0)</f>
        <v>IVA</v>
      </c>
      <c r="C11" t="s">
        <v>98</v>
      </c>
      <c r="D11" t="str">
        <f ca="1">OFFSET('IP Dynamic Power Data'!$B$1,MATCH($A11,'IP Dynamic Power Data'!$A:$A,0)-1,0)</f>
        <v>Core</v>
      </c>
      <c r="E11" t="str">
        <f ca="1">OFFSET(INDIRECT(ADDRESS(1,4,1,1,Info!$B$1&amp;" Power")),MATCH($A11,OFFSET(INDIRECT(ADDRESS(1,4,1,1,Info!$B$1&amp;" Power")),3,0,100,1),0)+2,4,1,1)</f>
        <v>Always enabled</v>
      </c>
      <c r="F11" t="str">
        <f ca="1">OFFSET(INDIRECT(ADDRESS(1,4,1,1,Info!$B$1&amp;" Power")),MATCH($A11,OFFSET(INDIRECT(ADDRESS(1,4,1,1,Info!$B$1&amp;" Power")),3,0,100,1),0)+2,6,1,1)</f>
        <v>decode</v>
      </c>
      <c r="G11" s="17">
        <f ca="1">OFFSET(INDIRECT(ADDRESS(1,4,1,1,Info!$B$1&amp;" Power")),MATCH($A11,OFFSET(INDIRECT(ADDRESS(1,4,1,1,Info!$B$1&amp;" Power")),3,0,100,1),0)+2,7,1,1)</f>
        <v>90</v>
      </c>
      <c r="H11">
        <f ca="1" t="shared" si="6"/>
        <v>1</v>
      </c>
      <c r="I11">
        <f ca="1" t="shared" si="1"/>
        <v>0</v>
      </c>
      <c r="J11" t="str">
        <f ca="1">OFFSET('Power Domain Map'!$A$1,MATCH($C11,'Power Domain Map'!$A:$A,0)-1,2,1,1)</f>
        <v>AlwaysOn</v>
      </c>
      <c r="K11" s="17">
        <f ca="1">OFFSET('Power Domain Map'!$A$1,MATCH($C11,'Power Domain Map'!$A:$A,0)-1,3,1,1)</f>
        <v>100</v>
      </c>
      <c r="L11">
        <f ca="1">OFFSET('IP Dynamic Power Data'!$A$1,MATCH($A11,'IP Dynamic Power Data'!A:A,0),MATCH($F11,OFFSET('IP Dynamic Power Data'!$A$1,MATCH($A11,'IP Dynamic Power Data'!A:A,0)-1,0,1,10),0)-1)</f>
        <v>0.4</v>
      </c>
      <c r="M11">
        <f ca="1">OFFSET('IP Dynamic Power Data'!$A$1,MATCH($A11,'IP Dynamic Power Data'!A:A,0),MATCH("idle",OFFSET('IP Dynamic Power Data'!$A$1,MATCH($A11,'IP Dynamic Power Data'!A:A,0)-1,0,1,10),0)-1)</f>
        <v>0.02</v>
      </c>
      <c r="N11">
        <f ca="1">OFFSET(INDIRECT(ADDRESS(1,4,1,1,Info!$B$1&amp;" Power")),MATCH($A11,OFFSET(INDIRECT(ADDRESS(1,4,1,1,Info!$B$1&amp;" Power")),3,0,100,1),0)+2,1,1,1)</f>
        <v>1.15</v>
      </c>
      <c r="O11">
        <f ca="1">OFFSET(INDIRECT(ADDRESS(1,4,1,1,Info!$B$1&amp;" Power")),MATCH($A11,OFFSET(INDIRECT(ADDRESS(1,4,1,1,Info!$B$1&amp;" Power")),3,0,100,1),0)+2,2,1,1)</f>
        <v>532</v>
      </c>
      <c r="P11" s="7">
        <f ca="1" t="shared" si="2"/>
        <v>254.69233999999997</v>
      </c>
      <c r="Q11" s="7">
        <f ca="1">IF(MATCH($B11,$B:$B,0)=ROW($B11),OFFSET('SoC Leakage'!$B$1,MATCH($B11,'SoC Leakage'!A:A,0)-1,0)*EXP(OFFSET('SoC Leakage'!$C$1,MATCH($B11,'SoC Leakage'!A:A,0)-1,0)*$N11)*EXP((OFFSET('SoC Leakage'!$D$1,MATCH($B11,'SoC Leakage'!A:A,0)-1,0)*$N11+OFFSET('SoC Leakage'!$E$1,MATCH($B11,'SoC Leakage'!A:A,0)-1,0))*Tj_eff),0)*1000*IF(OR(E11="AutoPD with Ret",E11="Auto"),G11*(F11&lt;&gt;"idle")+(100-G11*(F11&lt;&gt;"idle"))*0.1,IF(E11="AutoPD",G11*(F11&lt;&gt;"idle")+(100-G11*(F11&lt;&gt;"idle"))*0.05,100))/100*1.03</f>
        <v>76.09865420561438</v>
      </c>
      <c r="R11" s="7">
        <f ca="1">IF($E11="Disabled",0,OFFSET(INDIRECT(ADDRESS(1,4,1,1,Info!$B$1&amp;" Power")),MATCH($A11,OFFSET(INDIRECT(ADDRESS(1,4,1,1,Info!$B$1&amp;" Power")),3,0,100,1),0)+2,8,1,1))</f>
        <v>165</v>
      </c>
      <c r="S11" s="7">
        <f ca="1">IF($E11="Disabled",0,OFFSET(INDIRECT(ADDRESS(1,4,1,1,Info!$B$1&amp;" Power")),MATCH($A11,OFFSET(INDIRECT(ADDRESS(1,4,1,1,Info!$B$1&amp;" Power")),3,0,100,1),0)+2,9,1,1))</f>
        <v>0</v>
      </c>
      <c r="T11" s="7">
        <f ca="1">OFFSET('IP Dynamic Power Data'!$A$1,MATCH($A11,'IP Dynamic Power Data'!A:A,0)+1,MATCH($F11,OFFSET('IP Dynamic Power Data'!$A$1,MATCH($A11,'IP Dynamic Power Data'!A:A,0)-1,0,1,10),0)-1)</f>
        <v>0</v>
      </c>
      <c r="U11" s="7">
        <f ca="1">OFFSET('IP Dynamic Power Data'!$A$1,MATCH($A11,'IP Dynamic Power Data'!A:A,0)+1,MATCH("idle",OFFSET('IP Dynamic Power Data'!$A$1,MATCH($A11,'IP Dynamic Power Data'!A:A,0)-1,0,1,10),0)-1)</f>
        <v>0</v>
      </c>
      <c r="V11" s="7">
        <f ca="1" t="shared" si="3"/>
        <v>1.15</v>
      </c>
      <c r="W11" s="7">
        <f ca="1" t="shared" si="4"/>
        <v>532</v>
      </c>
      <c r="X11" s="7">
        <f ca="1" t="shared" si="5"/>
        <v>0</v>
      </c>
      <c r="Y11" s="7">
        <f ca="1">IF(MATCH($B11,$B:$B,0)=ROW($B11),OFFSET('SoC Leakage'!$G$1,MATCH($B11,'SoC Leakage'!A:A,0)-1,0)*EXP(OFFSET('SoC Leakage'!$H$1,MATCH($B11,'SoC Leakage'!A:A,0)-1,0)*$V11)*EXP((OFFSET('SoC Leakage'!$I$1,MATCH($B11,'SoC Leakage'!A:A,0)-1,0)*$V11+OFFSET('SoC Leakage'!$J$1,MATCH($B11,'SoC Leakage'!A:A,0)-1,0))*Tj_eff),0)*1000</f>
        <v>3.625097264932754</v>
      </c>
    </row>
    <row r="12" spans="1:25" ht="15">
      <c r="A12" s="1" t="s">
        <v>287</v>
      </c>
      <c r="B12" t="str">
        <f ca="1">OFFSET('IP Dynamic Power Data'!$C$1,MATCH($A12,'IP Dynamic Power Data'!$A:$A,0)-1,0)</f>
        <v>GPU_HYDRA</v>
      </c>
      <c r="C12" t="s">
        <v>99</v>
      </c>
      <c r="D12" t="str">
        <f ca="1">OFFSET('IP Dynamic Power Data'!$B$1,MATCH($A12,'IP Dynamic Power Data'!$A:$A,0)-1,0)</f>
        <v>Core</v>
      </c>
      <c r="E12" t="str">
        <f ca="1">OFFSET(INDIRECT(ADDRESS(1,4,1,1,Info!$B$1&amp;" Power")),MATCH($A12,OFFSET(INDIRECT(ADDRESS(1,4,1,1,Info!$B$1&amp;" Power")),3,0,100,1),0)+2,4,1,1)</f>
        <v>Disabled</v>
      </c>
      <c r="F12" t="str">
        <f ca="1">OFFSET(INDIRECT(ADDRESS(1,4,1,1,Info!$B$1&amp;" Power")),MATCH($A12,OFFSET(INDIRECT(ADDRESS(1,4,1,1,Info!$B$1&amp;" Power")),3,0,100,1),0)+2,6,1,1)</f>
        <v>idle</v>
      </c>
      <c r="G12" s="17">
        <f ca="1">OFFSET(INDIRECT(ADDRESS(1,4,1,1,Info!$B$1&amp;" Power")),MATCH($A12,OFFSET(INDIRECT(ADDRESS(1,4,1,1,Info!$B$1&amp;" Power")),3,0,100,1),0)+2,7,1,1)</f>
        <v>0</v>
      </c>
      <c r="H12">
        <f ca="1" t="shared" si="6"/>
        <v>0</v>
      </c>
      <c r="I12">
        <f ca="1" t="shared" si="1"/>
        <v>0</v>
      </c>
      <c r="J12" t="str">
        <f ca="1">OFFSET('Power Domain Map'!$A$1,MATCH($C12,'Power Domain Map'!$A:$A,0)-1,2,1,1)</f>
        <v>Disabled</v>
      </c>
      <c r="K12" s="17">
        <f ca="1">OFFSET('Power Domain Map'!$A$1,MATCH($C12,'Power Domain Map'!$A:$A,0)-1,3,1,1)</f>
        <v>0</v>
      </c>
      <c r="L12">
        <f ca="1">OFFSET('IP Dynamic Power Data'!$A$1,MATCH($A12,'IP Dynamic Power Data'!A:A,0),MATCH($F12,OFFSET('IP Dynamic Power Data'!$A$1,MATCH($A12,'IP Dynamic Power Data'!A:A,0)-1,0,1,10),0)-1)</f>
        <v>0.00168</v>
      </c>
      <c r="M12">
        <f ca="1">OFFSET('IP Dynamic Power Data'!$A$1,MATCH($A12,'IP Dynamic Power Data'!A:A,0),MATCH("idle",OFFSET('IP Dynamic Power Data'!$A$1,MATCH($A12,'IP Dynamic Power Data'!A:A,0)-1,0,1,10),0)-1)</f>
        <v>0.00168</v>
      </c>
      <c r="N12">
        <f ca="1">OFFSET(INDIRECT(ADDRESS(1,4,1,1,Info!$B$1&amp;" Power")),MATCH($A12,OFFSET(INDIRECT(ADDRESS(1,4,1,1,Info!$B$1&amp;" Power")),3,0,100,1),0)+2,1,1,1)</f>
        <v>1.15</v>
      </c>
      <c r="O12">
        <f ca="1">OFFSET(INDIRECT(ADDRESS(1,4,1,1,Info!$B$1&amp;" Power")),MATCH($A12,OFFSET(INDIRECT(ADDRESS(1,4,1,1,Info!$B$1&amp;" Power")),3,0,100,1),0)+2,2,1,1)</f>
        <v>532</v>
      </c>
      <c r="P12" s="7">
        <f ca="1" t="shared" si="2"/>
        <v>0</v>
      </c>
      <c r="Q12" s="7">
        <f ca="1">IF(MATCH($B12,$B:$B,0)=ROW($B12),OFFSET('SoC Leakage'!$B$1,MATCH($B12,'SoC Leakage'!A:A,0)-1,0)*EXP(OFFSET('SoC Leakage'!$C$1,MATCH($B12,'SoC Leakage'!A:A,0)-1,0)*$N12)*EXP((OFFSET('SoC Leakage'!$D$1,MATCH($B12,'SoC Leakage'!A:A,0)-1,0)*$N12+OFFSET('SoC Leakage'!$E$1,MATCH($B12,'SoC Leakage'!A:A,0)-1,0))*Tj_eff),0)*1000*IF(OR(E12="AutoPD with Ret",E12="Auto"),G12*(F12&lt;&gt;"idle")+(100-G12*(F12&lt;&gt;"idle"))*0.1,IF(E12="AutoPD",G12*(F12&lt;&gt;"idle")+(100-G12*(F12&lt;&gt;"idle"))*0.05,100))/100*1.03</f>
        <v>98.39390812760297</v>
      </c>
      <c r="R12" s="7">
        <f ca="1">IF($E12="Disabled",0,OFFSET(INDIRECT(ADDRESS(1,4,1,1,Info!$B$1&amp;" Power")),MATCH($A12,OFFSET(INDIRECT(ADDRESS(1,4,1,1,Info!$B$1&amp;" Power")),3,0,100,1),0)+2,8,1,1))</f>
        <v>0</v>
      </c>
      <c r="S12" s="7">
        <f ca="1">IF($E12="Disabled",0,OFFSET(INDIRECT(ADDRESS(1,4,1,1,Info!$B$1&amp;" Power")),MATCH($A12,OFFSET(INDIRECT(ADDRESS(1,4,1,1,Info!$B$1&amp;" Power")),3,0,100,1),0)+2,9,1,1))</f>
        <v>0</v>
      </c>
      <c r="T12" s="7">
        <f ca="1">OFFSET('IP Dynamic Power Data'!$A$1,MATCH($A12,'IP Dynamic Power Data'!A:A,0)+1,MATCH($F12,OFFSET('IP Dynamic Power Data'!$A$1,MATCH($A12,'IP Dynamic Power Data'!A:A,0)-1,0,1,10),0)-1)</f>
        <v>0</v>
      </c>
      <c r="U12" s="7">
        <f ca="1">OFFSET('IP Dynamic Power Data'!$A$1,MATCH($A12,'IP Dynamic Power Data'!A:A,0)+1,MATCH("idle",OFFSET('IP Dynamic Power Data'!$A$1,MATCH($A12,'IP Dynamic Power Data'!A:A,0)-1,0,1,10),0)-1)</f>
        <v>0</v>
      </c>
      <c r="V12" s="7">
        <f ca="1" t="shared" si="3"/>
        <v>1.15</v>
      </c>
      <c r="W12" s="7">
        <f ca="1" t="shared" si="4"/>
        <v>532</v>
      </c>
      <c r="X12" s="7">
        <f ca="1" t="shared" si="5"/>
        <v>0</v>
      </c>
      <c r="Y12" s="7">
        <f ca="1">IF(MATCH($B12,$B:$B,0)=ROW($B12),OFFSET('SoC Leakage'!$G$1,MATCH($B12,'SoC Leakage'!A:A,0)-1,0)*EXP(OFFSET('SoC Leakage'!$H$1,MATCH($B12,'SoC Leakage'!A:A,0)-1,0)*$V12)*EXP((OFFSET('SoC Leakage'!$I$1,MATCH($B12,'SoC Leakage'!A:A,0)-1,0)*$V12+OFFSET('SoC Leakage'!$J$1,MATCH($B12,'SoC Leakage'!A:A,0)-1,0))*Tj_eff),0)*1000</f>
        <v>3.5820484059362054</v>
      </c>
    </row>
    <row r="13" spans="1:25" ht="15">
      <c r="A13" s="10" t="s">
        <v>288</v>
      </c>
      <c r="B13" t="str">
        <f ca="1">OFFSET('IP Dynamic Power Data'!$C$1,MATCH($A13,'IP Dynamic Power Data'!$A:$A,0)-1,0)</f>
        <v>GPU_CORE0</v>
      </c>
      <c r="C13" t="s">
        <v>99</v>
      </c>
      <c r="D13" t="str">
        <f ca="1">OFFSET('IP Dynamic Power Data'!$B$1,MATCH($A13,'IP Dynamic Power Data'!$A:$A,0)-1,0)</f>
        <v>Core</v>
      </c>
      <c r="E13" t="str">
        <f ca="1">OFFSET(INDIRECT(ADDRESS(1,4,1,1,Info!$B$1&amp;" Power")),MATCH($A13,OFFSET(INDIRECT(ADDRESS(1,4,1,1,Info!$B$1&amp;" Power")),3,0,100,1),0)+2,4,1,1)</f>
        <v>Disabled</v>
      </c>
      <c r="F13" t="str">
        <f ca="1">OFFSET(INDIRECT(ADDRESS(1,4,1,1,Info!$B$1&amp;" Power")),MATCH($A13,OFFSET(INDIRECT(ADDRESS(1,4,1,1,Info!$B$1&amp;" Power")),3,0,100,1),0)+2,6,1,1)</f>
        <v>idle</v>
      </c>
      <c r="G13" s="17">
        <f ca="1">OFFSET(INDIRECT(ADDRESS(1,4,1,1,Info!$B$1&amp;" Power")),MATCH($A13,OFFSET(INDIRECT(ADDRESS(1,4,1,1,Info!$B$1&amp;" Power")),3,0,100,1),0)+2,7,1,1)</f>
        <v>0</v>
      </c>
      <c r="H13">
        <f aca="true" t="shared" si="7" ref="H13:H14">IF(E13="Always enabled",1,0)</f>
        <v>0</v>
      </c>
      <c r="I13">
        <f ca="1" t="shared" si="1"/>
        <v>0</v>
      </c>
      <c r="J13" t="str">
        <f ca="1">OFFSET('Power Domain Map'!$A$1,MATCH($C13,'Power Domain Map'!$A:$A,0)-1,2,1,1)</f>
        <v>Disabled</v>
      </c>
      <c r="K13" s="17">
        <f ca="1">OFFSET('Power Domain Map'!$A$1,MATCH($C13,'Power Domain Map'!$A:$A,0)-1,3,1,1)</f>
        <v>0</v>
      </c>
      <c r="L13">
        <f ca="1">OFFSET('IP Dynamic Power Data'!$A$1,MATCH($A13,'IP Dynamic Power Data'!A:A,0),MATCH($F13,OFFSET('IP Dynamic Power Data'!$A$1,MATCH($A13,'IP Dynamic Power Data'!A:A,0)-1,0,1,10),0)-1)</f>
        <v>0.00168</v>
      </c>
      <c r="M13">
        <f ca="1">OFFSET('IP Dynamic Power Data'!$A$1,MATCH($A13,'IP Dynamic Power Data'!A:A,0),MATCH("idle",OFFSET('IP Dynamic Power Data'!$A$1,MATCH($A13,'IP Dynamic Power Data'!A:A,0)-1,0,1,10),0)-1)</f>
        <v>0.00168</v>
      </c>
      <c r="N13">
        <f ca="1">OFFSET(INDIRECT(ADDRESS(1,4,1,1,Info!$B$1&amp;" Power")),MATCH($A13,OFFSET(INDIRECT(ADDRESS(1,4,1,1,Info!$B$1&amp;" Power")),3,0,100,1),0)+2,1,1,1)</f>
        <v>1.15</v>
      </c>
      <c r="O13">
        <f ca="1">OFFSET(INDIRECT(ADDRESS(1,4,1,1,Info!$B$1&amp;" Power")),MATCH($A13,OFFSET(INDIRECT(ADDRESS(1,4,1,1,Info!$B$1&amp;" Power")),3,0,100,1),0)+2,2,1,1)</f>
        <v>532</v>
      </c>
      <c r="P13" s="7">
        <f ca="1" t="shared" si="2"/>
        <v>0</v>
      </c>
      <c r="Q13" s="7">
        <f ca="1">IF(MATCH($B13,$B:$B,0)=ROW($B13),OFFSET('SoC Leakage'!$B$1,MATCH($B13,'SoC Leakage'!A:A,0)-1,0)*EXP(OFFSET('SoC Leakage'!$C$1,MATCH($B13,'SoC Leakage'!A:A,0)-1,0)*$N13)*EXP((OFFSET('SoC Leakage'!$D$1,MATCH($B13,'SoC Leakage'!A:A,0)-1,0)*$N13+OFFSET('SoC Leakage'!$E$1,MATCH($B13,'SoC Leakage'!A:A,0)-1,0))*Tj_eff),0)*1000*IF(OR(E13="AutoPD with Ret",E13="Auto"),G13*(F13&lt;&gt;"idle")+(100-G13*(F13&lt;&gt;"idle"))*0.1,IF(E13="AutoPD",G13*(F13&lt;&gt;"idle")+(100-G13*(F13&lt;&gt;"idle"))*0.05,100))/100*1.03</f>
        <v>320.1754597607558</v>
      </c>
      <c r="R13" s="7">
        <f ca="1">IF($E13="Disabled",0,OFFSET(INDIRECT(ADDRESS(1,4,1,1,Info!$B$1&amp;" Power")),MATCH($A13,OFFSET(INDIRECT(ADDRESS(1,4,1,1,Info!$B$1&amp;" Power")),3,0,100,1),0)+2,8,1,1))</f>
        <v>0</v>
      </c>
      <c r="S13" s="7">
        <f ca="1">IF($E13="Disabled",0,OFFSET(INDIRECT(ADDRESS(1,4,1,1,Info!$B$1&amp;" Power")),MATCH($A13,OFFSET(INDIRECT(ADDRESS(1,4,1,1,Info!$B$1&amp;" Power")),3,0,100,1),0)+2,9,1,1))</f>
        <v>0</v>
      </c>
      <c r="T13" s="7">
        <f ca="1">OFFSET('IP Dynamic Power Data'!$A$1,MATCH($A13,'IP Dynamic Power Data'!A:A,0)+1,MATCH($F13,OFFSET('IP Dynamic Power Data'!$A$1,MATCH($A13,'IP Dynamic Power Data'!A:A,0)-1,0,1,10),0)-1)</f>
        <v>0</v>
      </c>
      <c r="U13" s="7">
        <f ca="1">OFFSET('IP Dynamic Power Data'!$A$1,MATCH($A13,'IP Dynamic Power Data'!A:A,0)+1,MATCH("idle",OFFSET('IP Dynamic Power Data'!$A$1,MATCH($A13,'IP Dynamic Power Data'!A:A,0)-1,0,1,10),0)-1)</f>
        <v>0</v>
      </c>
      <c r="V13" s="7">
        <f aca="true" t="shared" si="8" ref="V13:V14">IF(N13&gt;1.15,N13,1.15)</f>
        <v>1.15</v>
      </c>
      <c r="W13" s="7">
        <f aca="true" t="shared" si="9" ref="W13:W14">O13</f>
        <v>532</v>
      </c>
      <c r="X13" s="7">
        <f aca="true" t="shared" si="10" ref="X13:X14">IF(J13="AlwaysOn",G13*T13/100+(1-G13/100)*U13,(IF(J13="Auto",G13/100*T13,0)))*W13*V13*V13</f>
        <v>0</v>
      </c>
      <c r="Y13" s="7">
        <f ca="1">IF(MATCH($B13,$B:$B,0)=ROW($B13),OFFSET('SoC Leakage'!$G$1,MATCH($B13,'SoC Leakage'!A:A,0)-1,0)*EXP(OFFSET('SoC Leakage'!$H$1,MATCH($B13,'SoC Leakage'!A:A,0)-1,0)*$V13)*EXP((OFFSET('SoC Leakage'!$I$1,MATCH($B13,'SoC Leakage'!A:A,0)-1,0)*$V13+OFFSET('SoC Leakage'!$J$1,MATCH($B13,'SoC Leakage'!A:A,0)-1,0))*Tj_eff),0)*1000</f>
        <v>2.096206825010565</v>
      </c>
    </row>
    <row r="14" spans="1:25" ht="15">
      <c r="A14" s="10" t="s">
        <v>289</v>
      </c>
      <c r="B14" t="str">
        <f ca="1">OFFSET('IP Dynamic Power Data'!$C$1,MATCH($A14,'IP Dynamic Power Data'!$A:$A,0)-1,0)</f>
        <v>GPU_CORE1</v>
      </c>
      <c r="C14" t="s">
        <v>99</v>
      </c>
      <c r="D14" t="str">
        <f ca="1">OFFSET('IP Dynamic Power Data'!$B$1,MATCH($A14,'IP Dynamic Power Data'!$A:$A,0)-1,0)</f>
        <v>Core</v>
      </c>
      <c r="E14" t="str">
        <f ca="1">OFFSET(INDIRECT(ADDRESS(1,4,1,1,Info!$B$1&amp;" Power")),MATCH($A14,OFFSET(INDIRECT(ADDRESS(1,4,1,1,Info!$B$1&amp;" Power")),3,0,100,1),0)+2,4,1,1)</f>
        <v>Disabled</v>
      </c>
      <c r="F14" t="str">
        <f ca="1">OFFSET(INDIRECT(ADDRESS(1,4,1,1,Info!$B$1&amp;" Power")),MATCH($A14,OFFSET(INDIRECT(ADDRESS(1,4,1,1,Info!$B$1&amp;" Power")),3,0,100,1),0)+2,6,1,1)</f>
        <v>idle</v>
      </c>
      <c r="G14" s="17">
        <f ca="1">OFFSET(INDIRECT(ADDRESS(1,4,1,1,Info!$B$1&amp;" Power")),MATCH($A14,OFFSET(INDIRECT(ADDRESS(1,4,1,1,Info!$B$1&amp;" Power")),3,0,100,1),0)+2,7,1,1)</f>
        <v>0</v>
      </c>
      <c r="H14">
        <f ca="1" t="shared" si="7"/>
        <v>0</v>
      </c>
      <c r="I14">
        <f ca="1" t="shared" si="1"/>
        <v>0</v>
      </c>
      <c r="J14" t="str">
        <f ca="1">OFFSET('Power Domain Map'!$A$1,MATCH($C14,'Power Domain Map'!$A:$A,0)-1,2,1,1)</f>
        <v>Disabled</v>
      </c>
      <c r="K14" s="17">
        <f ca="1">OFFSET('Power Domain Map'!$A$1,MATCH($C14,'Power Domain Map'!$A:$A,0)-1,3,1,1)</f>
        <v>0</v>
      </c>
      <c r="L14">
        <f ca="1">OFFSET('IP Dynamic Power Data'!$A$1,MATCH($A14,'IP Dynamic Power Data'!A:A,0),MATCH($F14,OFFSET('IP Dynamic Power Data'!$A$1,MATCH($A14,'IP Dynamic Power Data'!A:A,0)-1,0,1,10),0)-1)</f>
        <v>0.00168</v>
      </c>
      <c r="M14">
        <f ca="1">OFFSET('IP Dynamic Power Data'!$A$1,MATCH($A14,'IP Dynamic Power Data'!A:A,0),MATCH("idle",OFFSET('IP Dynamic Power Data'!$A$1,MATCH($A14,'IP Dynamic Power Data'!A:A,0)-1,0,1,10),0)-1)</f>
        <v>0.00168</v>
      </c>
      <c r="N14">
        <f ca="1">OFFSET(INDIRECT(ADDRESS(1,4,1,1,Info!$B$1&amp;" Power")),MATCH($A14,OFFSET(INDIRECT(ADDRESS(1,4,1,1,Info!$B$1&amp;" Power")),3,0,100,1),0)+2,1,1,1)</f>
        <v>1.15</v>
      </c>
      <c r="O14">
        <f ca="1">OFFSET(INDIRECT(ADDRESS(1,4,1,1,Info!$B$1&amp;" Power")),MATCH($A14,OFFSET(INDIRECT(ADDRESS(1,4,1,1,Info!$B$1&amp;" Power")),3,0,100,1),0)+2,2,1,1)</f>
        <v>532</v>
      </c>
      <c r="P14" s="7">
        <f ca="1" t="shared" si="2"/>
        <v>0</v>
      </c>
      <c r="Q14" s="7">
        <f ca="1">IF(MATCH($B14,$B:$B,0)=ROW($B14),OFFSET('SoC Leakage'!$B$1,MATCH($B14,'SoC Leakage'!A:A,0)-1,0)*EXP(OFFSET('SoC Leakage'!$C$1,MATCH($B14,'SoC Leakage'!A:A,0)-1,0)*$N14)*EXP((OFFSET('SoC Leakage'!$D$1,MATCH($B14,'SoC Leakage'!A:A,0)-1,0)*$N14+OFFSET('SoC Leakage'!$E$1,MATCH($B14,'SoC Leakage'!A:A,0)-1,0))*Tj_eff),0)*1000*IF(OR(E14="AutoPD with Ret",E14="Auto"),G14*(F14&lt;&gt;"idle")+(100-G14*(F14&lt;&gt;"idle"))*0.1,IF(E14="AutoPD",G14*(F14&lt;&gt;"idle")+(100-G14*(F14&lt;&gt;"idle"))*0.05,100))/100*1.03</f>
        <v>320.1754597607558</v>
      </c>
      <c r="R14" s="7">
        <f ca="1">IF($E14="Disabled",0,OFFSET(INDIRECT(ADDRESS(1,4,1,1,Info!$B$1&amp;" Power")),MATCH($A14,OFFSET(INDIRECT(ADDRESS(1,4,1,1,Info!$B$1&amp;" Power")),3,0,100,1),0)+2,8,1,1))</f>
        <v>0</v>
      </c>
      <c r="S14" s="7">
        <f ca="1">IF($E14="Disabled",0,OFFSET(INDIRECT(ADDRESS(1,4,1,1,Info!$B$1&amp;" Power")),MATCH($A14,OFFSET(INDIRECT(ADDRESS(1,4,1,1,Info!$B$1&amp;" Power")),3,0,100,1),0)+2,9,1,1))</f>
        <v>0</v>
      </c>
      <c r="T14" s="7">
        <f ca="1">OFFSET('IP Dynamic Power Data'!$A$1,MATCH($A14,'IP Dynamic Power Data'!A:A,0)+1,MATCH($F14,OFFSET('IP Dynamic Power Data'!$A$1,MATCH($A14,'IP Dynamic Power Data'!A:A,0)-1,0,1,10),0)-1)</f>
        <v>0</v>
      </c>
      <c r="U14" s="7">
        <f ca="1">OFFSET('IP Dynamic Power Data'!$A$1,MATCH($A14,'IP Dynamic Power Data'!A:A,0)+1,MATCH("idle",OFFSET('IP Dynamic Power Data'!$A$1,MATCH($A14,'IP Dynamic Power Data'!A:A,0)-1,0,1,10),0)-1)</f>
        <v>0</v>
      </c>
      <c r="V14" s="7">
        <f ca="1" t="shared" si="8"/>
        <v>1.15</v>
      </c>
      <c r="W14" s="7">
        <f ca="1" t="shared" si="9"/>
        <v>532</v>
      </c>
      <c r="X14" s="7">
        <f ca="1" t="shared" si="10"/>
        <v>0</v>
      </c>
      <c r="Y14" s="7">
        <f ca="1">IF(MATCH($B14,$B:$B,0)=ROW($B14),OFFSET('SoC Leakage'!$G$1,MATCH($B14,'SoC Leakage'!A:A,0)-1,0)*EXP(OFFSET('SoC Leakage'!$H$1,MATCH($B14,'SoC Leakage'!A:A,0)-1,0)*$V14)*EXP((OFFSET('SoC Leakage'!$I$1,MATCH($B14,'SoC Leakage'!A:A,0)-1,0)*$V14+OFFSET('SoC Leakage'!$J$1,MATCH($B14,'SoC Leakage'!A:A,0)-1,0))*Tj_eff),0)*1000</f>
        <v>2.096206825010565</v>
      </c>
    </row>
    <row r="15" spans="1:25" ht="15">
      <c r="A15" s="5" t="s">
        <v>175</v>
      </c>
      <c r="B15" t="str">
        <f ca="1">OFFSET('IP Dynamic Power Data'!$C$1,MATCH($A15,'IP Dynamic Power Data'!$A:$A,0)-1,0)</f>
        <v>IPU1</v>
      </c>
      <c r="C15" t="s">
        <v>100</v>
      </c>
      <c r="D15" t="str">
        <f ca="1">OFFSET('IP Dynamic Power Data'!$B$1,MATCH($A15,'IP Dynamic Power Data'!$A:$A,0)-1,0)</f>
        <v>Core</v>
      </c>
      <c r="E15" t="str">
        <f ca="1">OFFSET(INDIRECT(ADDRESS(1,4,1,1,Info!$B$1&amp;" Power")),MATCH($A15,OFFSET(INDIRECT(ADDRESS(1,4,1,1,Info!$B$1&amp;" Power")),3,0,100,1),0)+2,4,1,1)</f>
        <v>Always enabled</v>
      </c>
      <c r="F15" t="str">
        <f ca="1">OFFSET(INDIRECT(ADDRESS(1,4,1,1,Info!$B$1&amp;" Power")),MATCH($A15,OFFSET(INDIRECT(ADDRESS(1,4,1,1,Info!$B$1&amp;" Power")),3,0,100,1),0)+2,6,1,1)</f>
        <v>max</v>
      </c>
      <c r="G15" s="17">
        <f ca="1">OFFSET(INDIRECT(ADDRESS(1,4,1,1,Info!$B$1&amp;" Power")),MATCH($A15,OFFSET(INDIRECT(ADDRESS(1,4,1,1,Info!$B$1&amp;" Power")),3,0,100,1),0)+2,7,1,1)</f>
        <v>90</v>
      </c>
      <c r="H15">
        <f ca="1" t="shared" si="6"/>
        <v>1</v>
      </c>
      <c r="I15">
        <f ca="1" t="shared" si="1"/>
        <v>0</v>
      </c>
      <c r="J15" t="str">
        <f ca="1">OFFSET('Power Domain Map'!$A$1,MATCH($C15,'Power Domain Map'!$A:$A,0)-1,2,1,1)</f>
        <v>AlwaysOn</v>
      </c>
      <c r="K15" s="17">
        <f ca="1">OFFSET('Power Domain Map'!$A$1,MATCH($C15,'Power Domain Map'!$A:$A,0)-1,3,1,1)</f>
        <v>100</v>
      </c>
      <c r="L15">
        <f ca="1">OFFSET('IP Dynamic Power Data'!$A$1,MATCH($A15,'IP Dynamic Power Data'!A:A,0),MATCH($F15,OFFSET('IP Dynamic Power Data'!$A$1,MATCH($A15,'IP Dynamic Power Data'!A:A,0)-1,0,1,10),0)-1)</f>
        <v>0.078</v>
      </c>
      <c r="M15">
        <f ca="1">OFFSET('IP Dynamic Power Data'!$A$1,MATCH($A15,'IP Dynamic Power Data'!A:A,0),MATCH("idle",OFFSET('IP Dynamic Power Data'!$A$1,MATCH($A15,'IP Dynamic Power Data'!A:A,0)-1,0,1,10),0)-1)</f>
        <v>0.0007</v>
      </c>
      <c r="N15">
        <f ca="1">OFFSET(INDIRECT(ADDRESS(1,4,1,1,Info!$B$1&amp;" Power")),MATCH($A15,OFFSET(INDIRECT(ADDRESS(1,4,1,1,Info!$B$1&amp;" Power")),3,0,100,1),0)+2,1,1,1)</f>
        <v>0.92</v>
      </c>
      <c r="O15">
        <f ca="1">OFFSET(INDIRECT(ADDRESS(1,4,1,1,Info!$B$1&amp;" Power")),MATCH($A15,OFFSET(INDIRECT(ADDRESS(1,4,1,1,Info!$B$1&amp;" Power")),3,0,100,1),0)+2,2,1,1)</f>
        <v>212.8</v>
      </c>
      <c r="P15" s="7">
        <f ca="1" t="shared" si="2"/>
        <v>12.656605158400001</v>
      </c>
      <c r="Q15" s="7">
        <f ca="1">IF(MATCH($B15,$B:$B,0)=ROW($B15),OFFSET('SoC Leakage'!$B$1,MATCH($B15,'SoC Leakage'!A:A,0)-1,0)*EXP(OFFSET('SoC Leakage'!$C$1,MATCH($B15,'SoC Leakage'!A:A,0)-1,0)*$N15)*EXP((OFFSET('SoC Leakage'!$D$1,MATCH($B15,'SoC Leakage'!A:A,0)-1,0)*$N15+OFFSET('SoC Leakage'!$E$1,MATCH($B15,'SoC Leakage'!A:A,0)-1,0))*Tj_eff),0)*1000*IF(OR(E15="AutoPD with Ret",E15="Auto"),G15*(F15&lt;&gt;"idle")+(100-G15*(F15&lt;&gt;"idle"))*0.1,IF(E15="AutoPD",G15*(F15&lt;&gt;"idle")+(100-G15*(F15&lt;&gt;"idle"))*0.05,100))/100*1.03</f>
        <v>5.962593092532034</v>
      </c>
      <c r="R15" s="7">
        <f ca="1">IF($E15="Disabled",0,OFFSET(INDIRECT(ADDRESS(1,4,1,1,Info!$B$1&amp;" Power")),MATCH($A15,OFFSET(INDIRECT(ADDRESS(1,4,1,1,Info!$B$1&amp;" Power")),3,0,100,1),0)+2,8,1,1))</f>
        <v>0</v>
      </c>
      <c r="S15" s="7">
        <f ca="1">IF($E15="Disabled",0,OFFSET(INDIRECT(ADDRESS(1,4,1,1,Info!$B$1&amp;" Power")),MATCH($A15,OFFSET(INDIRECT(ADDRESS(1,4,1,1,Info!$B$1&amp;" Power")),3,0,100,1),0)+2,9,1,1))</f>
        <v>0</v>
      </c>
      <c r="T15" s="7">
        <f ca="1">OFFSET('IP Dynamic Power Data'!$A$1,MATCH($A15,'IP Dynamic Power Data'!A:A,0)+1,MATCH($F15,OFFSET('IP Dynamic Power Data'!$A$1,MATCH($A15,'IP Dynamic Power Data'!A:A,0)-1,0,1,10),0)-1)</f>
        <v>0</v>
      </c>
      <c r="U15" s="7">
        <f ca="1">OFFSET('IP Dynamic Power Data'!$A$1,MATCH($A15,'IP Dynamic Power Data'!A:A,0)+1,MATCH("idle",OFFSET('IP Dynamic Power Data'!$A$1,MATCH($A15,'IP Dynamic Power Data'!A:A,0)-1,0,1,10),0)-1)</f>
        <v>0</v>
      </c>
      <c r="V15" s="7">
        <f ca="1" t="shared" si="3"/>
        <v>1.15</v>
      </c>
      <c r="W15" s="7">
        <f ca="1" t="shared" si="4"/>
        <v>212.8</v>
      </c>
      <c r="X15" s="7">
        <f ca="1" t="shared" si="5"/>
        <v>0</v>
      </c>
      <c r="Y15" s="7">
        <f ca="1">IF(MATCH($B15,$B:$B,0)=ROW($B15),OFFSET('SoC Leakage'!$G$1,MATCH($B15,'SoC Leakage'!A:A,0)-1,0)*EXP(OFFSET('SoC Leakage'!$H$1,MATCH($B15,'SoC Leakage'!A:A,0)-1,0)*$V15)*EXP((OFFSET('SoC Leakage'!$I$1,MATCH($B15,'SoC Leakage'!A:A,0)-1,0)*$V15+OFFSET('SoC Leakage'!$J$1,MATCH($B15,'SoC Leakage'!A:A,0)-1,0))*Tj_eff),0)*1000</f>
        <v>1.8494272886876288</v>
      </c>
    </row>
    <row r="16" spans="1:25" ht="15">
      <c r="A16" s="5" t="s">
        <v>176</v>
      </c>
      <c r="B16" t="str">
        <f ca="1">OFFSET('IP Dynamic Power Data'!$C$1,MATCH($A16,'IP Dynamic Power Data'!$A:$A,0)-1,0)</f>
        <v>IPU2</v>
      </c>
      <c r="C16" t="s">
        <v>101</v>
      </c>
      <c r="D16" t="str">
        <f ca="1">OFFSET('IP Dynamic Power Data'!$B$1,MATCH($A16,'IP Dynamic Power Data'!$A:$A,0)-1,0)</f>
        <v>Core</v>
      </c>
      <c r="E16" t="str">
        <f ca="1">OFFSET(INDIRECT(ADDRESS(1,4,1,1,Info!$B$1&amp;" Power")),MATCH($A16,OFFSET(INDIRECT(ADDRESS(1,4,1,1,Info!$B$1&amp;" Power")),3,0,100,1),0)+2,4,1,1)</f>
        <v>Always enabled</v>
      </c>
      <c r="F16" t="str">
        <f ca="1">OFFSET(INDIRECT(ADDRESS(1,4,1,1,Info!$B$1&amp;" Power")),MATCH($A16,OFFSET(INDIRECT(ADDRESS(1,4,1,1,Info!$B$1&amp;" Power")),3,0,100,1),0)+2,6,1,1)</f>
        <v>max</v>
      </c>
      <c r="G16" s="17">
        <f ca="1">OFFSET(INDIRECT(ADDRESS(1,4,1,1,Info!$B$1&amp;" Power")),MATCH($A16,OFFSET(INDIRECT(ADDRESS(1,4,1,1,Info!$B$1&amp;" Power")),3,0,100,1),0)+2,7,1,1)</f>
        <v>90</v>
      </c>
      <c r="H16">
        <f ca="1" t="shared" si="6"/>
        <v>1</v>
      </c>
      <c r="I16">
        <f ca="1" t="shared" si="1"/>
        <v>0</v>
      </c>
      <c r="J16" t="str">
        <f ca="1">OFFSET('Power Domain Map'!$A$1,MATCH($C16,'Power Domain Map'!$A:$A,0)-1,2,1,1)</f>
        <v>AlwaysOn</v>
      </c>
      <c r="K16" s="17">
        <f ca="1">OFFSET('Power Domain Map'!$A$1,MATCH($C16,'Power Domain Map'!$A:$A,0)-1,3,1,1)</f>
        <v>100</v>
      </c>
      <c r="L16">
        <f ca="1">OFFSET('IP Dynamic Power Data'!$A$1,MATCH($A16,'IP Dynamic Power Data'!A:A,0),MATCH($F16,OFFSET('IP Dynamic Power Data'!$A$1,MATCH($A16,'IP Dynamic Power Data'!A:A,0)-1,0,1,10),0)-1)</f>
        <v>0.078</v>
      </c>
      <c r="M16">
        <f ca="1">OFFSET('IP Dynamic Power Data'!$A$1,MATCH($A16,'IP Dynamic Power Data'!A:A,0),MATCH("idle",OFFSET('IP Dynamic Power Data'!$A$1,MATCH($A16,'IP Dynamic Power Data'!A:A,0)-1,0,1,10),0)-1)</f>
        <v>0.0007</v>
      </c>
      <c r="N16">
        <f ca="1">OFFSET(INDIRECT(ADDRESS(1,4,1,1,Info!$B$1&amp;" Power")),MATCH($A16,OFFSET(INDIRECT(ADDRESS(1,4,1,1,Info!$B$1&amp;" Power")),3,0,100,1),0)+2,1,1,1)</f>
        <v>0.92</v>
      </c>
      <c r="O16">
        <f ca="1">OFFSET(INDIRECT(ADDRESS(1,4,1,1,Info!$B$1&amp;" Power")),MATCH($A16,OFFSET(INDIRECT(ADDRESS(1,4,1,1,Info!$B$1&amp;" Power")),3,0,100,1),0)+2,2,1,1)</f>
        <v>212.8</v>
      </c>
      <c r="P16" s="7">
        <f ca="1" t="shared" si="2"/>
        <v>12.656605158400001</v>
      </c>
      <c r="Q16" s="7">
        <f ca="1">IF(MATCH($B16,$B:$B,0)=ROW($B16),OFFSET('SoC Leakage'!$B$1,MATCH($B16,'SoC Leakage'!A:A,0)-1,0)*EXP(OFFSET('SoC Leakage'!$C$1,MATCH($B16,'SoC Leakage'!A:A,0)-1,0)*$N16)*EXP((OFFSET('SoC Leakage'!$D$1,MATCH($B16,'SoC Leakage'!A:A,0)-1,0)*$N16+OFFSET('SoC Leakage'!$E$1,MATCH($B16,'SoC Leakage'!A:A,0)-1,0))*Tj_eff),0)*1000*IF(OR(E16="AutoPD with Ret",E16="Auto"),G16*(F16&lt;&gt;"idle")+(100-G16*(F16&lt;&gt;"idle"))*0.1,IF(E16="AutoPD",G16*(F16&lt;&gt;"idle")+(100-G16*(F16&lt;&gt;"idle"))*0.05,100))/100*1.03</f>
        <v>5.962593092532034</v>
      </c>
      <c r="R16" s="7">
        <f ca="1">IF($E16="Disabled",0,OFFSET(INDIRECT(ADDRESS(1,4,1,1,Info!$B$1&amp;" Power")),MATCH($A16,OFFSET(INDIRECT(ADDRESS(1,4,1,1,Info!$B$1&amp;" Power")),3,0,100,1),0)+2,8,1,1))</f>
        <v>0</v>
      </c>
      <c r="S16" s="7">
        <f ca="1">IF($E16="Disabled",0,OFFSET(INDIRECT(ADDRESS(1,4,1,1,Info!$B$1&amp;" Power")),MATCH($A16,OFFSET(INDIRECT(ADDRESS(1,4,1,1,Info!$B$1&amp;" Power")),3,0,100,1),0)+2,9,1,1))</f>
        <v>0</v>
      </c>
      <c r="T16" s="7">
        <f ca="1">OFFSET('IP Dynamic Power Data'!$A$1,MATCH($A16,'IP Dynamic Power Data'!A:A,0)+1,MATCH($F16,OFFSET('IP Dynamic Power Data'!$A$1,MATCH($A16,'IP Dynamic Power Data'!A:A,0)-1,0,1,10),0)-1)</f>
        <v>0</v>
      </c>
      <c r="U16" s="7">
        <f ca="1">OFFSET('IP Dynamic Power Data'!$A$1,MATCH($A16,'IP Dynamic Power Data'!A:A,0)+1,MATCH("idle",OFFSET('IP Dynamic Power Data'!$A$1,MATCH($A16,'IP Dynamic Power Data'!A:A,0)-1,0,1,10),0)-1)</f>
        <v>0</v>
      </c>
      <c r="V16" s="7">
        <f ca="1" t="shared" si="3"/>
        <v>1.15</v>
      </c>
      <c r="W16" s="7">
        <f ca="1" t="shared" si="4"/>
        <v>212.8</v>
      </c>
      <c r="X16" s="7">
        <f ca="1" t="shared" si="5"/>
        <v>0</v>
      </c>
      <c r="Y16" s="7">
        <f ca="1">IF(MATCH($B16,$B:$B,0)=ROW($B16),OFFSET('SoC Leakage'!$G$1,MATCH($B16,'SoC Leakage'!A:A,0)-1,0)*EXP(OFFSET('SoC Leakage'!$H$1,MATCH($B16,'SoC Leakage'!A:A,0)-1,0)*$V16)*EXP((OFFSET('SoC Leakage'!$I$1,MATCH($B16,'SoC Leakage'!A:A,0)-1,0)*$V16+OFFSET('SoC Leakage'!$J$1,MATCH($B16,'SoC Leakage'!A:A,0)-1,0))*Tj_eff),0)*1000</f>
        <v>1.8494272886876288</v>
      </c>
    </row>
    <row r="17" spans="1:25" ht="15">
      <c r="A17" s="5" t="s">
        <v>205</v>
      </c>
      <c r="B17" t="str">
        <f ca="1">OFFSET('IP Dynamic Power Data'!$C$1,MATCH($A17,'IP Dynamic Power Data'!$A:$A,0)-1,0)</f>
        <v>VIP1</v>
      </c>
      <c r="C17" t="s">
        <v>102</v>
      </c>
      <c r="D17" t="str">
        <f ca="1">OFFSET('IP Dynamic Power Data'!$B$1,MATCH($A17,'IP Dynamic Power Data'!$A:$A,0)-1,0)</f>
        <v>IO</v>
      </c>
      <c r="E17" t="str">
        <f ca="1">OFFSET(INDIRECT(ADDRESS(1,4,1,1,Info!$B$1&amp;" Power")),MATCH($A17,OFFSET(INDIRECT(ADDRESS(1,4,1,1,Info!$B$1&amp;" Power")),3,0,100,1),0)+2,4,1,1)</f>
        <v>Always enabled</v>
      </c>
      <c r="F17" t="str">
        <f ca="1">OFFSET(INDIRECT(ADDRESS(1,4,1,1,Info!$B$1&amp;" Power")),MATCH($A17,OFFSET(INDIRECT(ADDRESS(1,4,1,1,Info!$B$1&amp;" Power")),3,0,100,1),0)+2,6,1,1)</f>
        <v>typ</v>
      </c>
      <c r="G17" s="17">
        <f ca="1">OFFSET(INDIRECT(ADDRESS(1,4,1,1,Info!$B$1&amp;" Power")),MATCH($A17,OFFSET(INDIRECT(ADDRESS(1,4,1,1,Info!$B$1&amp;" Power")),3,0,100,1),0)+2,7,1,1)</f>
        <v>80</v>
      </c>
      <c r="H17">
        <f ca="1" t="shared" si="6"/>
        <v>1</v>
      </c>
      <c r="I17">
        <f ca="1" t="shared" si="1"/>
        <v>0</v>
      </c>
      <c r="J17" t="str">
        <f ca="1">OFFSET('Power Domain Map'!$A$1,MATCH($C17,'Power Domain Map'!$A:$A,0)-1,2,1,1)</f>
        <v>AlwaysOn</v>
      </c>
      <c r="K17" s="17">
        <f ca="1">OFFSET('Power Domain Map'!$A$1,MATCH($C17,'Power Domain Map'!$A:$A,0)-1,3,1,1)</f>
        <v>100</v>
      </c>
      <c r="L17">
        <f ca="1">OFFSET('IP Dynamic Power Data'!$A$1,MATCH($A17,'IP Dynamic Power Data'!A:A,0),MATCH($F17,OFFSET('IP Dynamic Power Data'!$A$1,MATCH($A17,'IP Dynamic Power Data'!A:A,0)-1,0,1,10),0)-1)</f>
        <v>0.5</v>
      </c>
      <c r="M17">
        <f ca="1">OFFSET('IP Dynamic Power Data'!$A$1,MATCH($A17,'IP Dynamic Power Data'!A:A,0),MATCH("idle",OFFSET('IP Dynamic Power Data'!$A$1,MATCH($A17,'IP Dynamic Power Data'!A:A,0)-1,0,1,10),0)-1)</f>
        <v>0.01</v>
      </c>
      <c r="N17">
        <f ca="1">OFFSET(INDIRECT(ADDRESS(1,4,1,1,Info!$B$1&amp;" Power")),MATCH($A17,OFFSET(INDIRECT(ADDRESS(1,4,1,1,Info!$B$1&amp;" Power")),3,0,100,1),0)+2,1,1,1)</f>
        <v>0.92</v>
      </c>
      <c r="O17">
        <f ca="1">OFFSET(INDIRECT(ADDRESS(1,4,1,1,Info!$B$1&amp;" Power")),MATCH($A17,OFFSET(INDIRECT(ADDRESS(1,4,1,1,Info!$B$1&amp;" Power")),3,0,100,1),0)+2,2,1,1)</f>
        <v>165</v>
      </c>
      <c r="P17" s="7">
        <f ca="1" t="shared" si="2"/>
        <v>56.141712000000005</v>
      </c>
      <c r="Q17" s="7">
        <f ca="1">IF(MATCH($B17,$B:$B,0)=ROW($B17),OFFSET('SoC Leakage'!$B$1,MATCH($B17,'SoC Leakage'!A:A,0)-1,0)*EXP(OFFSET('SoC Leakage'!$C$1,MATCH($B17,'SoC Leakage'!A:A,0)-1,0)*$N17)*EXP((OFFSET('SoC Leakage'!$D$1,MATCH($B17,'SoC Leakage'!A:A,0)-1,0)*$N17+OFFSET('SoC Leakage'!$E$1,MATCH($B17,'SoC Leakage'!A:A,0)-1,0))*Tj_eff),0)*1000*IF(OR(E17="AutoPD with Ret",E17="Auto"),G17*(F17&lt;&gt;"idle")+(100-G17*(F17&lt;&gt;"idle"))*0.1,IF(E17="AutoPD",G17*(F17&lt;&gt;"idle")+(100-G17*(F17&lt;&gt;"idle"))*0.05,100))/100*1.03</f>
        <v>8.91750739014531</v>
      </c>
      <c r="R17" s="7">
        <f ca="1">IF($E17="Disabled",0,OFFSET(INDIRECT(ADDRESS(1,4,1,1,Info!$B$1&amp;" Power")),MATCH($A17,OFFSET(INDIRECT(ADDRESS(1,4,1,1,Info!$B$1&amp;" Power")),3,0,100,1),0)+2,8,1,1))</f>
        <v>0</v>
      </c>
      <c r="S17" s="7">
        <f ca="1">IF($E17="Disabled",0,OFFSET(INDIRECT(ADDRESS(1,4,1,1,Info!$B$1&amp;" Power")),MATCH($A17,OFFSET(INDIRECT(ADDRESS(1,4,1,1,Info!$B$1&amp;" Power")),3,0,100,1),0)+2,9,1,1))</f>
        <v>0</v>
      </c>
      <c r="T17" s="7">
        <f ca="1">OFFSET('IP Dynamic Power Data'!$A$1,MATCH($A17,'IP Dynamic Power Data'!A:A,0)+1,MATCH($F17,OFFSET('IP Dynamic Power Data'!$A$1,MATCH($A17,'IP Dynamic Power Data'!A:A,0)-1,0,1,10),0)-1)</f>
        <v>0</v>
      </c>
      <c r="U17" s="7">
        <f ca="1">OFFSET('IP Dynamic Power Data'!$A$1,MATCH($A17,'IP Dynamic Power Data'!A:A,0)+1,MATCH("idle",OFFSET('IP Dynamic Power Data'!$A$1,MATCH($A17,'IP Dynamic Power Data'!A:A,0)-1,0,1,10),0)-1)</f>
        <v>0</v>
      </c>
      <c r="V17" s="7">
        <f ca="1" t="shared" si="3"/>
        <v>1.15</v>
      </c>
      <c r="W17" s="7">
        <f ca="1" t="shared" si="4"/>
        <v>165</v>
      </c>
      <c r="X17" s="7">
        <f ca="1" t="shared" si="5"/>
        <v>0</v>
      </c>
      <c r="Y17" s="7">
        <f ca="1">IF(MATCH($B17,$B:$B,0)=ROW($B17),OFFSET('SoC Leakage'!$G$1,MATCH($B17,'SoC Leakage'!A:A,0)-1,0)*EXP(OFFSET('SoC Leakage'!$H$1,MATCH($B17,'SoC Leakage'!A:A,0)-1,0)*$V17)*EXP((OFFSET('SoC Leakage'!$I$1,MATCH($B17,'SoC Leakage'!A:A,0)-1,0)*$V17+OFFSET('SoC Leakage'!$J$1,MATCH($B17,'SoC Leakage'!A:A,0)-1,0))*Tj_eff),0)*1000</f>
        <v>1.4397211933693546</v>
      </c>
    </row>
    <row r="18" spans="1:25" ht="15">
      <c r="A18" s="5" t="s">
        <v>206</v>
      </c>
      <c r="B18" t="str">
        <f ca="1">OFFSET('IP Dynamic Power Data'!$C$1,MATCH($A18,'IP Dynamic Power Data'!$A:$A,0)-1,0)</f>
        <v>VIP1</v>
      </c>
      <c r="C18" t="s">
        <v>102</v>
      </c>
      <c r="D18" t="str">
        <f ca="1">OFFSET('IP Dynamic Power Data'!$B$1,MATCH($A18,'IP Dynamic Power Data'!$A:$A,0)-1,0)</f>
        <v>IO</v>
      </c>
      <c r="E18" t="str">
        <f ca="1">OFFSET(INDIRECT(ADDRESS(1,4,1,1,Info!$B$1&amp;" Power")),MATCH($A18,OFFSET(INDIRECT(ADDRESS(1,4,1,1,Info!$B$1&amp;" Power")),3,0,100,1),0)+2,4,1,1)</f>
        <v>Disabled</v>
      </c>
      <c r="F18" t="str">
        <f ca="1">OFFSET(INDIRECT(ADDRESS(1,4,1,1,Info!$B$1&amp;" Power")),MATCH($A18,OFFSET(INDIRECT(ADDRESS(1,4,1,1,Info!$B$1&amp;" Power")),3,0,100,1),0)+2,6,1,1)</f>
        <v>idle</v>
      </c>
      <c r="G18" s="17">
        <f ca="1">OFFSET(INDIRECT(ADDRESS(1,4,1,1,Info!$B$1&amp;" Power")),MATCH($A18,OFFSET(INDIRECT(ADDRESS(1,4,1,1,Info!$B$1&amp;" Power")),3,0,100,1),0)+2,7,1,1)</f>
        <v>0</v>
      </c>
      <c r="H18">
        <f ca="1" t="shared" si="6"/>
        <v>0</v>
      </c>
      <c r="I18">
        <f ca="1" t="shared" si="1"/>
        <v>0</v>
      </c>
      <c r="J18" t="str">
        <f ca="1">OFFSET('Power Domain Map'!$A$1,MATCH($C18,'Power Domain Map'!$A:$A,0)-1,2,1,1)</f>
        <v>AlwaysOn</v>
      </c>
      <c r="K18" s="17">
        <f ca="1">OFFSET('Power Domain Map'!$A$1,MATCH($C18,'Power Domain Map'!$A:$A,0)-1,3,1,1)</f>
        <v>100</v>
      </c>
      <c r="L18">
        <f ca="1">OFFSET('IP Dynamic Power Data'!$A$1,MATCH($A18,'IP Dynamic Power Data'!A:A,0),MATCH($F18,OFFSET('IP Dynamic Power Data'!$A$1,MATCH($A18,'IP Dynamic Power Data'!A:A,0)-1,0,1,10),0)-1)</f>
        <v>0.01</v>
      </c>
      <c r="M18">
        <f ca="1">OFFSET('IP Dynamic Power Data'!$A$1,MATCH($A18,'IP Dynamic Power Data'!A:A,0),MATCH("idle",OFFSET('IP Dynamic Power Data'!$A$1,MATCH($A18,'IP Dynamic Power Data'!A:A,0)-1,0,1,10),0)-1)</f>
        <v>0.01</v>
      </c>
      <c r="N18">
        <f ca="1">OFFSET(INDIRECT(ADDRESS(1,4,1,1,Info!$B$1&amp;" Power")),MATCH($A18,OFFSET(INDIRECT(ADDRESS(1,4,1,1,Info!$B$1&amp;" Power")),3,0,100,1),0)+2,1,1,1)</f>
        <v>0.92</v>
      </c>
      <c r="O18">
        <f ca="1">OFFSET(INDIRECT(ADDRESS(1,4,1,1,Info!$B$1&amp;" Power")),MATCH($A18,OFFSET(INDIRECT(ADDRESS(1,4,1,1,Info!$B$1&amp;" Power")),3,0,100,1),0)+2,2,1,1)</f>
        <v>165</v>
      </c>
      <c r="P18" s="7">
        <f ca="1" t="shared" si="2"/>
        <v>1.3965600000000002</v>
      </c>
      <c r="Q18" s="7">
        <f ca="1">IF(MATCH($B18,$B:$B,0)=ROW($B18),OFFSET('SoC Leakage'!$B$1,MATCH($B18,'SoC Leakage'!A:A,0)-1,0)*EXP(OFFSET('SoC Leakage'!$C$1,MATCH($B18,'SoC Leakage'!A:A,0)-1,0)*$N18)*EXP((OFFSET('SoC Leakage'!$D$1,MATCH($B18,'SoC Leakage'!A:A,0)-1,0)*$N18+OFFSET('SoC Leakage'!$E$1,MATCH($B18,'SoC Leakage'!A:A,0)-1,0))*Tj_eff),0)*1000*IF(OR(E18="AutoPD with Ret",E18="Auto"),G18*(F18&lt;&gt;"idle")+(100-G18*(F18&lt;&gt;"idle"))*0.1,IF(E18="AutoPD",G18*(F18&lt;&gt;"idle")+(100-G18*(F18&lt;&gt;"idle"))*0.05,100))/100*1.03</f>
        <v>0</v>
      </c>
      <c r="R18" s="7">
        <f ca="1">IF($E18="Disabled",0,OFFSET(INDIRECT(ADDRESS(1,4,1,1,Info!$B$1&amp;" Power")),MATCH($A18,OFFSET(INDIRECT(ADDRESS(1,4,1,1,Info!$B$1&amp;" Power")),3,0,100,1),0)+2,8,1,1))</f>
        <v>0</v>
      </c>
      <c r="S18" s="7">
        <f ca="1">IF($E18="Disabled",0,OFFSET(INDIRECT(ADDRESS(1,4,1,1,Info!$B$1&amp;" Power")),MATCH($A18,OFFSET(INDIRECT(ADDRESS(1,4,1,1,Info!$B$1&amp;" Power")),3,0,100,1),0)+2,9,1,1))</f>
        <v>0</v>
      </c>
      <c r="T18" s="7">
        <f ca="1">OFFSET('IP Dynamic Power Data'!$A$1,MATCH($A18,'IP Dynamic Power Data'!A:A,0)+1,MATCH($F18,OFFSET('IP Dynamic Power Data'!$A$1,MATCH($A18,'IP Dynamic Power Data'!A:A,0)-1,0,1,10),0)-1)</f>
        <v>0</v>
      </c>
      <c r="U18" s="7">
        <f ca="1">OFFSET('IP Dynamic Power Data'!$A$1,MATCH($A18,'IP Dynamic Power Data'!A:A,0)+1,MATCH("idle",OFFSET('IP Dynamic Power Data'!$A$1,MATCH($A18,'IP Dynamic Power Data'!A:A,0)-1,0,1,10),0)-1)</f>
        <v>0</v>
      </c>
      <c r="V18" s="7">
        <f ca="1" t="shared" si="3"/>
        <v>1.15</v>
      </c>
      <c r="W18" s="7">
        <f ca="1" t="shared" si="4"/>
        <v>165</v>
      </c>
      <c r="X18" s="7">
        <f ca="1" t="shared" si="5"/>
        <v>0</v>
      </c>
      <c r="Y18" s="7">
        <f ca="1">IF(MATCH($B18,$B:$B,0)=ROW($B18),OFFSET('SoC Leakage'!$G$1,MATCH($B18,'SoC Leakage'!A:A,0)-1,0)*EXP(OFFSET('SoC Leakage'!$H$1,MATCH($B18,'SoC Leakage'!A:A,0)-1,0)*$V18)*EXP((OFFSET('SoC Leakage'!$I$1,MATCH($B18,'SoC Leakage'!A:A,0)-1,0)*$V18+OFFSET('SoC Leakage'!$J$1,MATCH($B18,'SoC Leakage'!A:A,0)-1,0))*Tj_eff),0)*1000</f>
        <v>0</v>
      </c>
    </row>
    <row r="19" spans="1:25" ht="15">
      <c r="A19" s="5" t="s">
        <v>207</v>
      </c>
      <c r="B19" t="str">
        <f ca="1">OFFSET('IP Dynamic Power Data'!$C$1,MATCH($A19,'IP Dynamic Power Data'!$A:$A,0)-1,0)</f>
        <v>VIP2</v>
      </c>
      <c r="C19" t="s">
        <v>102</v>
      </c>
      <c r="D19" t="str">
        <f ca="1">OFFSET('IP Dynamic Power Data'!$B$1,MATCH($A19,'IP Dynamic Power Data'!$A:$A,0)-1,0)</f>
        <v>IO</v>
      </c>
      <c r="E19" t="str">
        <f ca="1">OFFSET(INDIRECT(ADDRESS(1,4,1,1,Info!$B$1&amp;" Power")),MATCH($A19,OFFSET(INDIRECT(ADDRESS(1,4,1,1,Info!$B$1&amp;" Power")),3,0,100,1),0)+2,4,1,1)</f>
        <v>Disabled</v>
      </c>
      <c r="F19" t="str">
        <f ca="1">OFFSET(INDIRECT(ADDRESS(1,4,1,1,Info!$B$1&amp;" Power")),MATCH($A19,OFFSET(INDIRECT(ADDRESS(1,4,1,1,Info!$B$1&amp;" Power")),3,0,100,1),0)+2,6,1,1)</f>
        <v>idle</v>
      </c>
      <c r="G19" s="17">
        <f ca="1">OFFSET(INDIRECT(ADDRESS(1,4,1,1,Info!$B$1&amp;" Power")),MATCH($A19,OFFSET(INDIRECT(ADDRESS(1,4,1,1,Info!$B$1&amp;" Power")),3,0,100,1),0)+2,7,1,1)</f>
        <v>0</v>
      </c>
      <c r="H19">
        <f ca="1" t="shared" si="6"/>
        <v>0</v>
      </c>
      <c r="I19">
        <f ca="1" t="shared" si="1"/>
        <v>0</v>
      </c>
      <c r="J19" t="str">
        <f ca="1">OFFSET('Power Domain Map'!$A$1,MATCH($C19,'Power Domain Map'!$A:$A,0)-1,2,1,1)</f>
        <v>AlwaysOn</v>
      </c>
      <c r="K19" s="17">
        <f ca="1">OFFSET('Power Domain Map'!$A$1,MATCH($C19,'Power Domain Map'!$A:$A,0)-1,3,1,1)</f>
        <v>100</v>
      </c>
      <c r="L19">
        <f ca="1">OFFSET('IP Dynamic Power Data'!$A$1,MATCH($A19,'IP Dynamic Power Data'!A:A,0),MATCH($F19,OFFSET('IP Dynamic Power Data'!$A$1,MATCH($A19,'IP Dynamic Power Data'!A:A,0)-1,0,1,10),0)-1)</f>
        <v>0.01</v>
      </c>
      <c r="M19">
        <f ca="1">OFFSET('IP Dynamic Power Data'!$A$1,MATCH($A19,'IP Dynamic Power Data'!A:A,0),MATCH("idle",OFFSET('IP Dynamic Power Data'!$A$1,MATCH($A19,'IP Dynamic Power Data'!A:A,0)-1,0,1,10),0)-1)</f>
        <v>0.01</v>
      </c>
      <c r="N19">
        <f ca="1">OFFSET(INDIRECT(ADDRESS(1,4,1,1,Info!$B$1&amp;" Power")),MATCH($A19,OFFSET(INDIRECT(ADDRESS(1,4,1,1,Info!$B$1&amp;" Power")),3,0,100,1),0)+2,1,1,1)</f>
        <v>0.92</v>
      </c>
      <c r="O19">
        <f ca="1">OFFSET(INDIRECT(ADDRESS(1,4,1,1,Info!$B$1&amp;" Power")),MATCH($A19,OFFSET(INDIRECT(ADDRESS(1,4,1,1,Info!$B$1&amp;" Power")),3,0,100,1),0)+2,2,1,1)</f>
        <v>165</v>
      </c>
      <c r="P19" s="7">
        <f ca="1" t="shared" si="2"/>
        <v>1.3965600000000002</v>
      </c>
      <c r="Q19" s="7">
        <f ca="1">IF(MATCH($B19,$B:$B,0)=ROW($B19),OFFSET('SoC Leakage'!$B$1,MATCH($B19,'SoC Leakage'!A:A,0)-1,0)*EXP(OFFSET('SoC Leakage'!$C$1,MATCH($B19,'SoC Leakage'!A:A,0)-1,0)*$N19)*EXP((OFFSET('SoC Leakage'!$D$1,MATCH($B19,'SoC Leakage'!A:A,0)-1,0)*$N19+OFFSET('SoC Leakage'!$E$1,MATCH($B19,'SoC Leakage'!A:A,0)-1,0))*Tj_eff),0)*1000*IF(OR(E19="AutoPD with Ret",E19="Auto"),G19*(F19&lt;&gt;"idle")+(100-G19*(F19&lt;&gt;"idle"))*0.1,IF(E19="AutoPD",G19*(F19&lt;&gt;"idle")+(100-G19*(F19&lt;&gt;"idle"))*0.05,100))/100*1.03</f>
        <v>8.91750739014531</v>
      </c>
      <c r="R19" s="7">
        <f ca="1">IF($E19="Disabled",0,OFFSET(INDIRECT(ADDRESS(1,4,1,1,Info!$B$1&amp;" Power")),MATCH($A19,OFFSET(INDIRECT(ADDRESS(1,4,1,1,Info!$B$1&amp;" Power")),3,0,100,1),0)+2,8,1,1))</f>
        <v>0</v>
      </c>
      <c r="S19" s="7">
        <f ca="1">IF($E19="Disabled",0,OFFSET(INDIRECT(ADDRESS(1,4,1,1,Info!$B$1&amp;" Power")),MATCH($A19,OFFSET(INDIRECT(ADDRESS(1,4,1,1,Info!$B$1&amp;" Power")),3,0,100,1),0)+2,9,1,1))</f>
        <v>0</v>
      </c>
      <c r="T19" s="7">
        <f ca="1">OFFSET('IP Dynamic Power Data'!$A$1,MATCH($A19,'IP Dynamic Power Data'!A:A,0)+1,MATCH($F19,OFFSET('IP Dynamic Power Data'!$A$1,MATCH($A19,'IP Dynamic Power Data'!A:A,0)-1,0,1,10),0)-1)</f>
        <v>0</v>
      </c>
      <c r="U19" s="7">
        <f ca="1">OFFSET('IP Dynamic Power Data'!$A$1,MATCH($A19,'IP Dynamic Power Data'!A:A,0)+1,MATCH("idle",OFFSET('IP Dynamic Power Data'!$A$1,MATCH($A19,'IP Dynamic Power Data'!A:A,0)-1,0,1,10),0)-1)</f>
        <v>0</v>
      </c>
      <c r="V19" s="7">
        <f ca="1" t="shared" si="3"/>
        <v>1.15</v>
      </c>
      <c r="W19" s="7">
        <f ca="1" t="shared" si="4"/>
        <v>165</v>
      </c>
      <c r="X19" s="7">
        <f ca="1" t="shared" si="5"/>
        <v>0</v>
      </c>
      <c r="Y19" s="7">
        <f ca="1">IF(MATCH($B19,$B:$B,0)=ROW($B19),OFFSET('SoC Leakage'!$G$1,MATCH($B19,'SoC Leakage'!A:A,0)-1,0)*EXP(OFFSET('SoC Leakage'!$H$1,MATCH($B19,'SoC Leakage'!A:A,0)-1,0)*$V19)*EXP((OFFSET('SoC Leakage'!$I$1,MATCH($B19,'SoC Leakage'!A:A,0)-1,0)*$V19+OFFSET('SoC Leakage'!$J$1,MATCH($B19,'SoC Leakage'!A:A,0)-1,0))*Tj_eff),0)*1000</f>
        <v>1.4397211933693546</v>
      </c>
    </row>
    <row r="20" spans="1:25" ht="15">
      <c r="A20" s="10" t="s">
        <v>208</v>
      </c>
      <c r="B20" t="str">
        <f ca="1">OFFSET('IP Dynamic Power Data'!$C$1,MATCH($A20,'IP Dynamic Power Data'!$A:$A,0)-1,0)</f>
        <v>VIP2</v>
      </c>
      <c r="C20" t="s">
        <v>102</v>
      </c>
      <c r="D20" t="str">
        <f ca="1">OFFSET('IP Dynamic Power Data'!$B$1,MATCH($A20,'IP Dynamic Power Data'!$A:$A,0)-1,0)</f>
        <v>IO</v>
      </c>
      <c r="E20" t="str">
        <f ca="1">OFFSET(INDIRECT(ADDRESS(1,4,1,1,Info!$B$1&amp;" Power")),MATCH($A20,OFFSET(INDIRECT(ADDRESS(1,4,1,1,Info!$B$1&amp;" Power")),3,0,100,1),0)+2,4,1,1)</f>
        <v>Disabled</v>
      </c>
      <c r="F20" t="str">
        <f ca="1">OFFSET(INDIRECT(ADDRESS(1,4,1,1,Info!$B$1&amp;" Power")),MATCH($A20,OFFSET(INDIRECT(ADDRESS(1,4,1,1,Info!$B$1&amp;" Power")),3,0,100,1),0)+2,6,1,1)</f>
        <v>idle</v>
      </c>
      <c r="G20" s="17">
        <f ca="1">OFFSET(INDIRECT(ADDRESS(1,4,1,1,Info!$B$1&amp;" Power")),MATCH($A20,OFFSET(INDIRECT(ADDRESS(1,4,1,1,Info!$B$1&amp;" Power")),3,0,100,1),0)+2,7,1,1)</f>
        <v>0</v>
      </c>
      <c r="H20">
        <f aca="true" t="shared" si="11" ref="H20:H22">IF(E20="Always enabled",1,0)</f>
        <v>0</v>
      </c>
      <c r="I20">
        <f ca="1" t="shared" si="1"/>
        <v>0</v>
      </c>
      <c r="J20" t="str">
        <f ca="1">OFFSET('Power Domain Map'!$A$1,MATCH($C20,'Power Domain Map'!$A:$A,0)-1,2,1,1)</f>
        <v>AlwaysOn</v>
      </c>
      <c r="K20" s="17">
        <f ca="1">OFFSET('Power Domain Map'!$A$1,MATCH($C20,'Power Domain Map'!$A:$A,0)-1,3,1,1)</f>
        <v>100</v>
      </c>
      <c r="L20">
        <f ca="1">OFFSET('IP Dynamic Power Data'!$A$1,MATCH($A20,'IP Dynamic Power Data'!A:A,0),MATCH($F20,OFFSET('IP Dynamic Power Data'!$A$1,MATCH($A20,'IP Dynamic Power Data'!A:A,0)-1,0,1,10),0)-1)</f>
        <v>0.01</v>
      </c>
      <c r="M20">
        <f ca="1">OFFSET('IP Dynamic Power Data'!$A$1,MATCH($A20,'IP Dynamic Power Data'!A:A,0),MATCH("idle",OFFSET('IP Dynamic Power Data'!$A$1,MATCH($A20,'IP Dynamic Power Data'!A:A,0)-1,0,1,10),0)-1)</f>
        <v>0.01</v>
      </c>
      <c r="N20">
        <f ca="1">OFFSET(INDIRECT(ADDRESS(1,4,1,1,Info!$B$1&amp;" Power")),MATCH($A20,OFFSET(INDIRECT(ADDRESS(1,4,1,1,Info!$B$1&amp;" Power")),3,0,100,1),0)+2,1,1,1)</f>
        <v>0.92</v>
      </c>
      <c r="O20">
        <f ca="1">OFFSET(INDIRECT(ADDRESS(1,4,1,1,Info!$B$1&amp;" Power")),MATCH($A20,OFFSET(INDIRECT(ADDRESS(1,4,1,1,Info!$B$1&amp;" Power")),3,0,100,1),0)+2,2,1,1)</f>
        <v>165</v>
      </c>
      <c r="P20" s="7">
        <f ca="1" t="shared" si="2"/>
        <v>1.3965600000000002</v>
      </c>
      <c r="Q20" s="7">
        <f ca="1">IF(MATCH($B20,$B:$B,0)=ROW($B20),OFFSET('SoC Leakage'!$B$1,MATCH($B20,'SoC Leakage'!A:A,0)-1,0)*EXP(OFFSET('SoC Leakage'!$C$1,MATCH($B20,'SoC Leakage'!A:A,0)-1,0)*$N20)*EXP((OFFSET('SoC Leakage'!$D$1,MATCH($B20,'SoC Leakage'!A:A,0)-1,0)*$N20+OFFSET('SoC Leakage'!$E$1,MATCH($B20,'SoC Leakage'!A:A,0)-1,0))*Tj_eff),0)*1000*IF(OR(E20="AutoPD with Ret",E20="Auto"),G20*(F20&lt;&gt;"idle")+(100-G20*(F20&lt;&gt;"idle"))*0.1,IF(E20="AutoPD",G20*(F20&lt;&gt;"idle")+(100-G20*(F20&lt;&gt;"idle"))*0.05,100))/100*1.03</f>
        <v>0</v>
      </c>
      <c r="R20" s="7">
        <f ca="1">IF($E20="Disabled",0,OFFSET(INDIRECT(ADDRESS(1,4,1,1,Info!$B$1&amp;" Power")),MATCH($A20,OFFSET(INDIRECT(ADDRESS(1,4,1,1,Info!$B$1&amp;" Power")),3,0,100,1),0)+2,8,1,1))</f>
        <v>0</v>
      </c>
      <c r="S20" s="7">
        <f ca="1">IF($E20="Disabled",0,OFFSET(INDIRECT(ADDRESS(1,4,1,1,Info!$B$1&amp;" Power")),MATCH($A20,OFFSET(INDIRECT(ADDRESS(1,4,1,1,Info!$B$1&amp;" Power")),3,0,100,1),0)+2,9,1,1))</f>
        <v>0</v>
      </c>
      <c r="T20" s="7">
        <f ca="1">OFFSET('IP Dynamic Power Data'!$A$1,MATCH($A20,'IP Dynamic Power Data'!A:A,0)+1,MATCH($F20,OFFSET('IP Dynamic Power Data'!$A$1,MATCH($A20,'IP Dynamic Power Data'!A:A,0)-1,0,1,10),0)-1)</f>
        <v>0</v>
      </c>
      <c r="U20" s="7">
        <f ca="1">OFFSET('IP Dynamic Power Data'!$A$1,MATCH($A20,'IP Dynamic Power Data'!A:A,0)+1,MATCH("idle",OFFSET('IP Dynamic Power Data'!$A$1,MATCH($A20,'IP Dynamic Power Data'!A:A,0)-1,0,1,10),0)-1)</f>
        <v>0</v>
      </c>
      <c r="V20" s="7">
        <f ca="1" t="shared" si="3"/>
        <v>1.15</v>
      </c>
      <c r="W20" s="7">
        <f ca="1" t="shared" si="4"/>
        <v>165</v>
      </c>
      <c r="X20" s="7">
        <f ca="1" t="shared" si="5"/>
        <v>0</v>
      </c>
      <c r="Y20" s="7">
        <f ca="1">IF(MATCH($B20,$B:$B,0)=ROW($B20),OFFSET('SoC Leakage'!$G$1,MATCH($B20,'SoC Leakage'!A:A,0)-1,0)*EXP(OFFSET('SoC Leakage'!$H$1,MATCH($B20,'SoC Leakage'!A:A,0)-1,0)*$V20)*EXP((OFFSET('SoC Leakage'!$I$1,MATCH($B20,'SoC Leakage'!A:A,0)-1,0)*$V20+OFFSET('SoC Leakage'!$J$1,MATCH($B20,'SoC Leakage'!A:A,0)-1,0))*Tj_eff),0)*1000</f>
        <v>0</v>
      </c>
    </row>
    <row r="21" spans="1:25" ht="15">
      <c r="A21" s="10" t="s">
        <v>209</v>
      </c>
      <c r="B21" t="str">
        <f ca="1">OFFSET('IP Dynamic Power Data'!$C$1,MATCH($A21,'IP Dynamic Power Data'!$A:$A,0)-1,0)</f>
        <v>VIP3</v>
      </c>
      <c r="C21" t="s">
        <v>102</v>
      </c>
      <c r="D21" t="str">
        <f ca="1">OFFSET('IP Dynamic Power Data'!$B$1,MATCH($A21,'IP Dynamic Power Data'!$A:$A,0)-1,0)</f>
        <v>IO</v>
      </c>
      <c r="E21" t="str">
        <f ca="1">OFFSET(INDIRECT(ADDRESS(1,4,1,1,Info!$B$1&amp;" Power")),MATCH($A21,OFFSET(INDIRECT(ADDRESS(1,4,1,1,Info!$B$1&amp;" Power")),3,0,100,1),0)+2,4,1,1)</f>
        <v>Disabled</v>
      </c>
      <c r="F21" t="str">
        <f ca="1">OFFSET(INDIRECT(ADDRESS(1,4,1,1,Info!$B$1&amp;" Power")),MATCH($A21,OFFSET(INDIRECT(ADDRESS(1,4,1,1,Info!$B$1&amp;" Power")),3,0,100,1),0)+2,6,1,1)</f>
        <v>idle</v>
      </c>
      <c r="G21" s="17">
        <f ca="1">OFFSET(INDIRECT(ADDRESS(1,4,1,1,Info!$B$1&amp;" Power")),MATCH($A21,OFFSET(INDIRECT(ADDRESS(1,4,1,1,Info!$B$1&amp;" Power")),3,0,100,1),0)+2,7,1,1)</f>
        <v>0</v>
      </c>
      <c r="H21">
        <f ca="1" t="shared" si="11"/>
        <v>0</v>
      </c>
      <c r="I21">
        <f ca="1" t="shared" si="1"/>
        <v>0</v>
      </c>
      <c r="J21" t="str">
        <f ca="1">OFFSET('Power Domain Map'!$A$1,MATCH($C21,'Power Domain Map'!$A:$A,0)-1,2,1,1)</f>
        <v>AlwaysOn</v>
      </c>
      <c r="K21" s="17">
        <f ca="1">OFFSET('Power Domain Map'!$A$1,MATCH($C21,'Power Domain Map'!$A:$A,0)-1,3,1,1)</f>
        <v>100</v>
      </c>
      <c r="L21">
        <f ca="1">OFFSET('IP Dynamic Power Data'!$A$1,MATCH($A21,'IP Dynamic Power Data'!A:A,0),MATCH($F21,OFFSET('IP Dynamic Power Data'!$A$1,MATCH($A21,'IP Dynamic Power Data'!A:A,0)-1,0,1,10),0)-1)</f>
        <v>0.01</v>
      </c>
      <c r="M21">
        <f ca="1">OFFSET('IP Dynamic Power Data'!$A$1,MATCH($A21,'IP Dynamic Power Data'!A:A,0),MATCH("idle",OFFSET('IP Dynamic Power Data'!$A$1,MATCH($A21,'IP Dynamic Power Data'!A:A,0)-1,0,1,10),0)-1)</f>
        <v>0.01</v>
      </c>
      <c r="N21">
        <f ca="1">OFFSET(INDIRECT(ADDRESS(1,4,1,1,Info!$B$1&amp;" Power")),MATCH($A21,OFFSET(INDIRECT(ADDRESS(1,4,1,1,Info!$B$1&amp;" Power")),3,0,100,1),0)+2,1,1,1)</f>
        <v>0.92</v>
      </c>
      <c r="O21">
        <f ca="1">OFFSET(INDIRECT(ADDRESS(1,4,1,1,Info!$B$1&amp;" Power")),MATCH($A21,OFFSET(INDIRECT(ADDRESS(1,4,1,1,Info!$B$1&amp;" Power")),3,0,100,1),0)+2,2,1,1)</f>
        <v>165</v>
      </c>
      <c r="P21" s="7">
        <f ca="1" t="shared" si="2"/>
        <v>1.3965600000000002</v>
      </c>
      <c r="Q21" s="7">
        <f ca="1">IF(MATCH($B21,$B:$B,0)=ROW($B21),OFFSET('SoC Leakage'!$B$1,MATCH($B21,'SoC Leakage'!A:A,0)-1,0)*EXP(OFFSET('SoC Leakage'!$C$1,MATCH($B21,'SoC Leakage'!A:A,0)-1,0)*$N21)*EXP((OFFSET('SoC Leakage'!$D$1,MATCH($B21,'SoC Leakage'!A:A,0)-1,0)*$N21+OFFSET('SoC Leakage'!$E$1,MATCH($B21,'SoC Leakage'!A:A,0)-1,0))*Tj_eff),0)*1000*IF(OR(E21="AutoPD with Ret",E21="Auto"),G21*(F21&lt;&gt;"idle")+(100-G21*(F21&lt;&gt;"idle"))*0.1,IF(E21="AutoPD",G21*(F21&lt;&gt;"idle")+(100-G21*(F21&lt;&gt;"idle"))*0.05,100))/100*1.03</f>
        <v>8.91750739014531</v>
      </c>
      <c r="R21" s="7">
        <f ca="1">IF($E21="Disabled",0,OFFSET(INDIRECT(ADDRESS(1,4,1,1,Info!$B$1&amp;" Power")),MATCH($A21,OFFSET(INDIRECT(ADDRESS(1,4,1,1,Info!$B$1&amp;" Power")),3,0,100,1),0)+2,8,1,1))</f>
        <v>0</v>
      </c>
      <c r="S21" s="7">
        <f ca="1">IF($E21="Disabled",0,OFFSET(INDIRECT(ADDRESS(1,4,1,1,Info!$B$1&amp;" Power")),MATCH($A21,OFFSET(INDIRECT(ADDRESS(1,4,1,1,Info!$B$1&amp;" Power")),3,0,100,1),0)+2,9,1,1))</f>
        <v>0</v>
      </c>
      <c r="T21" s="7">
        <f ca="1">OFFSET('IP Dynamic Power Data'!$A$1,MATCH($A21,'IP Dynamic Power Data'!A:A,0)+1,MATCH($F21,OFFSET('IP Dynamic Power Data'!$A$1,MATCH($A21,'IP Dynamic Power Data'!A:A,0)-1,0,1,10),0)-1)</f>
        <v>0</v>
      </c>
      <c r="U21" s="7">
        <f ca="1">OFFSET('IP Dynamic Power Data'!$A$1,MATCH($A21,'IP Dynamic Power Data'!A:A,0)+1,MATCH("idle",OFFSET('IP Dynamic Power Data'!$A$1,MATCH($A21,'IP Dynamic Power Data'!A:A,0)-1,0,1,10),0)-1)</f>
        <v>0</v>
      </c>
      <c r="V21" s="7">
        <f ca="1" t="shared" si="3"/>
        <v>1.15</v>
      </c>
      <c r="W21" s="7">
        <f ca="1" t="shared" si="4"/>
        <v>165</v>
      </c>
      <c r="X21" s="7">
        <f ca="1" t="shared" si="5"/>
        <v>0</v>
      </c>
      <c r="Y21" s="7">
        <f ca="1">IF(MATCH($B21,$B:$B,0)=ROW($B21),OFFSET('SoC Leakage'!$G$1,MATCH($B21,'SoC Leakage'!A:A,0)-1,0)*EXP(OFFSET('SoC Leakage'!$H$1,MATCH($B21,'SoC Leakage'!A:A,0)-1,0)*$V21)*EXP((OFFSET('SoC Leakage'!$I$1,MATCH($B21,'SoC Leakage'!A:A,0)-1,0)*$V21+OFFSET('SoC Leakage'!$J$1,MATCH($B21,'SoC Leakage'!A:A,0)-1,0))*Tj_eff),0)*1000</f>
        <v>1.4397211933693546</v>
      </c>
    </row>
    <row r="22" spans="1:25" ht="15">
      <c r="A22" s="10" t="s">
        <v>210</v>
      </c>
      <c r="B22" t="str">
        <f ca="1">OFFSET('IP Dynamic Power Data'!$C$1,MATCH($A22,'IP Dynamic Power Data'!$A:$A,0)-1,0)</f>
        <v>VIP3</v>
      </c>
      <c r="C22" t="s">
        <v>102</v>
      </c>
      <c r="D22" t="str">
        <f ca="1">OFFSET('IP Dynamic Power Data'!$B$1,MATCH($A22,'IP Dynamic Power Data'!$A:$A,0)-1,0)</f>
        <v>IO</v>
      </c>
      <c r="E22" t="str">
        <f ca="1">OFFSET(INDIRECT(ADDRESS(1,4,1,1,Info!$B$1&amp;" Power")),MATCH($A22,OFFSET(INDIRECT(ADDRESS(1,4,1,1,Info!$B$1&amp;" Power")),3,0,100,1),0)+2,4,1,1)</f>
        <v>Disabled</v>
      </c>
      <c r="F22" t="str">
        <f ca="1">OFFSET(INDIRECT(ADDRESS(1,4,1,1,Info!$B$1&amp;" Power")),MATCH($A22,OFFSET(INDIRECT(ADDRESS(1,4,1,1,Info!$B$1&amp;" Power")),3,0,100,1),0)+2,6,1,1)</f>
        <v>idle</v>
      </c>
      <c r="G22" s="17">
        <f ca="1">OFFSET(INDIRECT(ADDRESS(1,4,1,1,Info!$B$1&amp;" Power")),MATCH($A22,OFFSET(INDIRECT(ADDRESS(1,4,1,1,Info!$B$1&amp;" Power")),3,0,100,1),0)+2,7,1,1)</f>
        <v>0</v>
      </c>
      <c r="H22">
        <f ca="1" t="shared" si="11"/>
        <v>0</v>
      </c>
      <c r="I22">
        <f ca="1" t="shared" si="1"/>
        <v>0</v>
      </c>
      <c r="J22" t="str">
        <f ca="1">OFFSET('Power Domain Map'!$A$1,MATCH($C22,'Power Domain Map'!$A:$A,0)-1,2,1,1)</f>
        <v>AlwaysOn</v>
      </c>
      <c r="K22" s="17">
        <f ca="1">OFFSET('Power Domain Map'!$A$1,MATCH($C22,'Power Domain Map'!$A:$A,0)-1,3,1,1)</f>
        <v>100</v>
      </c>
      <c r="L22">
        <f ca="1">OFFSET('IP Dynamic Power Data'!$A$1,MATCH($A22,'IP Dynamic Power Data'!A:A,0),MATCH($F22,OFFSET('IP Dynamic Power Data'!$A$1,MATCH($A22,'IP Dynamic Power Data'!A:A,0)-1,0,1,10),0)-1)</f>
        <v>0.01</v>
      </c>
      <c r="M22">
        <f ca="1">OFFSET('IP Dynamic Power Data'!$A$1,MATCH($A22,'IP Dynamic Power Data'!A:A,0),MATCH("idle",OFFSET('IP Dynamic Power Data'!$A$1,MATCH($A22,'IP Dynamic Power Data'!A:A,0)-1,0,1,10),0)-1)</f>
        <v>0.01</v>
      </c>
      <c r="N22">
        <f ca="1">OFFSET(INDIRECT(ADDRESS(1,4,1,1,Info!$B$1&amp;" Power")),MATCH($A22,OFFSET(INDIRECT(ADDRESS(1,4,1,1,Info!$B$1&amp;" Power")),3,0,100,1),0)+2,1,1,1)</f>
        <v>0.92</v>
      </c>
      <c r="O22">
        <f ca="1">OFFSET(INDIRECT(ADDRESS(1,4,1,1,Info!$B$1&amp;" Power")),MATCH($A22,OFFSET(INDIRECT(ADDRESS(1,4,1,1,Info!$B$1&amp;" Power")),3,0,100,1),0)+2,2,1,1)</f>
        <v>165</v>
      </c>
      <c r="P22" s="7">
        <f ca="1" t="shared" si="2"/>
        <v>1.3965600000000002</v>
      </c>
      <c r="Q22" s="7">
        <f ca="1">IF(MATCH($B22,$B:$B,0)=ROW($B22),OFFSET('SoC Leakage'!$B$1,MATCH($B22,'SoC Leakage'!A:A,0)-1,0)*EXP(OFFSET('SoC Leakage'!$C$1,MATCH($B22,'SoC Leakage'!A:A,0)-1,0)*$N22)*EXP((OFFSET('SoC Leakage'!$D$1,MATCH($B22,'SoC Leakage'!A:A,0)-1,0)*$N22+OFFSET('SoC Leakage'!$E$1,MATCH($B22,'SoC Leakage'!A:A,0)-1,0))*Tj_eff),0)*1000*IF(OR(E22="AutoPD with Ret",E22="Auto"),G22*(F22&lt;&gt;"idle")+(100-G22*(F22&lt;&gt;"idle"))*0.1,IF(E22="AutoPD",G22*(F22&lt;&gt;"idle")+(100-G22*(F22&lt;&gt;"idle"))*0.05,100))/100*1.03</f>
        <v>0</v>
      </c>
      <c r="R22" s="7">
        <f ca="1">IF($E22="Disabled",0,OFFSET(INDIRECT(ADDRESS(1,4,1,1,Info!$B$1&amp;" Power")),MATCH($A22,OFFSET(INDIRECT(ADDRESS(1,4,1,1,Info!$B$1&amp;" Power")),3,0,100,1),0)+2,8,1,1))</f>
        <v>0</v>
      </c>
      <c r="S22" s="7">
        <f ca="1">IF($E22="Disabled",0,OFFSET(INDIRECT(ADDRESS(1,4,1,1,Info!$B$1&amp;" Power")),MATCH($A22,OFFSET(INDIRECT(ADDRESS(1,4,1,1,Info!$B$1&amp;" Power")),3,0,100,1),0)+2,9,1,1))</f>
        <v>0</v>
      </c>
      <c r="T22" s="7">
        <f ca="1">OFFSET('IP Dynamic Power Data'!$A$1,MATCH($A22,'IP Dynamic Power Data'!A:A,0)+1,MATCH($F22,OFFSET('IP Dynamic Power Data'!$A$1,MATCH($A22,'IP Dynamic Power Data'!A:A,0)-1,0,1,10),0)-1)</f>
        <v>0</v>
      </c>
      <c r="U22" s="7">
        <f ca="1">OFFSET('IP Dynamic Power Data'!$A$1,MATCH($A22,'IP Dynamic Power Data'!A:A,0)+1,MATCH("idle",OFFSET('IP Dynamic Power Data'!$A$1,MATCH($A22,'IP Dynamic Power Data'!A:A,0)-1,0,1,10),0)-1)</f>
        <v>0</v>
      </c>
      <c r="V22" s="7">
        <f ca="1" t="shared" si="3"/>
        <v>1.15</v>
      </c>
      <c r="W22" s="7">
        <f ca="1" t="shared" si="4"/>
        <v>165</v>
      </c>
      <c r="X22" s="7">
        <f ca="1" t="shared" si="5"/>
        <v>0</v>
      </c>
      <c r="Y22" s="7">
        <f ca="1">IF(MATCH($B22,$B:$B,0)=ROW($B22),OFFSET('SoC Leakage'!$G$1,MATCH($B22,'SoC Leakage'!A:A,0)-1,0)*EXP(OFFSET('SoC Leakage'!$H$1,MATCH($B22,'SoC Leakage'!A:A,0)-1,0)*$V22)*EXP((OFFSET('SoC Leakage'!$I$1,MATCH($B22,'SoC Leakage'!A:A,0)-1,0)*$V22+OFFSET('SoC Leakage'!$J$1,MATCH($B22,'SoC Leakage'!A:A,0)-1,0))*Tj_eff),0)*1000</f>
        <v>0</v>
      </c>
    </row>
    <row r="23" spans="1:25" ht="15">
      <c r="A23" s="5" t="s">
        <v>10</v>
      </c>
      <c r="B23" t="str">
        <f ca="1">OFFSET('IP Dynamic Power Data'!$C$1,MATCH($A23,'IP Dynamic Power Data'!$A:$A,0)-1,0)</f>
        <v>VPE</v>
      </c>
      <c r="C23" t="s">
        <v>103</v>
      </c>
      <c r="D23" t="str">
        <f ca="1">OFFSET('IP Dynamic Power Data'!$B$1,MATCH($A23,'IP Dynamic Power Data'!$A:$A,0)-1,0)</f>
        <v>Core</v>
      </c>
      <c r="E23" t="str">
        <f ca="1">OFFSET(INDIRECT(ADDRESS(1,4,1,1,Info!$B$1&amp;" Power")),MATCH($A23,OFFSET(INDIRECT(ADDRESS(1,4,1,1,Info!$B$1&amp;" Power")),3,0,100,1),0)+2,4,1,1)</f>
        <v>Always enabled</v>
      </c>
      <c r="F23" t="str">
        <f ca="1">OFFSET(INDIRECT(ADDRESS(1,4,1,1,Info!$B$1&amp;" Power")),MATCH($A23,OFFSET(INDIRECT(ADDRESS(1,4,1,1,Info!$B$1&amp;" Power")),3,0,100,1),0)+2,6,1,1)</f>
        <v>typ</v>
      </c>
      <c r="G23" s="17">
        <f ca="1">OFFSET(INDIRECT(ADDRESS(1,4,1,1,Info!$B$1&amp;" Power")),MATCH($A23,OFFSET(INDIRECT(ADDRESS(1,4,1,1,Info!$B$1&amp;" Power")),3,0,100,1),0)+2,7,1,1)</f>
        <v>90</v>
      </c>
      <c r="H23">
        <f ca="1" t="shared" si="6"/>
        <v>1</v>
      </c>
      <c r="I23">
        <f ca="1" t="shared" si="1"/>
        <v>0</v>
      </c>
      <c r="J23" t="str">
        <f ca="1">OFFSET('Power Domain Map'!$A$1,MATCH($C23,'Power Domain Map'!$A:$A,0)-1,2,1,1)</f>
        <v>AlwaysOn</v>
      </c>
      <c r="K23" s="17">
        <f ca="1">OFFSET('Power Domain Map'!$A$1,MATCH($C23,'Power Domain Map'!$A:$A,0)-1,3,1,1)</f>
        <v>100</v>
      </c>
      <c r="L23">
        <f ca="1">OFFSET('IP Dynamic Power Data'!$A$1,MATCH($A23,'IP Dynamic Power Data'!A:A,0),MATCH($F23,OFFSET('IP Dynamic Power Data'!$A$1,MATCH($A23,'IP Dynamic Power Data'!A:A,0)-1,0,1,10),0)-1)</f>
        <v>0.5</v>
      </c>
      <c r="M23">
        <f ca="1">OFFSET('IP Dynamic Power Data'!$A$1,MATCH($A23,'IP Dynamic Power Data'!A:A,0),MATCH("idle",OFFSET('IP Dynamic Power Data'!$A$1,MATCH($A23,'IP Dynamic Power Data'!A:A,0)-1,0,1,10),0)-1)</f>
        <v>0.01</v>
      </c>
      <c r="N23">
        <f ca="1">OFFSET(INDIRECT(ADDRESS(1,4,1,1,Info!$B$1&amp;" Power")),MATCH($A23,OFFSET(INDIRECT(ADDRESS(1,4,1,1,Info!$B$1&amp;" Power")),3,0,100,1),0)+2,1,1,1)</f>
        <v>0.92</v>
      </c>
      <c r="O23">
        <f ca="1">OFFSET(INDIRECT(ADDRESS(1,4,1,1,Info!$B$1&amp;" Power")),MATCH($A23,OFFSET(INDIRECT(ADDRESS(1,4,1,1,Info!$B$1&amp;" Power")),3,0,100,1),0)+2,2,1,1)</f>
        <v>300</v>
      </c>
      <c r="P23" s="7">
        <f ca="1" t="shared" si="2"/>
        <v>114.51792000000002</v>
      </c>
      <c r="Q23" s="7">
        <f ca="1">IF(MATCH($B23,$B:$B,0)=ROW($B23),OFFSET('SoC Leakage'!$B$1,MATCH($B23,'SoC Leakage'!A:A,0)-1,0)*EXP(OFFSET('SoC Leakage'!$C$1,MATCH($B23,'SoC Leakage'!A:A,0)-1,0)*$N23)*EXP((OFFSET('SoC Leakage'!$D$1,MATCH($B23,'SoC Leakage'!A:A,0)-1,0)*$N23+OFFSET('SoC Leakage'!$E$1,MATCH($B23,'SoC Leakage'!A:A,0)-1,0))*Tj_eff),0)*1000*IF(OR(E23="AutoPD with Ret",E23="Auto"),G23*(F23&lt;&gt;"idle")+(100-G23*(F23&lt;&gt;"idle"))*0.1,IF(E23="AutoPD",G23*(F23&lt;&gt;"idle")+(100-G23*(F23&lt;&gt;"idle"))*0.05,100))/100*1.03</f>
        <v>5.882051400654387</v>
      </c>
      <c r="R23" s="7">
        <f ca="1">IF($E23="Disabled",0,OFFSET(INDIRECT(ADDRESS(1,4,1,1,Info!$B$1&amp;" Power")),MATCH($A23,OFFSET(INDIRECT(ADDRESS(1,4,1,1,Info!$B$1&amp;" Power")),3,0,100,1),0)+2,8,1,1))</f>
        <v>0</v>
      </c>
      <c r="S23" s="7">
        <f ca="1">IF($E23="Disabled",0,OFFSET(INDIRECT(ADDRESS(1,4,1,1,Info!$B$1&amp;" Power")),MATCH($A23,OFFSET(INDIRECT(ADDRESS(1,4,1,1,Info!$B$1&amp;" Power")),3,0,100,1),0)+2,9,1,1))</f>
        <v>0</v>
      </c>
      <c r="T23" s="7">
        <f ca="1">OFFSET('IP Dynamic Power Data'!$A$1,MATCH($A23,'IP Dynamic Power Data'!A:A,0)+1,MATCH($F23,OFFSET('IP Dynamic Power Data'!$A$1,MATCH($A23,'IP Dynamic Power Data'!A:A,0)-1,0,1,10),0)-1)</f>
        <v>0</v>
      </c>
      <c r="U23" s="7">
        <f ca="1">OFFSET('IP Dynamic Power Data'!$A$1,MATCH($A23,'IP Dynamic Power Data'!A:A,0)+1,MATCH("idle",OFFSET('IP Dynamic Power Data'!$A$1,MATCH($A23,'IP Dynamic Power Data'!A:A,0)-1,0,1,10),0)-1)</f>
        <v>0</v>
      </c>
      <c r="V23" s="7">
        <f ca="1" t="shared" si="3"/>
        <v>1.15</v>
      </c>
      <c r="W23" s="7">
        <f ca="1" t="shared" si="4"/>
        <v>300</v>
      </c>
      <c r="X23" s="7">
        <f ca="1" t="shared" si="5"/>
        <v>0</v>
      </c>
      <c r="Y23" s="7">
        <f ca="1">IF(MATCH($B23,$B:$B,0)=ROW($B23),OFFSET('SoC Leakage'!$G$1,MATCH($B23,'SoC Leakage'!A:A,0)-1,0)*EXP(OFFSET('SoC Leakage'!$H$1,MATCH($B23,'SoC Leakage'!A:A,0)-1,0)*$V23)*EXP((OFFSET('SoC Leakage'!$I$1,MATCH($B23,'SoC Leakage'!A:A,0)-1,0)*$V23+OFFSET('SoC Leakage'!$J$1,MATCH($B23,'SoC Leakage'!A:A,0)-1,0))*Tj_eff),0)*1000</f>
        <v>1.6360313812141498</v>
      </c>
    </row>
    <row r="24" spans="1:25" ht="15">
      <c r="A24" s="5" t="s">
        <v>15</v>
      </c>
      <c r="B24" t="str">
        <f ca="1">OFFSET('IP Dynamic Power Data'!$C$1,MATCH($A24,'IP Dynamic Power Data'!$A:$A,0)-1,0)</f>
        <v>BB2D</v>
      </c>
      <c r="C24" t="s">
        <v>104</v>
      </c>
      <c r="D24" t="str">
        <f ca="1">OFFSET('IP Dynamic Power Data'!$B$1,MATCH($A24,'IP Dynamic Power Data'!$A:$A,0)-1,0)</f>
        <v>Core</v>
      </c>
      <c r="E24" t="str">
        <f ca="1">OFFSET(INDIRECT(ADDRESS(1,4,1,1,Info!$B$1&amp;" Power")),MATCH($A24,OFFSET(INDIRECT(ADDRESS(1,4,1,1,Info!$B$1&amp;" Power")),3,0,100,1),0)+2,4,1,1)</f>
        <v>Always enabled</v>
      </c>
      <c r="F24" t="str">
        <f ca="1">OFFSET(INDIRECT(ADDRESS(1,4,1,1,Info!$B$1&amp;" Power")),MATCH($A24,OFFSET(INDIRECT(ADDRESS(1,4,1,1,Info!$B$1&amp;" Power")),3,0,100,1),0)+2,6,1,1)</f>
        <v>max</v>
      </c>
      <c r="G24" s="17">
        <f ca="1">OFFSET(INDIRECT(ADDRESS(1,4,1,1,Info!$B$1&amp;" Power")),MATCH($A24,OFFSET(INDIRECT(ADDRESS(1,4,1,1,Info!$B$1&amp;" Power")),3,0,100,1),0)+2,7,1,1)</f>
        <v>80</v>
      </c>
      <c r="H24">
        <f ca="1" t="shared" si="6"/>
        <v>1</v>
      </c>
      <c r="I24">
        <f ca="1" t="shared" si="1"/>
        <v>0</v>
      </c>
      <c r="J24" t="str">
        <f ca="1">OFFSET('Power Domain Map'!$A$1,MATCH($C24,'Power Domain Map'!$A:$A,0)-1,2,1,1)</f>
        <v>AlwaysOn</v>
      </c>
      <c r="K24" s="17">
        <f ca="1">OFFSET('Power Domain Map'!$A$1,MATCH($C24,'Power Domain Map'!$A:$A,0)-1,3,1,1)</f>
        <v>100</v>
      </c>
      <c r="L24">
        <f ca="1">OFFSET('IP Dynamic Power Data'!$A$1,MATCH($A24,'IP Dynamic Power Data'!A:A,0),MATCH($F24,OFFSET('IP Dynamic Power Data'!$A$1,MATCH($A24,'IP Dynamic Power Data'!A:A,0)-1,0,1,10),0)-1)</f>
        <v>0.4</v>
      </c>
      <c r="M24">
        <f ca="1">OFFSET('IP Dynamic Power Data'!$A$1,MATCH($A24,'IP Dynamic Power Data'!A:A,0),MATCH("idle",OFFSET('IP Dynamic Power Data'!$A$1,MATCH($A24,'IP Dynamic Power Data'!A:A,0)-1,0,1,10),0)-1)</f>
        <v>0.01</v>
      </c>
      <c r="N24">
        <f ca="1">OFFSET(INDIRECT(ADDRESS(1,4,1,1,Info!$B$1&amp;" Power")),MATCH($A24,OFFSET(INDIRECT(ADDRESS(1,4,1,1,Info!$B$1&amp;" Power")),3,0,100,1),0)+2,1,1,1)</f>
        <v>0.92</v>
      </c>
      <c r="O24">
        <f ca="1">OFFSET(INDIRECT(ADDRESS(1,4,1,1,Info!$B$1&amp;" Power")),MATCH($A24,OFFSET(INDIRECT(ADDRESS(1,4,1,1,Info!$B$1&amp;" Power")),3,0,100,1),0)+2,2,1,1)</f>
        <v>266</v>
      </c>
      <c r="P24" s="7">
        <f ca="1" t="shared" si="2"/>
        <v>72.49585280000001</v>
      </c>
      <c r="Q24" s="7">
        <f ca="1">IF(MATCH($B24,$B:$B,0)=ROW($B24),OFFSET('SoC Leakage'!$B$1,MATCH($B24,'SoC Leakage'!A:A,0)-1,0)*EXP(OFFSET('SoC Leakage'!$C$1,MATCH($B24,'SoC Leakage'!A:A,0)-1,0)*$N24)*EXP((OFFSET('SoC Leakage'!$D$1,MATCH($B24,'SoC Leakage'!A:A,0)-1,0)*$N24+OFFSET('SoC Leakage'!$E$1,MATCH($B24,'SoC Leakage'!A:A,0)-1,0))*Tj_eff),0)*1000*IF(OR(E24="AutoPD with Ret",E24="Auto"),G24*(F24&lt;&gt;"idle")+(100-G24*(F24&lt;&gt;"idle"))*0.1,IF(E24="AutoPD",G24*(F24&lt;&gt;"idle")+(100-G24*(F24&lt;&gt;"idle"))*0.05,100))/100*1.03</f>
        <v>12.729722110407783</v>
      </c>
      <c r="R24" s="7">
        <f ca="1">IF($E24="Disabled",0,OFFSET(INDIRECT(ADDRESS(1,4,1,1,Info!$B$1&amp;" Power")),MATCH($A24,OFFSET(INDIRECT(ADDRESS(1,4,1,1,Info!$B$1&amp;" Power")),3,0,100,1),0)+2,8,1,1))</f>
        <v>0</v>
      </c>
      <c r="S24" s="7">
        <f ca="1">IF($E24="Disabled",0,OFFSET(INDIRECT(ADDRESS(1,4,1,1,Info!$B$1&amp;" Power")),MATCH($A24,OFFSET(INDIRECT(ADDRESS(1,4,1,1,Info!$B$1&amp;" Power")),3,0,100,1),0)+2,9,1,1))</f>
        <v>0</v>
      </c>
      <c r="T24" s="7">
        <f ca="1">OFFSET('IP Dynamic Power Data'!$A$1,MATCH($A24,'IP Dynamic Power Data'!A:A,0)+1,MATCH($F24,OFFSET('IP Dynamic Power Data'!$A$1,MATCH($A24,'IP Dynamic Power Data'!A:A,0)-1,0,1,10),0)-1)</f>
        <v>0</v>
      </c>
      <c r="U24" s="7">
        <f ca="1">OFFSET('IP Dynamic Power Data'!$A$1,MATCH($A24,'IP Dynamic Power Data'!A:A,0)+1,MATCH("idle",OFFSET('IP Dynamic Power Data'!$A$1,MATCH($A24,'IP Dynamic Power Data'!A:A,0)-1,0,1,10),0)-1)</f>
        <v>0</v>
      </c>
      <c r="V24" s="7">
        <f ca="1" t="shared" si="3"/>
        <v>1.15</v>
      </c>
      <c r="W24" s="7">
        <f ca="1" t="shared" si="4"/>
        <v>266</v>
      </c>
      <c r="X24" s="7">
        <f ca="1" t="shared" si="5"/>
        <v>0</v>
      </c>
      <c r="Y24" s="7">
        <f ca="1">IF(MATCH($B24,$B:$B,0)=ROW($B24),OFFSET('SoC Leakage'!$G$1,MATCH($B24,'SoC Leakage'!A:A,0)-1,0)*EXP(OFFSET('SoC Leakage'!$H$1,MATCH($B24,'SoC Leakage'!A:A,0)-1,0)*$V24)*EXP((OFFSET('SoC Leakage'!$I$1,MATCH($B24,'SoC Leakage'!A:A,0)-1,0)*$V24+OFFSET('SoC Leakage'!$J$1,MATCH($B24,'SoC Leakage'!A:A,0)-1,0))*Tj_eff),0)*1000</f>
        <v>0</v>
      </c>
    </row>
    <row r="25" spans="1:25" ht="15">
      <c r="A25" s="5" t="s">
        <v>203</v>
      </c>
      <c r="B25" t="str">
        <f ca="1">OFFSET('IP Dynamic Power Data'!$C$1,MATCH($A25,'IP Dynamic Power Data'!$A:$A,0)-1,0)</f>
        <v>VCP1</v>
      </c>
      <c r="C25" t="s">
        <v>100</v>
      </c>
      <c r="D25" t="str">
        <f ca="1">OFFSET('IP Dynamic Power Data'!$B$1,MATCH($A25,'IP Dynamic Power Data'!$A:$A,0)-1,0)</f>
        <v>Core</v>
      </c>
      <c r="E25" t="str">
        <f ca="1">OFFSET(INDIRECT(ADDRESS(1,4,1,1,Info!$B$1&amp;" Power")),MATCH($A25,OFFSET(INDIRECT(ADDRESS(1,4,1,1,Info!$B$1&amp;" Power")),3,0,100,1),0)+2,4,1,1)</f>
        <v>Disabled</v>
      </c>
      <c r="F25" t="str">
        <f ca="1">OFFSET(INDIRECT(ADDRESS(1,4,1,1,Info!$B$1&amp;" Power")),MATCH($A25,OFFSET(INDIRECT(ADDRESS(1,4,1,1,Info!$B$1&amp;" Power")),3,0,100,1),0)+2,6,1,1)</f>
        <v>idle</v>
      </c>
      <c r="G25" s="17">
        <f ca="1">OFFSET(INDIRECT(ADDRESS(1,4,1,1,Info!$B$1&amp;" Power")),MATCH($A25,OFFSET(INDIRECT(ADDRESS(1,4,1,1,Info!$B$1&amp;" Power")),3,0,100,1),0)+2,7,1,1)</f>
        <v>0</v>
      </c>
      <c r="H25">
        <f ca="1" t="shared" si="6"/>
        <v>0</v>
      </c>
      <c r="I25">
        <f ca="1" t="shared" si="1"/>
        <v>0</v>
      </c>
      <c r="J25" t="str">
        <f ca="1">OFFSET('Power Domain Map'!$A$1,MATCH($C25,'Power Domain Map'!$A:$A,0)-1,2,1,1)</f>
        <v>AlwaysOn</v>
      </c>
      <c r="K25" s="17">
        <f ca="1">OFFSET('Power Domain Map'!$A$1,MATCH($C25,'Power Domain Map'!$A:$A,0)-1,3,1,1)</f>
        <v>100</v>
      </c>
      <c r="L25">
        <f ca="1">OFFSET('IP Dynamic Power Data'!$A$1,MATCH($A25,'IP Dynamic Power Data'!A:A,0),MATCH($F25,OFFSET('IP Dynamic Power Data'!$A$1,MATCH($A25,'IP Dynamic Power Data'!A:A,0)-1,0,1,10),0)-1)</f>
        <v>0.05</v>
      </c>
      <c r="M25">
        <f ca="1">OFFSET('IP Dynamic Power Data'!$A$1,MATCH($A25,'IP Dynamic Power Data'!A:A,0),MATCH("idle",OFFSET('IP Dynamic Power Data'!$A$1,MATCH($A25,'IP Dynamic Power Data'!A:A,0)-1,0,1,10),0)-1)</f>
        <v>0.05</v>
      </c>
      <c r="N25">
        <f ca="1">OFFSET(INDIRECT(ADDRESS(1,4,1,1,Info!$B$1&amp;" Power")),MATCH($A25,OFFSET(INDIRECT(ADDRESS(1,4,1,1,Info!$B$1&amp;" Power")),3,0,100,1),0)+2,1,1,1)</f>
        <v>0.92</v>
      </c>
      <c r="O25">
        <f ca="1">OFFSET(INDIRECT(ADDRESS(1,4,1,1,Info!$B$1&amp;" Power")),MATCH($A25,OFFSET(INDIRECT(ADDRESS(1,4,1,1,Info!$B$1&amp;" Power")),3,0,100,1),0)+2,2,1,1)</f>
        <v>266</v>
      </c>
      <c r="P25" s="7">
        <f ca="1" t="shared" si="2"/>
        <v>11.25712</v>
      </c>
      <c r="Q25" s="7">
        <f ca="1">IF(MATCH($B25,$B:$B,0)=ROW($B25),OFFSET('SoC Leakage'!$B$1,MATCH($B25,'SoC Leakage'!A:A,0)-1,0)*EXP(OFFSET('SoC Leakage'!$C$1,MATCH($B25,'SoC Leakage'!A:A,0)-1,0)*$N25)*EXP((OFFSET('SoC Leakage'!$D$1,MATCH($B25,'SoC Leakage'!A:A,0)-1,0)*$N25+OFFSET('SoC Leakage'!$E$1,MATCH($B25,'SoC Leakage'!A:A,0)-1,0))*Tj_eff),0)*1000*IF(OR(E25="AutoPD with Ret",E25="Auto"),G25*(F25&lt;&gt;"idle")+(100-G25*(F25&lt;&gt;"idle"))*0.1,IF(E25="AutoPD",G25*(F25&lt;&gt;"idle")+(100-G25*(F25&lt;&gt;"idle"))*0.05,100))/100*1.03</f>
        <v>0</v>
      </c>
      <c r="R25" s="7">
        <f ca="1">IF($E25="Disabled",0,OFFSET(INDIRECT(ADDRESS(1,4,1,1,Info!$B$1&amp;" Power")),MATCH($A25,OFFSET(INDIRECT(ADDRESS(1,4,1,1,Info!$B$1&amp;" Power")),3,0,100,1),0)+2,8,1,1))</f>
        <v>0</v>
      </c>
      <c r="S25" s="7">
        <f ca="1">IF($E25="Disabled",0,OFFSET(INDIRECT(ADDRESS(1,4,1,1,Info!$B$1&amp;" Power")),MATCH($A25,OFFSET(INDIRECT(ADDRESS(1,4,1,1,Info!$B$1&amp;" Power")),3,0,100,1),0)+2,9,1,1))</f>
        <v>0</v>
      </c>
      <c r="T25" s="7">
        <f ca="1">OFFSET('IP Dynamic Power Data'!$A$1,MATCH($A25,'IP Dynamic Power Data'!A:A,0)+1,MATCH($F25,OFFSET('IP Dynamic Power Data'!$A$1,MATCH($A25,'IP Dynamic Power Data'!A:A,0)-1,0,1,10),0)-1)</f>
        <v>0</v>
      </c>
      <c r="U25" s="7">
        <f ca="1">OFFSET('IP Dynamic Power Data'!$A$1,MATCH($A25,'IP Dynamic Power Data'!A:A,0)+1,MATCH("idle",OFFSET('IP Dynamic Power Data'!$A$1,MATCH($A25,'IP Dynamic Power Data'!A:A,0)-1,0,1,10),0)-1)</f>
        <v>0</v>
      </c>
      <c r="V25" s="7">
        <f ca="1" t="shared" si="3"/>
        <v>1.15</v>
      </c>
      <c r="W25" s="7">
        <f ca="1" t="shared" si="4"/>
        <v>266</v>
      </c>
      <c r="X25" s="7">
        <f ca="1" t="shared" si="5"/>
        <v>0</v>
      </c>
      <c r="Y25" s="7">
        <f ca="1">IF(MATCH($B25,$B:$B,0)=ROW($B25),OFFSET('SoC Leakage'!$G$1,MATCH($B25,'SoC Leakage'!A:A,0)-1,0)*EXP(OFFSET('SoC Leakage'!$H$1,MATCH($B25,'SoC Leakage'!A:A,0)-1,0)*$V25)*EXP((OFFSET('SoC Leakage'!$I$1,MATCH($B25,'SoC Leakage'!A:A,0)-1,0)*$V25+OFFSET('SoC Leakage'!$J$1,MATCH($B25,'SoC Leakage'!A:A,0)-1,0))*Tj_eff),0)*1000</f>
        <v>0</v>
      </c>
    </row>
    <row r="26" spans="1:25" ht="15">
      <c r="A26" s="10" t="s">
        <v>204</v>
      </c>
      <c r="B26" t="str">
        <f ca="1">OFFSET('IP Dynamic Power Data'!$C$1,MATCH($A26,'IP Dynamic Power Data'!$A:$A,0)-1,0)</f>
        <v>VCP2</v>
      </c>
      <c r="C26" t="s">
        <v>100</v>
      </c>
      <c r="D26" t="str">
        <f ca="1">OFFSET('IP Dynamic Power Data'!$B$1,MATCH($A26,'IP Dynamic Power Data'!$A:$A,0)-1,0)</f>
        <v>Core</v>
      </c>
      <c r="E26" t="str">
        <f ca="1">OFFSET(INDIRECT(ADDRESS(1,4,1,1,Info!$B$1&amp;" Power")),MATCH($A26,OFFSET(INDIRECT(ADDRESS(1,4,1,1,Info!$B$1&amp;" Power")),3,0,100,1),0)+2,4,1,1)</f>
        <v>Disabled</v>
      </c>
      <c r="F26" t="str">
        <f ca="1">OFFSET(INDIRECT(ADDRESS(1,4,1,1,Info!$B$1&amp;" Power")),MATCH($A26,OFFSET(INDIRECT(ADDRESS(1,4,1,1,Info!$B$1&amp;" Power")),3,0,100,1),0)+2,6,1,1)</f>
        <v>idle</v>
      </c>
      <c r="G26" s="17">
        <f ca="1">OFFSET(INDIRECT(ADDRESS(1,4,1,1,Info!$B$1&amp;" Power")),MATCH($A26,OFFSET(INDIRECT(ADDRESS(1,4,1,1,Info!$B$1&amp;" Power")),3,0,100,1),0)+2,7,1,1)</f>
        <v>0</v>
      </c>
      <c r="H26">
        <f aca="true" t="shared" si="12" ref="H26">IF(E26="Always enabled",1,0)</f>
        <v>0</v>
      </c>
      <c r="I26">
        <f ca="1" t="shared" si="1"/>
        <v>0</v>
      </c>
      <c r="J26" t="str">
        <f ca="1">OFFSET('Power Domain Map'!$A$1,MATCH($C26,'Power Domain Map'!$A:$A,0)-1,2,1,1)</f>
        <v>AlwaysOn</v>
      </c>
      <c r="K26" s="17">
        <f ca="1">OFFSET('Power Domain Map'!$A$1,MATCH($C26,'Power Domain Map'!$A:$A,0)-1,3,1,1)</f>
        <v>100</v>
      </c>
      <c r="L26">
        <f ca="1">OFFSET('IP Dynamic Power Data'!$A$1,MATCH($A26,'IP Dynamic Power Data'!A:A,0),MATCH($F26,OFFSET('IP Dynamic Power Data'!$A$1,MATCH($A26,'IP Dynamic Power Data'!A:A,0)-1,0,1,10),0)-1)</f>
        <v>0.05</v>
      </c>
      <c r="M26">
        <f ca="1">OFFSET('IP Dynamic Power Data'!$A$1,MATCH($A26,'IP Dynamic Power Data'!A:A,0),MATCH("idle",OFFSET('IP Dynamic Power Data'!$A$1,MATCH($A26,'IP Dynamic Power Data'!A:A,0)-1,0,1,10),0)-1)</f>
        <v>0.05</v>
      </c>
      <c r="N26">
        <f ca="1">OFFSET(INDIRECT(ADDRESS(1,4,1,1,Info!$B$1&amp;" Power")),MATCH($A26,OFFSET(INDIRECT(ADDRESS(1,4,1,1,Info!$B$1&amp;" Power")),3,0,100,1),0)+2,1,1,1)</f>
        <v>0.92</v>
      </c>
      <c r="O26">
        <f ca="1">OFFSET(INDIRECT(ADDRESS(1,4,1,1,Info!$B$1&amp;" Power")),MATCH($A26,OFFSET(INDIRECT(ADDRESS(1,4,1,1,Info!$B$1&amp;" Power")),3,0,100,1),0)+2,2,1,1)</f>
        <v>266</v>
      </c>
      <c r="P26" s="7">
        <f ca="1" t="shared" si="2"/>
        <v>11.25712</v>
      </c>
      <c r="Q26" s="7">
        <f ca="1">IF(MATCH($B26,$B:$B,0)=ROW($B26),OFFSET('SoC Leakage'!$B$1,MATCH($B26,'SoC Leakage'!A:A,0)-1,0)*EXP(OFFSET('SoC Leakage'!$C$1,MATCH($B26,'SoC Leakage'!A:A,0)-1,0)*$N26)*EXP((OFFSET('SoC Leakage'!$D$1,MATCH($B26,'SoC Leakage'!A:A,0)-1,0)*$N26+OFFSET('SoC Leakage'!$E$1,MATCH($B26,'SoC Leakage'!A:A,0)-1,0))*Tj_eff),0)*1000*IF(OR(E26="AutoPD with Ret",E26="Auto"),G26*(F26&lt;&gt;"idle")+(100-G26*(F26&lt;&gt;"idle"))*0.1,IF(E26="AutoPD",G26*(F26&lt;&gt;"idle")+(100-G26*(F26&lt;&gt;"idle"))*0.05,100))/100*1.03</f>
        <v>0</v>
      </c>
      <c r="R26" s="7">
        <f ca="1">IF($E26="Disabled",0,OFFSET(INDIRECT(ADDRESS(1,4,1,1,Info!$B$1&amp;" Power")),MATCH($A26,OFFSET(INDIRECT(ADDRESS(1,4,1,1,Info!$B$1&amp;" Power")),3,0,100,1),0)+2,8,1,1))</f>
        <v>0</v>
      </c>
      <c r="S26" s="7">
        <f ca="1">IF($E26="Disabled",0,OFFSET(INDIRECT(ADDRESS(1,4,1,1,Info!$B$1&amp;" Power")),MATCH($A26,OFFSET(INDIRECT(ADDRESS(1,4,1,1,Info!$B$1&amp;" Power")),3,0,100,1),0)+2,9,1,1))</f>
        <v>0</v>
      </c>
      <c r="T26" s="7">
        <f ca="1">OFFSET('IP Dynamic Power Data'!$A$1,MATCH($A26,'IP Dynamic Power Data'!A:A,0)+1,MATCH($F26,OFFSET('IP Dynamic Power Data'!$A$1,MATCH($A26,'IP Dynamic Power Data'!A:A,0)-1,0,1,10),0)-1)</f>
        <v>0</v>
      </c>
      <c r="U26" s="7">
        <f ca="1">OFFSET('IP Dynamic Power Data'!$A$1,MATCH($A26,'IP Dynamic Power Data'!A:A,0)+1,MATCH("idle",OFFSET('IP Dynamic Power Data'!$A$1,MATCH($A26,'IP Dynamic Power Data'!A:A,0)-1,0,1,10),0)-1)</f>
        <v>0</v>
      </c>
      <c r="V26" s="7">
        <f ca="1" t="shared" si="3"/>
        <v>1.15</v>
      </c>
      <c r="W26" s="7">
        <f ca="1" t="shared" si="4"/>
        <v>266</v>
      </c>
      <c r="X26" s="7">
        <f ca="1" t="shared" si="5"/>
        <v>0</v>
      </c>
      <c r="Y26" s="7">
        <f ca="1">IF(MATCH($B26,$B:$B,0)=ROW($B26),OFFSET('SoC Leakage'!$G$1,MATCH($B26,'SoC Leakage'!A:A,0)-1,0)*EXP(OFFSET('SoC Leakage'!$H$1,MATCH($B26,'SoC Leakage'!A:A,0)-1,0)*$V26)*EXP((OFFSET('SoC Leakage'!$I$1,MATCH($B26,'SoC Leakage'!A:A,0)-1,0)*$V26+OFFSET('SoC Leakage'!$J$1,MATCH($B26,'SoC Leakage'!A:A,0)-1,0))*Tj_eff),0)*1000</f>
        <v>0</v>
      </c>
    </row>
    <row r="27" spans="1:25" ht="15">
      <c r="A27" s="5" t="s">
        <v>199</v>
      </c>
      <c r="B27" t="str">
        <f ca="1">OFFSET('IP Dynamic Power Data'!$C$1,MATCH($A27,'IP Dynamic Power Data'!$A:$A,0)-1,0)</f>
        <v>DSS</v>
      </c>
      <c r="C27" t="s">
        <v>104</v>
      </c>
      <c r="D27" t="str">
        <f ca="1">OFFSET('IP Dynamic Power Data'!$B$1,MATCH($A27,'IP Dynamic Power Data'!$A:$A,0)-1,0)</f>
        <v>IO</v>
      </c>
      <c r="E27" t="str">
        <f ca="1">OFFSET(INDIRECT(ADDRESS(1,4,1,1,Info!$B$1&amp;" Power")),MATCH($A27,OFFSET(INDIRECT(ADDRESS(1,4,1,1,Info!$B$1&amp;" Power")),3,0,100,1),0)+2,4,1,1)</f>
        <v>Disabled</v>
      </c>
      <c r="F27" t="str">
        <f ca="1">OFFSET(INDIRECT(ADDRESS(1,4,1,1,Info!$B$1&amp;" Power")),MATCH($A27,OFFSET(INDIRECT(ADDRESS(1,4,1,1,Info!$B$1&amp;" Power")),3,0,100,1),0)+2,6,1,1)</f>
        <v>idle</v>
      </c>
      <c r="G27" s="17">
        <f ca="1">OFFSET(INDIRECT(ADDRESS(1,4,1,1,Info!$B$1&amp;" Power")),MATCH($A27,OFFSET(INDIRECT(ADDRESS(1,4,1,1,Info!$B$1&amp;" Power")),3,0,100,1),0)+2,7,1,1)</f>
        <v>0</v>
      </c>
      <c r="H27">
        <f ca="1" t="shared" si="6"/>
        <v>0</v>
      </c>
      <c r="I27">
        <f ca="1" t="shared" si="1"/>
        <v>0</v>
      </c>
      <c r="J27" t="str">
        <f ca="1">OFFSET('Power Domain Map'!$A$1,MATCH($C27,'Power Domain Map'!$A:$A,0)-1,2,1,1)</f>
        <v>AlwaysOn</v>
      </c>
      <c r="K27" s="17">
        <f ca="1">OFFSET('Power Domain Map'!$A$1,MATCH($C27,'Power Domain Map'!$A:$A,0)-1,3,1,1)</f>
        <v>100</v>
      </c>
      <c r="L27">
        <f ca="1">OFFSET('IP Dynamic Power Data'!$A$1,MATCH($A27,'IP Dynamic Power Data'!A:A,0),MATCH($F27,OFFSET('IP Dynamic Power Data'!$A$1,MATCH($A27,'IP Dynamic Power Data'!A:A,0)-1,0,1,10),0)-1)</f>
        <v>0.001</v>
      </c>
      <c r="M27">
        <f ca="1">OFFSET('IP Dynamic Power Data'!$A$1,MATCH($A27,'IP Dynamic Power Data'!A:A,0),MATCH("idle",OFFSET('IP Dynamic Power Data'!$A$1,MATCH($A27,'IP Dynamic Power Data'!A:A,0)-1,0,1,10),0)-1)</f>
        <v>0.001</v>
      </c>
      <c r="N27">
        <f ca="1">OFFSET(INDIRECT(ADDRESS(1,4,1,1,Info!$B$1&amp;" Power")),MATCH($A27,OFFSET(INDIRECT(ADDRESS(1,4,1,1,Info!$B$1&amp;" Power")),3,0,100,1),0)+2,1,1,1)</f>
        <v>0.92</v>
      </c>
      <c r="O27">
        <f ca="1">OFFSET(INDIRECT(ADDRESS(1,4,1,1,Info!$B$1&amp;" Power")),MATCH($A27,OFFSET(INDIRECT(ADDRESS(1,4,1,1,Info!$B$1&amp;" Power")),3,0,100,1),0)+2,2,1,1)</f>
        <v>165</v>
      </c>
      <c r="P27" s="7">
        <f ca="1" t="shared" si="2"/>
        <v>0.13965600000000003</v>
      </c>
      <c r="Q27" s="7">
        <f ca="1">IF(MATCH($B27,$B:$B,0)=ROW($B27),OFFSET('SoC Leakage'!$B$1,MATCH($B27,'SoC Leakage'!A:A,0)-1,0)*EXP(OFFSET('SoC Leakage'!$C$1,MATCH($B27,'SoC Leakage'!A:A,0)-1,0)*$N27)*EXP((OFFSET('SoC Leakage'!$D$1,MATCH($B27,'SoC Leakage'!A:A,0)-1,0)*$N27+OFFSET('SoC Leakage'!$E$1,MATCH($B27,'SoC Leakage'!A:A,0)-1,0))*Tj_eff),0)*1000*IF(OR(E27="AutoPD with Ret",E27="Auto"),G27*(F27&lt;&gt;"idle")+(100-G27*(F27&lt;&gt;"idle"))*0.1,IF(E27="AutoPD",G27*(F27&lt;&gt;"idle")+(100-G27*(F27&lt;&gt;"idle"))*0.05,100))/100*1.03</f>
        <v>11.080014298957614</v>
      </c>
      <c r="R27" s="7">
        <f ca="1">IF($E27="Disabled",0,OFFSET(INDIRECT(ADDRESS(1,4,1,1,Info!$B$1&amp;" Power")),MATCH($A27,OFFSET(INDIRECT(ADDRESS(1,4,1,1,Info!$B$1&amp;" Power")),3,0,100,1),0)+2,8,1,1))</f>
        <v>0</v>
      </c>
      <c r="S27" s="7">
        <f ca="1">IF($E27="Disabled",0,OFFSET(INDIRECT(ADDRESS(1,4,1,1,Info!$B$1&amp;" Power")),MATCH($A27,OFFSET(INDIRECT(ADDRESS(1,4,1,1,Info!$B$1&amp;" Power")),3,0,100,1),0)+2,9,1,1))</f>
        <v>0</v>
      </c>
      <c r="T27" s="7">
        <f ca="1">OFFSET('IP Dynamic Power Data'!$A$1,MATCH($A27,'IP Dynamic Power Data'!A:A,0)+1,MATCH($F27,OFFSET('IP Dynamic Power Data'!$A$1,MATCH($A27,'IP Dynamic Power Data'!A:A,0)-1,0,1,10),0)-1)</f>
        <v>0</v>
      </c>
      <c r="U27" s="7">
        <f ca="1">OFFSET('IP Dynamic Power Data'!$A$1,MATCH($A27,'IP Dynamic Power Data'!A:A,0)+1,MATCH("idle",OFFSET('IP Dynamic Power Data'!$A$1,MATCH($A27,'IP Dynamic Power Data'!A:A,0)-1,0,1,10),0)-1)</f>
        <v>0</v>
      </c>
      <c r="V27" s="7">
        <f ca="1" t="shared" si="3"/>
        <v>1.15</v>
      </c>
      <c r="W27" s="7">
        <f ca="1" t="shared" si="4"/>
        <v>165</v>
      </c>
      <c r="X27" s="7">
        <f ca="1" t="shared" si="5"/>
        <v>0</v>
      </c>
      <c r="Y27" s="7">
        <f ca="1">IF(MATCH($B27,$B:$B,0)=ROW($B27),OFFSET('SoC Leakage'!$G$1,MATCH($B27,'SoC Leakage'!A:A,0)-1,0)*EXP(OFFSET('SoC Leakage'!$H$1,MATCH($B27,'SoC Leakage'!A:A,0)-1,0)*$V27)*EXP((OFFSET('SoC Leakage'!$I$1,MATCH($B27,'SoC Leakage'!A:A,0)-1,0)*$V27+OFFSET('SoC Leakage'!$J$1,MATCH($B27,'SoC Leakage'!A:A,0)-1,0))*Tj_eff),0)*1000</f>
        <v>0</v>
      </c>
    </row>
    <row r="28" spans="1:25" ht="15">
      <c r="A28" s="5" t="s">
        <v>200</v>
      </c>
      <c r="B28" t="str">
        <f ca="1">OFFSET('IP Dynamic Power Data'!$C$1,MATCH($A28,'IP Dynamic Power Data'!$A:$A,0)-1,0)</f>
        <v>DSS</v>
      </c>
      <c r="C28" t="s">
        <v>104</v>
      </c>
      <c r="D28" t="str">
        <f ca="1">OFFSET('IP Dynamic Power Data'!$B$1,MATCH($A28,'IP Dynamic Power Data'!$A:$A,0)-1,0)</f>
        <v>IO</v>
      </c>
      <c r="E28" t="str">
        <f ca="1">OFFSET(INDIRECT(ADDRESS(1,4,1,1,Info!$B$1&amp;" Power")),MATCH($A28,OFFSET(INDIRECT(ADDRESS(1,4,1,1,Info!$B$1&amp;" Power")),3,0,100,1),0)+2,4,1,1)</f>
        <v>Disabled</v>
      </c>
      <c r="F28" t="str">
        <f ca="1">OFFSET(INDIRECT(ADDRESS(1,4,1,1,Info!$B$1&amp;" Power")),MATCH($A28,OFFSET(INDIRECT(ADDRESS(1,4,1,1,Info!$B$1&amp;" Power")),3,0,100,1),0)+2,6,1,1)</f>
        <v>idle</v>
      </c>
      <c r="G28" s="17">
        <f ca="1">OFFSET(INDIRECT(ADDRESS(1,4,1,1,Info!$B$1&amp;" Power")),MATCH($A28,OFFSET(INDIRECT(ADDRESS(1,4,1,1,Info!$B$1&amp;" Power")),3,0,100,1),0)+2,7,1,1)</f>
        <v>0</v>
      </c>
      <c r="H28">
        <f aca="true" t="shared" si="13" ref="H28:H30">IF(E28="Always enabled",1,0)</f>
        <v>0</v>
      </c>
      <c r="I28">
        <f ca="1" t="shared" si="1"/>
        <v>0</v>
      </c>
      <c r="J28" t="str">
        <f ca="1">OFFSET('Power Domain Map'!$A$1,MATCH($C28,'Power Domain Map'!$A:$A,0)-1,2,1,1)</f>
        <v>AlwaysOn</v>
      </c>
      <c r="K28" s="17">
        <f ca="1">OFFSET('Power Domain Map'!$A$1,MATCH($C28,'Power Domain Map'!$A:$A,0)-1,3,1,1)</f>
        <v>100</v>
      </c>
      <c r="L28">
        <f ca="1">OFFSET('IP Dynamic Power Data'!$A$1,MATCH($A28,'IP Dynamic Power Data'!A:A,0),MATCH($F28,OFFSET('IP Dynamic Power Data'!$A$1,MATCH($A28,'IP Dynamic Power Data'!A:A,0)-1,0,1,10),0)-1)</f>
        <v>0.001</v>
      </c>
      <c r="M28">
        <f ca="1">OFFSET('IP Dynamic Power Data'!$A$1,MATCH($A28,'IP Dynamic Power Data'!A:A,0),MATCH("idle",OFFSET('IP Dynamic Power Data'!$A$1,MATCH($A28,'IP Dynamic Power Data'!A:A,0)-1,0,1,10),0)-1)</f>
        <v>0.001</v>
      </c>
      <c r="N28">
        <f ca="1">OFFSET(INDIRECT(ADDRESS(1,4,1,1,Info!$B$1&amp;" Power")),MATCH($A28,OFFSET(INDIRECT(ADDRESS(1,4,1,1,Info!$B$1&amp;" Power")),3,0,100,1),0)+2,1,1,1)</f>
        <v>0.92</v>
      </c>
      <c r="O28">
        <f ca="1">OFFSET(INDIRECT(ADDRESS(1,4,1,1,Info!$B$1&amp;" Power")),MATCH($A28,OFFSET(INDIRECT(ADDRESS(1,4,1,1,Info!$B$1&amp;" Power")),3,0,100,1),0)+2,2,1,1)</f>
        <v>165</v>
      </c>
      <c r="P28" s="7">
        <f ca="1" t="shared" si="2"/>
        <v>0.13965600000000003</v>
      </c>
      <c r="Q28" s="7">
        <f ca="1">IF(MATCH($B28,$B:$B,0)=ROW($B28),OFFSET('SoC Leakage'!$B$1,MATCH($B28,'SoC Leakage'!A:A,0)-1,0)*EXP(OFFSET('SoC Leakage'!$C$1,MATCH($B28,'SoC Leakage'!A:A,0)-1,0)*$N28)*EXP((OFFSET('SoC Leakage'!$D$1,MATCH($B28,'SoC Leakage'!A:A,0)-1,0)*$N28+OFFSET('SoC Leakage'!$E$1,MATCH($B28,'SoC Leakage'!A:A,0)-1,0))*Tj_eff),0)*1000*IF(OR(E28="AutoPD with Ret",E28="Auto"),G28*(F28&lt;&gt;"idle")+(100-G28*(F28&lt;&gt;"idle"))*0.1,IF(E28="AutoPD",G28*(F28&lt;&gt;"idle")+(100-G28*(F28&lt;&gt;"idle"))*0.05,100))/100*1.03</f>
        <v>0</v>
      </c>
      <c r="R28" s="7">
        <f ca="1">IF($E28="Disabled",0,OFFSET(INDIRECT(ADDRESS(1,4,1,1,Info!$B$1&amp;" Power")),MATCH($A28,OFFSET(INDIRECT(ADDRESS(1,4,1,1,Info!$B$1&amp;" Power")),3,0,100,1),0)+2,8,1,1))</f>
        <v>0</v>
      </c>
      <c r="S28" s="7">
        <f ca="1">IF($E28="Disabled",0,OFFSET(INDIRECT(ADDRESS(1,4,1,1,Info!$B$1&amp;" Power")),MATCH($A28,OFFSET(INDIRECT(ADDRESS(1,4,1,1,Info!$B$1&amp;" Power")),3,0,100,1),0)+2,9,1,1))</f>
        <v>0</v>
      </c>
      <c r="T28" s="7">
        <f ca="1">OFFSET('IP Dynamic Power Data'!$A$1,MATCH($A28,'IP Dynamic Power Data'!A:A,0)+1,MATCH($F28,OFFSET('IP Dynamic Power Data'!$A$1,MATCH($A28,'IP Dynamic Power Data'!A:A,0)-1,0,1,10),0)-1)</f>
        <v>0</v>
      </c>
      <c r="U28" s="7">
        <f ca="1">OFFSET('IP Dynamic Power Data'!$A$1,MATCH($A28,'IP Dynamic Power Data'!A:A,0)+1,MATCH("idle",OFFSET('IP Dynamic Power Data'!$A$1,MATCH($A28,'IP Dynamic Power Data'!A:A,0)-1,0,1,10),0)-1)</f>
        <v>0</v>
      </c>
      <c r="V28" s="7">
        <f ca="1" t="shared" si="3"/>
        <v>1.15</v>
      </c>
      <c r="W28" s="7">
        <f ca="1" t="shared" si="4"/>
        <v>165</v>
      </c>
      <c r="X28" s="7">
        <f ca="1" t="shared" si="5"/>
        <v>0</v>
      </c>
      <c r="Y28" s="7">
        <f ca="1">IF(MATCH($B28,$B:$B,0)=ROW($B28),OFFSET('SoC Leakage'!$G$1,MATCH($B28,'SoC Leakage'!A:A,0)-1,0)*EXP(OFFSET('SoC Leakage'!$H$1,MATCH($B28,'SoC Leakage'!A:A,0)-1,0)*$V28)*EXP((OFFSET('SoC Leakage'!$I$1,MATCH($B28,'SoC Leakage'!A:A,0)-1,0)*$V28+OFFSET('SoC Leakage'!$J$1,MATCH($B28,'SoC Leakage'!A:A,0)-1,0))*Tj_eff),0)*1000</f>
        <v>0</v>
      </c>
    </row>
    <row r="29" spans="1:25" ht="15">
      <c r="A29" s="5" t="s">
        <v>201</v>
      </c>
      <c r="B29" t="str">
        <f ca="1">OFFSET('IP Dynamic Power Data'!$C$1,MATCH($A29,'IP Dynamic Power Data'!$A:$A,0)-1,0)</f>
        <v>DSS</v>
      </c>
      <c r="C29" t="s">
        <v>104</v>
      </c>
      <c r="D29" t="str">
        <f ca="1">OFFSET('IP Dynamic Power Data'!$B$1,MATCH($A29,'IP Dynamic Power Data'!$A:$A,0)-1,0)</f>
        <v>IO</v>
      </c>
      <c r="E29" t="str">
        <f ca="1">OFFSET(INDIRECT(ADDRESS(1,4,1,1,Info!$B$1&amp;" Power")),MATCH($A29,OFFSET(INDIRECT(ADDRESS(1,4,1,1,Info!$B$1&amp;" Power")),3,0,100,1),0)+2,4,1,1)</f>
        <v>Disabled</v>
      </c>
      <c r="F29" t="str">
        <f ca="1">OFFSET(INDIRECT(ADDRESS(1,4,1,1,Info!$B$1&amp;" Power")),MATCH($A29,OFFSET(INDIRECT(ADDRESS(1,4,1,1,Info!$B$1&amp;" Power")),3,0,100,1),0)+2,6,1,1)</f>
        <v>idle</v>
      </c>
      <c r="G29" s="17">
        <f ca="1">OFFSET(INDIRECT(ADDRESS(1,4,1,1,Info!$B$1&amp;" Power")),MATCH($A29,OFFSET(INDIRECT(ADDRESS(1,4,1,1,Info!$B$1&amp;" Power")),3,0,100,1),0)+2,7,1,1)</f>
        <v>0</v>
      </c>
      <c r="H29">
        <f ca="1" t="shared" si="13"/>
        <v>0</v>
      </c>
      <c r="I29">
        <f ca="1" t="shared" si="1"/>
        <v>0</v>
      </c>
      <c r="J29" t="str">
        <f ca="1">OFFSET('Power Domain Map'!$A$1,MATCH($C29,'Power Domain Map'!$A:$A,0)-1,2,1,1)</f>
        <v>AlwaysOn</v>
      </c>
      <c r="K29" s="17">
        <f ca="1">OFFSET('Power Domain Map'!$A$1,MATCH($C29,'Power Domain Map'!$A:$A,0)-1,3,1,1)</f>
        <v>100</v>
      </c>
      <c r="L29">
        <f ca="1">OFFSET('IP Dynamic Power Data'!$A$1,MATCH($A29,'IP Dynamic Power Data'!A:A,0),MATCH($F29,OFFSET('IP Dynamic Power Data'!$A$1,MATCH($A29,'IP Dynamic Power Data'!A:A,0)-1,0,1,10),0)-1)</f>
        <v>0.001</v>
      </c>
      <c r="M29">
        <f ca="1">OFFSET('IP Dynamic Power Data'!$A$1,MATCH($A29,'IP Dynamic Power Data'!A:A,0),MATCH("idle",OFFSET('IP Dynamic Power Data'!$A$1,MATCH($A29,'IP Dynamic Power Data'!A:A,0)-1,0,1,10),0)-1)</f>
        <v>0.001</v>
      </c>
      <c r="N29">
        <f ca="1">OFFSET(INDIRECT(ADDRESS(1,4,1,1,Info!$B$1&amp;" Power")),MATCH($A29,OFFSET(INDIRECT(ADDRESS(1,4,1,1,Info!$B$1&amp;" Power")),3,0,100,1),0)+2,1,1,1)</f>
        <v>0.92</v>
      </c>
      <c r="O29">
        <f ca="1">OFFSET(INDIRECT(ADDRESS(1,4,1,1,Info!$B$1&amp;" Power")),MATCH($A29,OFFSET(INDIRECT(ADDRESS(1,4,1,1,Info!$B$1&amp;" Power")),3,0,100,1),0)+2,2,1,1)</f>
        <v>165</v>
      </c>
      <c r="P29" s="7">
        <f ca="1" t="shared" si="2"/>
        <v>0.13965600000000003</v>
      </c>
      <c r="Q29" s="7">
        <f ca="1">IF(MATCH($B29,$B:$B,0)=ROW($B29),OFFSET('SoC Leakage'!$B$1,MATCH($B29,'SoC Leakage'!A:A,0)-1,0)*EXP(OFFSET('SoC Leakage'!$C$1,MATCH($B29,'SoC Leakage'!A:A,0)-1,0)*$N29)*EXP((OFFSET('SoC Leakage'!$D$1,MATCH($B29,'SoC Leakage'!A:A,0)-1,0)*$N29+OFFSET('SoC Leakage'!$E$1,MATCH($B29,'SoC Leakage'!A:A,0)-1,0))*Tj_eff),0)*1000*IF(OR(E29="AutoPD with Ret",E29="Auto"),G29*(F29&lt;&gt;"idle")+(100-G29*(F29&lt;&gt;"idle"))*0.1,IF(E29="AutoPD",G29*(F29&lt;&gt;"idle")+(100-G29*(F29&lt;&gt;"idle"))*0.05,100))/100*1.03</f>
        <v>0</v>
      </c>
      <c r="R29" s="7">
        <f ca="1">IF($E29="Disabled",0,OFFSET(INDIRECT(ADDRESS(1,4,1,1,Info!$B$1&amp;" Power")),MATCH($A29,OFFSET(INDIRECT(ADDRESS(1,4,1,1,Info!$B$1&amp;" Power")),3,0,100,1),0)+2,8,1,1))</f>
        <v>0</v>
      </c>
      <c r="S29" s="7">
        <f ca="1">IF($E29="Disabled",0,OFFSET(INDIRECT(ADDRESS(1,4,1,1,Info!$B$1&amp;" Power")),MATCH($A29,OFFSET(INDIRECT(ADDRESS(1,4,1,1,Info!$B$1&amp;" Power")),3,0,100,1),0)+2,9,1,1))</f>
        <v>0</v>
      </c>
      <c r="T29" s="7">
        <f ca="1">OFFSET('IP Dynamic Power Data'!$A$1,MATCH($A29,'IP Dynamic Power Data'!A:A,0)+1,MATCH($F29,OFFSET('IP Dynamic Power Data'!$A$1,MATCH($A29,'IP Dynamic Power Data'!A:A,0)-1,0,1,10),0)-1)</f>
        <v>0</v>
      </c>
      <c r="U29" s="7">
        <f ca="1">OFFSET('IP Dynamic Power Data'!$A$1,MATCH($A29,'IP Dynamic Power Data'!A:A,0)+1,MATCH("idle",OFFSET('IP Dynamic Power Data'!$A$1,MATCH($A29,'IP Dynamic Power Data'!A:A,0)-1,0,1,10),0)-1)</f>
        <v>0</v>
      </c>
      <c r="V29" s="7">
        <f ca="1" t="shared" si="3"/>
        <v>1.15</v>
      </c>
      <c r="W29" s="7">
        <f ca="1" t="shared" si="4"/>
        <v>165</v>
      </c>
      <c r="X29" s="7">
        <f ca="1" t="shared" si="5"/>
        <v>0</v>
      </c>
      <c r="Y29" s="7">
        <f ca="1">IF(MATCH($B29,$B:$B,0)=ROW($B29),OFFSET('SoC Leakage'!$G$1,MATCH($B29,'SoC Leakage'!A:A,0)-1,0)*EXP(OFFSET('SoC Leakage'!$H$1,MATCH($B29,'SoC Leakage'!A:A,0)-1,0)*$V29)*EXP((OFFSET('SoC Leakage'!$I$1,MATCH($B29,'SoC Leakage'!A:A,0)-1,0)*$V29+OFFSET('SoC Leakage'!$J$1,MATCH($B29,'SoC Leakage'!A:A,0)-1,0))*Tj_eff),0)*1000</f>
        <v>0</v>
      </c>
    </row>
    <row r="30" spans="1:25" ht="15">
      <c r="A30" s="5" t="s">
        <v>202</v>
      </c>
      <c r="B30" t="str">
        <f ca="1">OFFSET('IP Dynamic Power Data'!$C$1,MATCH($A30,'IP Dynamic Power Data'!$A:$A,0)-1,0)</f>
        <v>DSS</v>
      </c>
      <c r="C30" t="s">
        <v>104</v>
      </c>
      <c r="D30" t="str">
        <f ca="1">OFFSET('IP Dynamic Power Data'!$B$1,MATCH($A30,'IP Dynamic Power Data'!$A:$A,0)-1,0)</f>
        <v>IO</v>
      </c>
      <c r="E30" t="str">
        <f ca="1">OFFSET(INDIRECT(ADDRESS(1,4,1,1,Info!$B$1&amp;" Power")),MATCH($A30,OFFSET(INDIRECT(ADDRESS(1,4,1,1,Info!$B$1&amp;" Power")),3,0,100,1),0)+2,4,1,1)</f>
        <v>Disabled</v>
      </c>
      <c r="F30" t="str">
        <f ca="1">OFFSET(INDIRECT(ADDRESS(1,4,1,1,Info!$B$1&amp;" Power")),MATCH($A30,OFFSET(INDIRECT(ADDRESS(1,4,1,1,Info!$B$1&amp;" Power")),3,0,100,1),0)+2,6,1,1)</f>
        <v>idle</v>
      </c>
      <c r="G30" s="17">
        <f ca="1">OFFSET(INDIRECT(ADDRESS(1,4,1,1,Info!$B$1&amp;" Power")),MATCH($A30,OFFSET(INDIRECT(ADDRESS(1,4,1,1,Info!$B$1&amp;" Power")),3,0,100,1),0)+2,7,1,1)</f>
        <v>0</v>
      </c>
      <c r="H30">
        <f ca="1" t="shared" si="13"/>
        <v>0</v>
      </c>
      <c r="I30">
        <f ca="1" t="shared" si="1"/>
        <v>0</v>
      </c>
      <c r="J30" t="str">
        <f ca="1">OFFSET('Power Domain Map'!$A$1,MATCH($C30,'Power Domain Map'!$A:$A,0)-1,2,1,1)</f>
        <v>AlwaysOn</v>
      </c>
      <c r="K30" s="17">
        <f ca="1">OFFSET('Power Domain Map'!$A$1,MATCH($C30,'Power Domain Map'!$A:$A,0)-1,3,1,1)</f>
        <v>100</v>
      </c>
      <c r="L30">
        <f ca="1">OFFSET('IP Dynamic Power Data'!$A$1,MATCH($A30,'IP Dynamic Power Data'!A:A,0),MATCH($F30,OFFSET('IP Dynamic Power Data'!$A$1,MATCH($A30,'IP Dynamic Power Data'!A:A,0)-1,0,1,10),0)-1)</f>
        <v>0.001</v>
      </c>
      <c r="M30">
        <f ca="1">OFFSET('IP Dynamic Power Data'!$A$1,MATCH($A30,'IP Dynamic Power Data'!A:A,0),MATCH("idle",OFFSET('IP Dynamic Power Data'!$A$1,MATCH($A30,'IP Dynamic Power Data'!A:A,0)-1,0,1,10),0)-1)</f>
        <v>0.001</v>
      </c>
      <c r="N30">
        <f ca="1">OFFSET(INDIRECT(ADDRESS(1,4,1,1,Info!$B$1&amp;" Power")),MATCH($A30,OFFSET(INDIRECT(ADDRESS(1,4,1,1,Info!$B$1&amp;" Power")),3,0,100,1),0)+2,1,1,1)</f>
        <v>0.92</v>
      </c>
      <c r="O30">
        <f ca="1">OFFSET(INDIRECT(ADDRESS(1,4,1,1,Info!$B$1&amp;" Power")),MATCH($A30,OFFSET(INDIRECT(ADDRESS(1,4,1,1,Info!$B$1&amp;" Power")),3,0,100,1),0)+2,2,1,1)</f>
        <v>165</v>
      </c>
      <c r="P30" s="7">
        <f ca="1" t="shared" si="2"/>
        <v>0.13965600000000003</v>
      </c>
      <c r="Q30" s="7">
        <f ca="1">IF(MATCH($B30,$B:$B,0)=ROW($B30),OFFSET('SoC Leakage'!$B$1,MATCH($B30,'SoC Leakage'!A:A,0)-1,0)*EXP(OFFSET('SoC Leakage'!$C$1,MATCH($B30,'SoC Leakage'!A:A,0)-1,0)*$N30)*EXP((OFFSET('SoC Leakage'!$D$1,MATCH($B30,'SoC Leakage'!A:A,0)-1,0)*$N30+OFFSET('SoC Leakage'!$E$1,MATCH($B30,'SoC Leakage'!A:A,0)-1,0))*Tj_eff),0)*1000*IF(OR(E30="AutoPD with Ret",E30="Auto"),G30*(F30&lt;&gt;"idle")+(100-G30*(F30&lt;&gt;"idle"))*0.1,IF(E30="AutoPD",G30*(F30&lt;&gt;"idle")+(100-G30*(F30&lt;&gt;"idle"))*0.05,100))/100*1.03</f>
        <v>0</v>
      </c>
      <c r="R30" s="7">
        <f ca="1">IF($E30="Disabled",0,OFFSET(INDIRECT(ADDRESS(1,4,1,1,Info!$B$1&amp;" Power")),MATCH($A30,OFFSET(INDIRECT(ADDRESS(1,4,1,1,Info!$B$1&amp;" Power")),3,0,100,1),0)+2,8,1,1))</f>
        <v>0</v>
      </c>
      <c r="S30" s="7">
        <f ca="1">IF($E30="Disabled",0,OFFSET(INDIRECT(ADDRESS(1,4,1,1,Info!$B$1&amp;" Power")),MATCH($A30,OFFSET(INDIRECT(ADDRESS(1,4,1,1,Info!$B$1&amp;" Power")),3,0,100,1),0)+2,9,1,1))</f>
        <v>0</v>
      </c>
      <c r="T30" s="7">
        <f ca="1">OFFSET('IP Dynamic Power Data'!$A$1,MATCH($A30,'IP Dynamic Power Data'!A:A,0)+1,MATCH($F30,OFFSET('IP Dynamic Power Data'!$A$1,MATCH($A30,'IP Dynamic Power Data'!A:A,0)-1,0,1,10),0)-1)</f>
        <v>0</v>
      </c>
      <c r="U30" s="7">
        <f ca="1">OFFSET('IP Dynamic Power Data'!$A$1,MATCH($A30,'IP Dynamic Power Data'!A:A,0)+1,MATCH("idle",OFFSET('IP Dynamic Power Data'!$A$1,MATCH($A30,'IP Dynamic Power Data'!A:A,0)-1,0,1,10),0)-1)</f>
        <v>0</v>
      </c>
      <c r="V30" s="7">
        <f ca="1" t="shared" si="3"/>
        <v>1.15</v>
      </c>
      <c r="W30" s="7">
        <f ca="1" t="shared" si="4"/>
        <v>165</v>
      </c>
      <c r="X30" s="7">
        <f ca="1" t="shared" si="5"/>
        <v>0</v>
      </c>
      <c r="Y30" s="7">
        <f ca="1">IF(MATCH($B30,$B:$B,0)=ROW($B30),OFFSET('SoC Leakage'!$G$1,MATCH($B30,'SoC Leakage'!A:A,0)-1,0)*EXP(OFFSET('SoC Leakage'!$H$1,MATCH($B30,'SoC Leakage'!A:A,0)-1,0)*$V30)*EXP((OFFSET('SoC Leakage'!$I$1,MATCH($B30,'SoC Leakage'!A:A,0)-1,0)*$V30+OFFSET('SoC Leakage'!$J$1,MATCH($B30,'SoC Leakage'!A:A,0)-1,0))*Tj_eff),0)*1000</f>
        <v>0</v>
      </c>
    </row>
    <row r="31" spans="1:25" ht="15">
      <c r="A31" s="5" t="s">
        <v>23</v>
      </c>
      <c r="B31" t="str">
        <f ca="1">OFFSET('IP Dynamic Power Data'!$C$1,MATCH($A31,'IP Dynamic Power Data'!$A:$A,0)-1,0)</f>
        <v>CRYPTO</v>
      </c>
      <c r="C31" t="s">
        <v>105</v>
      </c>
      <c r="D31" t="str">
        <f ca="1">OFFSET('IP Dynamic Power Data'!$B$1,MATCH($A31,'IP Dynamic Power Data'!$A:$A,0)-1,0)</f>
        <v>Core</v>
      </c>
      <c r="E31" t="str">
        <f ca="1">OFFSET(INDIRECT(ADDRESS(1,4,1,1,Info!$B$1&amp;" Power")),MATCH($A31,OFFSET(INDIRECT(ADDRESS(1,4,1,1,Info!$B$1&amp;" Power")),3,0,100,1),0)+2,4,1,1)</f>
        <v>Disabled</v>
      </c>
      <c r="F31" t="str">
        <f ca="1">OFFSET(INDIRECT(ADDRESS(1,4,1,1,Info!$B$1&amp;" Power")),MATCH($A31,OFFSET(INDIRECT(ADDRESS(1,4,1,1,Info!$B$1&amp;" Power")),3,0,100,1),0)+2,6,1,1)</f>
        <v>idle</v>
      </c>
      <c r="G31" s="17">
        <f ca="1">OFFSET(INDIRECT(ADDRESS(1,4,1,1,Info!$B$1&amp;" Power")),MATCH($A31,OFFSET(INDIRECT(ADDRESS(1,4,1,1,Info!$B$1&amp;" Power")),3,0,100,1),0)+2,7,1,1)</f>
        <v>0</v>
      </c>
      <c r="H31">
        <f ca="1" t="shared" si="6"/>
        <v>0</v>
      </c>
      <c r="I31">
        <f ca="1" t="shared" si="1"/>
        <v>0</v>
      </c>
      <c r="J31" t="str">
        <f ca="1">OFFSET('Power Domain Map'!$A$1,MATCH($C31,'Power Domain Map'!$A:$A,0)-1,2,1,1)</f>
        <v>Disabled</v>
      </c>
      <c r="K31" s="17">
        <f ca="1">OFFSET('Power Domain Map'!$A$1,MATCH($C31,'Power Domain Map'!$A:$A,0)-1,3,1,1)</f>
        <v>0</v>
      </c>
      <c r="L31">
        <f ca="1">OFFSET('IP Dynamic Power Data'!$A$1,MATCH($A31,'IP Dynamic Power Data'!A:A,0),MATCH($F31,OFFSET('IP Dynamic Power Data'!$A$1,MATCH($A31,'IP Dynamic Power Data'!A:A,0)-1,0,1,10),0)-1)</f>
        <v>0.01</v>
      </c>
      <c r="M31">
        <f ca="1">OFFSET('IP Dynamic Power Data'!$A$1,MATCH($A31,'IP Dynamic Power Data'!A:A,0),MATCH("idle",OFFSET('IP Dynamic Power Data'!$A$1,MATCH($A31,'IP Dynamic Power Data'!A:A,0)-1,0,1,10),0)-1)</f>
        <v>0.01</v>
      </c>
      <c r="N31">
        <f ca="1">OFFSET(INDIRECT(ADDRESS(1,4,1,1,Info!$B$1&amp;" Power")),MATCH($A31,OFFSET(INDIRECT(ADDRESS(1,4,1,1,Info!$B$1&amp;" Power")),3,0,100,1),0)+2,1,1,1)</f>
        <v>0.92</v>
      </c>
      <c r="O31">
        <f ca="1">OFFSET(INDIRECT(ADDRESS(1,4,1,1,Info!$B$1&amp;" Power")),MATCH($A31,OFFSET(INDIRECT(ADDRESS(1,4,1,1,Info!$B$1&amp;" Power")),3,0,100,1),0)+2,2,1,1)</f>
        <v>266</v>
      </c>
      <c r="P31" s="7">
        <f ca="1" t="shared" si="2"/>
        <v>0</v>
      </c>
      <c r="Q31" s="7">
        <f ca="1">IF(MATCH($B31,$B:$B,0)=ROW($B31),OFFSET('SoC Leakage'!$B$1,MATCH($B31,'SoC Leakage'!A:A,0)-1,0)*EXP(OFFSET('SoC Leakage'!$C$1,MATCH($B31,'SoC Leakage'!A:A,0)-1,0)*$N31)*EXP((OFFSET('SoC Leakage'!$D$1,MATCH($B31,'SoC Leakage'!A:A,0)-1,0)*$N31+OFFSET('SoC Leakage'!$E$1,MATCH($B31,'SoC Leakage'!A:A,0)-1,0))*Tj_eff),0)*1000*IF(OR(E31="AutoPD with Ret",E31="Auto"),G31*(F31&lt;&gt;"idle")+(100-G31*(F31&lt;&gt;"idle"))*0.1,IF(E31="AutoPD",G31*(F31&lt;&gt;"idle")+(100-G31*(F31&lt;&gt;"idle"))*0.05,100))/100*1.03</f>
        <v>0</v>
      </c>
      <c r="R31" s="7">
        <f ca="1">IF($E31="Disabled",0,OFFSET(INDIRECT(ADDRESS(1,4,1,1,Info!$B$1&amp;" Power")),MATCH($A31,OFFSET(INDIRECT(ADDRESS(1,4,1,1,Info!$B$1&amp;" Power")),3,0,100,1),0)+2,8,1,1))</f>
        <v>0</v>
      </c>
      <c r="S31" s="7">
        <f ca="1">IF($E31="Disabled",0,OFFSET(INDIRECT(ADDRESS(1,4,1,1,Info!$B$1&amp;" Power")),MATCH($A31,OFFSET(INDIRECT(ADDRESS(1,4,1,1,Info!$B$1&amp;" Power")),3,0,100,1),0)+2,9,1,1))</f>
        <v>0</v>
      </c>
      <c r="T31" s="7">
        <f ca="1">OFFSET('IP Dynamic Power Data'!$A$1,MATCH($A31,'IP Dynamic Power Data'!A:A,0)+1,MATCH($F31,OFFSET('IP Dynamic Power Data'!$A$1,MATCH($A31,'IP Dynamic Power Data'!A:A,0)-1,0,1,10),0)-1)</f>
        <v>0</v>
      </c>
      <c r="U31" s="7">
        <f ca="1">OFFSET('IP Dynamic Power Data'!$A$1,MATCH($A31,'IP Dynamic Power Data'!A:A,0)+1,MATCH("idle",OFFSET('IP Dynamic Power Data'!$A$1,MATCH($A31,'IP Dynamic Power Data'!A:A,0)-1,0,1,10),0)-1)</f>
        <v>0</v>
      </c>
      <c r="V31" s="7">
        <f ca="1" t="shared" si="3"/>
        <v>1.15</v>
      </c>
      <c r="W31" s="7">
        <f ca="1" t="shared" si="4"/>
        <v>266</v>
      </c>
      <c r="X31" s="7">
        <f ca="1" t="shared" si="5"/>
        <v>0</v>
      </c>
      <c r="Y31" s="7">
        <f ca="1">IF(MATCH($B31,$B:$B,0)=ROW($B31),OFFSET('SoC Leakage'!$G$1,MATCH($B31,'SoC Leakage'!A:A,0)-1,0)*EXP(OFFSET('SoC Leakage'!$H$1,MATCH($B31,'SoC Leakage'!A:A,0)-1,0)*$V31)*EXP((OFFSET('SoC Leakage'!$I$1,MATCH($B31,'SoC Leakage'!A:A,0)-1,0)*$V31+OFFSET('SoC Leakage'!$J$1,MATCH($B31,'SoC Leakage'!A:A,0)-1,0))*Tj_eff),0)*1000</f>
        <v>0</v>
      </c>
    </row>
    <row r="32" spans="1:25" ht="15">
      <c r="A32" s="5" t="s">
        <v>197</v>
      </c>
      <c r="B32" t="str">
        <f ca="1">OFFSET('IP Dynamic Power Data'!$C$1,MATCH($A32,'IP Dynamic Power Data'!$A:$A,0)-1,0)</f>
        <v>PCIe_SS1</v>
      </c>
      <c r="C32" t="s">
        <v>106</v>
      </c>
      <c r="D32" t="str">
        <f ca="1">OFFSET('IP Dynamic Power Data'!$B$1,MATCH($A32,'IP Dynamic Power Data'!$A:$A,0)-1,0)</f>
        <v>IO</v>
      </c>
      <c r="E32" t="str">
        <f ca="1">OFFSET(INDIRECT(ADDRESS(1,4,1,1,Info!$B$1&amp;" Power")),MATCH($A32,OFFSET(INDIRECT(ADDRESS(1,4,1,1,Info!$B$1&amp;" Power")),3,0,100,1),0)+2,4,1,1)</f>
        <v>Disabled</v>
      </c>
      <c r="F32" t="str">
        <f ca="1">OFFSET(INDIRECT(ADDRESS(1,4,1,1,Info!$B$1&amp;" Power")),MATCH($A32,OFFSET(INDIRECT(ADDRESS(1,4,1,1,Info!$B$1&amp;" Power")),3,0,100,1),0)+2,6,1,1)</f>
        <v>idle</v>
      </c>
      <c r="G32" s="17">
        <f ca="1">OFFSET(INDIRECT(ADDRESS(1,4,1,1,Info!$B$1&amp;" Power")),MATCH($A32,OFFSET(INDIRECT(ADDRESS(1,4,1,1,Info!$B$1&amp;" Power")),3,0,100,1),0)+2,7,1,1)</f>
        <v>0</v>
      </c>
      <c r="H32">
        <f ca="1" t="shared" si="6"/>
        <v>0</v>
      </c>
      <c r="I32">
        <f ca="1" t="shared" si="1"/>
        <v>0</v>
      </c>
      <c r="J32" t="str">
        <f ca="1">OFFSET('Power Domain Map'!$A$1,MATCH($C32,'Power Domain Map'!$A:$A,0)-1,2,1,1)</f>
        <v>Disabled</v>
      </c>
      <c r="K32" s="17">
        <f ca="1">OFFSET('Power Domain Map'!$A$1,MATCH($C32,'Power Domain Map'!$A:$A,0)-1,3,1,1)</f>
        <v>0</v>
      </c>
      <c r="L32">
        <f ca="1">OFFSET('IP Dynamic Power Data'!$A$1,MATCH($A32,'IP Dynamic Power Data'!A:A,0),MATCH($F32,OFFSET('IP Dynamic Power Data'!$A$1,MATCH($A32,'IP Dynamic Power Data'!A:A,0)-1,0,1,10),0)-1)</f>
        <v>0.005</v>
      </c>
      <c r="M32">
        <f ca="1">OFFSET('IP Dynamic Power Data'!$A$1,MATCH($A32,'IP Dynamic Power Data'!A:A,0),MATCH("idle",OFFSET('IP Dynamic Power Data'!$A$1,MATCH($A32,'IP Dynamic Power Data'!A:A,0)-1,0,1,10),0)-1)</f>
        <v>0.005</v>
      </c>
      <c r="N32">
        <f ca="1">OFFSET(INDIRECT(ADDRESS(1,4,1,1,Info!$B$1&amp;" Power")),MATCH($A32,OFFSET(INDIRECT(ADDRESS(1,4,1,1,Info!$B$1&amp;" Power")),3,0,100,1),0)+2,1,1,1)</f>
        <v>0.92</v>
      </c>
      <c r="O32">
        <f ca="1">OFFSET(INDIRECT(ADDRESS(1,4,1,1,Info!$B$1&amp;" Power")),MATCH($A32,OFFSET(INDIRECT(ADDRESS(1,4,1,1,Info!$B$1&amp;" Power")),3,0,100,1),0)+2,2,1,1)</f>
        <v>500</v>
      </c>
      <c r="P32" s="7">
        <f ca="1" t="shared" si="2"/>
        <v>0</v>
      </c>
      <c r="Q32" s="7">
        <f ca="1">IF(MATCH($B32,$B:$B,0)=ROW($B32),OFFSET('SoC Leakage'!$B$1,MATCH($B32,'SoC Leakage'!A:A,0)-1,0)*EXP(OFFSET('SoC Leakage'!$C$1,MATCH($B32,'SoC Leakage'!A:A,0)-1,0)*$N32)*EXP((OFFSET('SoC Leakage'!$D$1,MATCH($B32,'SoC Leakage'!A:A,0)-1,0)*$N32+OFFSET('SoC Leakage'!$E$1,MATCH($B32,'SoC Leakage'!A:A,0)-1,0))*Tj_eff),0)*1000*IF(OR(E32="AutoPD with Ret",E32="Auto"),G32*(F32&lt;&gt;"idle")+(100-G32*(F32&lt;&gt;"idle"))*0.1,IF(E32="AutoPD",G32*(F32&lt;&gt;"idle")+(100-G32*(F32&lt;&gt;"idle"))*0.05,100))/100*1.03</f>
        <v>2.191460083340578</v>
      </c>
      <c r="R32" s="7">
        <f ca="1">IF($E32="Disabled",0,OFFSET(INDIRECT(ADDRESS(1,4,1,1,Info!$B$1&amp;" Power")),MATCH($A32,OFFSET(INDIRECT(ADDRESS(1,4,1,1,Info!$B$1&amp;" Power")),3,0,100,1),0)+2,8,1,1))</f>
        <v>0</v>
      </c>
      <c r="S32" s="7">
        <f ca="1">IF($E32="Disabled",0,OFFSET(INDIRECT(ADDRESS(1,4,1,1,Info!$B$1&amp;" Power")),MATCH($A32,OFFSET(INDIRECT(ADDRESS(1,4,1,1,Info!$B$1&amp;" Power")),3,0,100,1),0)+2,9,1,1))</f>
        <v>0</v>
      </c>
      <c r="T32" s="7">
        <f ca="1">OFFSET('IP Dynamic Power Data'!$A$1,MATCH($A32,'IP Dynamic Power Data'!A:A,0)+1,MATCH($F32,OFFSET('IP Dynamic Power Data'!$A$1,MATCH($A32,'IP Dynamic Power Data'!A:A,0)-1,0,1,10),0)-1)</f>
        <v>0</v>
      </c>
      <c r="U32" s="7">
        <f ca="1">OFFSET('IP Dynamic Power Data'!$A$1,MATCH($A32,'IP Dynamic Power Data'!A:A,0)+1,MATCH("idle",OFFSET('IP Dynamic Power Data'!$A$1,MATCH($A32,'IP Dynamic Power Data'!A:A,0)-1,0,1,10),0)-1)</f>
        <v>0</v>
      </c>
      <c r="V32" s="7">
        <f ca="1" t="shared" si="3"/>
        <v>1.15</v>
      </c>
      <c r="W32" s="7">
        <f ca="1" t="shared" si="4"/>
        <v>500</v>
      </c>
      <c r="X32" s="7">
        <f ca="1" t="shared" si="5"/>
        <v>0</v>
      </c>
      <c r="Y32" s="7">
        <f ca="1">IF(MATCH($B32,$B:$B,0)=ROW($B32),OFFSET('SoC Leakage'!$G$1,MATCH($B32,'SoC Leakage'!A:A,0)-1,0)*EXP(OFFSET('SoC Leakage'!$H$1,MATCH($B32,'SoC Leakage'!A:A,0)-1,0)*$V32)*EXP((OFFSET('SoC Leakage'!$I$1,MATCH($B32,'SoC Leakage'!A:A,0)-1,0)*$V32+OFFSET('SoC Leakage'!$J$1,MATCH($B32,'SoC Leakage'!A:A,0)-1,0))*Tj_eff),0)*1000</f>
        <v>0.26160166509229643</v>
      </c>
    </row>
    <row r="33" spans="1:25" ht="15">
      <c r="A33" s="5" t="s">
        <v>198</v>
      </c>
      <c r="B33" t="str">
        <f ca="1">OFFSET('IP Dynamic Power Data'!$C$1,MATCH($A33,'IP Dynamic Power Data'!$A:$A,0)-1,0)</f>
        <v>PCIe_SS2</v>
      </c>
      <c r="C33" t="s">
        <v>106</v>
      </c>
      <c r="D33" t="str">
        <f ca="1">OFFSET('IP Dynamic Power Data'!$B$1,MATCH($A33,'IP Dynamic Power Data'!$A:$A,0)-1,0)</f>
        <v>IO</v>
      </c>
      <c r="E33" t="str">
        <f ca="1">OFFSET(INDIRECT(ADDRESS(1,4,1,1,Info!$B$1&amp;" Power")),MATCH($A33,OFFSET(INDIRECT(ADDRESS(1,4,1,1,Info!$B$1&amp;" Power")),3,0,100,1),0)+2,4,1,1)</f>
        <v>Disabled</v>
      </c>
      <c r="F33" t="str">
        <f ca="1">OFFSET(INDIRECT(ADDRESS(1,4,1,1,Info!$B$1&amp;" Power")),MATCH($A33,OFFSET(INDIRECT(ADDRESS(1,4,1,1,Info!$B$1&amp;" Power")),3,0,100,1),0)+2,6,1,1)</f>
        <v>idle</v>
      </c>
      <c r="G33" s="17">
        <f ca="1">OFFSET(INDIRECT(ADDRESS(1,4,1,1,Info!$B$1&amp;" Power")),MATCH($A33,OFFSET(INDIRECT(ADDRESS(1,4,1,1,Info!$B$1&amp;" Power")),3,0,100,1),0)+2,7,1,1)</f>
        <v>0</v>
      </c>
      <c r="H33">
        <f ca="1" t="shared" si="6"/>
        <v>0</v>
      </c>
      <c r="I33">
        <f ca="1" t="shared" si="1"/>
        <v>0</v>
      </c>
      <c r="J33" t="str">
        <f ca="1">OFFSET('Power Domain Map'!$A$1,MATCH($C33,'Power Domain Map'!$A:$A,0)-1,2,1,1)</f>
        <v>Disabled</v>
      </c>
      <c r="K33" s="17">
        <f ca="1">OFFSET('Power Domain Map'!$A$1,MATCH($C33,'Power Domain Map'!$A:$A,0)-1,3,1,1)</f>
        <v>0</v>
      </c>
      <c r="L33">
        <f ca="1">OFFSET('IP Dynamic Power Data'!$A$1,MATCH($A33,'IP Dynamic Power Data'!A:A,0),MATCH($F33,OFFSET('IP Dynamic Power Data'!$A$1,MATCH($A33,'IP Dynamic Power Data'!A:A,0)-1,0,1,10),0)-1)</f>
        <v>0.005</v>
      </c>
      <c r="M33">
        <f ca="1">OFFSET('IP Dynamic Power Data'!$A$1,MATCH($A33,'IP Dynamic Power Data'!A:A,0),MATCH("idle",OFFSET('IP Dynamic Power Data'!$A$1,MATCH($A33,'IP Dynamic Power Data'!A:A,0)-1,0,1,10),0)-1)</f>
        <v>0.005</v>
      </c>
      <c r="N33">
        <f ca="1">OFFSET(INDIRECT(ADDRESS(1,4,1,1,Info!$B$1&amp;" Power")),MATCH($A33,OFFSET(INDIRECT(ADDRESS(1,4,1,1,Info!$B$1&amp;" Power")),3,0,100,1),0)+2,1,1,1)</f>
        <v>0.92</v>
      </c>
      <c r="O33">
        <f ca="1">OFFSET(INDIRECT(ADDRESS(1,4,1,1,Info!$B$1&amp;" Power")),MATCH($A33,OFFSET(INDIRECT(ADDRESS(1,4,1,1,Info!$B$1&amp;" Power")),3,0,100,1),0)+2,2,1,1)</f>
        <v>500</v>
      </c>
      <c r="P33" s="7">
        <f ca="1" t="shared" si="2"/>
        <v>0</v>
      </c>
      <c r="Q33" s="7">
        <f ca="1">IF(MATCH($B33,$B:$B,0)=ROW($B33),OFFSET('SoC Leakage'!$B$1,MATCH($B33,'SoC Leakage'!A:A,0)-1,0)*EXP(OFFSET('SoC Leakage'!$C$1,MATCH($B33,'SoC Leakage'!A:A,0)-1,0)*$N33)*EXP((OFFSET('SoC Leakage'!$D$1,MATCH($B33,'SoC Leakage'!A:A,0)-1,0)*$N33+OFFSET('SoC Leakage'!$E$1,MATCH($B33,'SoC Leakage'!A:A,0)-1,0))*Tj_eff),0)*1000*IF(OR(E33="AutoPD with Ret",E33="Auto"),G33*(F33&lt;&gt;"idle")+(100-G33*(F33&lt;&gt;"idle"))*0.1,IF(E33="AutoPD",G33*(F33&lt;&gt;"idle")+(100-G33*(F33&lt;&gt;"idle"))*0.05,100))/100*1.03</f>
        <v>2.191460083340578</v>
      </c>
      <c r="R33" s="7">
        <f ca="1">IF($E33="Disabled",0,OFFSET(INDIRECT(ADDRESS(1,4,1,1,Info!$B$1&amp;" Power")),MATCH($A33,OFFSET(INDIRECT(ADDRESS(1,4,1,1,Info!$B$1&amp;" Power")),3,0,100,1),0)+2,8,1,1))</f>
        <v>0</v>
      </c>
      <c r="S33" s="7">
        <f ca="1">IF($E33="Disabled",0,OFFSET(INDIRECT(ADDRESS(1,4,1,1,Info!$B$1&amp;" Power")),MATCH($A33,OFFSET(INDIRECT(ADDRESS(1,4,1,1,Info!$B$1&amp;" Power")),3,0,100,1),0)+2,9,1,1))</f>
        <v>0</v>
      </c>
      <c r="T33" s="7">
        <f ca="1">OFFSET('IP Dynamic Power Data'!$A$1,MATCH($A33,'IP Dynamic Power Data'!A:A,0)+1,MATCH($F33,OFFSET('IP Dynamic Power Data'!$A$1,MATCH($A33,'IP Dynamic Power Data'!A:A,0)-1,0,1,10),0)-1)</f>
        <v>0</v>
      </c>
      <c r="U33" s="7">
        <f ca="1">OFFSET('IP Dynamic Power Data'!$A$1,MATCH($A33,'IP Dynamic Power Data'!A:A,0)+1,MATCH("idle",OFFSET('IP Dynamic Power Data'!$A$1,MATCH($A33,'IP Dynamic Power Data'!A:A,0)-1,0,1,10),0)-1)</f>
        <v>0</v>
      </c>
      <c r="V33" s="7">
        <f ca="1" t="shared" si="3"/>
        <v>1.15</v>
      </c>
      <c r="W33" s="7">
        <f ca="1" t="shared" si="4"/>
        <v>500</v>
      </c>
      <c r="X33" s="7">
        <f ca="1" t="shared" si="5"/>
        <v>0</v>
      </c>
      <c r="Y33" s="7">
        <f ca="1">IF(MATCH($B33,$B:$B,0)=ROW($B33),OFFSET('SoC Leakage'!$G$1,MATCH($B33,'SoC Leakage'!A:A,0)-1,0)*EXP(OFFSET('SoC Leakage'!$H$1,MATCH($B33,'SoC Leakage'!A:A,0)-1,0)*$V33)*EXP((OFFSET('SoC Leakage'!$I$1,MATCH($B33,'SoC Leakage'!A:A,0)-1,0)*$V33+OFFSET('SoC Leakage'!$J$1,MATCH($B33,'SoC Leakage'!A:A,0)-1,0))*Tj_eff),0)*1000</f>
        <v>0.26160166509229643</v>
      </c>
    </row>
    <row r="34" spans="1:25" ht="15">
      <c r="A34" s="5" t="s">
        <v>17</v>
      </c>
      <c r="B34" t="str">
        <f ca="1">OFFSET('IP Dynamic Power Data'!$C$1,MATCH($A34,'IP Dynamic Power Data'!$A:$A,0)-1,0)</f>
        <v>SATA</v>
      </c>
      <c r="C34" t="s">
        <v>107</v>
      </c>
      <c r="D34" t="str">
        <f ca="1">OFFSET('IP Dynamic Power Data'!$B$1,MATCH($A34,'IP Dynamic Power Data'!$A:$A,0)-1,0)</f>
        <v>IO</v>
      </c>
      <c r="E34" t="str">
        <f ca="1">OFFSET(INDIRECT(ADDRESS(1,4,1,1,Info!$B$1&amp;" Power")),MATCH($A34,OFFSET(INDIRECT(ADDRESS(1,4,1,1,Info!$B$1&amp;" Power")),3,0,100,1),0)+2,4,1,1)</f>
        <v>Always enabled</v>
      </c>
      <c r="F34" t="str">
        <f ca="1">OFFSET(INDIRECT(ADDRESS(1,4,1,1,Info!$B$1&amp;" Power")),MATCH($A34,OFFSET(INDIRECT(ADDRESS(1,4,1,1,Info!$B$1&amp;" Power")),3,0,100,1),0)+2,6,1,1)</f>
        <v>typ</v>
      </c>
      <c r="G34" s="17">
        <f ca="1">OFFSET(INDIRECT(ADDRESS(1,4,1,1,Info!$B$1&amp;" Power")),MATCH($A34,OFFSET(INDIRECT(ADDRESS(1,4,1,1,Info!$B$1&amp;" Power")),3,0,100,1),0)+2,7,1,1)</f>
        <v>100</v>
      </c>
      <c r="H34">
        <f ca="1" t="shared" si="6"/>
        <v>1</v>
      </c>
      <c r="I34">
        <f ca="1" t="shared" si="1"/>
        <v>0</v>
      </c>
      <c r="J34" t="str">
        <f ca="1">OFFSET('Power Domain Map'!$A$1,MATCH($C34,'Power Domain Map'!$A:$A,0)-1,2,1,1)</f>
        <v>AlwaysOn</v>
      </c>
      <c r="K34" s="17">
        <f ca="1">OFFSET('Power Domain Map'!$A$1,MATCH($C34,'Power Domain Map'!$A:$A,0)-1,3,1,1)</f>
        <v>100</v>
      </c>
      <c r="L34">
        <f ca="1">OFFSET('IP Dynamic Power Data'!$A$1,MATCH($A34,'IP Dynamic Power Data'!A:A,0),MATCH($F34,OFFSET('IP Dynamic Power Data'!$A$1,MATCH($A34,'IP Dynamic Power Data'!A:A,0)-1,0,1,10),0)-1)</f>
        <v>0.1</v>
      </c>
      <c r="M34">
        <f ca="1">OFFSET('IP Dynamic Power Data'!$A$1,MATCH($A34,'IP Dynamic Power Data'!A:A,0),MATCH("idle",OFFSET('IP Dynamic Power Data'!$A$1,MATCH($A34,'IP Dynamic Power Data'!A:A,0)-1,0,1,10),0)-1)</f>
        <v>0.001</v>
      </c>
      <c r="N34">
        <f ca="1">OFFSET(INDIRECT(ADDRESS(1,4,1,1,Info!$B$1&amp;" Power")),MATCH($A34,OFFSET(INDIRECT(ADDRESS(1,4,1,1,Info!$B$1&amp;" Power")),3,0,100,1),0)+2,1,1,1)</f>
        <v>0.92</v>
      </c>
      <c r="O34">
        <f ca="1">OFFSET(INDIRECT(ADDRESS(1,4,1,1,Info!$B$1&amp;" Power")),MATCH($A34,OFFSET(INDIRECT(ADDRESS(1,4,1,1,Info!$B$1&amp;" Power")),3,0,100,1),0)+2,2,1,1)</f>
        <v>300</v>
      </c>
      <c r="P34" s="7">
        <f ca="1" t="shared" si="2"/>
        <v>25.392000000000003</v>
      </c>
      <c r="Q34" s="7">
        <f ca="1">IF(MATCH($B34,$B:$B,0)=ROW($B34),OFFSET('SoC Leakage'!$B$1,MATCH($B34,'SoC Leakage'!A:A,0)-1,0)*EXP(OFFSET('SoC Leakage'!$C$1,MATCH($B34,'SoC Leakage'!A:A,0)-1,0)*$N34)*EXP((OFFSET('SoC Leakage'!$D$1,MATCH($B34,'SoC Leakage'!A:A,0)-1,0)*$N34+OFFSET('SoC Leakage'!$E$1,MATCH($B34,'SoC Leakage'!A:A,0)-1,0))*Tj_eff),0)*1000*IF(OR(E34="AutoPD with Ret",E34="Auto"),G34*(F34&lt;&gt;"idle")+(100-G34*(F34&lt;&gt;"idle"))*0.1,IF(E34="AutoPD",G34*(F34&lt;&gt;"idle")+(100-G34*(F34&lt;&gt;"idle"))*0.05,100))/100*1.03</f>
        <v>0.5367463923170627</v>
      </c>
      <c r="R34" s="7">
        <f ca="1">IF($E34="Disabled",0,OFFSET(INDIRECT(ADDRESS(1,4,1,1,Info!$B$1&amp;" Power")),MATCH($A34,OFFSET(INDIRECT(ADDRESS(1,4,1,1,Info!$B$1&amp;" Power")),3,0,100,1),0)+2,8,1,1))</f>
        <v>0</v>
      </c>
      <c r="S34" s="7">
        <f ca="1">IF($E34="Disabled",0,OFFSET(INDIRECT(ADDRESS(1,4,1,1,Info!$B$1&amp;" Power")),MATCH($A34,OFFSET(INDIRECT(ADDRESS(1,4,1,1,Info!$B$1&amp;" Power")),3,0,100,1),0)+2,9,1,1))</f>
        <v>0</v>
      </c>
      <c r="T34" s="7">
        <f ca="1">OFFSET('IP Dynamic Power Data'!$A$1,MATCH($A34,'IP Dynamic Power Data'!A:A,0)+1,MATCH($F34,OFFSET('IP Dynamic Power Data'!$A$1,MATCH($A34,'IP Dynamic Power Data'!A:A,0)-1,0,1,10),0)-1)</f>
        <v>0</v>
      </c>
      <c r="U34" s="7">
        <f ca="1">OFFSET('IP Dynamic Power Data'!$A$1,MATCH($A34,'IP Dynamic Power Data'!A:A,0)+1,MATCH("idle",OFFSET('IP Dynamic Power Data'!$A$1,MATCH($A34,'IP Dynamic Power Data'!A:A,0)-1,0,1,10),0)-1)</f>
        <v>0</v>
      </c>
      <c r="V34" s="7">
        <f ca="1" t="shared" si="3"/>
        <v>1.15</v>
      </c>
      <c r="W34" s="7">
        <f ca="1" t="shared" si="4"/>
        <v>300</v>
      </c>
      <c r="X34" s="7">
        <f ca="1" t="shared" si="5"/>
        <v>0</v>
      </c>
      <c r="Y34" s="7">
        <f ca="1">IF(MATCH($B34,$B:$B,0)=ROW($B34),OFFSET('SoC Leakage'!$G$1,MATCH($B34,'SoC Leakage'!A:A,0)-1,0)*EXP(OFFSET('SoC Leakage'!$H$1,MATCH($B34,'SoC Leakage'!A:A,0)-1,0)*$V34)*EXP((OFFSET('SoC Leakage'!$I$1,MATCH($B34,'SoC Leakage'!A:A,0)-1,0)*$V34+OFFSET('SoC Leakage'!$J$1,MATCH($B34,'SoC Leakage'!A:A,0)-1,0))*Tj_eff),0)*1000</f>
        <v>0</v>
      </c>
    </row>
    <row r="35" spans="1:25" ht="15">
      <c r="A35" s="5" t="s">
        <v>181</v>
      </c>
      <c r="B35" t="str">
        <f ca="1">OFFSET('IP Dynamic Power Data'!$C$1,MATCH($A35,'IP Dynamic Power Data'!$A:$A,0)-1,0)</f>
        <v>ICSS1</v>
      </c>
      <c r="C35" t="s">
        <v>108</v>
      </c>
      <c r="D35" t="str">
        <f ca="1">OFFSET('IP Dynamic Power Data'!$B$1,MATCH($A35,'IP Dynamic Power Data'!$A:$A,0)-1,0)</f>
        <v>Core</v>
      </c>
      <c r="E35" t="str">
        <f ca="1">OFFSET(INDIRECT(ADDRESS(1,4,1,1,Info!$B$1&amp;" Power")),MATCH($A35,OFFSET(INDIRECT(ADDRESS(1,4,1,1,Info!$B$1&amp;" Power")),3,0,100,1),0)+2,4,1,1)</f>
        <v>Disabled</v>
      </c>
      <c r="F35" t="str">
        <f ca="1">OFFSET(INDIRECT(ADDRESS(1,4,1,1,Info!$B$1&amp;" Power")),MATCH($A35,OFFSET(INDIRECT(ADDRESS(1,4,1,1,Info!$B$1&amp;" Power")),3,0,100,1),0)+2,6,1,1)</f>
        <v>idle</v>
      </c>
      <c r="G35" s="17">
        <f ca="1">OFFSET(INDIRECT(ADDRESS(1,4,1,1,Info!$B$1&amp;" Power")),MATCH($A35,OFFSET(INDIRECT(ADDRESS(1,4,1,1,Info!$B$1&amp;" Power")),3,0,100,1),0)+2,7,1,1)</f>
        <v>0</v>
      </c>
      <c r="H35">
        <f ca="1" t="shared" si="6"/>
        <v>0</v>
      </c>
      <c r="I35">
        <f ca="1" t="shared" si="1"/>
        <v>0</v>
      </c>
      <c r="J35" t="str">
        <f ca="1">OFFSET('Power Domain Map'!$A$1,MATCH($C35,'Power Domain Map'!$A:$A,0)-1,2,1,1)</f>
        <v>AlwaysOn</v>
      </c>
      <c r="K35" s="17">
        <f ca="1">OFFSET('Power Domain Map'!$A$1,MATCH($C35,'Power Domain Map'!$A:$A,0)-1,3,1,1)</f>
        <v>100</v>
      </c>
      <c r="L35">
        <f ca="1">OFFSET('IP Dynamic Power Data'!$A$1,MATCH($A35,'IP Dynamic Power Data'!A:A,0),MATCH($F35,OFFSET('IP Dynamic Power Data'!$A$1,MATCH($A35,'IP Dynamic Power Data'!A:A,0)-1,0,1,10),0)-1)</f>
        <v>0.01</v>
      </c>
      <c r="M35">
        <f ca="1">OFFSET('IP Dynamic Power Data'!$A$1,MATCH($A35,'IP Dynamic Power Data'!A:A,0),MATCH("idle",OFFSET('IP Dynamic Power Data'!$A$1,MATCH($A35,'IP Dynamic Power Data'!A:A,0)-1,0,1,10),0)-1)</f>
        <v>0.01</v>
      </c>
      <c r="N35">
        <f ca="1">OFFSET(INDIRECT(ADDRESS(1,4,1,1,Info!$B$1&amp;" Power")),MATCH($A35,OFFSET(INDIRECT(ADDRESS(1,4,1,1,Info!$B$1&amp;" Power")),3,0,100,1),0)+2,1,1,1)</f>
        <v>0.92</v>
      </c>
      <c r="O35">
        <f ca="1">OFFSET(INDIRECT(ADDRESS(1,4,1,1,Info!$B$1&amp;" Power")),MATCH($A35,OFFSET(INDIRECT(ADDRESS(1,4,1,1,Info!$B$1&amp;" Power")),3,0,100,1),0)+2,2,1,1)</f>
        <v>200</v>
      </c>
      <c r="P35" s="7">
        <f ca="1" t="shared" si="2"/>
        <v>1.6928</v>
      </c>
      <c r="Q35" s="7">
        <f ca="1">IF(MATCH($B35,$B:$B,0)=ROW($B35),OFFSET('SoC Leakage'!$B$1,MATCH($B35,'SoC Leakage'!A:A,0)-1,0)*EXP(OFFSET('SoC Leakage'!$C$1,MATCH($B35,'SoC Leakage'!A:A,0)-1,0)*$N35)*EXP((OFFSET('SoC Leakage'!$D$1,MATCH($B35,'SoC Leakage'!A:A,0)-1,0)*$N35+OFFSET('SoC Leakage'!$E$1,MATCH($B35,'SoC Leakage'!A:A,0)-1,0))*Tj_eff),0)*1000*IF(OR(E35="AutoPD with Ret",E35="Auto"),G35*(F35&lt;&gt;"idle")+(100-G35*(F35&lt;&gt;"idle"))*0.1,IF(E35="AutoPD",G35*(F35&lt;&gt;"idle")+(100-G35*(F35&lt;&gt;"idle"))*0.05,100))/100*1.03</f>
        <v>2.4628001398626935</v>
      </c>
      <c r="R35" s="7">
        <f ca="1">IF($E35="Disabled",0,OFFSET(INDIRECT(ADDRESS(1,4,1,1,Info!$B$1&amp;" Power")),MATCH($A35,OFFSET(INDIRECT(ADDRESS(1,4,1,1,Info!$B$1&amp;" Power")),3,0,100,1),0)+2,8,1,1))</f>
        <v>0</v>
      </c>
      <c r="S35" s="7">
        <f ca="1">IF($E35="Disabled",0,OFFSET(INDIRECT(ADDRESS(1,4,1,1,Info!$B$1&amp;" Power")),MATCH($A35,OFFSET(INDIRECT(ADDRESS(1,4,1,1,Info!$B$1&amp;" Power")),3,0,100,1),0)+2,9,1,1))</f>
        <v>0</v>
      </c>
      <c r="T35" s="7">
        <f ca="1">OFFSET('IP Dynamic Power Data'!$A$1,MATCH($A35,'IP Dynamic Power Data'!A:A,0)+1,MATCH($F35,OFFSET('IP Dynamic Power Data'!$A$1,MATCH($A35,'IP Dynamic Power Data'!A:A,0)-1,0,1,10),0)-1)</f>
        <v>0</v>
      </c>
      <c r="U35" s="7">
        <f ca="1">OFFSET('IP Dynamic Power Data'!$A$1,MATCH($A35,'IP Dynamic Power Data'!A:A,0)+1,MATCH("idle",OFFSET('IP Dynamic Power Data'!$A$1,MATCH($A35,'IP Dynamic Power Data'!A:A,0)-1,0,1,10),0)-1)</f>
        <v>0</v>
      </c>
      <c r="V35" s="7">
        <f ca="1" t="shared" si="3"/>
        <v>1.15</v>
      </c>
      <c r="W35" s="7">
        <f ca="1" t="shared" si="4"/>
        <v>200</v>
      </c>
      <c r="X35" s="7">
        <f ca="1" t="shared" si="5"/>
        <v>0</v>
      </c>
      <c r="Y35" s="7">
        <f ca="1">IF(MATCH($B35,$B:$B,0)=ROW($B35),OFFSET('SoC Leakage'!$G$1,MATCH($B35,'SoC Leakage'!A:A,0)-1,0)*EXP(OFFSET('SoC Leakage'!$H$1,MATCH($B35,'SoC Leakage'!A:A,0)-1,0)*$V35)*EXP((OFFSET('SoC Leakage'!$I$1,MATCH($B35,'SoC Leakage'!A:A,0)-1,0)*$V35+OFFSET('SoC Leakage'!$J$1,MATCH($B35,'SoC Leakage'!A:A,0)-1,0))*Tj_eff),0)*1000</f>
        <v>1.2557890681101214</v>
      </c>
    </row>
    <row r="36" spans="1:25" ht="15">
      <c r="A36" s="5" t="s">
        <v>182</v>
      </c>
      <c r="B36" t="str">
        <f ca="1">OFFSET('IP Dynamic Power Data'!$C$1,MATCH($A36,'IP Dynamic Power Data'!$A:$A,0)-1,0)</f>
        <v>ICSS2</v>
      </c>
      <c r="C36" t="s">
        <v>108</v>
      </c>
      <c r="D36" t="str">
        <f ca="1">OFFSET('IP Dynamic Power Data'!$B$1,MATCH($A36,'IP Dynamic Power Data'!$A:$A,0)-1,0)</f>
        <v>Core</v>
      </c>
      <c r="E36" t="str">
        <f ca="1">OFFSET(INDIRECT(ADDRESS(1,4,1,1,Info!$B$1&amp;" Power")),MATCH($A36,OFFSET(INDIRECT(ADDRESS(1,4,1,1,Info!$B$1&amp;" Power")),3,0,100,1),0)+2,4,1,1)</f>
        <v>Disabled</v>
      </c>
      <c r="F36" t="str">
        <f ca="1">OFFSET(INDIRECT(ADDRESS(1,4,1,1,Info!$B$1&amp;" Power")),MATCH($A36,OFFSET(INDIRECT(ADDRESS(1,4,1,1,Info!$B$1&amp;" Power")),3,0,100,1),0)+2,6,1,1)</f>
        <v>idle</v>
      </c>
      <c r="G36" s="17">
        <f ca="1">OFFSET(INDIRECT(ADDRESS(1,4,1,1,Info!$B$1&amp;" Power")),MATCH($A36,OFFSET(INDIRECT(ADDRESS(1,4,1,1,Info!$B$1&amp;" Power")),3,0,100,1),0)+2,7,1,1)</f>
        <v>0</v>
      </c>
      <c r="H36">
        <f ca="1" t="shared" si="6"/>
        <v>0</v>
      </c>
      <c r="I36">
        <f ca="1" t="shared" si="1"/>
        <v>0</v>
      </c>
      <c r="J36" t="str">
        <f ca="1">OFFSET('Power Domain Map'!$A$1,MATCH($C36,'Power Domain Map'!$A:$A,0)-1,2,1,1)</f>
        <v>AlwaysOn</v>
      </c>
      <c r="K36" s="17">
        <f ca="1">OFFSET('Power Domain Map'!$A$1,MATCH($C36,'Power Domain Map'!$A:$A,0)-1,3,1,1)</f>
        <v>100</v>
      </c>
      <c r="L36">
        <f ca="1">OFFSET('IP Dynamic Power Data'!$A$1,MATCH($A36,'IP Dynamic Power Data'!A:A,0),MATCH($F36,OFFSET('IP Dynamic Power Data'!$A$1,MATCH($A36,'IP Dynamic Power Data'!A:A,0)-1,0,1,10),0)-1)</f>
        <v>0.01</v>
      </c>
      <c r="M36">
        <f ca="1">OFFSET('IP Dynamic Power Data'!$A$1,MATCH($A36,'IP Dynamic Power Data'!A:A,0),MATCH("idle",OFFSET('IP Dynamic Power Data'!$A$1,MATCH($A36,'IP Dynamic Power Data'!A:A,0)-1,0,1,10),0)-1)</f>
        <v>0.01</v>
      </c>
      <c r="N36">
        <f ca="1">OFFSET(INDIRECT(ADDRESS(1,4,1,1,Info!$B$1&amp;" Power")),MATCH($A36,OFFSET(INDIRECT(ADDRESS(1,4,1,1,Info!$B$1&amp;" Power")),3,0,100,1),0)+2,1,1,1)</f>
        <v>0.92</v>
      </c>
      <c r="O36">
        <f ca="1">OFFSET(INDIRECT(ADDRESS(1,4,1,1,Info!$B$1&amp;" Power")),MATCH($A36,OFFSET(INDIRECT(ADDRESS(1,4,1,1,Info!$B$1&amp;" Power")),3,0,100,1),0)+2,2,1,1)</f>
        <v>200</v>
      </c>
      <c r="P36" s="7">
        <f ca="1" t="shared" si="2"/>
        <v>1.6928</v>
      </c>
      <c r="Q36" s="7">
        <f ca="1">IF(MATCH($B36,$B:$B,0)=ROW($B36),OFFSET('SoC Leakage'!$B$1,MATCH($B36,'SoC Leakage'!A:A,0)-1,0)*EXP(OFFSET('SoC Leakage'!$C$1,MATCH($B36,'SoC Leakage'!A:A,0)-1,0)*$N36)*EXP((OFFSET('SoC Leakage'!$D$1,MATCH($B36,'SoC Leakage'!A:A,0)-1,0)*$N36+OFFSET('SoC Leakage'!$E$1,MATCH($B36,'SoC Leakage'!A:A,0)-1,0))*Tj_eff),0)*1000*IF(OR(E36="AutoPD with Ret",E36="Auto"),G36*(F36&lt;&gt;"idle")+(100-G36*(F36&lt;&gt;"idle"))*0.1,IF(E36="AutoPD",G36*(F36&lt;&gt;"idle")+(100-G36*(F36&lt;&gt;"idle"))*0.05,100))/100*1.03</f>
        <v>2.4628001398626935</v>
      </c>
      <c r="R36" s="7">
        <f ca="1">IF($E36="Disabled",0,OFFSET(INDIRECT(ADDRESS(1,4,1,1,Info!$B$1&amp;" Power")),MATCH($A36,OFFSET(INDIRECT(ADDRESS(1,4,1,1,Info!$B$1&amp;" Power")),3,0,100,1),0)+2,8,1,1))</f>
        <v>0</v>
      </c>
      <c r="S36" s="7">
        <f ca="1">IF($E36="Disabled",0,OFFSET(INDIRECT(ADDRESS(1,4,1,1,Info!$B$1&amp;" Power")),MATCH($A36,OFFSET(INDIRECT(ADDRESS(1,4,1,1,Info!$B$1&amp;" Power")),3,0,100,1),0)+2,9,1,1))</f>
        <v>0</v>
      </c>
      <c r="T36" s="7">
        <f ca="1">OFFSET('IP Dynamic Power Data'!$A$1,MATCH($A36,'IP Dynamic Power Data'!A:A,0)+1,MATCH($F36,OFFSET('IP Dynamic Power Data'!$A$1,MATCH($A36,'IP Dynamic Power Data'!A:A,0)-1,0,1,10),0)-1)</f>
        <v>0</v>
      </c>
      <c r="U36" s="7">
        <f ca="1">OFFSET('IP Dynamic Power Data'!$A$1,MATCH($A36,'IP Dynamic Power Data'!A:A,0)+1,MATCH("idle",OFFSET('IP Dynamic Power Data'!$A$1,MATCH($A36,'IP Dynamic Power Data'!A:A,0)-1,0,1,10),0)-1)</f>
        <v>0</v>
      </c>
      <c r="V36" s="7">
        <f ca="1" t="shared" si="3"/>
        <v>1.15</v>
      </c>
      <c r="W36" s="7">
        <f ca="1" t="shared" si="4"/>
        <v>200</v>
      </c>
      <c r="X36" s="7">
        <f ca="1" t="shared" si="5"/>
        <v>0</v>
      </c>
      <c r="Y36" s="7">
        <f ca="1">IF(MATCH($B36,$B:$B,0)=ROW($B36),OFFSET('SoC Leakage'!$G$1,MATCH($B36,'SoC Leakage'!A:A,0)-1,0)*EXP(OFFSET('SoC Leakage'!$H$1,MATCH($B36,'SoC Leakage'!A:A,0)-1,0)*$V36)*EXP((OFFSET('SoC Leakage'!$I$1,MATCH($B36,'SoC Leakage'!A:A,0)-1,0)*$V36+OFFSET('SoC Leakage'!$J$1,MATCH($B36,'SoC Leakage'!A:A,0)-1,0))*Tj_eff),0)*1000</f>
        <v>1.2557890681101214</v>
      </c>
    </row>
    <row r="37" spans="1:25" ht="15">
      <c r="A37" s="5" t="s">
        <v>183</v>
      </c>
      <c r="B37" t="s">
        <v>18</v>
      </c>
      <c r="C37" t="s">
        <v>109</v>
      </c>
      <c r="D37" t="str">
        <f ca="1">OFFSET('IP Dynamic Power Data'!$B$1,MATCH($A37,'IP Dynamic Power Data'!$A:$A,0)-1,0)</f>
        <v>IO</v>
      </c>
      <c r="E37" t="str">
        <f ca="1">OFFSET(INDIRECT(ADDRESS(1,4,1,1,Info!$B$1&amp;" Power")),MATCH($A37,OFFSET(INDIRECT(ADDRESS(1,4,1,1,Info!$B$1&amp;" Power")),3,0,100,1),0)+2,4,1,1)</f>
        <v>Always enabled</v>
      </c>
      <c r="F37" t="str">
        <f ca="1">OFFSET(INDIRECT(ADDRESS(1,4,1,1,Info!$B$1&amp;" Power")),MATCH($A37,OFFSET(INDIRECT(ADDRESS(1,4,1,1,Info!$B$1&amp;" Power")),3,0,100,1),0)+2,6,1,1)</f>
        <v>typ</v>
      </c>
      <c r="G37" s="17">
        <f ca="1">OFFSET(INDIRECT(ADDRESS(1,4,1,1,Info!$B$1&amp;" Power")),MATCH($A37,OFFSET(INDIRECT(ADDRESS(1,4,1,1,Info!$B$1&amp;" Power")),3,0,100,1),0)+2,7,1,1)</f>
        <v>100</v>
      </c>
      <c r="H37">
        <f ca="1" t="shared" si="6"/>
        <v>1</v>
      </c>
      <c r="I37">
        <f ca="1" t="shared" si="1"/>
        <v>0</v>
      </c>
      <c r="J37" t="str">
        <f ca="1">OFFSET('Power Domain Map'!$A$1,MATCH($C37,'Power Domain Map'!$A:$A,0)-1,2,1,1)</f>
        <v>AlwaysOn</v>
      </c>
      <c r="K37" s="17">
        <f ca="1">OFFSET('Power Domain Map'!$A$1,MATCH($C37,'Power Domain Map'!$A:$A,0)-1,3,1,1)</f>
        <v>100</v>
      </c>
      <c r="L37">
        <f ca="1">OFFSET('IP Dynamic Power Data'!$A$1,MATCH($A37,'IP Dynamic Power Data'!A:A,0),MATCH($F37,OFFSET('IP Dynamic Power Data'!$A$1,MATCH($A37,'IP Dynamic Power Data'!A:A,0)-1,0,1,10),0)-1)</f>
        <v>0.1</v>
      </c>
      <c r="M37">
        <f ca="1">OFFSET('IP Dynamic Power Data'!$A$1,MATCH($A37,'IP Dynamic Power Data'!A:A,0),MATCH("idle",OFFSET('IP Dynamic Power Data'!$A$1,MATCH($A37,'IP Dynamic Power Data'!A:A,0)-1,0,1,10),0)-1)</f>
        <v>0.005</v>
      </c>
      <c r="N37">
        <f ca="1">OFFSET(INDIRECT(ADDRESS(1,4,1,1,Info!$B$1&amp;" Power")),MATCH($A37,OFFSET(INDIRECT(ADDRESS(1,4,1,1,Info!$B$1&amp;" Power")),3,0,100,1),0)+2,1,1,1)</f>
        <v>0.92</v>
      </c>
      <c r="O37">
        <f ca="1">OFFSET(INDIRECT(ADDRESS(1,4,1,1,Info!$B$1&amp;" Power")),MATCH($A37,OFFSET(INDIRECT(ADDRESS(1,4,1,1,Info!$B$1&amp;" Power")),3,0,100,1),0)+2,2,1,1)</f>
        <v>750</v>
      </c>
      <c r="P37" s="7">
        <f ca="1" t="shared" si="2"/>
        <v>63.480000000000004</v>
      </c>
      <c r="Q37" s="7">
        <f ca="1">IF(MATCH($B37,$B:$B,0)=ROW($B37),OFFSET('SoC Leakage'!$B$1,MATCH($B37,'SoC Leakage'!A:A,0)-1,0)*EXP(OFFSET('SoC Leakage'!$C$1,MATCH($B37,'SoC Leakage'!A:A,0)-1,0)*$N37)*EXP((OFFSET('SoC Leakage'!$D$1,MATCH($B37,'SoC Leakage'!A:A,0)-1,0)*$N37+OFFSET('SoC Leakage'!$E$1,MATCH($B37,'SoC Leakage'!A:A,0)-1,0))*Tj_eff),0)*1000*IF(OR(E37="AutoPD with Ret",E37="Auto"),G37*(F37&lt;&gt;"idle")+(100-G37*(F37&lt;&gt;"idle"))*0.1,IF(E37="AutoPD",G37*(F37&lt;&gt;"idle")+(100-G37*(F37&lt;&gt;"idle"))*0.05,100))/100*1.03</f>
        <v>2.4578057335368597</v>
      </c>
      <c r="R37" s="7">
        <f ca="1">IF($E37="Disabled",0,OFFSET(INDIRECT(ADDRESS(1,4,1,1,Info!$B$1&amp;" Power")),MATCH($A37,OFFSET(INDIRECT(ADDRESS(1,4,1,1,Info!$B$1&amp;" Power")),3,0,100,1),0)+2,8,1,1))</f>
        <v>0</v>
      </c>
      <c r="S37" s="7">
        <f ca="1">IF($E37="Disabled",0,OFFSET(INDIRECT(ADDRESS(1,4,1,1,Info!$B$1&amp;" Power")),MATCH($A37,OFFSET(INDIRECT(ADDRESS(1,4,1,1,Info!$B$1&amp;" Power")),3,0,100,1),0)+2,9,1,1))</f>
        <v>0</v>
      </c>
      <c r="T37" s="7">
        <f ca="1">OFFSET('IP Dynamic Power Data'!$A$1,MATCH($A37,'IP Dynamic Power Data'!A:A,0)+1,MATCH($F37,OFFSET('IP Dynamic Power Data'!$A$1,MATCH($A37,'IP Dynamic Power Data'!A:A,0)-1,0,1,10),0)-1)</f>
        <v>0</v>
      </c>
      <c r="U37" s="7">
        <f ca="1">OFFSET('IP Dynamic Power Data'!$A$1,MATCH($A37,'IP Dynamic Power Data'!A:A,0)+1,MATCH("idle",OFFSET('IP Dynamic Power Data'!$A$1,MATCH($A37,'IP Dynamic Power Data'!A:A,0)-1,0,1,10),0)-1)</f>
        <v>0</v>
      </c>
      <c r="V37" s="7">
        <f ca="1" t="shared" si="3"/>
        <v>1.15</v>
      </c>
      <c r="W37" s="7">
        <f ca="1" t="shared" si="4"/>
        <v>750</v>
      </c>
      <c r="X37" s="7">
        <f ca="1" t="shared" si="5"/>
        <v>0</v>
      </c>
      <c r="Y37" s="7">
        <f ca="1">IF(MATCH($B37,$B:$B,0)=ROW($B37),OFFSET('SoC Leakage'!$G$1,MATCH($B37,'SoC Leakage'!A:A,0)-1,0)*EXP(OFFSET('SoC Leakage'!$H$1,MATCH($B37,'SoC Leakage'!A:A,0)-1,0)*$V37)*EXP((OFFSET('SoC Leakage'!$I$1,MATCH($B37,'SoC Leakage'!A:A,0)-1,0)*$V37+OFFSET('SoC Leakage'!$J$1,MATCH($B37,'SoC Leakage'!A:A,0)-1,0))*Tj_eff),0)*1000</f>
        <v>0</v>
      </c>
    </row>
    <row r="38" spans="1:25" ht="15">
      <c r="A38" s="10" t="s">
        <v>184</v>
      </c>
      <c r="B38" t="s">
        <v>18</v>
      </c>
      <c r="C38" t="s">
        <v>109</v>
      </c>
      <c r="D38" t="str">
        <f ca="1">OFFSET('IP Dynamic Power Data'!$B$1,MATCH($A38,'IP Dynamic Power Data'!$A:$A,0)-1,0)</f>
        <v>IO</v>
      </c>
      <c r="E38" t="str">
        <f ca="1">OFFSET(INDIRECT(ADDRESS(1,4,1,1,Info!$B$1&amp;" Power")),MATCH($A38,OFFSET(INDIRECT(ADDRESS(1,4,1,1,Info!$B$1&amp;" Power")),3,0,100,1),0)+2,4,1,1)</f>
        <v>Always enabled</v>
      </c>
      <c r="F38" t="str">
        <f ca="1">OFFSET(INDIRECT(ADDRESS(1,4,1,1,Info!$B$1&amp;" Power")),MATCH($A38,OFFSET(INDIRECT(ADDRESS(1,4,1,1,Info!$B$1&amp;" Power")),3,0,100,1),0)+2,6,1,1)</f>
        <v>typ</v>
      </c>
      <c r="G38" s="17">
        <f ca="1">OFFSET(INDIRECT(ADDRESS(1,4,1,1,Info!$B$1&amp;" Power")),MATCH($A38,OFFSET(INDIRECT(ADDRESS(1,4,1,1,Info!$B$1&amp;" Power")),3,0,100,1),0)+2,7,1,1)</f>
        <v>100</v>
      </c>
      <c r="H38">
        <f aca="true" t="shared" si="14" ref="H38">IF(E38="Always enabled",1,0)</f>
        <v>1</v>
      </c>
      <c r="I38">
        <f ca="1" t="shared" si="1"/>
        <v>0</v>
      </c>
      <c r="J38" t="str">
        <f ca="1">OFFSET('Power Domain Map'!$A$1,MATCH($C38,'Power Domain Map'!$A:$A,0)-1,2,1,1)</f>
        <v>AlwaysOn</v>
      </c>
      <c r="K38" s="17">
        <f ca="1">OFFSET('Power Domain Map'!$A$1,MATCH($C38,'Power Domain Map'!$A:$A,0)-1,3,1,1)</f>
        <v>100</v>
      </c>
      <c r="L38">
        <f ca="1">OFFSET('IP Dynamic Power Data'!$A$1,MATCH($A38,'IP Dynamic Power Data'!A:A,0),MATCH($F38,OFFSET('IP Dynamic Power Data'!$A$1,MATCH($A38,'IP Dynamic Power Data'!A:A,0)-1,0,1,10),0)-1)</f>
        <v>0.1</v>
      </c>
      <c r="M38">
        <f ca="1">OFFSET('IP Dynamic Power Data'!$A$1,MATCH($A38,'IP Dynamic Power Data'!A:A,0),MATCH("idle",OFFSET('IP Dynamic Power Data'!$A$1,MATCH($A38,'IP Dynamic Power Data'!A:A,0)-1,0,1,10),0)-1)</f>
        <v>0.005</v>
      </c>
      <c r="N38">
        <f ca="1">OFFSET(INDIRECT(ADDRESS(1,4,1,1,Info!$B$1&amp;" Power")),MATCH($A38,OFFSET(INDIRECT(ADDRESS(1,4,1,1,Info!$B$1&amp;" Power")),3,0,100,1),0)+2,1,1,1)</f>
        <v>0.92</v>
      </c>
      <c r="O38">
        <f ca="1">OFFSET(INDIRECT(ADDRESS(1,4,1,1,Info!$B$1&amp;" Power")),MATCH($A38,OFFSET(INDIRECT(ADDRESS(1,4,1,1,Info!$B$1&amp;" Power")),3,0,100,1),0)+2,2,1,1)</f>
        <v>750</v>
      </c>
      <c r="P38" s="7">
        <f ca="1" t="shared" si="2"/>
        <v>63.480000000000004</v>
      </c>
      <c r="Q38" s="7">
        <f ca="1">IF(MATCH($B38,$B:$B,0)=ROW($B38),OFFSET('SoC Leakage'!$B$1,MATCH($B38,'SoC Leakage'!A:A,0)-1,0)*EXP(OFFSET('SoC Leakage'!$C$1,MATCH($B38,'SoC Leakage'!A:A,0)-1,0)*$N38)*EXP((OFFSET('SoC Leakage'!$D$1,MATCH($B38,'SoC Leakage'!A:A,0)-1,0)*$N38+OFFSET('SoC Leakage'!$E$1,MATCH($B38,'SoC Leakage'!A:A,0)-1,0))*Tj_eff),0)*1000*IF(OR(E38="AutoPD with Ret",E38="Auto"),G38*(F38&lt;&gt;"idle")+(100-G38*(F38&lt;&gt;"idle"))*0.1,IF(E38="AutoPD",G38*(F38&lt;&gt;"idle")+(100-G38*(F38&lt;&gt;"idle"))*0.05,100))/100*1.03</f>
        <v>0</v>
      </c>
      <c r="R38" s="7">
        <f ca="1">IF($E38="Disabled",0,OFFSET(INDIRECT(ADDRESS(1,4,1,1,Info!$B$1&amp;" Power")),MATCH($A38,OFFSET(INDIRECT(ADDRESS(1,4,1,1,Info!$B$1&amp;" Power")),3,0,100,1),0)+2,8,1,1))</f>
        <v>0</v>
      </c>
      <c r="S38" s="7">
        <f ca="1">IF($E38="Disabled",0,OFFSET(INDIRECT(ADDRESS(1,4,1,1,Info!$B$1&amp;" Power")),MATCH($A38,OFFSET(INDIRECT(ADDRESS(1,4,1,1,Info!$B$1&amp;" Power")),3,0,100,1),0)+2,9,1,1))</f>
        <v>0</v>
      </c>
      <c r="T38" s="7">
        <f ca="1">OFFSET('IP Dynamic Power Data'!$A$1,MATCH($A38,'IP Dynamic Power Data'!A:A,0)+1,MATCH($F38,OFFSET('IP Dynamic Power Data'!$A$1,MATCH($A38,'IP Dynamic Power Data'!A:A,0)-1,0,1,10),0)-1)</f>
        <v>0</v>
      </c>
      <c r="U38" s="7">
        <f ca="1">OFFSET('IP Dynamic Power Data'!$A$1,MATCH($A38,'IP Dynamic Power Data'!A:A,0)+1,MATCH("idle",OFFSET('IP Dynamic Power Data'!$A$1,MATCH($A38,'IP Dynamic Power Data'!A:A,0)-1,0,1,10),0)-1)</f>
        <v>0</v>
      </c>
      <c r="V38" s="7">
        <f ca="1" t="shared" si="3"/>
        <v>1.15</v>
      </c>
      <c r="W38" s="7">
        <f ca="1" t="shared" si="4"/>
        <v>750</v>
      </c>
      <c r="X38" s="7">
        <f ca="1" t="shared" si="5"/>
        <v>0</v>
      </c>
      <c r="Y38" s="7">
        <f ca="1">IF(MATCH($B38,$B:$B,0)=ROW($B38),OFFSET('SoC Leakage'!$G$1,MATCH($B38,'SoC Leakage'!A:A,0)-1,0)*EXP(OFFSET('SoC Leakage'!$H$1,MATCH($B38,'SoC Leakage'!A:A,0)-1,0)*$V38)*EXP((OFFSET('SoC Leakage'!$I$1,MATCH($B38,'SoC Leakage'!A:A,0)-1,0)*$V38+OFFSET('SoC Leakage'!$J$1,MATCH($B38,'SoC Leakage'!A:A,0)-1,0))*Tj_eff),0)*1000</f>
        <v>0</v>
      </c>
    </row>
    <row r="39" spans="1:25" ht="15">
      <c r="A39" s="5" t="s">
        <v>179</v>
      </c>
      <c r="B39" t="str">
        <f ca="1">OFFSET('IP Dynamic Power Data'!$C$1,MATCH($A39,'IP Dynamic Power Data'!$A:$A,0)-1,0)</f>
        <v>USB1</v>
      </c>
      <c r="C39" t="s">
        <v>110</v>
      </c>
      <c r="D39" t="str">
        <f ca="1">OFFSET('IP Dynamic Power Data'!$B$1,MATCH($A39,'IP Dynamic Power Data'!$A:$A,0)-1,0)</f>
        <v>IO</v>
      </c>
      <c r="E39" t="str">
        <f ca="1">OFFSET(INDIRECT(ADDRESS(1,4,1,1,Info!$B$1&amp;" Power")),MATCH($A39,OFFSET(INDIRECT(ADDRESS(1,4,1,1,Info!$B$1&amp;" Power")),3,0,100,1),0)+2,4,1,1)</f>
        <v>Always enabled</v>
      </c>
      <c r="F39" t="str">
        <f ca="1">OFFSET(INDIRECT(ADDRESS(1,4,1,1,Info!$B$1&amp;" Power")),MATCH($A39,OFFSET(INDIRECT(ADDRESS(1,4,1,1,Info!$B$1&amp;" Power")),3,0,100,1),0)+2,6,1,1)</f>
        <v>typ</v>
      </c>
      <c r="G39" s="17">
        <f ca="1">OFFSET(INDIRECT(ADDRESS(1,4,1,1,Info!$B$1&amp;" Power")),MATCH($A39,OFFSET(INDIRECT(ADDRESS(1,4,1,1,Info!$B$1&amp;" Power")),3,0,100,1),0)+2,7,1,1)</f>
        <v>100</v>
      </c>
      <c r="H39">
        <f ca="1" t="shared" si="6"/>
        <v>1</v>
      </c>
      <c r="I39">
        <f ca="1" t="shared" si="1"/>
        <v>0</v>
      </c>
      <c r="J39" t="str">
        <f ca="1">OFFSET('Power Domain Map'!$A$1,MATCH($C39,'Power Domain Map'!$A:$A,0)-1,2,1,1)</f>
        <v>AlwaysOn</v>
      </c>
      <c r="K39" s="17">
        <f ca="1">OFFSET('Power Domain Map'!$A$1,MATCH($C39,'Power Domain Map'!$A:$A,0)-1,3,1,1)</f>
        <v>100</v>
      </c>
      <c r="L39">
        <f ca="1">OFFSET('IP Dynamic Power Data'!$A$1,MATCH($A39,'IP Dynamic Power Data'!A:A,0),MATCH($F39,OFFSET('IP Dynamic Power Data'!$A$1,MATCH($A39,'IP Dynamic Power Data'!A:A,0)-1,0,1,10),0)-1)</f>
        <v>0.02</v>
      </c>
      <c r="M39">
        <f ca="1">OFFSET('IP Dynamic Power Data'!$A$1,MATCH($A39,'IP Dynamic Power Data'!A:A,0),MATCH("idle",OFFSET('IP Dynamic Power Data'!$A$1,MATCH($A39,'IP Dynamic Power Data'!A:A,0)-1,0,1,10),0)-1)</f>
        <v>0.001</v>
      </c>
      <c r="N39">
        <f ca="1">OFFSET(INDIRECT(ADDRESS(1,4,1,1,Info!$B$1&amp;" Power")),MATCH($A39,OFFSET(INDIRECT(ADDRESS(1,4,1,1,Info!$B$1&amp;" Power")),3,0,100,1),0)+2,1,1,1)</f>
        <v>0.92</v>
      </c>
      <c r="O39">
        <f ca="1">OFFSET(INDIRECT(ADDRESS(1,4,1,1,Info!$B$1&amp;" Power")),MATCH($A39,OFFSET(INDIRECT(ADDRESS(1,4,1,1,Info!$B$1&amp;" Power")),3,0,100,1),0)+2,2,1,1)</f>
        <v>60</v>
      </c>
      <c r="P39" s="7">
        <f ca="1" t="shared" si="2"/>
        <v>1.0156800000000001</v>
      </c>
      <c r="Q39" s="7">
        <f ca="1">IF(MATCH($B39,$B:$B,0)=ROW($B39),OFFSET('SoC Leakage'!$B$1,MATCH($B39,'SoC Leakage'!A:A,0)-1,0)*EXP(OFFSET('SoC Leakage'!$C$1,MATCH($B39,'SoC Leakage'!A:A,0)-1,0)*$N39)*EXP((OFFSET('SoC Leakage'!$D$1,MATCH($B39,'SoC Leakage'!A:A,0)-1,0)*$N39+OFFSET('SoC Leakage'!$E$1,MATCH($B39,'SoC Leakage'!A:A,0)-1,0))*Tj_eff),0)*1000*IF(OR(E39="AutoPD with Ret",E39="Auto"),G39*(F39&lt;&gt;"idle")+(100-G39*(F39&lt;&gt;"idle"))*0.1,IF(E39="AutoPD",G39*(F39&lt;&gt;"idle")+(100-G39*(F39&lt;&gt;"idle"))*0.05,100))/100*1.03</f>
        <v>4.505087448563568</v>
      </c>
      <c r="R39" s="7">
        <f ca="1">IF($E39="Disabled",0,OFFSET(INDIRECT(ADDRESS(1,4,1,1,Info!$B$1&amp;" Power")),MATCH($A39,OFFSET(INDIRECT(ADDRESS(1,4,1,1,Info!$B$1&amp;" Power")),3,0,100,1),0)+2,8,1,1))</f>
        <v>0</v>
      </c>
      <c r="S39" s="7">
        <f ca="1">IF($E39="Disabled",0,OFFSET(INDIRECT(ADDRESS(1,4,1,1,Info!$B$1&amp;" Power")),MATCH($A39,OFFSET(INDIRECT(ADDRESS(1,4,1,1,Info!$B$1&amp;" Power")),3,0,100,1),0)+2,9,1,1))</f>
        <v>0</v>
      </c>
      <c r="T39" s="7">
        <f ca="1">OFFSET('IP Dynamic Power Data'!$A$1,MATCH($A39,'IP Dynamic Power Data'!A:A,0)+1,MATCH($F39,OFFSET('IP Dynamic Power Data'!$A$1,MATCH($A39,'IP Dynamic Power Data'!A:A,0)-1,0,1,10),0)-1)</f>
        <v>0</v>
      </c>
      <c r="U39" s="7">
        <f ca="1">OFFSET('IP Dynamic Power Data'!$A$1,MATCH($A39,'IP Dynamic Power Data'!A:A,0)+1,MATCH("idle",OFFSET('IP Dynamic Power Data'!$A$1,MATCH($A39,'IP Dynamic Power Data'!A:A,0)-1,0,1,10),0)-1)</f>
        <v>0</v>
      </c>
      <c r="V39" s="7">
        <f ca="1" t="shared" si="3"/>
        <v>1.15</v>
      </c>
      <c r="W39" s="7">
        <f ca="1" t="shared" si="4"/>
        <v>60</v>
      </c>
      <c r="X39" s="7">
        <f ca="1" t="shared" si="5"/>
        <v>0</v>
      </c>
      <c r="Y39" s="7">
        <f ca="1">IF(MATCH($B39,$B:$B,0)=ROW($B39),OFFSET('SoC Leakage'!$G$1,MATCH($B39,'SoC Leakage'!A:A,0)-1,0)*EXP(OFFSET('SoC Leakage'!$H$1,MATCH($B39,'SoC Leakage'!A:A,0)-1,0)*$V39)*EXP((OFFSET('SoC Leakage'!$I$1,MATCH($B39,'SoC Leakage'!A:A,0)-1,0)*$V39+OFFSET('SoC Leakage'!$J$1,MATCH($B39,'SoC Leakage'!A:A,0)-1,0))*Tj_eff),0)*1000</f>
        <v>0.2288057693316955</v>
      </c>
    </row>
    <row r="40" spans="1:25" ht="15">
      <c r="A40" s="5" t="s">
        <v>41</v>
      </c>
      <c r="B40" t="str">
        <f ca="1">OFFSET('IP Dynamic Power Data'!$C$1,MATCH($A40,'IP Dynamic Power Data'!$A:$A,0)-1,0)</f>
        <v>USB2</v>
      </c>
      <c r="C40" t="s">
        <v>110</v>
      </c>
      <c r="D40" t="str">
        <f ca="1">OFFSET('IP Dynamic Power Data'!$B$1,MATCH($A40,'IP Dynamic Power Data'!$A:$A,0)-1,0)</f>
        <v>IO</v>
      </c>
      <c r="E40" t="str">
        <f ca="1">OFFSET(INDIRECT(ADDRESS(1,4,1,1,Info!$B$1&amp;" Power")),MATCH($A40,OFFSET(INDIRECT(ADDRESS(1,4,1,1,Info!$B$1&amp;" Power")),3,0,100,1),0)+2,4,1,1)</f>
        <v>Always enabled</v>
      </c>
      <c r="F40" t="str">
        <f ca="1">OFFSET(INDIRECT(ADDRESS(1,4,1,1,Info!$B$1&amp;" Power")),MATCH($A40,OFFSET(INDIRECT(ADDRESS(1,4,1,1,Info!$B$1&amp;" Power")),3,0,100,1),0)+2,6,1,1)</f>
        <v>typ</v>
      </c>
      <c r="G40" s="17">
        <f ca="1">OFFSET(INDIRECT(ADDRESS(1,4,1,1,Info!$B$1&amp;" Power")),MATCH($A40,OFFSET(INDIRECT(ADDRESS(1,4,1,1,Info!$B$1&amp;" Power")),3,0,100,1),0)+2,7,1,1)</f>
        <v>100</v>
      </c>
      <c r="H40">
        <f ca="1" t="shared" si="6"/>
        <v>1</v>
      </c>
      <c r="I40">
        <f ca="1" t="shared" si="1"/>
        <v>0</v>
      </c>
      <c r="J40" t="str">
        <f ca="1">OFFSET('Power Domain Map'!$A$1,MATCH($C40,'Power Domain Map'!$A:$A,0)-1,2,1,1)</f>
        <v>AlwaysOn</v>
      </c>
      <c r="K40" s="17">
        <f ca="1">OFFSET('Power Domain Map'!$A$1,MATCH($C40,'Power Domain Map'!$A:$A,0)-1,3,1,1)</f>
        <v>100</v>
      </c>
      <c r="L40">
        <f ca="1">OFFSET('IP Dynamic Power Data'!$A$1,MATCH($A40,'IP Dynamic Power Data'!A:A,0),MATCH($F40,OFFSET('IP Dynamic Power Data'!$A$1,MATCH($A40,'IP Dynamic Power Data'!A:A,0)-1,0,1,10),0)-1)</f>
        <v>0.02</v>
      </c>
      <c r="M40">
        <f ca="1">OFFSET('IP Dynamic Power Data'!$A$1,MATCH($A40,'IP Dynamic Power Data'!A:A,0),MATCH("idle",OFFSET('IP Dynamic Power Data'!$A$1,MATCH($A40,'IP Dynamic Power Data'!A:A,0)-1,0,1,10),0)-1)</f>
        <v>0.001</v>
      </c>
      <c r="N40">
        <f ca="1">OFFSET(INDIRECT(ADDRESS(1,4,1,1,Info!$B$1&amp;" Power")),MATCH($A40,OFFSET(INDIRECT(ADDRESS(1,4,1,1,Info!$B$1&amp;" Power")),3,0,100,1),0)+2,1,1,1)</f>
        <v>0.92</v>
      </c>
      <c r="O40">
        <f ca="1">OFFSET(INDIRECT(ADDRESS(1,4,1,1,Info!$B$1&amp;" Power")),MATCH($A40,OFFSET(INDIRECT(ADDRESS(1,4,1,1,Info!$B$1&amp;" Power")),3,0,100,1),0)+2,2,1,1)</f>
        <v>60</v>
      </c>
      <c r="P40" s="7">
        <f ca="1" t="shared" si="2"/>
        <v>1.0156800000000001</v>
      </c>
      <c r="Q40" s="7">
        <f ca="1">IF(MATCH($B40,$B:$B,0)=ROW($B40),OFFSET('SoC Leakage'!$B$1,MATCH($B40,'SoC Leakage'!A:A,0)-1,0)*EXP(OFFSET('SoC Leakage'!$C$1,MATCH($B40,'SoC Leakage'!A:A,0)-1,0)*$N40)*EXP((OFFSET('SoC Leakage'!$D$1,MATCH($B40,'SoC Leakage'!A:A,0)-1,0)*$N40+OFFSET('SoC Leakage'!$E$1,MATCH($B40,'SoC Leakage'!A:A,0)-1,0))*Tj_eff),0)*1000*IF(OR(E40="AutoPD with Ret",E40="Auto"),G40*(F40&lt;&gt;"idle")+(100-G40*(F40&lt;&gt;"idle"))*0.1,IF(E40="AutoPD",G40*(F40&lt;&gt;"idle")+(100-G40*(F40&lt;&gt;"idle"))*0.05,100))/100*1.03</f>
        <v>4.505087448563568</v>
      </c>
      <c r="R40" s="7">
        <f ca="1">IF($E40="Disabled",0,OFFSET(INDIRECT(ADDRESS(1,4,1,1,Info!$B$1&amp;" Power")),MATCH($A40,OFFSET(INDIRECT(ADDRESS(1,4,1,1,Info!$B$1&amp;" Power")),3,0,100,1),0)+2,8,1,1))</f>
        <v>0</v>
      </c>
      <c r="S40" s="7">
        <f ca="1">IF($E40="Disabled",0,OFFSET(INDIRECT(ADDRESS(1,4,1,1,Info!$B$1&amp;" Power")),MATCH($A40,OFFSET(INDIRECT(ADDRESS(1,4,1,1,Info!$B$1&amp;" Power")),3,0,100,1),0)+2,9,1,1))</f>
        <v>0</v>
      </c>
      <c r="T40" s="7">
        <f ca="1">OFFSET('IP Dynamic Power Data'!$A$1,MATCH($A40,'IP Dynamic Power Data'!A:A,0)+1,MATCH($F40,OFFSET('IP Dynamic Power Data'!$A$1,MATCH($A40,'IP Dynamic Power Data'!A:A,0)-1,0,1,10),0)-1)</f>
        <v>0</v>
      </c>
      <c r="U40" s="7">
        <f ca="1">OFFSET('IP Dynamic Power Data'!$A$1,MATCH($A40,'IP Dynamic Power Data'!A:A,0)+1,MATCH("idle",OFFSET('IP Dynamic Power Data'!$A$1,MATCH($A40,'IP Dynamic Power Data'!A:A,0)-1,0,1,10),0)-1)</f>
        <v>0</v>
      </c>
      <c r="V40" s="7">
        <f ca="1" t="shared" si="3"/>
        <v>1.15</v>
      </c>
      <c r="W40" s="7">
        <f ca="1" t="shared" si="4"/>
        <v>60</v>
      </c>
      <c r="X40" s="7">
        <f ca="1" t="shared" si="5"/>
        <v>0</v>
      </c>
      <c r="Y40" s="7">
        <f ca="1">IF(MATCH($B40,$B:$B,0)=ROW($B40),OFFSET('SoC Leakage'!$G$1,MATCH($B40,'SoC Leakage'!A:A,0)-1,0)*EXP(OFFSET('SoC Leakage'!$H$1,MATCH($B40,'SoC Leakage'!A:A,0)-1,0)*$V40)*EXP((OFFSET('SoC Leakage'!$I$1,MATCH($B40,'SoC Leakage'!A:A,0)-1,0)*$V40+OFFSET('SoC Leakage'!$J$1,MATCH($B40,'SoC Leakage'!A:A,0)-1,0))*Tj_eff),0)*1000</f>
        <v>0.2288057693316955</v>
      </c>
    </row>
    <row r="41" spans="1:25" ht="15">
      <c r="A41" s="5" t="s">
        <v>19</v>
      </c>
      <c r="B41" t="str">
        <f ca="1">OFFSET('IP Dynamic Power Data'!$C$1,MATCH($A41,'IP Dynamic Power Data'!$A:$A,0)-1,0)</f>
        <v>USB3</v>
      </c>
      <c r="C41" t="s">
        <v>110</v>
      </c>
      <c r="D41" t="str">
        <f ca="1">OFFSET('IP Dynamic Power Data'!$B$1,MATCH($A41,'IP Dynamic Power Data'!$A:$A,0)-1,0)</f>
        <v>IO</v>
      </c>
      <c r="E41" t="str">
        <f ca="1">OFFSET(INDIRECT(ADDRESS(1,4,1,1,Info!$B$1&amp;" Power")),MATCH($A41,OFFSET(INDIRECT(ADDRESS(1,4,1,1,Info!$B$1&amp;" Power")),3,0,100,1),0)+2,4,1,1)</f>
        <v>Disabled</v>
      </c>
      <c r="F41" t="str">
        <f ca="1">OFFSET(INDIRECT(ADDRESS(1,4,1,1,Info!$B$1&amp;" Power")),MATCH($A41,OFFSET(INDIRECT(ADDRESS(1,4,1,1,Info!$B$1&amp;" Power")),3,0,100,1),0)+2,6,1,1)</f>
        <v>idle</v>
      </c>
      <c r="G41" s="17">
        <f ca="1">OFFSET(INDIRECT(ADDRESS(1,4,1,1,Info!$B$1&amp;" Power")),MATCH($A41,OFFSET(INDIRECT(ADDRESS(1,4,1,1,Info!$B$1&amp;" Power")),3,0,100,1),0)+2,7,1,1)</f>
        <v>0</v>
      </c>
      <c r="H41">
        <f ca="1" t="shared" si="6"/>
        <v>0</v>
      </c>
      <c r="I41">
        <f ca="1" t="shared" si="1"/>
        <v>0</v>
      </c>
      <c r="J41" t="str">
        <f ca="1">OFFSET('Power Domain Map'!$A$1,MATCH($C41,'Power Domain Map'!$A:$A,0)-1,2,1,1)</f>
        <v>AlwaysOn</v>
      </c>
      <c r="K41" s="17">
        <f ca="1">OFFSET('Power Domain Map'!$A$1,MATCH($C41,'Power Domain Map'!$A:$A,0)-1,3,1,1)</f>
        <v>100</v>
      </c>
      <c r="L41">
        <f ca="1">OFFSET('IP Dynamic Power Data'!$A$1,MATCH($A41,'IP Dynamic Power Data'!A:A,0),MATCH($F41,OFFSET('IP Dynamic Power Data'!$A$1,MATCH($A41,'IP Dynamic Power Data'!A:A,0)-1,0,1,10),0)-1)</f>
        <v>0.001</v>
      </c>
      <c r="M41">
        <f ca="1">OFFSET('IP Dynamic Power Data'!$A$1,MATCH($A41,'IP Dynamic Power Data'!A:A,0),MATCH("idle",OFFSET('IP Dynamic Power Data'!$A$1,MATCH($A41,'IP Dynamic Power Data'!A:A,0)-1,0,1,10),0)-1)</f>
        <v>0.001</v>
      </c>
      <c r="N41">
        <f ca="1">OFFSET(INDIRECT(ADDRESS(1,4,1,1,Info!$B$1&amp;" Power")),MATCH($A41,OFFSET(INDIRECT(ADDRESS(1,4,1,1,Info!$B$1&amp;" Power")),3,0,100,1),0)+2,1,1,1)</f>
        <v>0.92</v>
      </c>
      <c r="O41">
        <f ca="1">OFFSET(INDIRECT(ADDRESS(1,4,1,1,Info!$B$1&amp;" Power")),MATCH($A41,OFFSET(INDIRECT(ADDRESS(1,4,1,1,Info!$B$1&amp;" Power")),3,0,100,1),0)+2,2,1,1)</f>
        <v>60</v>
      </c>
      <c r="P41" s="7">
        <f ca="1" t="shared" si="2"/>
        <v>0.050784</v>
      </c>
      <c r="Q41" s="7">
        <f ca="1">IF(MATCH($B41,$B:$B,0)=ROW($B41),OFFSET('SoC Leakage'!$B$1,MATCH($B41,'SoC Leakage'!A:A,0)-1,0)*EXP(OFFSET('SoC Leakage'!$C$1,MATCH($B41,'SoC Leakage'!A:A,0)-1,0)*$N41)*EXP((OFFSET('SoC Leakage'!$D$1,MATCH($B41,'SoC Leakage'!A:A,0)-1,0)*$N41+OFFSET('SoC Leakage'!$E$1,MATCH($B41,'SoC Leakage'!A:A,0)-1,0))*Tj_eff),0)*1000*IF(OR(E41="AutoPD with Ret",E41="Auto"),G41*(F41&lt;&gt;"idle")+(100-G41*(F41&lt;&gt;"idle"))*0.1,IF(E41="AutoPD",G41*(F41&lt;&gt;"idle")+(100-G41*(F41&lt;&gt;"idle"))*0.05,100))/100*1.03</f>
        <v>4.505087448563568</v>
      </c>
      <c r="R41" s="7">
        <f ca="1">IF($E41="Disabled",0,OFFSET(INDIRECT(ADDRESS(1,4,1,1,Info!$B$1&amp;" Power")),MATCH($A41,OFFSET(INDIRECT(ADDRESS(1,4,1,1,Info!$B$1&amp;" Power")),3,0,100,1),0)+2,8,1,1))</f>
        <v>0</v>
      </c>
      <c r="S41" s="7">
        <f ca="1">IF($E41="Disabled",0,OFFSET(INDIRECT(ADDRESS(1,4,1,1,Info!$B$1&amp;" Power")),MATCH($A41,OFFSET(INDIRECT(ADDRESS(1,4,1,1,Info!$B$1&amp;" Power")),3,0,100,1),0)+2,9,1,1))</f>
        <v>0</v>
      </c>
      <c r="T41" s="7">
        <f ca="1">OFFSET('IP Dynamic Power Data'!$A$1,MATCH($A41,'IP Dynamic Power Data'!A:A,0)+1,MATCH($F41,OFFSET('IP Dynamic Power Data'!$A$1,MATCH($A41,'IP Dynamic Power Data'!A:A,0)-1,0,1,10),0)-1)</f>
        <v>0</v>
      </c>
      <c r="U41" s="7">
        <f ca="1">OFFSET('IP Dynamic Power Data'!$A$1,MATCH($A41,'IP Dynamic Power Data'!A:A,0)+1,MATCH("idle",OFFSET('IP Dynamic Power Data'!$A$1,MATCH($A41,'IP Dynamic Power Data'!A:A,0)-1,0,1,10),0)-1)</f>
        <v>0</v>
      </c>
      <c r="V41" s="7">
        <f ca="1" t="shared" si="3"/>
        <v>1.15</v>
      </c>
      <c r="W41" s="7">
        <f ca="1" t="shared" si="4"/>
        <v>60</v>
      </c>
      <c r="X41" s="7">
        <f ca="1" t="shared" si="5"/>
        <v>0</v>
      </c>
      <c r="Y41" s="7">
        <f ca="1">IF(MATCH($B41,$B:$B,0)=ROW($B41),OFFSET('SoC Leakage'!$G$1,MATCH($B41,'SoC Leakage'!A:A,0)-1,0)*EXP(OFFSET('SoC Leakage'!$H$1,MATCH($B41,'SoC Leakage'!A:A,0)-1,0)*$V41)*EXP((OFFSET('SoC Leakage'!$I$1,MATCH($B41,'SoC Leakage'!A:A,0)-1,0)*$V41+OFFSET('SoC Leakage'!$J$1,MATCH($B41,'SoC Leakage'!A:A,0)-1,0))*Tj_eff),0)*1000</f>
        <v>0.2288057693316955</v>
      </c>
    </row>
    <row r="42" spans="1:25" ht="15">
      <c r="A42" s="5" t="s">
        <v>180</v>
      </c>
      <c r="B42" t="str">
        <f ca="1">OFFSET('IP Dynamic Power Data'!$C$1,MATCH($A42,'IP Dynamic Power Data'!$A:$A,0)-1,0)</f>
        <v>USB4</v>
      </c>
      <c r="C42" t="s">
        <v>110</v>
      </c>
      <c r="D42" t="str">
        <f ca="1">OFFSET('IP Dynamic Power Data'!$B$1,MATCH($A42,'IP Dynamic Power Data'!$A:$A,0)-1,0)</f>
        <v>IO</v>
      </c>
      <c r="E42" t="str">
        <f ca="1">OFFSET(INDIRECT(ADDRESS(1,4,1,1,Info!$B$1&amp;" Power")),MATCH($A42,OFFSET(INDIRECT(ADDRESS(1,4,1,1,Info!$B$1&amp;" Power")),3,0,100,1),0)+2,4,1,1)</f>
        <v>Disabled</v>
      </c>
      <c r="F42" t="str">
        <f ca="1">OFFSET(INDIRECT(ADDRESS(1,4,1,1,Info!$B$1&amp;" Power")),MATCH($A42,OFFSET(INDIRECT(ADDRESS(1,4,1,1,Info!$B$1&amp;" Power")),3,0,100,1),0)+2,6,1,1)</f>
        <v>idle</v>
      </c>
      <c r="G42" s="17">
        <f ca="1">OFFSET(INDIRECT(ADDRESS(1,4,1,1,Info!$B$1&amp;" Power")),MATCH($A42,OFFSET(INDIRECT(ADDRESS(1,4,1,1,Info!$B$1&amp;" Power")),3,0,100,1),0)+2,7,1,1)</f>
        <v>0</v>
      </c>
      <c r="H42">
        <f ca="1" t="shared" si="6"/>
        <v>0</v>
      </c>
      <c r="I42">
        <f ca="1" t="shared" si="1"/>
        <v>0</v>
      </c>
      <c r="J42" t="str">
        <f ca="1">OFFSET('Power Domain Map'!$A$1,MATCH($C42,'Power Domain Map'!$A:$A,0)-1,2,1,1)</f>
        <v>AlwaysOn</v>
      </c>
      <c r="K42" s="17">
        <f ca="1">OFFSET('Power Domain Map'!$A$1,MATCH($C42,'Power Domain Map'!$A:$A,0)-1,3,1,1)</f>
        <v>100</v>
      </c>
      <c r="L42">
        <f ca="1">OFFSET('IP Dynamic Power Data'!$A$1,MATCH($A42,'IP Dynamic Power Data'!A:A,0),MATCH($F42,OFFSET('IP Dynamic Power Data'!$A$1,MATCH($A42,'IP Dynamic Power Data'!A:A,0)-1,0,1,10),0)-1)</f>
        <v>0.001</v>
      </c>
      <c r="M42">
        <f ca="1">OFFSET('IP Dynamic Power Data'!$A$1,MATCH($A42,'IP Dynamic Power Data'!A:A,0),MATCH("idle",OFFSET('IP Dynamic Power Data'!$A$1,MATCH($A42,'IP Dynamic Power Data'!A:A,0)-1,0,1,10),0)-1)</f>
        <v>0.001</v>
      </c>
      <c r="N42">
        <f ca="1">OFFSET(INDIRECT(ADDRESS(1,4,1,1,Info!$B$1&amp;" Power")),MATCH($A42,OFFSET(INDIRECT(ADDRESS(1,4,1,1,Info!$B$1&amp;" Power")),3,0,100,1),0)+2,1,1,1)</f>
        <v>0.92</v>
      </c>
      <c r="O42">
        <f ca="1">OFFSET(INDIRECT(ADDRESS(1,4,1,1,Info!$B$1&amp;" Power")),MATCH($A42,OFFSET(INDIRECT(ADDRESS(1,4,1,1,Info!$B$1&amp;" Power")),3,0,100,1),0)+2,2,1,1)</f>
        <v>60</v>
      </c>
      <c r="P42" s="7">
        <f ca="1" t="shared" si="2"/>
        <v>0.050784</v>
      </c>
      <c r="Q42" s="7">
        <f ca="1">IF(MATCH($B42,$B:$B,0)=ROW($B42),OFFSET('SoC Leakage'!$B$1,MATCH($B42,'SoC Leakage'!A:A,0)-1,0)*EXP(OFFSET('SoC Leakage'!$C$1,MATCH($B42,'SoC Leakage'!A:A,0)-1,0)*$N42)*EXP((OFFSET('SoC Leakage'!$D$1,MATCH($B42,'SoC Leakage'!A:A,0)-1,0)*$N42+OFFSET('SoC Leakage'!$E$1,MATCH($B42,'SoC Leakage'!A:A,0)-1,0))*Tj_eff),0)*1000*IF(OR(E42="AutoPD with Ret",E42="Auto"),G42*(F42&lt;&gt;"idle")+(100-G42*(F42&lt;&gt;"idle"))*0.1,IF(E42="AutoPD",G42*(F42&lt;&gt;"idle")+(100-G42*(F42&lt;&gt;"idle"))*0.05,100))/100*1.03</f>
        <v>4.505087448563568</v>
      </c>
      <c r="R42" s="7">
        <f ca="1">IF($E42="Disabled",0,OFFSET(INDIRECT(ADDRESS(1,4,1,1,Info!$B$1&amp;" Power")),MATCH($A42,OFFSET(INDIRECT(ADDRESS(1,4,1,1,Info!$B$1&amp;" Power")),3,0,100,1),0)+2,8,1,1))</f>
        <v>0</v>
      </c>
      <c r="S42" s="7">
        <f ca="1">IF($E42="Disabled",0,OFFSET(INDIRECT(ADDRESS(1,4,1,1,Info!$B$1&amp;" Power")),MATCH($A42,OFFSET(INDIRECT(ADDRESS(1,4,1,1,Info!$B$1&amp;" Power")),3,0,100,1),0)+2,9,1,1))</f>
        <v>0</v>
      </c>
      <c r="T42" s="7">
        <f ca="1">OFFSET('IP Dynamic Power Data'!$A$1,MATCH($A42,'IP Dynamic Power Data'!A:A,0)+1,MATCH($F42,OFFSET('IP Dynamic Power Data'!$A$1,MATCH($A42,'IP Dynamic Power Data'!A:A,0)-1,0,1,10),0)-1)</f>
        <v>0</v>
      </c>
      <c r="U42" s="7">
        <f ca="1">OFFSET('IP Dynamic Power Data'!$A$1,MATCH($A42,'IP Dynamic Power Data'!A:A,0)+1,MATCH("idle",OFFSET('IP Dynamic Power Data'!$A$1,MATCH($A42,'IP Dynamic Power Data'!A:A,0)-1,0,1,10),0)-1)</f>
        <v>0</v>
      </c>
      <c r="V42" s="7">
        <f ca="1" t="shared" si="3"/>
        <v>1.15</v>
      </c>
      <c r="W42" s="7">
        <f ca="1" t="shared" si="4"/>
        <v>60</v>
      </c>
      <c r="X42" s="7">
        <f ca="1" t="shared" si="5"/>
        <v>0</v>
      </c>
      <c r="Y42" s="7">
        <f ca="1">IF(MATCH($B42,$B:$B,0)=ROW($B42),OFFSET('SoC Leakage'!$G$1,MATCH($B42,'SoC Leakage'!A:A,0)-1,0)*EXP(OFFSET('SoC Leakage'!$H$1,MATCH($B42,'SoC Leakage'!A:A,0)-1,0)*$V42)*EXP((OFFSET('SoC Leakage'!$I$1,MATCH($B42,'SoC Leakage'!A:A,0)-1,0)*$V42+OFFSET('SoC Leakage'!$J$1,MATCH($B42,'SoC Leakage'!A:A,0)-1,0))*Tj_eff),0)*1000</f>
        <v>0.2288057693316955</v>
      </c>
    </row>
    <row r="43" spans="1:25" ht="15">
      <c r="A43" s="5" t="s">
        <v>20</v>
      </c>
      <c r="B43" t="str">
        <f ca="1">OFFSET('IP Dynamic Power Data'!$C$1,MATCH($A43,'IP Dynamic Power Data'!$A:$A,0)-1,0)</f>
        <v>QSPI</v>
      </c>
      <c r="C43" t="s">
        <v>108</v>
      </c>
      <c r="D43" t="str">
        <f ca="1">OFFSET('IP Dynamic Power Data'!$B$1,MATCH($A43,'IP Dynamic Power Data'!$A:$A,0)-1,0)</f>
        <v>IO</v>
      </c>
      <c r="E43" t="str">
        <f ca="1">OFFSET(INDIRECT(ADDRESS(1,4,1,1,Info!$B$1&amp;" Power")),MATCH($A43,OFFSET(INDIRECT(ADDRESS(1,4,1,1,Info!$B$1&amp;" Power")),3,0,100,1),0)+2,4,1,1)</f>
        <v>Disabled</v>
      </c>
      <c r="F43" t="str">
        <f ca="1">OFFSET(INDIRECT(ADDRESS(1,4,1,1,Info!$B$1&amp;" Power")),MATCH($A43,OFFSET(INDIRECT(ADDRESS(1,4,1,1,Info!$B$1&amp;" Power")),3,0,100,1),0)+2,6,1,1)</f>
        <v>idle</v>
      </c>
      <c r="G43" s="17">
        <f ca="1">OFFSET(INDIRECT(ADDRESS(1,4,1,1,Info!$B$1&amp;" Power")),MATCH($A43,OFFSET(INDIRECT(ADDRESS(1,4,1,1,Info!$B$1&amp;" Power")),3,0,100,1),0)+2,7,1,1)</f>
        <v>0</v>
      </c>
      <c r="H43">
        <f ca="1" t="shared" si="6"/>
        <v>0</v>
      </c>
      <c r="I43">
        <f ca="1" t="shared" si="1"/>
        <v>0</v>
      </c>
      <c r="J43" t="str">
        <f ca="1">OFFSET('Power Domain Map'!$A$1,MATCH($C43,'Power Domain Map'!$A:$A,0)-1,2,1,1)</f>
        <v>AlwaysOn</v>
      </c>
      <c r="K43" s="17">
        <f ca="1">OFFSET('Power Domain Map'!$A$1,MATCH($C43,'Power Domain Map'!$A:$A,0)-1,3,1,1)</f>
        <v>100</v>
      </c>
      <c r="L43">
        <f ca="1">OFFSET('IP Dynamic Power Data'!$A$1,MATCH($A43,'IP Dynamic Power Data'!A:A,0),MATCH($F43,OFFSET('IP Dynamic Power Data'!$A$1,MATCH($A43,'IP Dynamic Power Data'!A:A,0)-1,0,1,10),0)-1)</f>
        <v>0.01</v>
      </c>
      <c r="M43">
        <f ca="1">OFFSET('IP Dynamic Power Data'!$A$1,MATCH($A43,'IP Dynamic Power Data'!A:A,0),MATCH("idle",OFFSET('IP Dynamic Power Data'!$A$1,MATCH($A43,'IP Dynamic Power Data'!A:A,0)-1,0,1,10),0)-1)</f>
        <v>0.01</v>
      </c>
      <c r="N43">
        <f ca="1">OFFSET(INDIRECT(ADDRESS(1,4,1,1,Info!$B$1&amp;" Power")),MATCH($A43,OFFSET(INDIRECT(ADDRESS(1,4,1,1,Info!$B$1&amp;" Power")),3,0,100,1),0)+2,1,1,1)</f>
        <v>0.92</v>
      </c>
      <c r="O43">
        <f ca="1">OFFSET(INDIRECT(ADDRESS(1,4,1,1,Info!$B$1&amp;" Power")),MATCH($A43,OFFSET(INDIRECT(ADDRESS(1,4,1,1,Info!$B$1&amp;" Power")),3,0,100,1),0)+2,2,1,1)</f>
        <v>80</v>
      </c>
      <c r="P43" s="7">
        <f ca="1" t="shared" si="2"/>
        <v>0.6771200000000002</v>
      </c>
      <c r="Q43" s="7">
        <f ca="1">IF(MATCH($B43,$B:$B,0)=ROW($B43),OFFSET('SoC Leakage'!$B$1,MATCH($B43,'SoC Leakage'!A:A,0)-1,0)*EXP(OFFSET('SoC Leakage'!$C$1,MATCH($B43,'SoC Leakage'!A:A,0)-1,0)*$N43)*EXP((OFFSET('SoC Leakage'!$D$1,MATCH($B43,'SoC Leakage'!A:A,0)-1,0)*$N43+OFFSET('SoC Leakage'!$E$1,MATCH($B43,'SoC Leakage'!A:A,0)-1,0))*Tj_eff),0)*1000*IF(OR(E43="AutoPD with Ret",E43="Auto"),G43*(F43&lt;&gt;"idle")+(100-G43*(F43&lt;&gt;"idle"))*0.1,IF(E43="AutoPD",G43*(F43&lt;&gt;"idle")+(100-G43*(F43&lt;&gt;"idle"))*0.05,100))/100*1.03</f>
        <v>0</v>
      </c>
      <c r="R43" s="7">
        <f ca="1">IF($E43="Disabled",0,OFFSET(INDIRECT(ADDRESS(1,4,1,1,Info!$B$1&amp;" Power")),MATCH($A43,OFFSET(INDIRECT(ADDRESS(1,4,1,1,Info!$B$1&amp;" Power")),3,0,100,1),0)+2,8,1,1))</f>
        <v>0</v>
      </c>
      <c r="S43" s="7">
        <f ca="1">IF($E43="Disabled",0,OFFSET(INDIRECT(ADDRESS(1,4,1,1,Info!$B$1&amp;" Power")),MATCH($A43,OFFSET(INDIRECT(ADDRESS(1,4,1,1,Info!$B$1&amp;" Power")),3,0,100,1),0)+2,9,1,1))</f>
        <v>0</v>
      </c>
      <c r="T43" s="7">
        <f ca="1">OFFSET('IP Dynamic Power Data'!$A$1,MATCH($A43,'IP Dynamic Power Data'!A:A,0)+1,MATCH($F43,OFFSET('IP Dynamic Power Data'!$A$1,MATCH($A43,'IP Dynamic Power Data'!A:A,0)-1,0,1,10),0)-1)</f>
        <v>0</v>
      </c>
      <c r="U43" s="7">
        <f ca="1">OFFSET('IP Dynamic Power Data'!$A$1,MATCH($A43,'IP Dynamic Power Data'!A:A,0)+1,MATCH("idle",OFFSET('IP Dynamic Power Data'!$A$1,MATCH($A43,'IP Dynamic Power Data'!A:A,0)-1,0,1,10),0)-1)</f>
        <v>0</v>
      </c>
      <c r="V43" s="7">
        <f ca="1" t="shared" si="3"/>
        <v>1.15</v>
      </c>
      <c r="W43" s="7">
        <f ca="1" t="shared" si="4"/>
        <v>80</v>
      </c>
      <c r="X43" s="7">
        <f ca="1" t="shared" si="5"/>
        <v>0</v>
      </c>
      <c r="Y43" s="7">
        <f ca="1">IF(MATCH($B43,$B:$B,0)=ROW($B43),OFFSET('SoC Leakage'!$G$1,MATCH($B43,'SoC Leakage'!A:A,0)-1,0)*EXP(OFFSET('SoC Leakage'!$H$1,MATCH($B43,'SoC Leakage'!A:A,0)-1,0)*$V43)*EXP((OFFSET('SoC Leakage'!$I$1,MATCH($B43,'SoC Leakage'!A:A,0)-1,0)*$V43+OFFSET('SoC Leakage'!$J$1,MATCH($B43,'SoC Leakage'!A:A,0)-1,0))*Tj_eff),0)*1000</f>
        <v>0</v>
      </c>
    </row>
    <row r="44" spans="1:25" ht="15">
      <c r="A44" s="5" t="s">
        <v>177</v>
      </c>
      <c r="B44" t="str">
        <f ca="1">OFFSET('IP Dynamic Power Data'!$C$1,MATCH($A44,'IP Dynamic Power Data'!$A:$A,0)-1,0)</f>
        <v>DCAN1</v>
      </c>
      <c r="C44" t="s">
        <v>108</v>
      </c>
      <c r="D44" t="str">
        <f ca="1">OFFSET('IP Dynamic Power Data'!$B$1,MATCH($A44,'IP Dynamic Power Data'!$A:$A,0)-1,0)</f>
        <v>IO</v>
      </c>
      <c r="E44" t="str">
        <f ca="1">OFFSET(INDIRECT(ADDRESS(1,4,1,1,Info!$B$1&amp;" Power")),MATCH($A44,OFFSET(INDIRECT(ADDRESS(1,4,1,1,Info!$B$1&amp;" Power")),3,0,100,1),0)+2,4,1,1)</f>
        <v>Disabled</v>
      </c>
      <c r="F44" t="str">
        <f ca="1">OFFSET(INDIRECT(ADDRESS(1,4,1,1,Info!$B$1&amp;" Power")),MATCH($A44,OFFSET(INDIRECT(ADDRESS(1,4,1,1,Info!$B$1&amp;" Power")),3,0,100,1),0)+2,6,1,1)</f>
        <v>idle</v>
      </c>
      <c r="G44" s="17">
        <f ca="1">OFFSET(INDIRECT(ADDRESS(1,4,1,1,Info!$B$1&amp;" Power")),MATCH($A44,OFFSET(INDIRECT(ADDRESS(1,4,1,1,Info!$B$1&amp;" Power")),3,0,100,1),0)+2,7,1,1)</f>
        <v>0</v>
      </c>
      <c r="H44">
        <f ca="1" t="shared" si="6"/>
        <v>0</v>
      </c>
      <c r="I44">
        <f ca="1" t="shared" si="1"/>
        <v>0</v>
      </c>
      <c r="J44" t="str">
        <f ca="1">OFFSET('Power Domain Map'!$A$1,MATCH($C44,'Power Domain Map'!$A:$A,0)-1,2,1,1)</f>
        <v>AlwaysOn</v>
      </c>
      <c r="K44" s="17">
        <f ca="1">OFFSET('Power Domain Map'!$A$1,MATCH($C44,'Power Domain Map'!$A:$A,0)-1,3,1,1)</f>
        <v>100</v>
      </c>
      <c r="L44">
        <f ca="1">OFFSET('IP Dynamic Power Data'!$A$1,MATCH($A44,'IP Dynamic Power Data'!A:A,0),MATCH($F44,OFFSET('IP Dynamic Power Data'!$A$1,MATCH($A44,'IP Dynamic Power Data'!A:A,0)-1,0,1,10),0)-1)</f>
        <v>0.01</v>
      </c>
      <c r="M44">
        <f ca="1">OFFSET('IP Dynamic Power Data'!$A$1,MATCH($A44,'IP Dynamic Power Data'!A:A,0),MATCH("idle",OFFSET('IP Dynamic Power Data'!$A$1,MATCH($A44,'IP Dynamic Power Data'!A:A,0)-1,0,1,10),0)-1)</f>
        <v>0.01</v>
      </c>
      <c r="N44">
        <f ca="1">OFFSET(INDIRECT(ADDRESS(1,4,1,1,Info!$B$1&amp;" Power")),MATCH($A44,OFFSET(INDIRECT(ADDRESS(1,4,1,1,Info!$B$1&amp;" Power")),3,0,100,1),0)+2,1,1,1)</f>
        <v>0.92</v>
      </c>
      <c r="O44">
        <f ca="1">OFFSET(INDIRECT(ADDRESS(1,4,1,1,Info!$B$1&amp;" Power")),MATCH($A44,OFFSET(INDIRECT(ADDRESS(1,4,1,1,Info!$B$1&amp;" Power")),3,0,100,1),0)+2,2,1,1)</f>
        <v>27</v>
      </c>
      <c r="P44" s="7">
        <f ca="1" t="shared" si="2"/>
        <v>0.22852800000000004</v>
      </c>
      <c r="Q44" s="7">
        <f ca="1">IF(MATCH($B44,$B:$B,0)=ROW($B44),OFFSET('SoC Leakage'!$B$1,MATCH($B44,'SoC Leakage'!A:A,0)-1,0)*EXP(OFFSET('SoC Leakage'!$C$1,MATCH($B44,'SoC Leakage'!A:A,0)-1,0)*$N44)*EXP((OFFSET('SoC Leakage'!$D$1,MATCH($B44,'SoC Leakage'!A:A,0)-1,0)*$N44+OFFSET('SoC Leakage'!$E$1,MATCH($B44,'SoC Leakage'!A:A,0)-1,0))*Tj_eff),0)*1000*IF(OR(E44="AutoPD with Ret",E44="Auto"),G44*(F44&lt;&gt;"idle")+(100-G44*(F44&lt;&gt;"idle"))*0.1,IF(E44="AutoPD",G44*(F44&lt;&gt;"idle")+(100-G44*(F44&lt;&gt;"idle"))*0.05,100))/100*1.03</f>
        <v>0</v>
      </c>
      <c r="R44" s="7">
        <f ca="1">IF($E44="Disabled",0,OFFSET(INDIRECT(ADDRESS(1,4,1,1,Info!$B$1&amp;" Power")),MATCH($A44,OFFSET(INDIRECT(ADDRESS(1,4,1,1,Info!$B$1&amp;" Power")),3,0,100,1),0)+2,8,1,1))</f>
        <v>0</v>
      </c>
      <c r="S44" s="7">
        <f ca="1">IF($E44="Disabled",0,OFFSET(INDIRECT(ADDRESS(1,4,1,1,Info!$B$1&amp;" Power")),MATCH($A44,OFFSET(INDIRECT(ADDRESS(1,4,1,1,Info!$B$1&amp;" Power")),3,0,100,1),0)+2,9,1,1))</f>
        <v>0</v>
      </c>
      <c r="T44" s="7">
        <f ca="1">OFFSET('IP Dynamic Power Data'!$A$1,MATCH($A44,'IP Dynamic Power Data'!A:A,0)+1,MATCH($F44,OFFSET('IP Dynamic Power Data'!$A$1,MATCH($A44,'IP Dynamic Power Data'!A:A,0)-1,0,1,10),0)-1)</f>
        <v>0</v>
      </c>
      <c r="U44" s="7">
        <f ca="1">OFFSET('IP Dynamic Power Data'!$A$1,MATCH($A44,'IP Dynamic Power Data'!A:A,0)+1,MATCH("idle",OFFSET('IP Dynamic Power Data'!$A$1,MATCH($A44,'IP Dynamic Power Data'!A:A,0)-1,0,1,10),0)-1)</f>
        <v>0</v>
      </c>
      <c r="V44" s="7">
        <f ca="1" t="shared" si="3"/>
        <v>1.15</v>
      </c>
      <c r="W44" s="7">
        <f ca="1" t="shared" si="4"/>
        <v>27</v>
      </c>
      <c r="X44" s="7">
        <f ca="1" t="shared" si="5"/>
        <v>0</v>
      </c>
      <c r="Y44" s="7">
        <f ca="1">IF(MATCH($B44,$B:$B,0)=ROW($B44),OFFSET('SoC Leakage'!$G$1,MATCH($B44,'SoC Leakage'!A:A,0)-1,0)*EXP(OFFSET('SoC Leakage'!$H$1,MATCH($B44,'SoC Leakage'!A:A,0)-1,0)*$V44)*EXP((OFFSET('SoC Leakage'!$I$1,MATCH($B44,'SoC Leakage'!A:A,0)-1,0)*$V44+OFFSET('SoC Leakage'!$J$1,MATCH($B44,'SoC Leakage'!A:A,0)-1,0))*Tj_eff),0)*1000</f>
        <v>0</v>
      </c>
    </row>
    <row r="45" spans="1:25" ht="15">
      <c r="A45" s="5" t="s">
        <v>178</v>
      </c>
      <c r="B45" t="str">
        <f ca="1">OFFSET('IP Dynamic Power Data'!$C$1,MATCH($A45,'IP Dynamic Power Data'!$A:$A,0)-1,0)</f>
        <v>DCAN2</v>
      </c>
      <c r="C45" t="s">
        <v>108</v>
      </c>
      <c r="D45" t="str">
        <f ca="1">OFFSET('IP Dynamic Power Data'!$B$1,MATCH($A45,'IP Dynamic Power Data'!$A:$A,0)-1,0)</f>
        <v>IO</v>
      </c>
      <c r="E45" t="str">
        <f ca="1">OFFSET(INDIRECT(ADDRESS(1,4,1,1,Info!$B$1&amp;" Power")),MATCH($A45,OFFSET(INDIRECT(ADDRESS(1,4,1,1,Info!$B$1&amp;" Power")),3,0,100,1),0)+2,4,1,1)</f>
        <v>Disabled</v>
      </c>
      <c r="F45" t="str">
        <f ca="1">OFFSET(INDIRECT(ADDRESS(1,4,1,1,Info!$B$1&amp;" Power")),MATCH($A45,OFFSET(INDIRECT(ADDRESS(1,4,1,1,Info!$B$1&amp;" Power")),3,0,100,1),0)+2,6,1,1)</f>
        <v>idle</v>
      </c>
      <c r="G45" s="17">
        <f ca="1">OFFSET(INDIRECT(ADDRESS(1,4,1,1,Info!$B$1&amp;" Power")),MATCH($A45,OFFSET(INDIRECT(ADDRESS(1,4,1,1,Info!$B$1&amp;" Power")),3,0,100,1),0)+2,7,1,1)</f>
        <v>0</v>
      </c>
      <c r="H45">
        <f aca="true" t="shared" si="15" ref="H45">IF(E45="Always enabled",1,0)</f>
        <v>0</v>
      </c>
      <c r="I45">
        <f ca="1" t="shared" si="1"/>
        <v>0</v>
      </c>
      <c r="J45" t="str">
        <f ca="1">OFFSET('Power Domain Map'!$A$1,MATCH($C45,'Power Domain Map'!$A:$A,0)-1,2,1,1)</f>
        <v>AlwaysOn</v>
      </c>
      <c r="K45" s="17">
        <f ca="1">OFFSET('Power Domain Map'!$A$1,MATCH($C45,'Power Domain Map'!$A:$A,0)-1,3,1,1)</f>
        <v>100</v>
      </c>
      <c r="L45">
        <f ca="1">OFFSET('IP Dynamic Power Data'!$A$1,MATCH($A45,'IP Dynamic Power Data'!A:A,0),MATCH($F45,OFFSET('IP Dynamic Power Data'!$A$1,MATCH($A45,'IP Dynamic Power Data'!A:A,0)-1,0,1,10),0)-1)</f>
        <v>0.01</v>
      </c>
      <c r="M45">
        <f ca="1">OFFSET('IP Dynamic Power Data'!$A$1,MATCH($A45,'IP Dynamic Power Data'!A:A,0),MATCH("idle",OFFSET('IP Dynamic Power Data'!$A$1,MATCH($A45,'IP Dynamic Power Data'!A:A,0)-1,0,1,10),0)-1)</f>
        <v>0.01</v>
      </c>
      <c r="N45">
        <f ca="1">OFFSET(INDIRECT(ADDRESS(1,4,1,1,Info!$B$1&amp;" Power")),MATCH($A45,OFFSET(INDIRECT(ADDRESS(1,4,1,1,Info!$B$1&amp;" Power")),3,0,100,1),0)+2,1,1,1)</f>
        <v>0.92</v>
      </c>
      <c r="O45">
        <f ca="1">OFFSET(INDIRECT(ADDRESS(1,4,1,1,Info!$B$1&amp;" Power")),MATCH($A45,OFFSET(INDIRECT(ADDRESS(1,4,1,1,Info!$B$1&amp;" Power")),3,0,100,1),0)+2,2,1,1)</f>
        <v>27</v>
      </c>
      <c r="P45" s="7">
        <f ca="1" t="shared" si="2"/>
        <v>0.22852800000000004</v>
      </c>
      <c r="Q45" s="7">
        <f ca="1">IF(MATCH($B45,$B:$B,0)=ROW($B45),OFFSET('SoC Leakage'!$B$1,MATCH($B45,'SoC Leakage'!A:A,0)-1,0)*EXP(OFFSET('SoC Leakage'!$C$1,MATCH($B45,'SoC Leakage'!A:A,0)-1,0)*$N45)*EXP((OFFSET('SoC Leakage'!$D$1,MATCH($B45,'SoC Leakage'!A:A,0)-1,0)*$N45+OFFSET('SoC Leakage'!$E$1,MATCH($B45,'SoC Leakage'!A:A,0)-1,0))*Tj_eff),0)*1000*IF(OR(E45="AutoPD with Ret",E45="Auto"),G45*(F45&lt;&gt;"idle")+(100-G45*(F45&lt;&gt;"idle"))*0.1,IF(E45="AutoPD",G45*(F45&lt;&gt;"idle")+(100-G45*(F45&lt;&gt;"idle"))*0.05,100))/100*1.03</f>
        <v>0</v>
      </c>
      <c r="R45" s="7">
        <f ca="1">IF($E45="Disabled",0,OFFSET(INDIRECT(ADDRESS(1,4,1,1,Info!$B$1&amp;" Power")),MATCH($A45,OFFSET(INDIRECT(ADDRESS(1,4,1,1,Info!$B$1&amp;" Power")),3,0,100,1),0)+2,8,1,1))</f>
        <v>0</v>
      </c>
      <c r="S45" s="7">
        <f ca="1">IF($E45="Disabled",0,OFFSET(INDIRECT(ADDRESS(1,4,1,1,Info!$B$1&amp;" Power")),MATCH($A45,OFFSET(INDIRECT(ADDRESS(1,4,1,1,Info!$B$1&amp;" Power")),3,0,100,1),0)+2,9,1,1))</f>
        <v>0</v>
      </c>
      <c r="T45" s="7">
        <f ca="1">OFFSET('IP Dynamic Power Data'!$A$1,MATCH($A45,'IP Dynamic Power Data'!A:A,0)+1,MATCH($F45,OFFSET('IP Dynamic Power Data'!$A$1,MATCH($A45,'IP Dynamic Power Data'!A:A,0)-1,0,1,10),0)-1)</f>
        <v>0</v>
      </c>
      <c r="U45" s="7">
        <f ca="1">OFFSET('IP Dynamic Power Data'!$A$1,MATCH($A45,'IP Dynamic Power Data'!A:A,0)+1,MATCH("idle",OFFSET('IP Dynamic Power Data'!$A$1,MATCH($A45,'IP Dynamic Power Data'!A:A,0)-1,0,1,10),0)-1)</f>
        <v>0</v>
      </c>
      <c r="V45" s="7">
        <f ca="1" t="shared" si="3"/>
        <v>1.15</v>
      </c>
      <c r="W45" s="7">
        <f ca="1" t="shared" si="4"/>
        <v>27</v>
      </c>
      <c r="X45" s="7">
        <f ca="1" t="shared" si="5"/>
        <v>0</v>
      </c>
      <c r="Y45" s="7">
        <f ca="1">IF(MATCH($B45,$B:$B,0)=ROW($B45),OFFSET('SoC Leakage'!$G$1,MATCH($B45,'SoC Leakage'!A:A,0)-1,0)*EXP(OFFSET('SoC Leakage'!$H$1,MATCH($B45,'SoC Leakage'!A:A,0)-1,0)*$V45)*EXP((OFFSET('SoC Leakage'!$I$1,MATCH($B45,'SoC Leakage'!A:A,0)-1,0)*$V45+OFFSET('SoC Leakage'!$J$1,MATCH($B45,'SoC Leakage'!A:A,0)-1,0))*Tj_eff),0)*1000</f>
        <v>0</v>
      </c>
    </row>
    <row r="46" spans="1:25" ht="15">
      <c r="A46" s="5" t="s">
        <v>185</v>
      </c>
      <c r="B46" t="str">
        <f ca="1">OFFSET('IP Dynamic Power Data'!$C$1,MATCH($A46,'IP Dynamic Power Data'!$A:$A,0)-1,0)</f>
        <v>MCASP1</v>
      </c>
      <c r="C46" t="s">
        <v>108</v>
      </c>
      <c r="D46" t="str">
        <f ca="1">OFFSET('IP Dynamic Power Data'!$B$1,MATCH($A46,'IP Dynamic Power Data'!$A:$A,0)-1,0)</f>
        <v>IO</v>
      </c>
      <c r="E46" t="str">
        <f ca="1">OFFSET(INDIRECT(ADDRESS(1,4,1,1,Info!$B$1&amp;" Power")),MATCH($A46,OFFSET(INDIRECT(ADDRESS(1,4,1,1,Info!$B$1&amp;" Power")),3,0,100,1),0)+2,4,1,1)</f>
        <v>Disabled</v>
      </c>
      <c r="F46" t="str">
        <f ca="1">OFFSET(INDIRECT(ADDRESS(1,4,1,1,Info!$B$1&amp;" Power")),MATCH($A46,OFFSET(INDIRECT(ADDRESS(1,4,1,1,Info!$B$1&amp;" Power")),3,0,100,1),0)+2,6,1,1)</f>
        <v>idle</v>
      </c>
      <c r="G46" s="17">
        <f ca="1">OFFSET(INDIRECT(ADDRESS(1,4,1,1,Info!$B$1&amp;" Power")),MATCH($A46,OFFSET(INDIRECT(ADDRESS(1,4,1,1,Info!$B$1&amp;" Power")),3,0,100,1),0)+2,7,1,1)</f>
        <v>0</v>
      </c>
      <c r="H46">
        <f ca="1" t="shared" si="6"/>
        <v>0</v>
      </c>
      <c r="I46">
        <f ca="1" t="shared" si="1"/>
        <v>0</v>
      </c>
      <c r="J46" t="str">
        <f ca="1">OFFSET('Power Domain Map'!$A$1,MATCH($C46,'Power Domain Map'!$A:$A,0)-1,2,1,1)</f>
        <v>AlwaysOn</v>
      </c>
      <c r="K46" s="17">
        <f ca="1">OFFSET('Power Domain Map'!$A$1,MATCH($C46,'Power Domain Map'!$A:$A,0)-1,3,1,1)</f>
        <v>100</v>
      </c>
      <c r="L46">
        <f ca="1">OFFSET('IP Dynamic Power Data'!$A$1,MATCH($A46,'IP Dynamic Power Data'!A:A,0),MATCH($F46,OFFSET('IP Dynamic Power Data'!$A$1,MATCH($A46,'IP Dynamic Power Data'!A:A,0)-1,0,1,10),0)-1)</f>
        <v>0.01</v>
      </c>
      <c r="M46">
        <f ca="1">OFFSET('IP Dynamic Power Data'!$A$1,MATCH($A46,'IP Dynamic Power Data'!A:A,0),MATCH("idle",OFFSET('IP Dynamic Power Data'!$A$1,MATCH($A46,'IP Dynamic Power Data'!A:A,0)-1,0,1,10),0)-1)</f>
        <v>0.01</v>
      </c>
      <c r="N46">
        <f ca="1">OFFSET(INDIRECT(ADDRESS(1,4,1,1,Info!$B$1&amp;" Power")),MATCH($A46,OFFSET(INDIRECT(ADDRESS(1,4,1,1,Info!$B$1&amp;" Power")),3,0,100,1),0)+2,1,1,1)</f>
        <v>0.92</v>
      </c>
      <c r="O46">
        <f ca="1">OFFSET(INDIRECT(ADDRESS(1,4,1,1,Info!$B$1&amp;" Power")),MATCH($A46,OFFSET(INDIRECT(ADDRESS(1,4,1,1,Info!$B$1&amp;" Power")),3,0,100,1),0)+2,2,1,1)</f>
        <v>50</v>
      </c>
      <c r="P46" s="7">
        <f ca="1" t="shared" si="2"/>
        <v>0.4232</v>
      </c>
      <c r="Q46" s="7">
        <f ca="1">IF(MATCH($B46,$B:$B,0)=ROW($B46),OFFSET('SoC Leakage'!$B$1,MATCH($B46,'SoC Leakage'!A:A,0)-1,0)*EXP(OFFSET('SoC Leakage'!$C$1,MATCH($B46,'SoC Leakage'!A:A,0)-1,0)*$N46)*EXP((OFFSET('SoC Leakage'!$D$1,MATCH($B46,'SoC Leakage'!A:A,0)-1,0)*$N46+OFFSET('SoC Leakage'!$E$1,MATCH($B46,'SoC Leakage'!A:A,0)-1,0))*Tj_eff),0)*1000*IF(OR(E46="AutoPD with Ret",E46="Auto"),G46*(F46&lt;&gt;"idle")+(100-G46*(F46&lt;&gt;"idle"))*0.1,IF(E46="AutoPD",G46*(F46&lt;&gt;"idle")+(100-G46*(F46&lt;&gt;"idle"))*0.05,100))/100*1.03</f>
        <v>0.3158630872423612</v>
      </c>
      <c r="R46" s="7">
        <f ca="1">IF($E46="Disabled",0,OFFSET(INDIRECT(ADDRESS(1,4,1,1,Info!$B$1&amp;" Power")),MATCH($A46,OFFSET(INDIRECT(ADDRESS(1,4,1,1,Info!$B$1&amp;" Power")),3,0,100,1),0)+2,8,1,1))</f>
        <v>0</v>
      </c>
      <c r="S46" s="7">
        <f ca="1">IF($E46="Disabled",0,OFFSET(INDIRECT(ADDRESS(1,4,1,1,Info!$B$1&amp;" Power")),MATCH($A46,OFFSET(INDIRECT(ADDRESS(1,4,1,1,Info!$B$1&amp;" Power")),3,0,100,1),0)+2,9,1,1))</f>
        <v>0</v>
      </c>
      <c r="T46" s="7">
        <f ca="1">OFFSET('IP Dynamic Power Data'!$A$1,MATCH($A46,'IP Dynamic Power Data'!A:A,0)+1,MATCH($F46,OFFSET('IP Dynamic Power Data'!$A$1,MATCH($A46,'IP Dynamic Power Data'!A:A,0)-1,0,1,10),0)-1)</f>
        <v>0</v>
      </c>
      <c r="U46" s="7">
        <f ca="1">OFFSET('IP Dynamic Power Data'!$A$1,MATCH($A46,'IP Dynamic Power Data'!A:A,0)+1,MATCH("idle",OFFSET('IP Dynamic Power Data'!$A$1,MATCH($A46,'IP Dynamic Power Data'!A:A,0)-1,0,1,10),0)-1)</f>
        <v>0</v>
      </c>
      <c r="V46" s="7">
        <f ca="1" t="shared" si="3"/>
        <v>1.15</v>
      </c>
      <c r="W46" s="7">
        <f ca="1" t="shared" si="4"/>
        <v>50</v>
      </c>
      <c r="X46" s="7">
        <f ca="1" t="shared" si="5"/>
        <v>0</v>
      </c>
      <c r="Y46" s="7">
        <f ca="1">IF(MATCH($B46,$B:$B,0)=ROW($B46),OFFSET('SoC Leakage'!$G$1,MATCH($B46,'SoC Leakage'!A:A,0)-1,0)*EXP(OFFSET('SoC Leakage'!$H$1,MATCH($B46,'SoC Leakage'!A:A,0)-1,0)*$V46)*EXP((OFFSET('SoC Leakage'!$I$1,MATCH($B46,'SoC Leakage'!A:A,0)-1,0)*$V46+OFFSET('SoC Leakage'!$J$1,MATCH($B46,'SoC Leakage'!A:A,0)-1,0))*Tj_eff),0)*1000</f>
        <v>0</v>
      </c>
    </row>
    <row r="47" spans="1:25" ht="15">
      <c r="A47" s="5" t="s">
        <v>186</v>
      </c>
      <c r="B47" t="str">
        <f ca="1">OFFSET('IP Dynamic Power Data'!$C$1,MATCH($A47,'IP Dynamic Power Data'!$A:$A,0)-1,0)</f>
        <v>MCASP2</v>
      </c>
      <c r="C47" t="s">
        <v>108</v>
      </c>
      <c r="D47" t="str">
        <f ca="1">OFFSET('IP Dynamic Power Data'!$B$1,MATCH($A47,'IP Dynamic Power Data'!$A:$A,0)-1,0)</f>
        <v>IO</v>
      </c>
      <c r="E47" t="str">
        <f ca="1">OFFSET(INDIRECT(ADDRESS(1,4,1,1,Info!$B$1&amp;" Power")),MATCH($A47,OFFSET(INDIRECT(ADDRESS(1,4,1,1,Info!$B$1&amp;" Power")),3,0,100,1),0)+2,4,1,1)</f>
        <v>Disabled</v>
      </c>
      <c r="F47" t="str">
        <f ca="1">OFFSET(INDIRECT(ADDRESS(1,4,1,1,Info!$B$1&amp;" Power")),MATCH($A47,OFFSET(INDIRECT(ADDRESS(1,4,1,1,Info!$B$1&amp;" Power")),3,0,100,1),0)+2,6,1,1)</f>
        <v>idle</v>
      </c>
      <c r="G47" s="17">
        <f ca="1">OFFSET(INDIRECT(ADDRESS(1,4,1,1,Info!$B$1&amp;" Power")),MATCH($A47,OFFSET(INDIRECT(ADDRESS(1,4,1,1,Info!$B$1&amp;" Power")),3,0,100,1),0)+2,7,1,1)</f>
        <v>0</v>
      </c>
      <c r="H47">
        <f aca="true" t="shared" si="16" ref="H47">IF(E47="Always enabled",1,0)</f>
        <v>0</v>
      </c>
      <c r="I47">
        <f ca="1" t="shared" si="1"/>
        <v>0</v>
      </c>
      <c r="J47" t="str">
        <f ca="1">OFFSET('Power Domain Map'!$A$1,MATCH($C47,'Power Domain Map'!$A:$A,0)-1,2,1,1)</f>
        <v>AlwaysOn</v>
      </c>
      <c r="K47" s="17">
        <f ca="1">OFFSET('Power Domain Map'!$A$1,MATCH($C47,'Power Domain Map'!$A:$A,0)-1,3,1,1)</f>
        <v>100</v>
      </c>
      <c r="L47">
        <f ca="1">OFFSET('IP Dynamic Power Data'!$A$1,MATCH($A47,'IP Dynamic Power Data'!A:A,0),MATCH($F47,OFFSET('IP Dynamic Power Data'!$A$1,MATCH($A47,'IP Dynamic Power Data'!A:A,0)-1,0,1,10),0)-1)</f>
        <v>0.01</v>
      </c>
      <c r="M47">
        <f ca="1">OFFSET('IP Dynamic Power Data'!$A$1,MATCH($A47,'IP Dynamic Power Data'!A:A,0),MATCH("idle",OFFSET('IP Dynamic Power Data'!$A$1,MATCH($A47,'IP Dynamic Power Data'!A:A,0)-1,0,1,10),0)-1)</f>
        <v>0.01</v>
      </c>
      <c r="N47">
        <f ca="1">OFFSET(INDIRECT(ADDRESS(1,4,1,1,Info!$B$1&amp;" Power")),MATCH($A47,OFFSET(INDIRECT(ADDRESS(1,4,1,1,Info!$B$1&amp;" Power")),3,0,100,1),0)+2,1,1,1)</f>
        <v>0.92</v>
      </c>
      <c r="O47">
        <f ca="1">OFFSET(INDIRECT(ADDRESS(1,4,1,1,Info!$B$1&amp;" Power")),MATCH($A47,OFFSET(INDIRECT(ADDRESS(1,4,1,1,Info!$B$1&amp;" Power")),3,0,100,1),0)+2,2,1,1)</f>
        <v>50</v>
      </c>
      <c r="P47" s="7">
        <f ca="1" t="shared" si="2"/>
        <v>0.4232</v>
      </c>
      <c r="Q47" s="7">
        <f ca="1">IF(MATCH($B47,$B:$B,0)=ROW($B47),OFFSET('SoC Leakage'!$B$1,MATCH($B47,'SoC Leakage'!A:A,0)-1,0)*EXP(OFFSET('SoC Leakage'!$C$1,MATCH($B47,'SoC Leakage'!A:A,0)-1,0)*$N47)*EXP((OFFSET('SoC Leakage'!$D$1,MATCH($B47,'SoC Leakage'!A:A,0)-1,0)*$N47+OFFSET('SoC Leakage'!$E$1,MATCH($B47,'SoC Leakage'!A:A,0)-1,0))*Tj_eff),0)*1000*IF(OR(E47="AutoPD with Ret",E47="Auto"),G47*(F47&lt;&gt;"idle")+(100-G47*(F47&lt;&gt;"idle"))*0.1,IF(E47="AutoPD",G47*(F47&lt;&gt;"idle")+(100-G47*(F47&lt;&gt;"idle"))*0.05,100))/100*1.03</f>
        <v>0.3158630872423612</v>
      </c>
      <c r="R47" s="7">
        <f ca="1">IF($E47="Disabled",0,OFFSET(INDIRECT(ADDRESS(1,4,1,1,Info!$B$1&amp;" Power")),MATCH($A47,OFFSET(INDIRECT(ADDRESS(1,4,1,1,Info!$B$1&amp;" Power")),3,0,100,1),0)+2,8,1,1))</f>
        <v>0</v>
      </c>
      <c r="S47" s="7">
        <f ca="1">IF($E47="Disabled",0,OFFSET(INDIRECT(ADDRESS(1,4,1,1,Info!$B$1&amp;" Power")),MATCH($A47,OFFSET(INDIRECT(ADDRESS(1,4,1,1,Info!$B$1&amp;" Power")),3,0,100,1),0)+2,9,1,1))</f>
        <v>0</v>
      </c>
      <c r="T47" s="7">
        <f ca="1">OFFSET('IP Dynamic Power Data'!$A$1,MATCH($A47,'IP Dynamic Power Data'!A:A,0)+1,MATCH($F47,OFFSET('IP Dynamic Power Data'!$A$1,MATCH($A47,'IP Dynamic Power Data'!A:A,0)-1,0,1,10),0)-1)</f>
        <v>0</v>
      </c>
      <c r="U47" s="7">
        <f ca="1">OFFSET('IP Dynamic Power Data'!$A$1,MATCH($A47,'IP Dynamic Power Data'!A:A,0)+1,MATCH("idle",OFFSET('IP Dynamic Power Data'!$A$1,MATCH($A47,'IP Dynamic Power Data'!A:A,0)-1,0,1,10),0)-1)</f>
        <v>0</v>
      </c>
      <c r="V47" s="7">
        <f ca="1" t="shared" si="3"/>
        <v>1.15</v>
      </c>
      <c r="W47" s="7">
        <f ca="1" t="shared" si="4"/>
        <v>50</v>
      </c>
      <c r="X47" s="7">
        <f ca="1" t="shared" si="5"/>
        <v>0</v>
      </c>
      <c r="Y47" s="7">
        <f ca="1">IF(MATCH($B47,$B:$B,0)=ROW($B47),OFFSET('SoC Leakage'!$G$1,MATCH($B47,'SoC Leakage'!A:A,0)-1,0)*EXP(OFFSET('SoC Leakage'!$H$1,MATCH($B47,'SoC Leakage'!A:A,0)-1,0)*$V47)*EXP((OFFSET('SoC Leakage'!$I$1,MATCH($B47,'SoC Leakage'!A:A,0)-1,0)*$V47+OFFSET('SoC Leakage'!$J$1,MATCH($B47,'SoC Leakage'!A:A,0)-1,0))*Tj_eff),0)*1000</f>
        <v>0</v>
      </c>
    </row>
    <row r="48" spans="1:25" ht="15">
      <c r="A48" s="5" t="s">
        <v>187</v>
      </c>
      <c r="B48" t="str">
        <f ca="1">OFFSET('IP Dynamic Power Data'!$C$1,MATCH($A48,'IP Dynamic Power Data'!$A:$A,0)-1,0)</f>
        <v>MCASP3</v>
      </c>
      <c r="C48" t="s">
        <v>108</v>
      </c>
      <c r="D48" t="str">
        <f ca="1">OFFSET('IP Dynamic Power Data'!$B$1,MATCH($A48,'IP Dynamic Power Data'!$A:$A,0)-1,0)</f>
        <v>IO</v>
      </c>
      <c r="E48" t="str">
        <f ca="1">OFFSET(INDIRECT(ADDRESS(1,4,1,1,Info!$B$1&amp;" Power")),MATCH($A48,OFFSET(INDIRECT(ADDRESS(1,4,1,1,Info!$B$1&amp;" Power")),3,0,100,1),0)+2,4,1,1)</f>
        <v>Disabled</v>
      </c>
      <c r="F48" t="str">
        <f ca="1">OFFSET(INDIRECT(ADDRESS(1,4,1,1,Info!$B$1&amp;" Power")),MATCH($A48,OFFSET(INDIRECT(ADDRESS(1,4,1,1,Info!$B$1&amp;" Power")),3,0,100,1),0)+2,6,1,1)</f>
        <v>idle</v>
      </c>
      <c r="G48" s="17">
        <f ca="1">OFFSET(INDIRECT(ADDRESS(1,4,1,1,Info!$B$1&amp;" Power")),MATCH($A48,OFFSET(INDIRECT(ADDRESS(1,4,1,1,Info!$B$1&amp;" Power")),3,0,100,1),0)+2,7,1,1)</f>
        <v>0</v>
      </c>
      <c r="H48">
        <f aca="true" t="shared" si="17" ref="H48:H51">IF(E48="Always enabled",1,0)</f>
        <v>0</v>
      </c>
      <c r="I48">
        <f ca="1" t="shared" si="1"/>
        <v>0</v>
      </c>
      <c r="J48" t="str">
        <f ca="1">OFFSET('Power Domain Map'!$A$1,MATCH($C48,'Power Domain Map'!$A:$A,0)-1,2,1,1)</f>
        <v>AlwaysOn</v>
      </c>
      <c r="K48" s="17">
        <f ca="1">OFFSET('Power Domain Map'!$A$1,MATCH($C48,'Power Domain Map'!$A:$A,0)-1,3,1,1)</f>
        <v>100</v>
      </c>
      <c r="L48">
        <f ca="1">OFFSET('IP Dynamic Power Data'!$A$1,MATCH($A48,'IP Dynamic Power Data'!A:A,0),MATCH($F48,OFFSET('IP Dynamic Power Data'!$A$1,MATCH($A48,'IP Dynamic Power Data'!A:A,0)-1,0,1,10),0)-1)</f>
        <v>0.01</v>
      </c>
      <c r="M48">
        <f ca="1">OFFSET('IP Dynamic Power Data'!$A$1,MATCH($A48,'IP Dynamic Power Data'!A:A,0),MATCH("idle",OFFSET('IP Dynamic Power Data'!$A$1,MATCH($A48,'IP Dynamic Power Data'!A:A,0)-1,0,1,10),0)-1)</f>
        <v>0.01</v>
      </c>
      <c r="N48">
        <f ca="1">OFFSET(INDIRECT(ADDRESS(1,4,1,1,Info!$B$1&amp;" Power")),MATCH($A48,OFFSET(INDIRECT(ADDRESS(1,4,1,1,Info!$B$1&amp;" Power")),3,0,100,1),0)+2,1,1,1)</f>
        <v>0.92</v>
      </c>
      <c r="O48">
        <f ca="1">OFFSET(INDIRECT(ADDRESS(1,4,1,1,Info!$B$1&amp;" Power")),MATCH($A48,OFFSET(INDIRECT(ADDRESS(1,4,1,1,Info!$B$1&amp;" Power")),3,0,100,1),0)+2,2,1,1)</f>
        <v>50</v>
      </c>
      <c r="P48" s="7">
        <f ca="1" t="shared" si="2"/>
        <v>0.4232</v>
      </c>
      <c r="Q48" s="7">
        <f ca="1">IF(MATCH($B48,$B:$B,0)=ROW($B48),OFFSET('SoC Leakage'!$B$1,MATCH($B48,'SoC Leakage'!A:A,0)-1,0)*EXP(OFFSET('SoC Leakage'!$C$1,MATCH($B48,'SoC Leakage'!A:A,0)-1,0)*$N48)*EXP((OFFSET('SoC Leakage'!$D$1,MATCH($B48,'SoC Leakage'!A:A,0)-1,0)*$N48+OFFSET('SoC Leakage'!$E$1,MATCH($B48,'SoC Leakage'!A:A,0)-1,0))*Tj_eff),0)*1000*IF(OR(E48="AutoPD with Ret",E48="Auto"),G48*(F48&lt;&gt;"idle")+(100-G48*(F48&lt;&gt;"idle"))*0.1,IF(E48="AutoPD",G48*(F48&lt;&gt;"idle")+(100-G48*(F48&lt;&gt;"idle"))*0.05,100))/100*1.03</f>
        <v>0.3158630872423612</v>
      </c>
      <c r="R48" s="7">
        <f ca="1">IF($E48="Disabled",0,OFFSET(INDIRECT(ADDRESS(1,4,1,1,Info!$B$1&amp;" Power")),MATCH($A48,OFFSET(INDIRECT(ADDRESS(1,4,1,1,Info!$B$1&amp;" Power")),3,0,100,1),0)+2,8,1,1))</f>
        <v>0</v>
      </c>
      <c r="S48" s="7">
        <f ca="1">IF($E48="Disabled",0,OFFSET(INDIRECT(ADDRESS(1,4,1,1,Info!$B$1&amp;" Power")),MATCH($A48,OFFSET(INDIRECT(ADDRESS(1,4,1,1,Info!$B$1&amp;" Power")),3,0,100,1),0)+2,9,1,1))</f>
        <v>0</v>
      </c>
      <c r="T48" s="7">
        <f ca="1">OFFSET('IP Dynamic Power Data'!$A$1,MATCH($A48,'IP Dynamic Power Data'!A:A,0)+1,MATCH($F48,OFFSET('IP Dynamic Power Data'!$A$1,MATCH($A48,'IP Dynamic Power Data'!A:A,0)-1,0,1,10),0)-1)</f>
        <v>0</v>
      </c>
      <c r="U48" s="7">
        <f ca="1">OFFSET('IP Dynamic Power Data'!$A$1,MATCH($A48,'IP Dynamic Power Data'!A:A,0)+1,MATCH("idle",OFFSET('IP Dynamic Power Data'!$A$1,MATCH($A48,'IP Dynamic Power Data'!A:A,0)-1,0,1,10),0)-1)</f>
        <v>0</v>
      </c>
      <c r="V48" s="7">
        <f ca="1" t="shared" si="3"/>
        <v>1.15</v>
      </c>
      <c r="W48" s="7">
        <f ca="1" t="shared" si="4"/>
        <v>50</v>
      </c>
      <c r="X48" s="7">
        <f ca="1" t="shared" si="5"/>
        <v>0</v>
      </c>
      <c r="Y48" s="7">
        <f ca="1">IF(MATCH($B48,$B:$B,0)=ROW($B48),OFFSET('SoC Leakage'!$G$1,MATCH($B48,'SoC Leakage'!A:A,0)-1,0)*EXP(OFFSET('SoC Leakage'!$H$1,MATCH($B48,'SoC Leakage'!A:A,0)-1,0)*$V48)*EXP((OFFSET('SoC Leakage'!$I$1,MATCH($B48,'SoC Leakage'!A:A,0)-1,0)*$V48+OFFSET('SoC Leakage'!$J$1,MATCH($B48,'SoC Leakage'!A:A,0)-1,0))*Tj_eff),0)*1000</f>
        <v>0</v>
      </c>
    </row>
    <row r="49" spans="1:25" ht="15">
      <c r="A49" s="5" t="s">
        <v>188</v>
      </c>
      <c r="B49" t="str">
        <f ca="1">OFFSET('IP Dynamic Power Data'!$C$1,MATCH($A49,'IP Dynamic Power Data'!$A:$A,0)-1,0)</f>
        <v>MCASP4</v>
      </c>
      <c r="C49" t="s">
        <v>108</v>
      </c>
      <c r="D49" t="str">
        <f ca="1">OFFSET('IP Dynamic Power Data'!$B$1,MATCH($A49,'IP Dynamic Power Data'!$A:$A,0)-1,0)</f>
        <v>IO</v>
      </c>
      <c r="E49" t="str">
        <f ca="1">OFFSET(INDIRECT(ADDRESS(1,4,1,1,Info!$B$1&amp;" Power")),MATCH($A49,OFFSET(INDIRECT(ADDRESS(1,4,1,1,Info!$B$1&amp;" Power")),3,0,100,1),0)+2,4,1,1)</f>
        <v>Disabled</v>
      </c>
      <c r="F49" t="str">
        <f ca="1">OFFSET(INDIRECT(ADDRESS(1,4,1,1,Info!$B$1&amp;" Power")),MATCH($A49,OFFSET(INDIRECT(ADDRESS(1,4,1,1,Info!$B$1&amp;" Power")),3,0,100,1),0)+2,6,1,1)</f>
        <v>idle</v>
      </c>
      <c r="G49" s="17">
        <f ca="1">OFFSET(INDIRECT(ADDRESS(1,4,1,1,Info!$B$1&amp;" Power")),MATCH($A49,OFFSET(INDIRECT(ADDRESS(1,4,1,1,Info!$B$1&amp;" Power")),3,0,100,1),0)+2,7,1,1)</f>
        <v>0</v>
      </c>
      <c r="H49">
        <f ca="1" t="shared" si="17"/>
        <v>0</v>
      </c>
      <c r="I49">
        <f ca="1" t="shared" si="1"/>
        <v>0</v>
      </c>
      <c r="J49" t="str">
        <f ca="1">OFFSET('Power Domain Map'!$A$1,MATCH($C49,'Power Domain Map'!$A:$A,0)-1,2,1,1)</f>
        <v>AlwaysOn</v>
      </c>
      <c r="K49" s="17">
        <f ca="1">OFFSET('Power Domain Map'!$A$1,MATCH($C49,'Power Domain Map'!$A:$A,0)-1,3,1,1)</f>
        <v>100</v>
      </c>
      <c r="L49">
        <f ca="1">OFFSET('IP Dynamic Power Data'!$A$1,MATCH($A49,'IP Dynamic Power Data'!A:A,0),MATCH($F49,OFFSET('IP Dynamic Power Data'!$A$1,MATCH($A49,'IP Dynamic Power Data'!A:A,0)-1,0,1,10),0)-1)</f>
        <v>0.01</v>
      </c>
      <c r="M49">
        <f ca="1">OFFSET('IP Dynamic Power Data'!$A$1,MATCH($A49,'IP Dynamic Power Data'!A:A,0),MATCH("idle",OFFSET('IP Dynamic Power Data'!$A$1,MATCH($A49,'IP Dynamic Power Data'!A:A,0)-1,0,1,10),0)-1)</f>
        <v>0.01</v>
      </c>
      <c r="N49">
        <f ca="1">OFFSET(INDIRECT(ADDRESS(1,4,1,1,Info!$B$1&amp;" Power")),MATCH($A49,OFFSET(INDIRECT(ADDRESS(1,4,1,1,Info!$B$1&amp;" Power")),3,0,100,1),0)+2,1,1,1)</f>
        <v>0.92</v>
      </c>
      <c r="O49">
        <f ca="1">OFFSET(INDIRECT(ADDRESS(1,4,1,1,Info!$B$1&amp;" Power")),MATCH($A49,OFFSET(INDIRECT(ADDRESS(1,4,1,1,Info!$B$1&amp;" Power")),3,0,100,1),0)+2,2,1,1)</f>
        <v>50</v>
      </c>
      <c r="P49" s="7">
        <f ca="1" t="shared" si="2"/>
        <v>0.4232</v>
      </c>
      <c r="Q49" s="7">
        <f ca="1">IF(MATCH($B49,$B:$B,0)=ROW($B49),OFFSET('SoC Leakage'!$B$1,MATCH($B49,'SoC Leakage'!A:A,0)-1,0)*EXP(OFFSET('SoC Leakage'!$C$1,MATCH($B49,'SoC Leakage'!A:A,0)-1,0)*$N49)*EXP((OFFSET('SoC Leakage'!$D$1,MATCH($B49,'SoC Leakage'!A:A,0)-1,0)*$N49+OFFSET('SoC Leakage'!$E$1,MATCH($B49,'SoC Leakage'!A:A,0)-1,0))*Tj_eff),0)*1000*IF(OR(E49="AutoPD with Ret",E49="Auto"),G49*(F49&lt;&gt;"idle")+(100-G49*(F49&lt;&gt;"idle"))*0.1,IF(E49="AutoPD",G49*(F49&lt;&gt;"idle")+(100-G49*(F49&lt;&gt;"idle"))*0.05,100))/100*1.03</f>
        <v>0.3158630872423612</v>
      </c>
      <c r="R49" s="7">
        <f ca="1">IF($E49="Disabled",0,OFFSET(INDIRECT(ADDRESS(1,4,1,1,Info!$B$1&amp;" Power")),MATCH($A49,OFFSET(INDIRECT(ADDRESS(1,4,1,1,Info!$B$1&amp;" Power")),3,0,100,1),0)+2,8,1,1))</f>
        <v>0</v>
      </c>
      <c r="S49" s="7">
        <f ca="1">IF($E49="Disabled",0,OFFSET(INDIRECT(ADDRESS(1,4,1,1,Info!$B$1&amp;" Power")),MATCH($A49,OFFSET(INDIRECT(ADDRESS(1,4,1,1,Info!$B$1&amp;" Power")),3,0,100,1),0)+2,9,1,1))</f>
        <v>0</v>
      </c>
      <c r="T49" s="7">
        <f ca="1">OFFSET('IP Dynamic Power Data'!$A$1,MATCH($A49,'IP Dynamic Power Data'!A:A,0)+1,MATCH($F49,OFFSET('IP Dynamic Power Data'!$A$1,MATCH($A49,'IP Dynamic Power Data'!A:A,0)-1,0,1,10),0)-1)</f>
        <v>0</v>
      </c>
      <c r="U49" s="7">
        <f ca="1">OFFSET('IP Dynamic Power Data'!$A$1,MATCH($A49,'IP Dynamic Power Data'!A:A,0)+1,MATCH("idle",OFFSET('IP Dynamic Power Data'!$A$1,MATCH($A49,'IP Dynamic Power Data'!A:A,0)-1,0,1,10),0)-1)</f>
        <v>0</v>
      </c>
      <c r="V49" s="7">
        <f ca="1" t="shared" si="3"/>
        <v>1.15</v>
      </c>
      <c r="W49" s="7">
        <f ca="1" t="shared" si="4"/>
        <v>50</v>
      </c>
      <c r="X49" s="7">
        <f ca="1" t="shared" si="5"/>
        <v>0</v>
      </c>
      <c r="Y49" s="7">
        <f ca="1">IF(MATCH($B49,$B:$B,0)=ROW($B49),OFFSET('SoC Leakage'!$G$1,MATCH($B49,'SoC Leakage'!A:A,0)-1,0)*EXP(OFFSET('SoC Leakage'!$H$1,MATCH($B49,'SoC Leakage'!A:A,0)-1,0)*$V49)*EXP((OFFSET('SoC Leakage'!$I$1,MATCH($B49,'SoC Leakage'!A:A,0)-1,0)*$V49+OFFSET('SoC Leakage'!$J$1,MATCH($B49,'SoC Leakage'!A:A,0)-1,0))*Tj_eff),0)*1000</f>
        <v>0</v>
      </c>
    </row>
    <row r="50" spans="1:25" ht="15">
      <c r="A50" s="5" t="s">
        <v>189</v>
      </c>
      <c r="B50" t="str">
        <f ca="1">OFFSET('IP Dynamic Power Data'!$C$1,MATCH($A50,'IP Dynamic Power Data'!$A:$A,0)-1,0)</f>
        <v>MCASP5</v>
      </c>
      <c r="C50" t="s">
        <v>108</v>
      </c>
      <c r="D50" t="str">
        <f ca="1">OFFSET('IP Dynamic Power Data'!$B$1,MATCH($A50,'IP Dynamic Power Data'!$A:$A,0)-1,0)</f>
        <v>IO</v>
      </c>
      <c r="E50" t="str">
        <f ca="1">OFFSET(INDIRECT(ADDRESS(1,4,1,1,Info!$B$1&amp;" Power")),MATCH($A50,OFFSET(INDIRECT(ADDRESS(1,4,1,1,Info!$B$1&amp;" Power")),3,0,100,1),0)+2,4,1,1)</f>
        <v>Disabled</v>
      </c>
      <c r="F50" t="str">
        <f ca="1">OFFSET(INDIRECT(ADDRESS(1,4,1,1,Info!$B$1&amp;" Power")),MATCH($A50,OFFSET(INDIRECT(ADDRESS(1,4,1,1,Info!$B$1&amp;" Power")),3,0,100,1),0)+2,6,1,1)</f>
        <v>idle</v>
      </c>
      <c r="G50" s="17">
        <f ca="1">OFFSET(INDIRECT(ADDRESS(1,4,1,1,Info!$B$1&amp;" Power")),MATCH($A50,OFFSET(INDIRECT(ADDRESS(1,4,1,1,Info!$B$1&amp;" Power")),3,0,100,1),0)+2,7,1,1)</f>
        <v>0</v>
      </c>
      <c r="H50">
        <f ca="1" t="shared" si="17"/>
        <v>0</v>
      </c>
      <c r="I50">
        <f ca="1" t="shared" si="1"/>
        <v>0</v>
      </c>
      <c r="J50" t="str">
        <f ca="1">OFFSET('Power Domain Map'!$A$1,MATCH($C50,'Power Domain Map'!$A:$A,0)-1,2,1,1)</f>
        <v>AlwaysOn</v>
      </c>
      <c r="K50" s="17">
        <f ca="1">OFFSET('Power Domain Map'!$A$1,MATCH($C50,'Power Domain Map'!$A:$A,0)-1,3,1,1)</f>
        <v>100</v>
      </c>
      <c r="L50">
        <f ca="1">OFFSET('IP Dynamic Power Data'!$A$1,MATCH($A50,'IP Dynamic Power Data'!A:A,0),MATCH($F50,OFFSET('IP Dynamic Power Data'!$A$1,MATCH($A50,'IP Dynamic Power Data'!A:A,0)-1,0,1,10),0)-1)</f>
        <v>0.01</v>
      </c>
      <c r="M50">
        <f ca="1">OFFSET('IP Dynamic Power Data'!$A$1,MATCH($A50,'IP Dynamic Power Data'!A:A,0),MATCH("idle",OFFSET('IP Dynamic Power Data'!$A$1,MATCH($A50,'IP Dynamic Power Data'!A:A,0)-1,0,1,10),0)-1)</f>
        <v>0.01</v>
      </c>
      <c r="N50">
        <f ca="1">OFFSET(INDIRECT(ADDRESS(1,4,1,1,Info!$B$1&amp;" Power")),MATCH($A50,OFFSET(INDIRECT(ADDRESS(1,4,1,1,Info!$B$1&amp;" Power")),3,0,100,1),0)+2,1,1,1)</f>
        <v>0.92</v>
      </c>
      <c r="O50">
        <f ca="1">OFFSET(INDIRECT(ADDRESS(1,4,1,1,Info!$B$1&amp;" Power")),MATCH($A50,OFFSET(INDIRECT(ADDRESS(1,4,1,1,Info!$B$1&amp;" Power")),3,0,100,1),0)+2,2,1,1)</f>
        <v>50</v>
      </c>
      <c r="P50" s="7">
        <f ca="1" t="shared" si="2"/>
        <v>0.4232</v>
      </c>
      <c r="Q50" s="7">
        <f ca="1">IF(MATCH($B50,$B:$B,0)=ROW($B50),OFFSET('SoC Leakage'!$B$1,MATCH($B50,'SoC Leakage'!A:A,0)-1,0)*EXP(OFFSET('SoC Leakage'!$C$1,MATCH($B50,'SoC Leakage'!A:A,0)-1,0)*$N50)*EXP((OFFSET('SoC Leakage'!$D$1,MATCH($B50,'SoC Leakage'!A:A,0)-1,0)*$N50+OFFSET('SoC Leakage'!$E$1,MATCH($B50,'SoC Leakage'!A:A,0)-1,0))*Tj_eff),0)*1000*IF(OR(E50="AutoPD with Ret",E50="Auto"),G50*(F50&lt;&gt;"idle")+(100-G50*(F50&lt;&gt;"idle"))*0.1,IF(E50="AutoPD",G50*(F50&lt;&gt;"idle")+(100-G50*(F50&lt;&gt;"idle"))*0.05,100))/100*1.03</f>
        <v>0.3158630872423612</v>
      </c>
      <c r="R50" s="7">
        <f ca="1">IF($E50="Disabled",0,OFFSET(INDIRECT(ADDRESS(1,4,1,1,Info!$B$1&amp;" Power")),MATCH($A50,OFFSET(INDIRECT(ADDRESS(1,4,1,1,Info!$B$1&amp;" Power")),3,0,100,1),0)+2,8,1,1))</f>
        <v>0</v>
      </c>
      <c r="S50" s="7">
        <f ca="1">IF($E50="Disabled",0,OFFSET(INDIRECT(ADDRESS(1,4,1,1,Info!$B$1&amp;" Power")),MATCH($A50,OFFSET(INDIRECT(ADDRESS(1,4,1,1,Info!$B$1&amp;" Power")),3,0,100,1),0)+2,9,1,1))</f>
        <v>0</v>
      </c>
      <c r="T50" s="7">
        <f ca="1">OFFSET('IP Dynamic Power Data'!$A$1,MATCH($A50,'IP Dynamic Power Data'!A:A,0)+1,MATCH($F50,OFFSET('IP Dynamic Power Data'!$A$1,MATCH($A50,'IP Dynamic Power Data'!A:A,0)-1,0,1,10),0)-1)</f>
        <v>0</v>
      </c>
      <c r="U50" s="7">
        <f ca="1">OFFSET('IP Dynamic Power Data'!$A$1,MATCH($A50,'IP Dynamic Power Data'!A:A,0)+1,MATCH("idle",OFFSET('IP Dynamic Power Data'!$A$1,MATCH($A50,'IP Dynamic Power Data'!A:A,0)-1,0,1,10),0)-1)</f>
        <v>0</v>
      </c>
      <c r="V50" s="7">
        <f ca="1" t="shared" si="3"/>
        <v>1.15</v>
      </c>
      <c r="W50" s="7">
        <f ca="1" t="shared" si="4"/>
        <v>50</v>
      </c>
      <c r="X50" s="7">
        <f ca="1" t="shared" si="5"/>
        <v>0</v>
      </c>
      <c r="Y50" s="7">
        <f ca="1">IF(MATCH($B50,$B:$B,0)=ROW($B50),OFFSET('SoC Leakage'!$G$1,MATCH($B50,'SoC Leakage'!A:A,0)-1,0)*EXP(OFFSET('SoC Leakage'!$H$1,MATCH($B50,'SoC Leakage'!A:A,0)-1,0)*$V50)*EXP((OFFSET('SoC Leakage'!$I$1,MATCH($B50,'SoC Leakage'!A:A,0)-1,0)*$V50+OFFSET('SoC Leakage'!$J$1,MATCH($B50,'SoC Leakage'!A:A,0)-1,0))*Tj_eff),0)*1000</f>
        <v>0</v>
      </c>
    </row>
    <row r="51" spans="1:25" ht="15">
      <c r="A51" s="5" t="s">
        <v>190</v>
      </c>
      <c r="B51" t="str">
        <f ca="1">OFFSET('IP Dynamic Power Data'!$C$1,MATCH($A51,'IP Dynamic Power Data'!$A:$A,0)-1,0)</f>
        <v>MCASP6</v>
      </c>
      <c r="C51" t="s">
        <v>108</v>
      </c>
      <c r="D51" t="str">
        <f ca="1">OFFSET('IP Dynamic Power Data'!$B$1,MATCH($A51,'IP Dynamic Power Data'!$A:$A,0)-1,0)</f>
        <v>IO</v>
      </c>
      <c r="E51" t="str">
        <f ca="1">OFFSET(INDIRECT(ADDRESS(1,4,1,1,Info!$B$1&amp;" Power")),MATCH($A51,OFFSET(INDIRECT(ADDRESS(1,4,1,1,Info!$B$1&amp;" Power")),3,0,100,1),0)+2,4,1,1)</f>
        <v>Disabled</v>
      </c>
      <c r="F51" t="str">
        <f ca="1">OFFSET(INDIRECT(ADDRESS(1,4,1,1,Info!$B$1&amp;" Power")),MATCH($A51,OFFSET(INDIRECT(ADDRESS(1,4,1,1,Info!$B$1&amp;" Power")),3,0,100,1),0)+2,6,1,1)</f>
        <v>idle</v>
      </c>
      <c r="G51" s="17">
        <f ca="1">OFFSET(INDIRECT(ADDRESS(1,4,1,1,Info!$B$1&amp;" Power")),MATCH($A51,OFFSET(INDIRECT(ADDRESS(1,4,1,1,Info!$B$1&amp;" Power")),3,0,100,1),0)+2,7,1,1)</f>
        <v>0</v>
      </c>
      <c r="H51">
        <f ca="1" t="shared" si="17"/>
        <v>0</v>
      </c>
      <c r="I51">
        <f ca="1" t="shared" si="1"/>
        <v>0</v>
      </c>
      <c r="J51" t="str">
        <f ca="1">OFFSET('Power Domain Map'!$A$1,MATCH($C51,'Power Domain Map'!$A:$A,0)-1,2,1,1)</f>
        <v>AlwaysOn</v>
      </c>
      <c r="K51" s="17">
        <f ca="1">OFFSET('Power Domain Map'!$A$1,MATCH($C51,'Power Domain Map'!$A:$A,0)-1,3,1,1)</f>
        <v>100</v>
      </c>
      <c r="L51">
        <f ca="1">OFFSET('IP Dynamic Power Data'!$A$1,MATCH($A51,'IP Dynamic Power Data'!A:A,0),MATCH($F51,OFFSET('IP Dynamic Power Data'!$A$1,MATCH($A51,'IP Dynamic Power Data'!A:A,0)-1,0,1,10),0)-1)</f>
        <v>0.01</v>
      </c>
      <c r="M51">
        <f ca="1">OFFSET('IP Dynamic Power Data'!$A$1,MATCH($A51,'IP Dynamic Power Data'!A:A,0),MATCH("idle",OFFSET('IP Dynamic Power Data'!$A$1,MATCH($A51,'IP Dynamic Power Data'!A:A,0)-1,0,1,10),0)-1)</f>
        <v>0.01</v>
      </c>
      <c r="N51">
        <f ca="1">OFFSET(INDIRECT(ADDRESS(1,4,1,1,Info!$B$1&amp;" Power")),MATCH($A51,OFFSET(INDIRECT(ADDRESS(1,4,1,1,Info!$B$1&amp;" Power")),3,0,100,1),0)+2,1,1,1)</f>
        <v>0.92</v>
      </c>
      <c r="O51">
        <f ca="1">OFFSET(INDIRECT(ADDRESS(1,4,1,1,Info!$B$1&amp;" Power")),MATCH($A51,OFFSET(INDIRECT(ADDRESS(1,4,1,1,Info!$B$1&amp;" Power")),3,0,100,1),0)+2,2,1,1)</f>
        <v>50</v>
      </c>
      <c r="P51" s="7">
        <f ca="1" t="shared" si="2"/>
        <v>0.4232</v>
      </c>
      <c r="Q51" s="7">
        <f ca="1">IF(MATCH($B51,$B:$B,0)=ROW($B51),OFFSET('SoC Leakage'!$B$1,MATCH($B51,'SoC Leakage'!A:A,0)-1,0)*EXP(OFFSET('SoC Leakage'!$C$1,MATCH($B51,'SoC Leakage'!A:A,0)-1,0)*$N51)*EXP((OFFSET('SoC Leakage'!$D$1,MATCH($B51,'SoC Leakage'!A:A,0)-1,0)*$N51+OFFSET('SoC Leakage'!$E$1,MATCH($B51,'SoC Leakage'!A:A,0)-1,0))*Tj_eff),0)*1000*IF(OR(E51="AutoPD with Ret",E51="Auto"),G51*(F51&lt;&gt;"idle")+(100-G51*(F51&lt;&gt;"idle"))*0.1,IF(E51="AutoPD",G51*(F51&lt;&gt;"idle")+(100-G51*(F51&lt;&gt;"idle"))*0.05,100))/100*1.03</f>
        <v>0.3158630872423612</v>
      </c>
      <c r="R51" s="7">
        <f ca="1">IF($E51="Disabled",0,OFFSET(INDIRECT(ADDRESS(1,4,1,1,Info!$B$1&amp;" Power")),MATCH($A51,OFFSET(INDIRECT(ADDRESS(1,4,1,1,Info!$B$1&amp;" Power")),3,0,100,1),0)+2,8,1,1))</f>
        <v>0</v>
      </c>
      <c r="S51" s="7">
        <f ca="1">IF($E51="Disabled",0,OFFSET(INDIRECT(ADDRESS(1,4,1,1,Info!$B$1&amp;" Power")),MATCH($A51,OFFSET(INDIRECT(ADDRESS(1,4,1,1,Info!$B$1&amp;" Power")),3,0,100,1),0)+2,9,1,1))</f>
        <v>0</v>
      </c>
      <c r="T51" s="7">
        <f ca="1">OFFSET('IP Dynamic Power Data'!$A$1,MATCH($A51,'IP Dynamic Power Data'!A:A,0)+1,MATCH($F51,OFFSET('IP Dynamic Power Data'!$A$1,MATCH($A51,'IP Dynamic Power Data'!A:A,0)-1,0,1,10),0)-1)</f>
        <v>0</v>
      </c>
      <c r="U51" s="7">
        <f ca="1">OFFSET('IP Dynamic Power Data'!$A$1,MATCH($A51,'IP Dynamic Power Data'!A:A,0)+1,MATCH("idle",OFFSET('IP Dynamic Power Data'!$A$1,MATCH($A51,'IP Dynamic Power Data'!A:A,0)-1,0,1,10),0)-1)</f>
        <v>0</v>
      </c>
      <c r="V51" s="7">
        <f ca="1" t="shared" si="3"/>
        <v>1.15</v>
      </c>
      <c r="W51" s="7">
        <f ca="1" t="shared" si="4"/>
        <v>50</v>
      </c>
      <c r="X51" s="7">
        <f ca="1" t="shared" si="5"/>
        <v>0</v>
      </c>
      <c r="Y51" s="7">
        <f ca="1">IF(MATCH($B51,$B:$B,0)=ROW($B51),OFFSET('SoC Leakage'!$G$1,MATCH($B51,'SoC Leakage'!A:A,0)-1,0)*EXP(OFFSET('SoC Leakage'!$H$1,MATCH($B51,'SoC Leakage'!A:A,0)-1,0)*$V51)*EXP((OFFSET('SoC Leakage'!$I$1,MATCH($B51,'SoC Leakage'!A:A,0)-1,0)*$V51+OFFSET('SoC Leakage'!$J$1,MATCH($B51,'SoC Leakage'!A:A,0)-1,0))*Tj_eff),0)*1000</f>
        <v>0</v>
      </c>
    </row>
    <row r="52" spans="1:25" ht="15">
      <c r="A52" s="5" t="s">
        <v>191</v>
      </c>
      <c r="B52" t="str">
        <f ca="1">OFFSET('IP Dynamic Power Data'!$C$1,MATCH($A52,'IP Dynamic Power Data'!$A:$A,0)-1,0)</f>
        <v>MCASP7</v>
      </c>
      <c r="C52" t="s">
        <v>108</v>
      </c>
      <c r="D52" t="str">
        <f ca="1">OFFSET('IP Dynamic Power Data'!$B$1,MATCH($A52,'IP Dynamic Power Data'!$A:$A,0)-1,0)</f>
        <v>IO</v>
      </c>
      <c r="E52" t="str">
        <f ca="1">OFFSET(INDIRECT(ADDRESS(1,4,1,1,Info!$B$1&amp;" Power")),MATCH($A52,OFFSET(INDIRECT(ADDRESS(1,4,1,1,Info!$B$1&amp;" Power")),3,0,100,1),0)+2,4,1,1)</f>
        <v>Disabled</v>
      </c>
      <c r="F52" t="str">
        <f ca="1">OFFSET(INDIRECT(ADDRESS(1,4,1,1,Info!$B$1&amp;" Power")),MATCH($A52,OFFSET(INDIRECT(ADDRESS(1,4,1,1,Info!$B$1&amp;" Power")),3,0,100,1),0)+2,6,1,1)</f>
        <v>idle</v>
      </c>
      <c r="G52" s="17">
        <f ca="1">OFFSET(INDIRECT(ADDRESS(1,4,1,1,Info!$B$1&amp;" Power")),MATCH($A52,OFFSET(INDIRECT(ADDRESS(1,4,1,1,Info!$B$1&amp;" Power")),3,0,100,1),0)+2,7,1,1)</f>
        <v>0</v>
      </c>
      <c r="H52">
        <f aca="true" t="shared" si="18" ref="H52:H53">IF(E52="Always enabled",1,0)</f>
        <v>0</v>
      </c>
      <c r="I52">
        <f ca="1" t="shared" si="1"/>
        <v>0</v>
      </c>
      <c r="J52" t="str">
        <f ca="1">OFFSET('Power Domain Map'!$A$1,MATCH($C52,'Power Domain Map'!$A:$A,0)-1,2,1,1)</f>
        <v>AlwaysOn</v>
      </c>
      <c r="K52" s="17">
        <f ca="1">OFFSET('Power Domain Map'!$A$1,MATCH($C52,'Power Domain Map'!$A:$A,0)-1,3,1,1)</f>
        <v>100</v>
      </c>
      <c r="L52">
        <f ca="1">OFFSET('IP Dynamic Power Data'!$A$1,MATCH($A52,'IP Dynamic Power Data'!A:A,0),MATCH($F52,OFFSET('IP Dynamic Power Data'!$A$1,MATCH($A52,'IP Dynamic Power Data'!A:A,0)-1,0,1,10),0)-1)</f>
        <v>0.01</v>
      </c>
      <c r="M52">
        <f ca="1">OFFSET('IP Dynamic Power Data'!$A$1,MATCH($A52,'IP Dynamic Power Data'!A:A,0),MATCH("idle",OFFSET('IP Dynamic Power Data'!$A$1,MATCH($A52,'IP Dynamic Power Data'!A:A,0)-1,0,1,10),0)-1)</f>
        <v>0.01</v>
      </c>
      <c r="N52">
        <f ca="1">OFFSET(INDIRECT(ADDRESS(1,4,1,1,Info!$B$1&amp;" Power")),MATCH($A52,OFFSET(INDIRECT(ADDRESS(1,4,1,1,Info!$B$1&amp;" Power")),3,0,100,1),0)+2,1,1,1)</f>
        <v>0.92</v>
      </c>
      <c r="O52">
        <f ca="1">OFFSET(INDIRECT(ADDRESS(1,4,1,1,Info!$B$1&amp;" Power")),MATCH($A52,OFFSET(INDIRECT(ADDRESS(1,4,1,1,Info!$B$1&amp;" Power")),3,0,100,1),0)+2,2,1,1)</f>
        <v>50</v>
      </c>
      <c r="P52" s="7">
        <f ca="1" t="shared" si="2"/>
        <v>0.4232</v>
      </c>
      <c r="Q52" s="7">
        <f ca="1">IF(MATCH($B52,$B:$B,0)=ROW($B52),OFFSET('SoC Leakage'!$B$1,MATCH($B52,'SoC Leakage'!A:A,0)-1,0)*EXP(OFFSET('SoC Leakage'!$C$1,MATCH($B52,'SoC Leakage'!A:A,0)-1,0)*$N52)*EXP((OFFSET('SoC Leakage'!$D$1,MATCH($B52,'SoC Leakage'!A:A,0)-1,0)*$N52+OFFSET('SoC Leakage'!$E$1,MATCH($B52,'SoC Leakage'!A:A,0)-1,0))*Tj_eff),0)*1000*IF(OR(E52="AutoPD with Ret",E52="Auto"),G52*(F52&lt;&gt;"idle")+(100-G52*(F52&lt;&gt;"idle"))*0.1,IF(E52="AutoPD",G52*(F52&lt;&gt;"idle")+(100-G52*(F52&lt;&gt;"idle"))*0.05,100))/100*1.03</f>
        <v>0.3158630872423612</v>
      </c>
      <c r="R52" s="7">
        <f ca="1">IF($E52="Disabled",0,OFFSET(INDIRECT(ADDRESS(1,4,1,1,Info!$B$1&amp;" Power")),MATCH($A52,OFFSET(INDIRECT(ADDRESS(1,4,1,1,Info!$B$1&amp;" Power")),3,0,100,1),0)+2,8,1,1))</f>
        <v>0</v>
      </c>
      <c r="S52" s="7">
        <f ca="1">IF($E52="Disabled",0,OFFSET(INDIRECT(ADDRESS(1,4,1,1,Info!$B$1&amp;" Power")),MATCH($A52,OFFSET(INDIRECT(ADDRESS(1,4,1,1,Info!$B$1&amp;" Power")),3,0,100,1),0)+2,9,1,1))</f>
        <v>0</v>
      </c>
      <c r="T52" s="7">
        <f ca="1">OFFSET('IP Dynamic Power Data'!$A$1,MATCH($A52,'IP Dynamic Power Data'!A:A,0)+1,MATCH($F52,OFFSET('IP Dynamic Power Data'!$A$1,MATCH($A52,'IP Dynamic Power Data'!A:A,0)-1,0,1,10),0)-1)</f>
        <v>0</v>
      </c>
      <c r="U52" s="7">
        <f ca="1">OFFSET('IP Dynamic Power Data'!$A$1,MATCH($A52,'IP Dynamic Power Data'!A:A,0)+1,MATCH("idle",OFFSET('IP Dynamic Power Data'!$A$1,MATCH($A52,'IP Dynamic Power Data'!A:A,0)-1,0,1,10),0)-1)</f>
        <v>0</v>
      </c>
      <c r="V52" s="7">
        <f ca="1" t="shared" si="3"/>
        <v>1.15</v>
      </c>
      <c r="W52" s="7">
        <f ca="1" t="shared" si="4"/>
        <v>50</v>
      </c>
      <c r="X52" s="7">
        <f ca="1" t="shared" si="5"/>
        <v>0</v>
      </c>
      <c r="Y52" s="7">
        <f ca="1">IF(MATCH($B52,$B:$B,0)=ROW($B52),OFFSET('SoC Leakage'!$G$1,MATCH($B52,'SoC Leakage'!A:A,0)-1,0)*EXP(OFFSET('SoC Leakage'!$H$1,MATCH($B52,'SoC Leakage'!A:A,0)-1,0)*$V52)*EXP((OFFSET('SoC Leakage'!$I$1,MATCH($B52,'SoC Leakage'!A:A,0)-1,0)*$V52+OFFSET('SoC Leakage'!$J$1,MATCH($B52,'SoC Leakage'!A:A,0)-1,0))*Tj_eff),0)*1000</f>
        <v>0</v>
      </c>
    </row>
    <row r="53" spans="1:25" ht="15">
      <c r="A53" s="5" t="s">
        <v>192</v>
      </c>
      <c r="B53" t="str">
        <f ca="1">OFFSET('IP Dynamic Power Data'!$C$1,MATCH($A53,'IP Dynamic Power Data'!$A:$A,0)-1,0)</f>
        <v>MCASP8</v>
      </c>
      <c r="C53" t="s">
        <v>108</v>
      </c>
      <c r="D53" t="str">
        <f ca="1">OFFSET('IP Dynamic Power Data'!$B$1,MATCH($A53,'IP Dynamic Power Data'!$A:$A,0)-1,0)</f>
        <v>IO</v>
      </c>
      <c r="E53" t="str">
        <f ca="1">OFFSET(INDIRECT(ADDRESS(1,4,1,1,Info!$B$1&amp;" Power")),MATCH($A53,OFFSET(INDIRECT(ADDRESS(1,4,1,1,Info!$B$1&amp;" Power")),3,0,100,1),0)+2,4,1,1)</f>
        <v>Disabled</v>
      </c>
      <c r="F53" t="str">
        <f ca="1">OFFSET(INDIRECT(ADDRESS(1,4,1,1,Info!$B$1&amp;" Power")),MATCH($A53,OFFSET(INDIRECT(ADDRESS(1,4,1,1,Info!$B$1&amp;" Power")),3,0,100,1),0)+2,6,1,1)</f>
        <v>idle</v>
      </c>
      <c r="G53" s="17">
        <f ca="1">OFFSET(INDIRECT(ADDRESS(1,4,1,1,Info!$B$1&amp;" Power")),MATCH($A53,OFFSET(INDIRECT(ADDRESS(1,4,1,1,Info!$B$1&amp;" Power")),3,0,100,1),0)+2,7,1,1)</f>
        <v>0</v>
      </c>
      <c r="H53">
        <f ca="1" t="shared" si="18"/>
        <v>0</v>
      </c>
      <c r="I53">
        <f ca="1" t="shared" si="1"/>
        <v>0</v>
      </c>
      <c r="J53" t="str">
        <f ca="1">OFFSET('Power Domain Map'!$A$1,MATCH($C53,'Power Domain Map'!$A:$A,0)-1,2,1,1)</f>
        <v>AlwaysOn</v>
      </c>
      <c r="K53" s="17">
        <f ca="1">OFFSET('Power Domain Map'!$A$1,MATCH($C53,'Power Domain Map'!$A:$A,0)-1,3,1,1)</f>
        <v>100</v>
      </c>
      <c r="L53">
        <f ca="1">OFFSET('IP Dynamic Power Data'!$A$1,MATCH($A53,'IP Dynamic Power Data'!A:A,0),MATCH($F53,OFFSET('IP Dynamic Power Data'!$A$1,MATCH($A53,'IP Dynamic Power Data'!A:A,0)-1,0,1,10),0)-1)</f>
        <v>0.01</v>
      </c>
      <c r="M53">
        <f ca="1">OFFSET('IP Dynamic Power Data'!$A$1,MATCH($A53,'IP Dynamic Power Data'!A:A,0),MATCH("idle",OFFSET('IP Dynamic Power Data'!$A$1,MATCH($A53,'IP Dynamic Power Data'!A:A,0)-1,0,1,10),0)-1)</f>
        <v>0.01</v>
      </c>
      <c r="N53">
        <f ca="1">OFFSET(INDIRECT(ADDRESS(1,4,1,1,Info!$B$1&amp;" Power")),MATCH($A53,OFFSET(INDIRECT(ADDRESS(1,4,1,1,Info!$B$1&amp;" Power")),3,0,100,1),0)+2,1,1,1)</f>
        <v>0.92</v>
      </c>
      <c r="O53">
        <f ca="1">OFFSET(INDIRECT(ADDRESS(1,4,1,1,Info!$B$1&amp;" Power")),MATCH($A53,OFFSET(INDIRECT(ADDRESS(1,4,1,1,Info!$B$1&amp;" Power")),3,0,100,1),0)+2,2,1,1)</f>
        <v>50</v>
      </c>
      <c r="P53" s="7">
        <f ca="1" t="shared" si="2"/>
        <v>0.4232</v>
      </c>
      <c r="Q53" s="7">
        <f ca="1">IF(MATCH($B53,$B:$B,0)=ROW($B53),OFFSET('SoC Leakage'!$B$1,MATCH($B53,'SoC Leakage'!A:A,0)-1,0)*EXP(OFFSET('SoC Leakage'!$C$1,MATCH($B53,'SoC Leakage'!A:A,0)-1,0)*$N53)*EXP((OFFSET('SoC Leakage'!$D$1,MATCH($B53,'SoC Leakage'!A:A,0)-1,0)*$N53+OFFSET('SoC Leakage'!$E$1,MATCH($B53,'SoC Leakage'!A:A,0)-1,0))*Tj_eff),0)*1000*IF(OR(E53="AutoPD with Ret",E53="Auto"),G53*(F53&lt;&gt;"idle")+(100-G53*(F53&lt;&gt;"idle"))*0.1,IF(E53="AutoPD",G53*(F53&lt;&gt;"idle")+(100-G53*(F53&lt;&gt;"idle"))*0.05,100))/100*1.03</f>
        <v>0.3158630872423612</v>
      </c>
      <c r="R53" s="7">
        <f ca="1">IF($E53="Disabled",0,OFFSET(INDIRECT(ADDRESS(1,4,1,1,Info!$B$1&amp;" Power")),MATCH($A53,OFFSET(INDIRECT(ADDRESS(1,4,1,1,Info!$B$1&amp;" Power")),3,0,100,1),0)+2,8,1,1))</f>
        <v>0</v>
      </c>
      <c r="S53" s="7">
        <f ca="1">IF($E53="Disabled",0,OFFSET(INDIRECT(ADDRESS(1,4,1,1,Info!$B$1&amp;" Power")),MATCH($A53,OFFSET(INDIRECT(ADDRESS(1,4,1,1,Info!$B$1&amp;" Power")),3,0,100,1),0)+2,9,1,1))</f>
        <v>0</v>
      </c>
      <c r="T53" s="7">
        <f ca="1">OFFSET('IP Dynamic Power Data'!$A$1,MATCH($A53,'IP Dynamic Power Data'!A:A,0)+1,MATCH($F53,OFFSET('IP Dynamic Power Data'!$A$1,MATCH($A53,'IP Dynamic Power Data'!A:A,0)-1,0,1,10),0)-1)</f>
        <v>0</v>
      </c>
      <c r="U53" s="7">
        <f ca="1">OFFSET('IP Dynamic Power Data'!$A$1,MATCH($A53,'IP Dynamic Power Data'!A:A,0)+1,MATCH("idle",OFFSET('IP Dynamic Power Data'!$A$1,MATCH($A53,'IP Dynamic Power Data'!A:A,0)-1,0,1,10),0)-1)</f>
        <v>0</v>
      </c>
      <c r="V53" s="7">
        <f ca="1" t="shared" si="3"/>
        <v>1.15</v>
      </c>
      <c r="W53" s="7">
        <f ca="1" t="shared" si="4"/>
        <v>50</v>
      </c>
      <c r="X53" s="7">
        <f ca="1" t="shared" si="5"/>
        <v>0</v>
      </c>
      <c r="Y53" s="7">
        <f ca="1">IF(MATCH($B53,$B:$B,0)=ROW($B53),OFFSET('SoC Leakage'!$G$1,MATCH($B53,'SoC Leakage'!A:A,0)-1,0)*EXP(OFFSET('SoC Leakage'!$H$1,MATCH($B53,'SoC Leakage'!A:A,0)-1,0)*$V53)*EXP((OFFSET('SoC Leakage'!$I$1,MATCH($B53,'SoC Leakage'!A:A,0)-1,0)*$V53+OFFSET('SoC Leakage'!$J$1,MATCH($B53,'SoC Leakage'!A:A,0)-1,0))*Tj_eff),0)*1000</f>
        <v>0</v>
      </c>
    </row>
    <row r="54" spans="1:25" ht="15">
      <c r="A54" s="5" t="s">
        <v>21</v>
      </c>
      <c r="B54" t="str">
        <f ca="1">OFFSET('IP Dynamic Power Data'!$C$1,MATCH($A54,'IP Dynamic Power Data'!$A:$A,0)-1,0)</f>
        <v>MLB</v>
      </c>
      <c r="C54" t="s">
        <v>108</v>
      </c>
      <c r="D54" t="str">
        <f ca="1">OFFSET('IP Dynamic Power Data'!$B$1,MATCH($A54,'IP Dynamic Power Data'!$A:$A,0)-1,0)</f>
        <v>IO</v>
      </c>
      <c r="E54" t="str">
        <f ca="1">OFFSET(INDIRECT(ADDRESS(1,4,1,1,Info!$B$1&amp;" Power")),MATCH($A54,OFFSET(INDIRECT(ADDRESS(1,4,1,1,Info!$B$1&amp;" Power")),3,0,100,1),0)+2,4,1,1)</f>
        <v>Disabled</v>
      </c>
      <c r="F54" t="str">
        <f ca="1">OFFSET(INDIRECT(ADDRESS(1,4,1,1,Info!$B$1&amp;" Power")),MATCH($A54,OFFSET(INDIRECT(ADDRESS(1,4,1,1,Info!$B$1&amp;" Power")),3,0,100,1),0)+2,6,1,1)</f>
        <v>idle</v>
      </c>
      <c r="G54" s="17">
        <f ca="1">OFFSET(INDIRECT(ADDRESS(1,4,1,1,Info!$B$1&amp;" Power")),MATCH($A54,OFFSET(INDIRECT(ADDRESS(1,4,1,1,Info!$B$1&amp;" Power")),3,0,100,1),0)+2,7,1,1)</f>
        <v>0</v>
      </c>
      <c r="H54">
        <f ca="1" t="shared" si="6"/>
        <v>0</v>
      </c>
      <c r="I54">
        <f ca="1" t="shared" si="1"/>
        <v>0</v>
      </c>
      <c r="J54" t="str">
        <f ca="1">OFFSET('Power Domain Map'!$A$1,MATCH($C54,'Power Domain Map'!$A:$A,0)-1,2,1,1)</f>
        <v>AlwaysOn</v>
      </c>
      <c r="K54" s="17">
        <f ca="1">OFFSET('Power Domain Map'!$A$1,MATCH($C54,'Power Domain Map'!$A:$A,0)-1,3,1,1)</f>
        <v>100</v>
      </c>
      <c r="L54">
        <f ca="1">OFFSET('IP Dynamic Power Data'!$A$1,MATCH($A54,'IP Dynamic Power Data'!A:A,0),MATCH($F54,OFFSET('IP Dynamic Power Data'!$A$1,MATCH($A54,'IP Dynamic Power Data'!A:A,0)-1,0,1,10),0)-1)</f>
        <v>0.01</v>
      </c>
      <c r="M54">
        <f ca="1">OFFSET('IP Dynamic Power Data'!$A$1,MATCH($A54,'IP Dynamic Power Data'!A:A,0),MATCH("idle",OFFSET('IP Dynamic Power Data'!$A$1,MATCH($A54,'IP Dynamic Power Data'!A:A,0)-1,0,1,10),0)-1)</f>
        <v>0.01</v>
      </c>
      <c r="N54">
        <f ca="1">OFFSET(INDIRECT(ADDRESS(1,4,1,1,Info!$B$1&amp;" Power")),MATCH($A54,OFFSET(INDIRECT(ADDRESS(1,4,1,1,Info!$B$1&amp;" Power")),3,0,100,1),0)+2,1,1,1)</f>
        <v>0.92</v>
      </c>
      <c r="O54">
        <f ca="1">OFFSET(INDIRECT(ADDRESS(1,4,1,1,Info!$B$1&amp;" Power")),MATCH($A54,OFFSET(INDIRECT(ADDRESS(1,4,1,1,Info!$B$1&amp;" Power")),3,0,100,1),0)+2,2,1,1)</f>
        <v>50</v>
      </c>
      <c r="P54" s="7">
        <f ca="1" t="shared" si="2"/>
        <v>0.4232</v>
      </c>
      <c r="Q54" s="7">
        <f ca="1">IF(MATCH($B54,$B:$B,0)=ROW($B54),OFFSET('SoC Leakage'!$B$1,MATCH($B54,'SoC Leakage'!A:A,0)-1,0)*EXP(OFFSET('SoC Leakage'!$C$1,MATCH($B54,'SoC Leakage'!A:A,0)-1,0)*$N54)*EXP((OFFSET('SoC Leakage'!$D$1,MATCH($B54,'SoC Leakage'!A:A,0)-1,0)*$N54+OFFSET('SoC Leakage'!$E$1,MATCH($B54,'SoC Leakage'!A:A,0)-1,0))*Tj_eff),0)*1000*IF(OR(E54="AutoPD with Ret",E54="Auto"),G54*(F54&lt;&gt;"idle")+(100-G54*(F54&lt;&gt;"idle"))*0.1,IF(E54="AutoPD",G54*(F54&lt;&gt;"idle")+(100-G54*(F54&lt;&gt;"idle"))*0.05,100))/100*1.03</f>
        <v>0</v>
      </c>
      <c r="R54" s="7">
        <f ca="1">IF($E54="Disabled",0,OFFSET(INDIRECT(ADDRESS(1,4,1,1,Info!$B$1&amp;" Power")),MATCH($A54,OFFSET(INDIRECT(ADDRESS(1,4,1,1,Info!$B$1&amp;" Power")),3,0,100,1),0)+2,8,1,1))</f>
        <v>0</v>
      </c>
      <c r="S54" s="7">
        <f ca="1">IF($E54="Disabled",0,OFFSET(INDIRECT(ADDRESS(1,4,1,1,Info!$B$1&amp;" Power")),MATCH($A54,OFFSET(INDIRECT(ADDRESS(1,4,1,1,Info!$B$1&amp;" Power")),3,0,100,1),0)+2,9,1,1))</f>
        <v>0</v>
      </c>
      <c r="T54" s="7">
        <f ca="1">OFFSET('IP Dynamic Power Data'!$A$1,MATCH($A54,'IP Dynamic Power Data'!A:A,0)+1,MATCH($F54,OFFSET('IP Dynamic Power Data'!$A$1,MATCH($A54,'IP Dynamic Power Data'!A:A,0)-1,0,1,10),0)-1)</f>
        <v>0</v>
      </c>
      <c r="U54" s="7">
        <f ca="1">OFFSET('IP Dynamic Power Data'!$A$1,MATCH($A54,'IP Dynamic Power Data'!A:A,0)+1,MATCH("idle",OFFSET('IP Dynamic Power Data'!$A$1,MATCH($A54,'IP Dynamic Power Data'!A:A,0)-1,0,1,10),0)-1)</f>
        <v>0</v>
      </c>
      <c r="V54" s="7">
        <f ca="1" t="shared" si="3"/>
        <v>1.15</v>
      </c>
      <c r="W54" s="7">
        <f ca="1" t="shared" si="4"/>
        <v>50</v>
      </c>
      <c r="X54" s="7">
        <f ca="1" t="shared" si="5"/>
        <v>0</v>
      </c>
      <c r="Y54" s="7">
        <f ca="1">IF(MATCH($B54,$B:$B,0)=ROW($B54),OFFSET('SoC Leakage'!$G$1,MATCH($B54,'SoC Leakage'!A:A,0)-1,0)*EXP(OFFSET('SoC Leakage'!$H$1,MATCH($B54,'SoC Leakage'!A:A,0)-1,0)*$V54)*EXP((OFFSET('SoC Leakage'!$I$1,MATCH($B54,'SoC Leakage'!A:A,0)-1,0)*$V54+OFFSET('SoC Leakage'!$J$1,MATCH($B54,'SoC Leakage'!A:A,0)-1,0))*Tj_eff),0)*1000</f>
        <v>0</v>
      </c>
    </row>
    <row r="55" spans="1:25" ht="15">
      <c r="A55" s="5" t="s">
        <v>22</v>
      </c>
      <c r="B55" t="str">
        <f ca="1">OFFSET('IP Dynamic Power Data'!$C$1,MATCH($A55,'IP Dynamic Power Data'!$A:$A,0)-1,0)</f>
        <v>GPMC</v>
      </c>
      <c r="C55" t="s">
        <v>108</v>
      </c>
      <c r="D55" t="str">
        <f ca="1">OFFSET('IP Dynamic Power Data'!$B$1,MATCH($A55,'IP Dynamic Power Data'!$A:$A,0)-1,0)</f>
        <v>IO</v>
      </c>
      <c r="E55" t="str">
        <f ca="1">OFFSET(INDIRECT(ADDRESS(1,4,1,1,Info!$B$1&amp;" Power")),MATCH($A55,OFFSET(INDIRECT(ADDRESS(1,4,1,1,Info!$B$1&amp;" Power")),3,0,100,1),0)+2,4,1,1)</f>
        <v>Always enabled</v>
      </c>
      <c r="F55" t="str">
        <f ca="1">OFFSET(INDIRECT(ADDRESS(1,4,1,1,Info!$B$1&amp;" Power")),MATCH($A55,OFFSET(INDIRECT(ADDRESS(1,4,1,1,Info!$B$1&amp;" Power")),3,0,100,1),0)+2,6,1,1)</f>
        <v>typ</v>
      </c>
      <c r="G55" s="17">
        <f ca="1">OFFSET(INDIRECT(ADDRESS(1,4,1,1,Info!$B$1&amp;" Power")),MATCH($A55,OFFSET(INDIRECT(ADDRESS(1,4,1,1,Info!$B$1&amp;" Power")),3,0,100,1),0)+2,7,1,1)</f>
        <v>100</v>
      </c>
      <c r="H55">
        <f ca="1" t="shared" si="6"/>
        <v>1</v>
      </c>
      <c r="I55">
        <f ca="1" t="shared" si="1"/>
        <v>0</v>
      </c>
      <c r="J55" t="str">
        <f ca="1">OFFSET('Power Domain Map'!$A$1,MATCH($C55,'Power Domain Map'!$A:$A,0)-1,2,1,1)</f>
        <v>AlwaysOn</v>
      </c>
      <c r="K55" s="17">
        <f ca="1">OFFSET('Power Domain Map'!$A$1,MATCH($C55,'Power Domain Map'!$A:$A,0)-1,3,1,1)</f>
        <v>100</v>
      </c>
      <c r="L55">
        <f ca="1">OFFSET('IP Dynamic Power Data'!$A$1,MATCH($A55,'IP Dynamic Power Data'!A:A,0),MATCH($F55,OFFSET('IP Dynamic Power Data'!$A$1,MATCH($A55,'IP Dynamic Power Data'!A:A,0)-1,0,1,10),0)-1)</f>
        <v>0.05</v>
      </c>
      <c r="M55">
        <f ca="1">OFFSET('IP Dynamic Power Data'!$A$1,MATCH($A55,'IP Dynamic Power Data'!A:A,0),MATCH("idle",OFFSET('IP Dynamic Power Data'!$A$1,MATCH($A55,'IP Dynamic Power Data'!A:A,0)-1,0,1,10),0)-1)</f>
        <v>0.01</v>
      </c>
      <c r="N55">
        <f ca="1">OFFSET(INDIRECT(ADDRESS(1,4,1,1,Info!$B$1&amp;" Power")),MATCH($A55,OFFSET(INDIRECT(ADDRESS(1,4,1,1,Info!$B$1&amp;" Power")),3,0,100,1),0)+2,1,1,1)</f>
        <v>0.92</v>
      </c>
      <c r="O55">
        <f ca="1">OFFSET(INDIRECT(ADDRESS(1,4,1,1,Info!$B$1&amp;" Power")),MATCH($A55,OFFSET(INDIRECT(ADDRESS(1,4,1,1,Info!$B$1&amp;" Power")),3,0,100,1),0)+2,2,1,1)</f>
        <v>66.5</v>
      </c>
      <c r="P55" s="7">
        <f ca="1" t="shared" si="2"/>
        <v>2.81428</v>
      </c>
      <c r="Q55" s="7">
        <f ca="1">IF(MATCH($B55,$B:$B,0)=ROW($B55),OFFSET('SoC Leakage'!$B$1,MATCH($B55,'SoC Leakage'!A:A,0)-1,0)*EXP(OFFSET('SoC Leakage'!$C$1,MATCH($B55,'SoC Leakage'!A:A,0)-1,0)*$N55)*EXP((OFFSET('SoC Leakage'!$D$1,MATCH($B55,'SoC Leakage'!A:A,0)-1,0)*$N55+OFFSET('SoC Leakage'!$E$1,MATCH($B55,'SoC Leakage'!A:A,0)-1,0))*Tj_eff),0)*1000*IF(OR(E55="AutoPD with Ret",E55="Auto"),G55*(F55&lt;&gt;"idle")+(100-G55*(F55&lt;&gt;"idle"))*0.1,IF(E55="AutoPD",G55*(F55&lt;&gt;"idle")+(100-G55*(F55&lt;&gt;"idle"))*0.05,100))/100*1.03</f>
        <v>0</v>
      </c>
      <c r="R55" s="7">
        <f ca="1">IF($E55="Disabled",0,OFFSET(INDIRECT(ADDRESS(1,4,1,1,Info!$B$1&amp;" Power")),MATCH($A55,OFFSET(INDIRECT(ADDRESS(1,4,1,1,Info!$B$1&amp;" Power")),3,0,100,1),0)+2,8,1,1))</f>
        <v>0</v>
      </c>
      <c r="S55" s="7">
        <f ca="1">IF($E55="Disabled",0,OFFSET(INDIRECT(ADDRESS(1,4,1,1,Info!$B$1&amp;" Power")),MATCH($A55,OFFSET(INDIRECT(ADDRESS(1,4,1,1,Info!$B$1&amp;" Power")),3,0,100,1),0)+2,9,1,1))</f>
        <v>0</v>
      </c>
      <c r="T55" s="7">
        <f ca="1">OFFSET('IP Dynamic Power Data'!$A$1,MATCH($A55,'IP Dynamic Power Data'!A:A,0)+1,MATCH($F55,OFFSET('IP Dynamic Power Data'!$A$1,MATCH($A55,'IP Dynamic Power Data'!A:A,0)-1,0,1,10),0)-1)</f>
        <v>0</v>
      </c>
      <c r="U55" s="7">
        <f ca="1">OFFSET('IP Dynamic Power Data'!$A$1,MATCH($A55,'IP Dynamic Power Data'!A:A,0)+1,MATCH("idle",OFFSET('IP Dynamic Power Data'!$A$1,MATCH($A55,'IP Dynamic Power Data'!A:A,0)-1,0,1,10),0)-1)</f>
        <v>0</v>
      </c>
      <c r="V55" s="7">
        <f ca="1" t="shared" si="3"/>
        <v>1.15</v>
      </c>
      <c r="W55" s="7">
        <f ca="1" t="shared" si="4"/>
        <v>66.5</v>
      </c>
      <c r="X55" s="7">
        <f ca="1" t="shared" si="5"/>
        <v>0</v>
      </c>
      <c r="Y55" s="7">
        <f ca="1">IF(MATCH($B55,$B:$B,0)=ROW($B55),OFFSET('SoC Leakage'!$G$1,MATCH($B55,'SoC Leakage'!A:A,0)-1,0)*EXP(OFFSET('SoC Leakage'!$H$1,MATCH($B55,'SoC Leakage'!A:A,0)-1,0)*$V55)*EXP((OFFSET('SoC Leakage'!$I$1,MATCH($B55,'SoC Leakage'!A:A,0)-1,0)*$V55+OFFSET('SoC Leakage'!$J$1,MATCH($B55,'SoC Leakage'!A:A,0)-1,0))*Tj_eff),0)*1000</f>
        <v>0</v>
      </c>
    </row>
    <row r="56" spans="1:25" ht="15">
      <c r="A56" s="5" t="s">
        <v>193</v>
      </c>
      <c r="B56" t="str">
        <f ca="1">OFFSET('IP Dynamic Power Data'!$C$1,MATCH($A56,'IP Dynamic Power Data'!$A:$A,0)-1,0)</f>
        <v>MMC1</v>
      </c>
      <c r="C56" t="s">
        <v>108</v>
      </c>
      <c r="D56" t="str">
        <f ca="1">OFFSET('IP Dynamic Power Data'!$B$1,MATCH($A56,'IP Dynamic Power Data'!$A:$A,0)-1,0)</f>
        <v>IO</v>
      </c>
      <c r="E56" t="str">
        <f ca="1">OFFSET(INDIRECT(ADDRESS(1,4,1,1,Info!$B$1&amp;" Power")),MATCH($A56,OFFSET(INDIRECT(ADDRESS(1,4,1,1,Info!$B$1&amp;" Power")),3,0,100,1),0)+2,4,1,1)</f>
        <v>Always enabled</v>
      </c>
      <c r="F56" t="str">
        <f ca="1">OFFSET(INDIRECT(ADDRESS(1,4,1,1,Info!$B$1&amp;" Power")),MATCH($A56,OFFSET(INDIRECT(ADDRESS(1,4,1,1,Info!$B$1&amp;" Power")),3,0,100,1),0)+2,6,1,1)</f>
        <v>typ</v>
      </c>
      <c r="G56" s="17">
        <f ca="1">OFFSET(INDIRECT(ADDRESS(1,4,1,1,Info!$B$1&amp;" Power")),MATCH($A56,OFFSET(INDIRECT(ADDRESS(1,4,1,1,Info!$B$1&amp;" Power")),3,0,100,1),0)+2,7,1,1)</f>
        <v>100</v>
      </c>
      <c r="H56">
        <f ca="1" t="shared" si="6"/>
        <v>1</v>
      </c>
      <c r="I56">
        <f ca="1" t="shared" si="1"/>
        <v>0</v>
      </c>
      <c r="J56" t="str">
        <f ca="1">OFFSET('Power Domain Map'!$A$1,MATCH($C56,'Power Domain Map'!$A:$A,0)-1,2,1,1)</f>
        <v>AlwaysOn</v>
      </c>
      <c r="K56" s="17">
        <f ca="1">OFFSET('Power Domain Map'!$A$1,MATCH($C56,'Power Domain Map'!$A:$A,0)-1,3,1,1)</f>
        <v>100</v>
      </c>
      <c r="L56">
        <f ca="1">OFFSET('IP Dynamic Power Data'!$A$1,MATCH($A56,'IP Dynamic Power Data'!A:A,0),MATCH($F56,OFFSET('IP Dynamic Power Data'!$A$1,MATCH($A56,'IP Dynamic Power Data'!A:A,0)-1,0,1,10),0)-1)</f>
        <v>0.02</v>
      </c>
      <c r="M56">
        <f ca="1">OFFSET('IP Dynamic Power Data'!$A$1,MATCH($A56,'IP Dynamic Power Data'!A:A,0),MATCH("idle",OFFSET('IP Dynamic Power Data'!$A$1,MATCH($A56,'IP Dynamic Power Data'!A:A,0)-1,0,1,10),0)-1)</f>
        <v>0.001</v>
      </c>
      <c r="N56">
        <f ca="1">OFFSET(INDIRECT(ADDRESS(1,4,1,1,Info!$B$1&amp;" Power")),MATCH($A56,OFFSET(INDIRECT(ADDRESS(1,4,1,1,Info!$B$1&amp;" Power")),3,0,100,1),0)+2,1,1,1)</f>
        <v>0.92</v>
      </c>
      <c r="O56">
        <f ca="1">OFFSET(INDIRECT(ADDRESS(1,4,1,1,Info!$B$1&amp;" Power")),MATCH($A56,OFFSET(INDIRECT(ADDRESS(1,4,1,1,Info!$B$1&amp;" Power")),3,0,100,1),0)+2,2,1,1)</f>
        <v>50</v>
      </c>
      <c r="P56" s="7">
        <f ca="1" t="shared" si="2"/>
        <v>0.8464</v>
      </c>
      <c r="Q56" s="7">
        <f ca="1">IF(MATCH($B56,$B:$B,0)=ROW($B56),OFFSET('SoC Leakage'!$B$1,MATCH($B56,'SoC Leakage'!A:A,0)-1,0)*EXP(OFFSET('SoC Leakage'!$C$1,MATCH($B56,'SoC Leakage'!A:A,0)-1,0)*$N56)*EXP((OFFSET('SoC Leakage'!$D$1,MATCH($B56,'SoC Leakage'!A:A,0)-1,0)*$N56+OFFSET('SoC Leakage'!$E$1,MATCH($B56,'SoC Leakage'!A:A,0)-1,0))*Tj_eff),0)*1000*IF(OR(E56="AutoPD with Ret",E56="Auto"),G56*(F56&lt;&gt;"idle")+(100-G56*(F56&lt;&gt;"idle"))*0.1,IF(E56="AutoPD",G56*(F56&lt;&gt;"idle")+(100-G56*(F56&lt;&gt;"idle"))*0.05,100))/100*1.03</f>
        <v>0</v>
      </c>
      <c r="R56" s="7">
        <f ca="1">IF($E56="Disabled",0,OFFSET(INDIRECT(ADDRESS(1,4,1,1,Info!$B$1&amp;" Power")),MATCH($A56,OFFSET(INDIRECT(ADDRESS(1,4,1,1,Info!$B$1&amp;" Power")),3,0,100,1),0)+2,8,1,1))</f>
        <v>0</v>
      </c>
      <c r="S56" s="7">
        <f ca="1">IF($E56="Disabled",0,OFFSET(INDIRECT(ADDRESS(1,4,1,1,Info!$B$1&amp;" Power")),MATCH($A56,OFFSET(INDIRECT(ADDRESS(1,4,1,1,Info!$B$1&amp;" Power")),3,0,100,1),0)+2,9,1,1))</f>
        <v>0</v>
      </c>
      <c r="T56" s="7">
        <f ca="1">OFFSET('IP Dynamic Power Data'!$A$1,MATCH($A56,'IP Dynamic Power Data'!A:A,0)+1,MATCH($F56,OFFSET('IP Dynamic Power Data'!$A$1,MATCH($A56,'IP Dynamic Power Data'!A:A,0)-1,0,1,10),0)-1)</f>
        <v>0</v>
      </c>
      <c r="U56" s="7">
        <f ca="1">OFFSET('IP Dynamic Power Data'!$A$1,MATCH($A56,'IP Dynamic Power Data'!A:A,0)+1,MATCH("idle",OFFSET('IP Dynamic Power Data'!$A$1,MATCH($A56,'IP Dynamic Power Data'!A:A,0)-1,0,1,10),0)-1)</f>
        <v>0</v>
      </c>
      <c r="V56" s="7">
        <f ca="1" t="shared" si="3"/>
        <v>1.15</v>
      </c>
      <c r="W56" s="7">
        <f ca="1" t="shared" si="4"/>
        <v>50</v>
      </c>
      <c r="X56" s="7">
        <f ca="1" t="shared" si="5"/>
        <v>0</v>
      </c>
      <c r="Y56" s="7">
        <f ca="1">IF(MATCH($B56,$B:$B,0)=ROW($B56),OFFSET('SoC Leakage'!$G$1,MATCH($B56,'SoC Leakage'!A:A,0)-1,0)*EXP(OFFSET('SoC Leakage'!$H$1,MATCH($B56,'SoC Leakage'!A:A,0)-1,0)*$V56)*EXP((OFFSET('SoC Leakage'!$I$1,MATCH($B56,'SoC Leakage'!A:A,0)-1,0)*$V56+OFFSET('SoC Leakage'!$J$1,MATCH($B56,'SoC Leakage'!A:A,0)-1,0))*Tj_eff),0)*1000</f>
        <v>0</v>
      </c>
    </row>
    <row r="57" spans="1:25" ht="15">
      <c r="A57" s="5" t="s">
        <v>194</v>
      </c>
      <c r="B57" t="str">
        <f ca="1">OFFSET('IP Dynamic Power Data'!$C$1,MATCH($A57,'IP Dynamic Power Data'!$A:$A,0)-1,0)</f>
        <v>MMC2</v>
      </c>
      <c r="C57" t="s">
        <v>108</v>
      </c>
      <c r="D57" t="str">
        <f ca="1">OFFSET('IP Dynamic Power Data'!$B$1,MATCH($A57,'IP Dynamic Power Data'!$A:$A,0)-1,0)</f>
        <v>IO</v>
      </c>
      <c r="E57" t="str">
        <f ca="1">OFFSET(INDIRECT(ADDRESS(1,4,1,1,Info!$B$1&amp;" Power")),MATCH($A57,OFFSET(INDIRECT(ADDRESS(1,4,1,1,Info!$B$1&amp;" Power")),3,0,100,1),0)+2,4,1,1)</f>
        <v>Always enabled</v>
      </c>
      <c r="F57" t="str">
        <f ca="1">OFFSET(INDIRECT(ADDRESS(1,4,1,1,Info!$B$1&amp;" Power")),MATCH($A57,OFFSET(INDIRECT(ADDRESS(1,4,1,1,Info!$B$1&amp;" Power")),3,0,100,1),0)+2,6,1,1)</f>
        <v>typ</v>
      </c>
      <c r="G57" s="17">
        <f ca="1">OFFSET(INDIRECT(ADDRESS(1,4,1,1,Info!$B$1&amp;" Power")),MATCH($A57,OFFSET(INDIRECT(ADDRESS(1,4,1,1,Info!$B$1&amp;" Power")),3,0,100,1),0)+2,7,1,1)</f>
        <v>100</v>
      </c>
      <c r="H57">
        <f ca="1" t="shared" si="6"/>
        <v>1</v>
      </c>
      <c r="I57">
        <f ca="1" t="shared" si="1"/>
        <v>0</v>
      </c>
      <c r="J57" t="str">
        <f ca="1">OFFSET('Power Domain Map'!$A$1,MATCH($C57,'Power Domain Map'!$A:$A,0)-1,2,1,1)</f>
        <v>AlwaysOn</v>
      </c>
      <c r="K57" s="17">
        <f ca="1">OFFSET('Power Domain Map'!$A$1,MATCH($C57,'Power Domain Map'!$A:$A,0)-1,3,1,1)</f>
        <v>100</v>
      </c>
      <c r="L57">
        <f ca="1">OFFSET('IP Dynamic Power Data'!$A$1,MATCH($A57,'IP Dynamic Power Data'!A:A,0),MATCH($F57,OFFSET('IP Dynamic Power Data'!$A$1,MATCH($A57,'IP Dynamic Power Data'!A:A,0)-1,0,1,10),0)-1)</f>
        <v>0.02</v>
      </c>
      <c r="M57">
        <f ca="1">OFFSET('IP Dynamic Power Data'!$A$1,MATCH($A57,'IP Dynamic Power Data'!A:A,0),MATCH("idle",OFFSET('IP Dynamic Power Data'!$A$1,MATCH($A57,'IP Dynamic Power Data'!A:A,0)-1,0,1,10),0)-1)</f>
        <v>0.001</v>
      </c>
      <c r="N57">
        <f ca="1">OFFSET(INDIRECT(ADDRESS(1,4,1,1,Info!$B$1&amp;" Power")),MATCH($A57,OFFSET(INDIRECT(ADDRESS(1,4,1,1,Info!$B$1&amp;" Power")),3,0,100,1),0)+2,1,1,1)</f>
        <v>0.92</v>
      </c>
      <c r="O57">
        <f ca="1">OFFSET(INDIRECT(ADDRESS(1,4,1,1,Info!$B$1&amp;" Power")),MATCH($A57,OFFSET(INDIRECT(ADDRESS(1,4,1,1,Info!$B$1&amp;" Power")),3,0,100,1),0)+2,2,1,1)</f>
        <v>50</v>
      </c>
      <c r="P57" s="7">
        <f ca="1" t="shared" si="2"/>
        <v>0.8464</v>
      </c>
      <c r="Q57" s="7">
        <f ca="1">IF(MATCH($B57,$B:$B,0)=ROW($B57),OFFSET('SoC Leakage'!$B$1,MATCH($B57,'SoC Leakage'!A:A,0)-1,0)*EXP(OFFSET('SoC Leakage'!$C$1,MATCH($B57,'SoC Leakage'!A:A,0)-1,0)*$N57)*EXP((OFFSET('SoC Leakage'!$D$1,MATCH($B57,'SoC Leakage'!A:A,0)-1,0)*$N57+OFFSET('SoC Leakage'!$E$1,MATCH($B57,'SoC Leakage'!A:A,0)-1,0))*Tj_eff),0)*1000*IF(OR(E57="AutoPD with Ret",E57="Auto"),G57*(F57&lt;&gt;"idle")+(100-G57*(F57&lt;&gt;"idle"))*0.1,IF(E57="AutoPD",G57*(F57&lt;&gt;"idle")+(100-G57*(F57&lt;&gt;"idle"))*0.05,100))/100*1.03</f>
        <v>0</v>
      </c>
      <c r="R57" s="7">
        <f ca="1">IF($E57="Disabled",0,OFFSET(INDIRECT(ADDRESS(1,4,1,1,Info!$B$1&amp;" Power")),MATCH($A57,OFFSET(INDIRECT(ADDRESS(1,4,1,1,Info!$B$1&amp;" Power")),3,0,100,1),0)+2,8,1,1))</f>
        <v>0</v>
      </c>
      <c r="S57" s="7">
        <f ca="1">IF($E57="Disabled",0,OFFSET(INDIRECT(ADDRESS(1,4,1,1,Info!$B$1&amp;" Power")),MATCH($A57,OFFSET(INDIRECT(ADDRESS(1,4,1,1,Info!$B$1&amp;" Power")),3,0,100,1),0)+2,9,1,1))</f>
        <v>0</v>
      </c>
      <c r="T57" s="7">
        <f ca="1">OFFSET('IP Dynamic Power Data'!$A$1,MATCH($A57,'IP Dynamic Power Data'!A:A,0)+1,MATCH($F57,OFFSET('IP Dynamic Power Data'!$A$1,MATCH($A57,'IP Dynamic Power Data'!A:A,0)-1,0,1,10),0)-1)</f>
        <v>0</v>
      </c>
      <c r="U57" s="7">
        <f ca="1">OFFSET('IP Dynamic Power Data'!$A$1,MATCH($A57,'IP Dynamic Power Data'!A:A,0)+1,MATCH("idle",OFFSET('IP Dynamic Power Data'!$A$1,MATCH($A57,'IP Dynamic Power Data'!A:A,0)-1,0,1,10),0)-1)</f>
        <v>0</v>
      </c>
      <c r="V57" s="7">
        <f ca="1" t="shared" si="3"/>
        <v>1.15</v>
      </c>
      <c r="W57" s="7">
        <f ca="1" t="shared" si="4"/>
        <v>50</v>
      </c>
      <c r="X57" s="7">
        <f ca="1" t="shared" si="5"/>
        <v>0</v>
      </c>
      <c r="Y57" s="7">
        <f ca="1">IF(MATCH($B57,$B:$B,0)=ROW($B57),OFFSET('SoC Leakage'!$G$1,MATCH($B57,'SoC Leakage'!A:A,0)-1,0)*EXP(OFFSET('SoC Leakage'!$H$1,MATCH($B57,'SoC Leakage'!A:A,0)-1,0)*$V57)*EXP((OFFSET('SoC Leakage'!$I$1,MATCH($B57,'SoC Leakage'!A:A,0)-1,0)*$V57+OFFSET('SoC Leakage'!$J$1,MATCH($B57,'SoC Leakage'!A:A,0)-1,0))*Tj_eff),0)*1000</f>
        <v>0</v>
      </c>
    </row>
    <row r="58" spans="1:25" ht="15">
      <c r="A58" s="5" t="s">
        <v>195</v>
      </c>
      <c r="B58" t="str">
        <f ca="1">OFFSET('IP Dynamic Power Data'!$C$1,MATCH($A58,'IP Dynamic Power Data'!$A:$A,0)-1,0)</f>
        <v>MMC3</v>
      </c>
      <c r="C58" t="s">
        <v>108</v>
      </c>
      <c r="D58" t="str">
        <f ca="1">OFFSET('IP Dynamic Power Data'!$B$1,MATCH($A58,'IP Dynamic Power Data'!$A:$A,0)-1,0)</f>
        <v>IO</v>
      </c>
      <c r="E58" t="str">
        <f ca="1">OFFSET(INDIRECT(ADDRESS(1,4,1,1,Info!$B$1&amp;" Power")),MATCH($A58,OFFSET(INDIRECT(ADDRESS(1,4,1,1,Info!$B$1&amp;" Power")),3,0,100,1),0)+2,4,1,1)</f>
        <v>Disabled</v>
      </c>
      <c r="F58" t="str">
        <f ca="1">OFFSET(INDIRECT(ADDRESS(1,4,1,1,Info!$B$1&amp;" Power")),MATCH($A58,OFFSET(INDIRECT(ADDRESS(1,4,1,1,Info!$B$1&amp;" Power")),3,0,100,1),0)+2,6,1,1)</f>
        <v>idle</v>
      </c>
      <c r="G58" s="17">
        <f ca="1">OFFSET(INDIRECT(ADDRESS(1,4,1,1,Info!$B$1&amp;" Power")),MATCH($A58,OFFSET(INDIRECT(ADDRESS(1,4,1,1,Info!$B$1&amp;" Power")),3,0,100,1),0)+2,7,1,1)</f>
        <v>0</v>
      </c>
      <c r="H58">
        <f ca="1" t="shared" si="6"/>
        <v>0</v>
      </c>
      <c r="I58">
        <f ca="1" t="shared" si="1"/>
        <v>0</v>
      </c>
      <c r="J58" t="str">
        <f ca="1">OFFSET('Power Domain Map'!$A$1,MATCH($C58,'Power Domain Map'!$A:$A,0)-1,2,1,1)</f>
        <v>AlwaysOn</v>
      </c>
      <c r="K58" s="17">
        <f ca="1">OFFSET('Power Domain Map'!$A$1,MATCH($C58,'Power Domain Map'!$A:$A,0)-1,3,1,1)</f>
        <v>100</v>
      </c>
      <c r="L58">
        <f ca="1">OFFSET('IP Dynamic Power Data'!$A$1,MATCH($A58,'IP Dynamic Power Data'!A:A,0),MATCH($F58,OFFSET('IP Dynamic Power Data'!$A$1,MATCH($A58,'IP Dynamic Power Data'!A:A,0)-1,0,1,10),0)-1)</f>
        <v>0.001</v>
      </c>
      <c r="M58">
        <f ca="1">OFFSET('IP Dynamic Power Data'!$A$1,MATCH($A58,'IP Dynamic Power Data'!A:A,0),MATCH("idle",OFFSET('IP Dynamic Power Data'!$A$1,MATCH($A58,'IP Dynamic Power Data'!A:A,0)-1,0,1,10),0)-1)</f>
        <v>0.001</v>
      </c>
      <c r="N58">
        <f ca="1">OFFSET(INDIRECT(ADDRESS(1,4,1,1,Info!$B$1&amp;" Power")),MATCH($A58,OFFSET(INDIRECT(ADDRESS(1,4,1,1,Info!$B$1&amp;" Power")),3,0,100,1),0)+2,1,1,1)</f>
        <v>0.92</v>
      </c>
      <c r="O58">
        <f ca="1">OFFSET(INDIRECT(ADDRESS(1,4,1,1,Info!$B$1&amp;" Power")),MATCH($A58,OFFSET(INDIRECT(ADDRESS(1,4,1,1,Info!$B$1&amp;" Power")),3,0,100,1),0)+2,2,1,1)</f>
        <v>96</v>
      </c>
      <c r="P58" s="7">
        <f ca="1" t="shared" si="2"/>
        <v>0.08125440000000002</v>
      </c>
      <c r="Q58" s="7">
        <f ca="1">IF(MATCH($B58,$B:$B,0)=ROW($B58),OFFSET('SoC Leakage'!$B$1,MATCH($B58,'SoC Leakage'!A:A,0)-1,0)*EXP(OFFSET('SoC Leakage'!$C$1,MATCH($B58,'SoC Leakage'!A:A,0)-1,0)*$N58)*EXP((OFFSET('SoC Leakage'!$D$1,MATCH($B58,'SoC Leakage'!A:A,0)-1,0)*$N58+OFFSET('SoC Leakage'!$E$1,MATCH($B58,'SoC Leakage'!A:A,0)-1,0))*Tj_eff),0)*1000*IF(OR(E58="AutoPD with Ret",E58="Auto"),G58*(F58&lt;&gt;"idle")+(100-G58*(F58&lt;&gt;"idle"))*0.1,IF(E58="AutoPD",G58*(F58&lt;&gt;"idle")+(100-G58*(F58&lt;&gt;"idle"))*0.05,100))/100*1.03</f>
        <v>0</v>
      </c>
      <c r="R58" s="7">
        <f ca="1">IF($E58="Disabled",0,OFFSET(INDIRECT(ADDRESS(1,4,1,1,Info!$B$1&amp;" Power")),MATCH($A58,OFFSET(INDIRECT(ADDRESS(1,4,1,1,Info!$B$1&amp;" Power")),3,0,100,1),0)+2,8,1,1))</f>
        <v>0</v>
      </c>
      <c r="S58" s="7">
        <f ca="1">IF($E58="Disabled",0,OFFSET(INDIRECT(ADDRESS(1,4,1,1,Info!$B$1&amp;" Power")),MATCH($A58,OFFSET(INDIRECT(ADDRESS(1,4,1,1,Info!$B$1&amp;" Power")),3,0,100,1),0)+2,9,1,1))</f>
        <v>0</v>
      </c>
      <c r="T58" s="7">
        <f ca="1">OFFSET('IP Dynamic Power Data'!$A$1,MATCH($A58,'IP Dynamic Power Data'!A:A,0)+1,MATCH($F58,OFFSET('IP Dynamic Power Data'!$A$1,MATCH($A58,'IP Dynamic Power Data'!A:A,0)-1,0,1,10),0)-1)</f>
        <v>0</v>
      </c>
      <c r="U58" s="7">
        <f ca="1">OFFSET('IP Dynamic Power Data'!$A$1,MATCH($A58,'IP Dynamic Power Data'!A:A,0)+1,MATCH("idle",OFFSET('IP Dynamic Power Data'!$A$1,MATCH($A58,'IP Dynamic Power Data'!A:A,0)-1,0,1,10),0)-1)</f>
        <v>0</v>
      </c>
      <c r="V58" s="7">
        <f ca="1" t="shared" si="3"/>
        <v>1.15</v>
      </c>
      <c r="W58" s="7">
        <f ca="1" t="shared" si="4"/>
        <v>96</v>
      </c>
      <c r="X58" s="7">
        <f ca="1" t="shared" si="5"/>
        <v>0</v>
      </c>
      <c r="Y58" s="7">
        <f ca="1">IF(MATCH($B58,$B:$B,0)=ROW($B58),OFFSET('SoC Leakage'!$G$1,MATCH($B58,'SoC Leakage'!A:A,0)-1,0)*EXP(OFFSET('SoC Leakage'!$H$1,MATCH($B58,'SoC Leakage'!A:A,0)-1,0)*$V58)*EXP((OFFSET('SoC Leakage'!$I$1,MATCH($B58,'SoC Leakage'!A:A,0)-1,0)*$V58+OFFSET('SoC Leakage'!$J$1,MATCH($B58,'SoC Leakage'!A:A,0)-1,0))*Tj_eff),0)*1000</f>
        <v>0</v>
      </c>
    </row>
    <row r="59" spans="1:25" ht="15">
      <c r="A59" s="5" t="s">
        <v>196</v>
      </c>
      <c r="B59" t="str">
        <f ca="1">OFFSET('IP Dynamic Power Data'!$C$1,MATCH($A59,'IP Dynamic Power Data'!$A:$A,0)-1,0)</f>
        <v>MMC4</v>
      </c>
      <c r="C59" t="s">
        <v>108</v>
      </c>
      <c r="D59" t="str">
        <f ca="1">OFFSET('IP Dynamic Power Data'!$B$1,MATCH($A59,'IP Dynamic Power Data'!$A:$A,0)-1,0)</f>
        <v>IO</v>
      </c>
      <c r="E59" t="str">
        <f ca="1">OFFSET(INDIRECT(ADDRESS(1,4,1,1,Info!$B$1&amp;" Power")),MATCH($A59,OFFSET(INDIRECT(ADDRESS(1,4,1,1,Info!$B$1&amp;" Power")),3,0,100,1),0)+2,4,1,1)</f>
        <v>Disabled</v>
      </c>
      <c r="F59" t="str">
        <f ca="1">OFFSET(INDIRECT(ADDRESS(1,4,1,1,Info!$B$1&amp;" Power")),MATCH($A59,OFFSET(INDIRECT(ADDRESS(1,4,1,1,Info!$B$1&amp;" Power")),3,0,100,1),0)+2,6,1,1)</f>
        <v>idle</v>
      </c>
      <c r="G59" s="17">
        <f ca="1">OFFSET(INDIRECT(ADDRESS(1,4,1,1,Info!$B$1&amp;" Power")),MATCH($A59,OFFSET(INDIRECT(ADDRESS(1,4,1,1,Info!$B$1&amp;" Power")),3,0,100,1),0)+2,7,1,1)</f>
        <v>0</v>
      </c>
      <c r="H59">
        <f ca="1" t="shared" si="6"/>
        <v>0</v>
      </c>
      <c r="I59">
        <f ca="1" t="shared" si="1"/>
        <v>0</v>
      </c>
      <c r="J59" t="str">
        <f ca="1">OFFSET('Power Domain Map'!$A$1,MATCH($C59,'Power Domain Map'!$A:$A,0)-1,2,1,1)</f>
        <v>AlwaysOn</v>
      </c>
      <c r="K59" s="17">
        <f ca="1">OFFSET('Power Domain Map'!$A$1,MATCH($C59,'Power Domain Map'!$A:$A,0)-1,3,1,1)</f>
        <v>100</v>
      </c>
      <c r="L59">
        <f ca="1">OFFSET('IP Dynamic Power Data'!$A$1,MATCH($A59,'IP Dynamic Power Data'!A:A,0),MATCH($F59,OFFSET('IP Dynamic Power Data'!$A$1,MATCH($A59,'IP Dynamic Power Data'!A:A,0)-1,0,1,10),0)-1)</f>
        <v>0.001</v>
      </c>
      <c r="M59">
        <f ca="1">OFFSET('IP Dynamic Power Data'!$A$1,MATCH($A59,'IP Dynamic Power Data'!A:A,0),MATCH("idle",OFFSET('IP Dynamic Power Data'!$A$1,MATCH($A59,'IP Dynamic Power Data'!A:A,0)-1,0,1,10),0)-1)</f>
        <v>0.001</v>
      </c>
      <c r="N59">
        <f ca="1">OFFSET(INDIRECT(ADDRESS(1,4,1,1,Info!$B$1&amp;" Power")),MATCH($A59,OFFSET(INDIRECT(ADDRESS(1,4,1,1,Info!$B$1&amp;" Power")),3,0,100,1),0)+2,1,1,1)</f>
        <v>0.92</v>
      </c>
      <c r="O59">
        <f ca="1">OFFSET(INDIRECT(ADDRESS(1,4,1,1,Info!$B$1&amp;" Power")),MATCH($A59,OFFSET(INDIRECT(ADDRESS(1,4,1,1,Info!$B$1&amp;" Power")),3,0,100,1),0)+2,2,1,1)</f>
        <v>96</v>
      </c>
      <c r="P59" s="7">
        <f ca="1" t="shared" si="2"/>
        <v>0.08125440000000002</v>
      </c>
      <c r="Q59" s="7">
        <f ca="1">IF(MATCH($B59,$B:$B,0)=ROW($B59),OFFSET('SoC Leakage'!$B$1,MATCH($B59,'SoC Leakage'!A:A,0)-1,0)*EXP(OFFSET('SoC Leakage'!$C$1,MATCH($B59,'SoC Leakage'!A:A,0)-1,0)*$N59)*EXP((OFFSET('SoC Leakage'!$D$1,MATCH($B59,'SoC Leakage'!A:A,0)-1,0)*$N59+OFFSET('SoC Leakage'!$E$1,MATCH($B59,'SoC Leakage'!A:A,0)-1,0))*Tj_eff),0)*1000*IF(OR(E59="AutoPD with Ret",E59="Auto"),G59*(F59&lt;&gt;"idle")+(100-G59*(F59&lt;&gt;"idle"))*0.1,IF(E59="AutoPD",G59*(F59&lt;&gt;"idle")+(100-G59*(F59&lt;&gt;"idle"))*0.05,100))/100*1.03</f>
        <v>0</v>
      </c>
      <c r="R59" s="7">
        <f ca="1">IF($E59="Disabled",0,OFFSET(INDIRECT(ADDRESS(1,4,1,1,Info!$B$1&amp;" Power")),MATCH($A59,OFFSET(INDIRECT(ADDRESS(1,4,1,1,Info!$B$1&amp;" Power")),3,0,100,1),0)+2,8,1,1))</f>
        <v>0</v>
      </c>
      <c r="S59" s="7">
        <f ca="1">IF($E59="Disabled",0,OFFSET(INDIRECT(ADDRESS(1,4,1,1,Info!$B$1&amp;" Power")),MATCH($A59,OFFSET(INDIRECT(ADDRESS(1,4,1,1,Info!$B$1&amp;" Power")),3,0,100,1),0)+2,9,1,1))</f>
        <v>0</v>
      </c>
      <c r="T59" s="7">
        <f ca="1">OFFSET('IP Dynamic Power Data'!$A$1,MATCH($A59,'IP Dynamic Power Data'!A:A,0)+1,MATCH($F59,OFFSET('IP Dynamic Power Data'!$A$1,MATCH($A59,'IP Dynamic Power Data'!A:A,0)-1,0,1,10),0)-1)</f>
        <v>0</v>
      </c>
      <c r="U59" s="7">
        <f ca="1">OFFSET('IP Dynamic Power Data'!$A$1,MATCH($A59,'IP Dynamic Power Data'!A:A,0)+1,MATCH("idle",OFFSET('IP Dynamic Power Data'!$A$1,MATCH($A59,'IP Dynamic Power Data'!A:A,0)-1,0,1,10),0)-1)</f>
        <v>0</v>
      </c>
      <c r="V59" s="7">
        <f ca="1" t="shared" si="3"/>
        <v>1.15</v>
      </c>
      <c r="W59" s="7">
        <f ca="1" t="shared" si="4"/>
        <v>96</v>
      </c>
      <c r="X59" s="7">
        <f ca="1" t="shared" si="5"/>
        <v>0</v>
      </c>
      <c r="Y59" s="7">
        <f ca="1">IF(MATCH($B59,$B:$B,0)=ROW($B59),OFFSET('SoC Leakage'!$G$1,MATCH($B59,'SoC Leakage'!A:A,0)-1,0)*EXP(OFFSET('SoC Leakage'!$H$1,MATCH($B59,'SoC Leakage'!A:A,0)-1,0)*$V59)*EXP((OFFSET('SoC Leakage'!$I$1,MATCH($B59,'SoC Leakage'!A:A,0)-1,0)*$V59+OFFSET('SoC Leakage'!$J$1,MATCH($B59,'SoC Leakage'!A:A,0)-1,0))*Tj_eff),0)*1000</f>
        <v>0</v>
      </c>
    </row>
    <row r="60" spans="1:25" ht="15">
      <c r="A60" s="5" t="s">
        <v>24</v>
      </c>
      <c r="B60" t="str">
        <f ca="1">OFFSET('IP Dynamic Power Data'!$C$1,MATCH($A60,'IP Dynamic Power Data'!$A:$A,0)-1,0)</f>
        <v>SPI</v>
      </c>
      <c r="C60" t="s">
        <v>108</v>
      </c>
      <c r="D60" t="str">
        <f ca="1">OFFSET('IP Dynamic Power Data'!$B$1,MATCH($A60,'IP Dynamic Power Data'!$A:$A,0)-1,0)</f>
        <v>IO</v>
      </c>
      <c r="E60" t="str">
        <f ca="1">OFFSET(INDIRECT(ADDRESS(1,4,1,1,Info!$B$1&amp;" Power")),MATCH($A60,OFFSET(INDIRECT(ADDRESS(1,4,1,1,Info!$B$1&amp;" Power")),3,0,100,1),0)+2,4,1,1)</f>
        <v>Always enabled</v>
      </c>
      <c r="F60" t="str">
        <f ca="1">OFFSET(INDIRECT(ADDRESS(1,4,1,1,Info!$B$1&amp;" Power")),MATCH($A60,OFFSET(INDIRECT(ADDRESS(1,4,1,1,Info!$B$1&amp;" Power")),3,0,100,1),0)+2,6,1,1)</f>
        <v>typ</v>
      </c>
      <c r="G60" s="17">
        <f ca="1">OFFSET(INDIRECT(ADDRESS(1,4,1,1,Info!$B$1&amp;" Power")),MATCH($A60,OFFSET(INDIRECT(ADDRESS(1,4,1,1,Info!$B$1&amp;" Power")),3,0,100,1),0)+2,7,1,1)</f>
        <v>100</v>
      </c>
      <c r="H60">
        <f ca="1" t="shared" si="6"/>
        <v>1</v>
      </c>
      <c r="I60">
        <f ca="1" t="shared" si="1"/>
        <v>0</v>
      </c>
      <c r="J60" t="str">
        <f ca="1">OFFSET('Power Domain Map'!$A$1,MATCH($C60,'Power Domain Map'!$A:$A,0)-1,2,1,1)</f>
        <v>AlwaysOn</v>
      </c>
      <c r="K60" s="17">
        <f ca="1">OFFSET('Power Domain Map'!$A$1,MATCH($C60,'Power Domain Map'!$A:$A,0)-1,3,1,1)</f>
        <v>100</v>
      </c>
      <c r="L60">
        <f ca="1">OFFSET('IP Dynamic Power Data'!$A$1,MATCH($A60,'IP Dynamic Power Data'!A:A,0),MATCH($F60,OFFSET('IP Dynamic Power Data'!$A$1,MATCH($A60,'IP Dynamic Power Data'!A:A,0)-1,0,1,10),0)-1)</f>
        <v>0.02</v>
      </c>
      <c r="M60">
        <f ca="1">OFFSET('IP Dynamic Power Data'!$A$1,MATCH($A60,'IP Dynamic Power Data'!A:A,0),MATCH("idle",OFFSET('IP Dynamic Power Data'!$A$1,MATCH($A60,'IP Dynamic Power Data'!A:A,0)-1,0,1,10),0)-1)</f>
        <v>0.001</v>
      </c>
      <c r="N60">
        <f ca="1">OFFSET(INDIRECT(ADDRESS(1,4,1,1,Info!$B$1&amp;" Power")),MATCH($A60,OFFSET(INDIRECT(ADDRESS(1,4,1,1,Info!$B$1&amp;" Power")),3,0,100,1),0)+2,1,1,1)</f>
        <v>0.92</v>
      </c>
      <c r="O60">
        <f ca="1">OFFSET(INDIRECT(ADDRESS(1,4,1,1,Info!$B$1&amp;" Power")),MATCH($A60,OFFSET(INDIRECT(ADDRESS(1,4,1,1,Info!$B$1&amp;" Power")),3,0,100,1),0)+2,2,1,1)</f>
        <v>10</v>
      </c>
      <c r="P60" s="7">
        <f ca="1" t="shared" si="2"/>
        <v>0.16928000000000004</v>
      </c>
      <c r="Q60" s="7">
        <f ca="1">IF(MATCH($B60,$B:$B,0)=ROW($B60),OFFSET('SoC Leakage'!$B$1,MATCH($B60,'SoC Leakage'!A:A,0)-1,0)*EXP(OFFSET('SoC Leakage'!$C$1,MATCH($B60,'SoC Leakage'!A:A,0)-1,0)*$N60)*EXP((OFFSET('SoC Leakage'!$D$1,MATCH($B60,'SoC Leakage'!A:A,0)-1,0)*$N60+OFFSET('SoC Leakage'!$E$1,MATCH($B60,'SoC Leakage'!A:A,0)-1,0))*Tj_eff),0)*1000*IF(OR(E60="AutoPD with Ret",E60="Auto"),G60*(F60&lt;&gt;"idle")+(100-G60*(F60&lt;&gt;"idle"))*0.1,IF(E60="AutoPD",G60*(F60&lt;&gt;"idle")+(100-G60*(F60&lt;&gt;"idle"))*0.05,100))/100*1.03</f>
        <v>0</v>
      </c>
      <c r="R60" s="7">
        <f ca="1">IF($E60="Disabled",0,OFFSET(INDIRECT(ADDRESS(1,4,1,1,Info!$B$1&amp;" Power")),MATCH($A60,OFFSET(INDIRECT(ADDRESS(1,4,1,1,Info!$B$1&amp;" Power")),3,0,100,1),0)+2,8,1,1))</f>
        <v>0</v>
      </c>
      <c r="S60" s="7">
        <f ca="1">IF($E60="Disabled",0,OFFSET(INDIRECT(ADDRESS(1,4,1,1,Info!$B$1&amp;" Power")),MATCH($A60,OFFSET(INDIRECT(ADDRESS(1,4,1,1,Info!$B$1&amp;" Power")),3,0,100,1),0)+2,9,1,1))</f>
        <v>0</v>
      </c>
      <c r="T60" s="7">
        <f ca="1">OFFSET('IP Dynamic Power Data'!$A$1,MATCH($A60,'IP Dynamic Power Data'!A:A,0)+1,MATCH($F60,OFFSET('IP Dynamic Power Data'!$A$1,MATCH($A60,'IP Dynamic Power Data'!A:A,0)-1,0,1,10),0)-1)</f>
        <v>0</v>
      </c>
      <c r="U60" s="7">
        <f ca="1">OFFSET('IP Dynamic Power Data'!$A$1,MATCH($A60,'IP Dynamic Power Data'!A:A,0)+1,MATCH("idle",OFFSET('IP Dynamic Power Data'!$A$1,MATCH($A60,'IP Dynamic Power Data'!A:A,0)-1,0,1,10),0)-1)</f>
        <v>0</v>
      </c>
      <c r="V60" s="7">
        <f ca="1" t="shared" si="3"/>
        <v>1.15</v>
      </c>
      <c r="W60" s="7">
        <f ca="1" t="shared" si="4"/>
        <v>10</v>
      </c>
      <c r="X60" s="7">
        <f ca="1" t="shared" si="5"/>
        <v>0</v>
      </c>
      <c r="Y60" s="7">
        <f ca="1">IF(MATCH($B60,$B:$B,0)=ROW($B60),OFFSET('SoC Leakage'!$G$1,MATCH($B60,'SoC Leakage'!A:A,0)-1,0)*EXP(OFFSET('SoC Leakage'!$H$1,MATCH($B60,'SoC Leakage'!A:A,0)-1,0)*$V60)*EXP((OFFSET('SoC Leakage'!$I$1,MATCH($B60,'SoC Leakage'!A:A,0)-1,0)*$V60+OFFSET('SoC Leakage'!$J$1,MATCH($B60,'SoC Leakage'!A:A,0)-1,0))*Tj_eff),0)*1000</f>
        <v>0</v>
      </c>
    </row>
    <row r="61" spans="1:25" ht="30">
      <c r="A61" s="6" t="s">
        <v>211</v>
      </c>
      <c r="B61" t="str">
        <f ca="1">OFFSET('IP Dynamic Power Data'!$C$1,MATCH($A61,'IP Dynamic Power Data'!$A:$A,0)-1,0)</f>
        <v>UART_I2C_GPIO</v>
      </c>
      <c r="C61" t="s">
        <v>108</v>
      </c>
      <c r="D61" t="str">
        <f ca="1">OFFSET('IP Dynamic Power Data'!$B$1,MATCH($A61,'IP Dynamic Power Data'!$A:$A,0)-1,0)</f>
        <v>IO</v>
      </c>
      <c r="E61" t="str">
        <f ca="1">OFFSET(INDIRECT(ADDRESS(1,4,1,1,Info!$B$1&amp;" Power")),MATCH($A61,OFFSET(INDIRECT(ADDRESS(1,4,1,1,Info!$B$1&amp;" Power")),3,0,100,1),0)+2,4,1,1)</f>
        <v>Always enabled</v>
      </c>
      <c r="F61" t="str">
        <f ca="1">OFFSET(INDIRECT(ADDRESS(1,4,1,1,Info!$B$1&amp;" Power")),MATCH($A61,OFFSET(INDIRECT(ADDRESS(1,4,1,1,Info!$B$1&amp;" Power")),3,0,100,1),0)+2,6,1,1)</f>
        <v>typ</v>
      </c>
      <c r="G61" s="17">
        <f ca="1">OFFSET(INDIRECT(ADDRESS(1,4,1,1,Info!$B$1&amp;" Power")),MATCH($A61,OFFSET(INDIRECT(ADDRESS(1,4,1,1,Info!$B$1&amp;" Power")),3,0,100,1),0)+2,7,1,1)</f>
        <v>100</v>
      </c>
      <c r="H61">
        <f ca="1" t="shared" si="6"/>
        <v>1</v>
      </c>
      <c r="I61">
        <f ca="1" t="shared" si="1"/>
        <v>0</v>
      </c>
      <c r="J61" t="str">
        <f ca="1">OFFSET('Power Domain Map'!$A$1,MATCH($C61,'Power Domain Map'!$A:$A,0)-1,2,1,1)</f>
        <v>AlwaysOn</v>
      </c>
      <c r="K61" s="17">
        <f ca="1">OFFSET('Power Domain Map'!$A$1,MATCH($C61,'Power Domain Map'!$A:$A,0)-1,3,1,1)</f>
        <v>100</v>
      </c>
      <c r="L61">
        <f ca="1">OFFSET('IP Dynamic Power Data'!$A$1,MATCH($A61,'IP Dynamic Power Data'!A:A,0),MATCH($F61,OFFSET('IP Dynamic Power Data'!$A$1,MATCH($A61,'IP Dynamic Power Data'!A:A,0)-1,0,1,10),0)-1)</f>
        <v>0.02</v>
      </c>
      <c r="M61">
        <f ca="1">OFFSET('IP Dynamic Power Data'!$A$1,MATCH($A61,'IP Dynamic Power Data'!A:A,0),MATCH("idle",OFFSET('IP Dynamic Power Data'!$A$1,MATCH($A61,'IP Dynamic Power Data'!A:A,0)-1,0,1,10),0)-1)</f>
        <v>0.001</v>
      </c>
      <c r="N61">
        <f ca="1">OFFSET(INDIRECT(ADDRESS(1,4,1,1,Info!$B$1&amp;" Power")),MATCH($A61,OFFSET(INDIRECT(ADDRESS(1,4,1,1,Info!$B$1&amp;" Power")),3,0,100,1),0)+2,1,1,1)</f>
        <v>0.92</v>
      </c>
      <c r="O61">
        <f ca="1">OFFSET(INDIRECT(ADDRESS(1,4,1,1,Info!$B$1&amp;" Power")),MATCH($A61,OFFSET(INDIRECT(ADDRESS(1,4,1,1,Info!$B$1&amp;" Power")),3,0,100,1),0)+2,2,1,1)</f>
        <v>27</v>
      </c>
      <c r="P61" s="7">
        <f ca="1" t="shared" si="2"/>
        <v>0.4570560000000001</v>
      </c>
      <c r="Q61" s="7">
        <f ca="1">IF(MATCH($B61,$B:$B,0)=ROW($B61),OFFSET('SoC Leakage'!$B$1,MATCH($B61,'SoC Leakage'!A:A,0)-1,0)*EXP(OFFSET('SoC Leakage'!$C$1,MATCH($B61,'SoC Leakage'!A:A,0)-1,0)*$N61)*EXP((OFFSET('SoC Leakage'!$D$1,MATCH($B61,'SoC Leakage'!A:A,0)-1,0)*$N61+OFFSET('SoC Leakage'!$E$1,MATCH($B61,'SoC Leakage'!A:A,0)-1,0))*Tj_eff),0)*1000*IF(OR(E61="AutoPD with Ret",E61="Auto"),G61*(F61&lt;&gt;"idle")+(100-G61*(F61&lt;&gt;"idle"))*0.1,IF(E61="AutoPD",G61*(F61&lt;&gt;"idle")+(100-G61*(F61&lt;&gt;"idle"))*0.05,100))/100*1.03</f>
        <v>0</v>
      </c>
      <c r="R61" s="7">
        <f ca="1">IF($E61="Disabled",0,OFFSET(INDIRECT(ADDRESS(1,4,1,1,Info!$B$1&amp;" Power")),MATCH($A61,OFFSET(INDIRECT(ADDRESS(1,4,1,1,Info!$B$1&amp;" Power")),3,0,100,1),0)+2,8,1,1))</f>
        <v>0</v>
      </c>
      <c r="S61" s="7">
        <f ca="1">IF($E61="Disabled",0,OFFSET(INDIRECT(ADDRESS(1,4,1,1,Info!$B$1&amp;" Power")),MATCH($A61,OFFSET(INDIRECT(ADDRESS(1,4,1,1,Info!$B$1&amp;" Power")),3,0,100,1),0)+2,9,1,1))</f>
        <v>0</v>
      </c>
      <c r="T61" s="7">
        <f ca="1">OFFSET('IP Dynamic Power Data'!$A$1,MATCH($A61,'IP Dynamic Power Data'!A:A,0)+1,MATCH($F61,OFFSET('IP Dynamic Power Data'!$A$1,MATCH($A61,'IP Dynamic Power Data'!A:A,0)-1,0,1,10),0)-1)</f>
        <v>0</v>
      </c>
      <c r="U61" s="7">
        <f ca="1">OFFSET('IP Dynamic Power Data'!$A$1,MATCH($A61,'IP Dynamic Power Data'!A:A,0)+1,MATCH("idle",OFFSET('IP Dynamic Power Data'!$A$1,MATCH($A61,'IP Dynamic Power Data'!A:A,0)-1,0,1,10),0)-1)</f>
        <v>0</v>
      </c>
      <c r="V61" s="7">
        <f ca="1" t="shared" si="3"/>
        <v>1.15</v>
      </c>
      <c r="W61" s="7">
        <f ca="1" t="shared" si="4"/>
        <v>27</v>
      </c>
      <c r="X61" s="7">
        <f ca="1" t="shared" si="5"/>
        <v>0</v>
      </c>
      <c r="Y61" s="7">
        <f ca="1">IF(MATCH($B61,$B:$B,0)=ROW($B61),OFFSET('SoC Leakage'!$G$1,MATCH($B61,'SoC Leakage'!A:A,0)-1,0)*EXP(OFFSET('SoC Leakage'!$H$1,MATCH($B61,'SoC Leakage'!A:A,0)-1,0)*$V61)*EXP((OFFSET('SoC Leakage'!$I$1,MATCH($B61,'SoC Leakage'!A:A,0)-1,0)*$V61+OFFSET('SoC Leakage'!$J$1,MATCH($B61,'SoC Leakage'!A:A,0)-1,0))*Tj_eff),0)*1000</f>
        <v>0</v>
      </c>
    </row>
    <row r="62" spans="1:25" ht="15">
      <c r="A62" s="6" t="s">
        <v>265</v>
      </c>
      <c r="B62" t="str">
        <f ca="1">OFFSET('IP Dynamic Power Data'!$C$1,MATCH($A62,'IP Dynamic Power Data'!$A:$A,0)-1,0)</f>
        <v>IO_PER</v>
      </c>
      <c r="C62" t="s">
        <v>108</v>
      </c>
      <c r="D62" t="s">
        <v>234</v>
      </c>
      <c r="E62" t="str">
        <f ca="1">OFFSET(INDIRECT(ADDRESS(1,4,1,1,Info!$B$1&amp;" Power")),MATCH($A62,OFFSET(INDIRECT(ADDRESS(1,4,1,1,Info!$B$1&amp;" Power")),3,0,100,1),0)+2,4,1,1)</f>
        <v>Always enabled</v>
      </c>
      <c r="F62" t="str">
        <f ca="1">OFFSET(INDIRECT(ADDRESS(1,4,1,1,Info!$B$1&amp;" Power")),MATCH($A62,OFFSET(INDIRECT(ADDRESS(1,4,1,1,Info!$B$1&amp;" Power")),3,0,100,1),0)+2,6,1,1)</f>
        <v>typ</v>
      </c>
      <c r="G62" s="17">
        <f ca="1">OFFSET(INDIRECT(ADDRESS(1,4,1,1,Info!$B$1&amp;" Power")),MATCH($A62,OFFSET(INDIRECT(ADDRESS(1,4,1,1,Info!$B$1&amp;" Power")),3,0,100,1),0)+2,7,1,1)</f>
        <v>0</v>
      </c>
      <c r="H62">
        <f aca="true" t="shared" si="19" ref="H62">IF(E62="Always enabled",1,0)</f>
        <v>1</v>
      </c>
      <c r="I62">
        <f ca="1" t="shared" si="1"/>
        <v>0</v>
      </c>
      <c r="J62" t="str">
        <f ca="1">OFFSET('Power Domain Map'!$A$1,MATCH($C62,'Power Domain Map'!$A:$A,0)-1,2,1,1)</f>
        <v>AlwaysOn</v>
      </c>
      <c r="K62" s="17">
        <f ca="1">OFFSET('Power Domain Map'!$A$1,MATCH($C62,'Power Domain Map'!$A:$A,0)-1,3,1,1)</f>
        <v>100</v>
      </c>
      <c r="L62">
        <f ca="1">OFFSET('IP Dynamic Power Data'!$A$1,MATCH($A62,'IP Dynamic Power Data'!A:A,0),MATCH($F62,OFFSET('IP Dynamic Power Data'!$A$1,MATCH($A62,'IP Dynamic Power Data'!A:A,0)-1,0,1,10),0)-1)</f>
        <v>0</v>
      </c>
      <c r="M62">
        <f ca="1">OFFSET('IP Dynamic Power Data'!$A$1,MATCH($A62,'IP Dynamic Power Data'!A:A,0),MATCH("idle",OFFSET('IP Dynamic Power Data'!$A$1,MATCH($A62,'IP Dynamic Power Data'!A:A,0)-1,0,1,10),0)-1)</f>
        <v>0</v>
      </c>
      <c r="N62">
        <f ca="1">OFFSET(INDIRECT(ADDRESS(1,4,1,1,Info!$B$1&amp;" Power")),MATCH($A62,OFFSET(INDIRECT(ADDRESS(1,4,1,1,Info!$B$1&amp;" Power")),3,0,100,1),0)+2,1,1,1)</f>
        <v>0.92</v>
      </c>
      <c r="O62">
        <f ca="1">OFFSET(INDIRECT(ADDRESS(1,4,1,1,Info!$B$1&amp;" Power")),MATCH($A62,OFFSET(INDIRECT(ADDRESS(1,4,1,1,Info!$B$1&amp;" Power")),3,0,100,1),0)+2,2,1,1)</f>
        <v>532</v>
      </c>
      <c r="P62" s="7">
        <f ca="1" t="shared" si="2"/>
        <v>0</v>
      </c>
      <c r="Q62" s="7">
        <f ca="1">IF(MATCH($B62,$B:$B,0)=ROW($B62),OFFSET('SoC Leakage'!$B$1,MATCH($B62,'SoC Leakage'!A:A,0)-1,0)*EXP(OFFSET('SoC Leakage'!$C$1,MATCH($B62,'SoC Leakage'!A:A,0)-1,0)*$N62)*EXP((OFFSET('SoC Leakage'!$D$1,MATCH($B62,'SoC Leakage'!A:A,0)-1,0)*$N62+OFFSET('SoC Leakage'!$E$1,MATCH($B62,'SoC Leakage'!A:A,0)-1,0))*Tj_eff),0)*1000*IF(OR(E62="AutoPD with Ret",E62="Auto"),G62*(F62&lt;&gt;"idle")+(100-G62*(F62&lt;&gt;"idle"))*0.1,IF(E62="AutoPD",G62*(F62&lt;&gt;"idle")+(100-G62*(F62&lt;&gt;"idle"))*0.05,100))/100*1.03</f>
        <v>20.504246541875837</v>
      </c>
      <c r="R62" s="7">
        <f ca="1">IF($E62="Disabled",0,OFFSET(INDIRECT(ADDRESS(1,4,1,1,Info!$B$1&amp;" Power")),MATCH($A62,OFFSET(INDIRECT(ADDRESS(1,4,1,1,Info!$B$1&amp;" Power")),3,0,100,1),0)+2,8,1,1))</f>
        <v>0</v>
      </c>
      <c r="S62" s="7">
        <f ca="1">IF($E62="Disabled",0,OFFSET(INDIRECT(ADDRESS(1,4,1,1,Info!$B$1&amp;" Power")),MATCH($A62,OFFSET(INDIRECT(ADDRESS(1,4,1,1,Info!$B$1&amp;" Power")),3,0,100,1),0)+2,9,1,1))</f>
        <v>0</v>
      </c>
      <c r="T62" s="7">
        <f ca="1">OFFSET('IP Dynamic Power Data'!$A$1,MATCH($A62,'IP Dynamic Power Data'!A:A,0)+1,MATCH($F62,OFFSET('IP Dynamic Power Data'!$A$1,MATCH($A62,'IP Dynamic Power Data'!A:A,0)-1,0,1,10),0)-1)</f>
        <v>0</v>
      </c>
      <c r="U62" s="7">
        <f ca="1">OFFSET('IP Dynamic Power Data'!$A$1,MATCH($A62,'IP Dynamic Power Data'!A:A,0)+1,MATCH("idle",OFFSET('IP Dynamic Power Data'!$A$1,MATCH($A62,'IP Dynamic Power Data'!A:A,0)-1,0,1,10),0)-1)</f>
        <v>0</v>
      </c>
      <c r="V62" s="7">
        <f ca="1" t="shared" si="3"/>
        <v>1.15</v>
      </c>
      <c r="W62" s="7">
        <f aca="true" t="shared" si="20" ref="W62">O62</f>
        <v>532</v>
      </c>
      <c r="X62" s="7">
        <f aca="true" t="shared" si="21" ref="X62">IF(J62="AlwaysOn",G62*T62/100+(1-G62/100)*U62,(IF(J62="Auto",G62/100*T62,0)))*W62*V62*V62</f>
        <v>0</v>
      </c>
      <c r="Y62" s="7">
        <f ca="1">IF(MATCH($B62,$B:$B,0)=ROW($B62),OFFSET('SoC Leakage'!$G$1,MATCH($B62,'SoC Leakage'!A:A,0)-1,0)*EXP(OFFSET('SoC Leakage'!$H$1,MATCH($B62,'SoC Leakage'!A:A,0)-1,0)*$V62)*EXP((OFFSET('SoC Leakage'!$I$1,MATCH($B62,'SoC Leakage'!A:A,0)-1,0)*$V62+OFFSET('SoC Leakage'!$J$1,MATCH($B62,'SoC Leakage'!A:A,0)-1,0))*Tj_eff),0)*1000</f>
        <v>1.6333080586262863</v>
      </c>
    </row>
    <row r="63" spans="1:25" ht="15">
      <c r="A63" s="6" t="s">
        <v>264</v>
      </c>
      <c r="B63" t="s">
        <v>264</v>
      </c>
      <c r="C63" t="s">
        <v>100</v>
      </c>
      <c r="D63" t="str">
        <f ca="1">OFFSET('IP Dynamic Power Data'!$B$1,MATCH($A63,'IP Dynamic Power Data'!$A:$A,0)-1,0)</f>
        <v>Core</v>
      </c>
      <c r="E63" t="str">
        <f ca="1">OFFSET(INDIRECT(ADDRESS(1,4,1,1,Info!$B$1&amp;" Power")),MATCH($A63,OFFSET(INDIRECT(ADDRESS(1,4,1,1,Info!$B$1&amp;" Power")),3,0,100,1),0)+2,4,1,1)</f>
        <v>Always enabled</v>
      </c>
      <c r="F63" t="str">
        <f ca="1">OFFSET(INDIRECT(ADDRESS(1,4,1,1,Info!$B$1&amp;" Power")),MATCH($A63,OFFSET(INDIRECT(ADDRESS(1,4,1,1,Info!$B$1&amp;" Power")),3,0,100,1),0)+2,6,1,1)</f>
        <v>typ</v>
      </c>
      <c r="G63" s="17">
        <f ca="1">OFFSET(INDIRECT(ADDRESS(1,4,1,1,Info!$B$1&amp;" Power")),MATCH($A63,OFFSET(INDIRECT(ADDRESS(1,4,1,1,Info!$B$1&amp;" Power")),3,0,100,1),0)+2,7,1,1)</f>
        <v>30</v>
      </c>
      <c r="H63">
        <f aca="true" t="shared" si="22" ref="H63">IF(E63="Always enabled",1,0)</f>
        <v>1</v>
      </c>
      <c r="I63">
        <f ca="1" t="shared" si="1"/>
        <v>0</v>
      </c>
      <c r="J63" t="str">
        <f ca="1">OFFSET('Power Domain Map'!$A$1,MATCH($C63,'Power Domain Map'!$A:$A,0)-1,2,1,1)</f>
        <v>AlwaysOn</v>
      </c>
      <c r="K63" s="17">
        <f ca="1">OFFSET('Power Domain Map'!$A$1,MATCH($C63,'Power Domain Map'!$A:$A,0)-1,3,1,1)</f>
        <v>100</v>
      </c>
      <c r="L63">
        <f ca="1">OFFSET('IP Dynamic Power Data'!$A$1,MATCH($A63,'IP Dynamic Power Data'!A:A,0),MATCH($F63,OFFSET('IP Dynamic Power Data'!$A$1,MATCH($A63,'IP Dynamic Power Data'!A:A,0)-1,0,1,10),0)-1)</f>
        <v>0.4</v>
      </c>
      <c r="M63">
        <f ca="1">OFFSET('IP Dynamic Power Data'!$A$1,MATCH($A63,'IP Dynamic Power Data'!A:A,0),MATCH("idle",OFFSET('IP Dynamic Power Data'!$A$1,MATCH($A63,'IP Dynamic Power Data'!A:A,0)-1,0,1,10),0)-1)</f>
        <v>0.2</v>
      </c>
      <c r="N63">
        <f ca="1">OFFSET(INDIRECT(ADDRESS(1,4,1,1,Info!$B$1&amp;" Power")),MATCH($A63,OFFSET(INDIRECT(ADDRESS(1,4,1,1,Info!$B$1&amp;" Power")),3,0,100,1),0)+2,1,1,1)</f>
        <v>0.92</v>
      </c>
      <c r="O63">
        <f ca="1">OFFSET(INDIRECT(ADDRESS(1,4,1,1,Info!$B$1&amp;" Power")),MATCH($A63,OFFSET(INDIRECT(ADDRESS(1,4,1,1,Info!$B$1&amp;" Power")),3,0,100,1),0)+2,2,1,1)</f>
        <v>532</v>
      </c>
      <c r="P63" s="7">
        <f ca="1" t="shared" si="2"/>
        <v>117.074048</v>
      </c>
      <c r="Q63" s="7">
        <f ca="1">IF(MATCH($B63,$B:$B,0)=ROW($B63),OFFSET('SoC Leakage'!$B$1,MATCH($B63,'SoC Leakage'!A:A,0)-1,0)*EXP(OFFSET('SoC Leakage'!$C$1,MATCH($B63,'SoC Leakage'!A:A,0)-1,0)*$N63)*EXP((OFFSET('SoC Leakage'!$D$1,MATCH($B63,'SoC Leakage'!A:A,0)-1,0)*$N63+OFFSET('SoC Leakage'!$E$1,MATCH($B63,'SoC Leakage'!A:A,0)-1,0))*Tj_eff),0)*1000*IF(OR(E63="AutoPD with Ret",E63="Auto"),G63*(F63&lt;&gt;"idle")+(100-G63*(F63&lt;&gt;"idle"))*0.1,IF(E63="AutoPD",G63*(F63&lt;&gt;"idle")+(100-G63*(F63&lt;&gt;"idle"))*0.05,100))/100*1.03</f>
        <v>67.92066820103409</v>
      </c>
      <c r="R63" s="7">
        <f ca="1">IF($E63="Disabled",0,OFFSET(INDIRECT(ADDRESS(1,4,1,1,Info!$B$1&amp;" Power")),MATCH($A63,OFFSET(INDIRECT(ADDRESS(1,4,1,1,Info!$B$1&amp;" Power")),3,0,100,1),0)+2,8,1,1))</f>
        <v>0</v>
      </c>
      <c r="S63" s="7">
        <f ca="1">IF($E63="Disabled",0,OFFSET(INDIRECT(ADDRESS(1,4,1,1,Info!$B$1&amp;" Power")),MATCH($A63,OFFSET(INDIRECT(ADDRESS(1,4,1,1,Info!$B$1&amp;" Power")),3,0,100,1),0)+2,9,1,1))</f>
        <v>0</v>
      </c>
      <c r="T63" s="7">
        <f ca="1">OFFSET('IP Dynamic Power Data'!$A$1,MATCH($A63,'IP Dynamic Power Data'!A:A,0)+1,MATCH($F63,OFFSET('IP Dynamic Power Data'!$A$1,MATCH($A63,'IP Dynamic Power Data'!A:A,0)-1,0,1,10),0)-1)</f>
        <v>0</v>
      </c>
      <c r="U63" s="7">
        <f ca="1">OFFSET('IP Dynamic Power Data'!$A$1,MATCH($A63,'IP Dynamic Power Data'!A:A,0)+1,MATCH("idle",OFFSET('IP Dynamic Power Data'!$A$1,MATCH($A63,'IP Dynamic Power Data'!A:A,0)-1,0,1,10),0)-1)</f>
        <v>0</v>
      </c>
      <c r="V63" s="7">
        <f ca="1" t="shared" si="3"/>
        <v>1.15</v>
      </c>
      <c r="W63" s="7">
        <f aca="true" t="shared" si="23" ref="W63">O63</f>
        <v>532</v>
      </c>
      <c r="X63" s="7">
        <f aca="true" t="shared" si="24" ref="X63">IF(J63="AlwaysOn",G63*T63/100+(1-G63/100)*U63,(IF(J63="Auto",G63/100*T63,0)))*W63*V63*V63</f>
        <v>0</v>
      </c>
      <c r="Y63" s="7">
        <f ca="1">IF(MATCH($B63,$B:$B,0)=ROW($B63),OFFSET('SoC Leakage'!$G$1,MATCH($B63,'SoC Leakage'!A:A,0)-1,0)*EXP(OFFSET('SoC Leakage'!$H$1,MATCH($B63,'SoC Leakage'!A:A,0)-1,0)*$V63)*EXP((OFFSET('SoC Leakage'!$I$1,MATCH($B63,'SoC Leakage'!A:A,0)-1,0)*$V63+OFFSET('SoC Leakage'!$J$1,MATCH($B63,'SoC Leakage'!A:A,0)-1,0))*Tj_eff),0)*1000</f>
        <v>3.566333921366909</v>
      </c>
    </row>
    <row r="64" spans="1:25" ht="15">
      <c r="A64" s="10" t="s">
        <v>213</v>
      </c>
      <c r="B64" t="str">
        <f ca="1">OFFSET('IP Dynamic Power Data'!$C$1,MATCH($A64,'IP Dynamic Power Data'!$A:$A,0)-1,0)</f>
        <v>RTCSS</v>
      </c>
      <c r="C64" t="s">
        <v>215</v>
      </c>
      <c r="D64" t="str">
        <f ca="1">OFFSET('IP Dynamic Power Data'!$B$1,MATCH($A64,'IP Dynamic Power Data'!$A:$A,0)-1,0)</f>
        <v>Core</v>
      </c>
      <c r="E64" t="str">
        <f ca="1">OFFSET(INDIRECT(ADDRESS(1,4,1,1,Info!$B$1&amp;" Power")),MATCH($A64,OFFSET(INDIRECT(ADDRESS(1,4,1,1,Info!$B$1&amp;" Power")),3,0,100,1),0)+2,4,1,1)</f>
        <v>Always enabled</v>
      </c>
      <c r="F64" t="str">
        <f ca="1">OFFSET(INDIRECT(ADDRESS(1,4,1,1,Info!$B$1&amp;" Power")),MATCH($A64,OFFSET(INDIRECT(ADDRESS(1,4,1,1,Info!$B$1&amp;" Power")),3,0,100,1),0)+2,6,1,1)</f>
        <v>idle</v>
      </c>
      <c r="G64" s="17">
        <f ca="1">OFFSET(INDIRECT(ADDRESS(1,4,1,1,Info!$B$1&amp;" Power")),MATCH($A64,OFFSET(INDIRECT(ADDRESS(1,4,1,1,Info!$B$1&amp;" Power")),3,0,100,1),0)+2,7,1,1)</f>
        <v>0</v>
      </c>
      <c r="H64">
        <f aca="true" t="shared" si="25" ref="H64">IF(E64="Always enabled",1,0)</f>
        <v>1</v>
      </c>
      <c r="I64">
        <f ca="1" t="shared" si="1"/>
        <v>0</v>
      </c>
      <c r="J64" t="str">
        <f ca="1">OFFSET('Power Domain Map'!$A$1,MATCH($C64,'Power Domain Map'!$A:$A,0)-1,2,1,1)</f>
        <v>AlwaysOn</v>
      </c>
      <c r="K64" s="17">
        <f ca="1">OFFSET('Power Domain Map'!$A$1,MATCH($C64,'Power Domain Map'!$A:$A,0)-1,3,1,1)</f>
        <v>100</v>
      </c>
      <c r="L64">
        <f ca="1">OFFSET('IP Dynamic Power Data'!$A$1,MATCH($A64,'IP Dynamic Power Data'!A:A,0),MATCH($F64,OFFSET('IP Dynamic Power Data'!$A$1,MATCH($A64,'IP Dynamic Power Data'!A:A,0)-1,0,1,10),0)-1)</f>
        <v>0.001</v>
      </c>
      <c r="M64">
        <f ca="1">OFFSET('IP Dynamic Power Data'!$A$1,MATCH($A64,'IP Dynamic Power Data'!A:A,0),MATCH("idle",OFFSET('IP Dynamic Power Data'!$A$1,MATCH($A64,'IP Dynamic Power Data'!A:A,0)-1,0,1,10),0)-1)</f>
        <v>0.001</v>
      </c>
      <c r="N64">
        <f ca="1">OFFSET(INDIRECT(ADDRESS(1,4,1,1,Info!$B$1&amp;" Power")),MATCH($A64,OFFSET(INDIRECT(ADDRESS(1,4,1,1,Info!$B$1&amp;" Power")),3,0,100,1),0)+2,1,1,1)</f>
        <v>0.92</v>
      </c>
      <c r="O64">
        <f ca="1">OFFSET(INDIRECT(ADDRESS(1,4,1,1,Info!$B$1&amp;" Power")),MATCH($A64,OFFSET(INDIRECT(ADDRESS(1,4,1,1,Info!$B$1&amp;" Power")),3,0,100,1),0)+2,2,1,1)</f>
        <v>0</v>
      </c>
      <c r="P64" s="7">
        <f ca="1" t="shared" si="2"/>
        <v>0</v>
      </c>
      <c r="Q64" s="7">
        <f ca="1">IF(MATCH($B64,$B:$B,0)=ROW($B64),OFFSET('SoC Leakage'!$B$1,MATCH($B64,'SoC Leakage'!A:A,0)-1,0)*EXP(OFFSET('SoC Leakage'!$C$1,MATCH($B64,'SoC Leakage'!A:A,0)-1,0)*$N64)*EXP((OFFSET('SoC Leakage'!$D$1,MATCH($B64,'SoC Leakage'!A:A,0)-1,0)*$N64+OFFSET('SoC Leakage'!$E$1,MATCH($B64,'SoC Leakage'!A:A,0)-1,0))*Tj_eff),0)*1000*IF(OR(E64="AutoPD with Ret",E64="Auto"),G64*(F64&lt;&gt;"idle")+(100-G64*(F64&lt;&gt;"idle"))*0.1,IF(E64="AutoPD",G64*(F64&lt;&gt;"idle")+(100-G64*(F64&lt;&gt;"idle"))*0.05,100))/100*1.03</f>
        <v>0</v>
      </c>
      <c r="R64" s="7">
        <f ca="1">IF($E64="Disabled",0,OFFSET(INDIRECT(ADDRESS(1,4,1,1,Info!$B$1&amp;" Power")),MATCH($A64,OFFSET(INDIRECT(ADDRESS(1,4,1,1,Info!$B$1&amp;" Power")),3,0,100,1),0)+2,8,1,1))</f>
        <v>0</v>
      </c>
      <c r="S64" s="7">
        <f ca="1">IF($E64="Disabled",0,OFFSET(INDIRECT(ADDRESS(1,4,1,1,Info!$B$1&amp;" Power")),MATCH($A64,OFFSET(INDIRECT(ADDRESS(1,4,1,1,Info!$B$1&amp;" Power")),3,0,100,1),0)+2,9,1,1))</f>
        <v>0</v>
      </c>
      <c r="T64" s="7">
        <f ca="1">OFFSET('IP Dynamic Power Data'!$A$1,MATCH($A64,'IP Dynamic Power Data'!A:A,0)+1,MATCH($F64,OFFSET('IP Dynamic Power Data'!$A$1,MATCH($A64,'IP Dynamic Power Data'!A:A,0)-1,0,1,10),0)-1)</f>
        <v>0</v>
      </c>
      <c r="U64" s="7">
        <f ca="1">OFFSET('IP Dynamic Power Data'!$A$1,MATCH($A64,'IP Dynamic Power Data'!A:A,0)+1,MATCH("idle",OFFSET('IP Dynamic Power Data'!$A$1,MATCH($A64,'IP Dynamic Power Data'!A:A,0)-1,0,1,10),0)-1)</f>
        <v>0</v>
      </c>
      <c r="V64" s="7">
        <f ca="1" t="shared" si="3"/>
        <v>1.15</v>
      </c>
      <c r="W64" s="7">
        <f ca="1" t="shared" si="4"/>
        <v>0</v>
      </c>
      <c r="X64" s="7">
        <f ca="1" t="shared" si="5"/>
        <v>0</v>
      </c>
      <c r="Y64" s="7">
        <f ca="1">IF(MATCH($B64,$B:$B,0)=ROW($B64),OFFSET('SoC Leakage'!$G$1,MATCH($B64,'SoC Leakage'!A:A,0)-1,0)*EXP(OFFSET('SoC Leakage'!$H$1,MATCH($B64,'SoC Leakage'!A:A,0)-1,0)*$V64)*EXP((OFFSET('SoC Leakage'!$I$1,MATCH($B64,'SoC Leakage'!A:A,0)-1,0)*$V64+OFFSET('SoC Leakage'!$J$1,MATCH($B64,'SoC Leakage'!A:A,0)-1,0))*Tj_eff),0)*1000</f>
        <v>0</v>
      </c>
    </row>
    <row r="65" spans="1:27" ht="15">
      <c r="A65" s="10"/>
      <c r="P65" s="7"/>
      <c r="Q65" s="7"/>
      <c r="R65" s="7">
        <f ca="1">SUM(R2:R64)</f>
        <v>2165</v>
      </c>
      <c r="S65" s="7">
        <f ca="1">SUM(S2:S64)</f>
        <v>2000</v>
      </c>
      <c r="T65" s="7"/>
      <c r="U65" s="7"/>
      <c r="V65" s="7"/>
      <c r="W65" s="7"/>
      <c r="X65" s="7"/>
      <c r="Y65" s="7"/>
      <c r="Z65" s="7">
        <f ca="1">IF(NUM_DDR_CH=2,R65/2,R65)/(DDR_FREQ*2*IF(DDR_WIDTH=32,4,2))*1.6</f>
        <v>0.40695488721804507</v>
      </c>
      <c r="AA65" s="7">
        <f ca="1">IF(NUM_DDR_CH=2,S65/2,S65)/(DDR_FREQ*2*IF(DDR_WIDTH=32,4,2))*1.6</f>
        <v>0.3759398496240602</v>
      </c>
    </row>
    <row r="66" spans="1:25" ht="15">
      <c r="A66" s="10" t="s">
        <v>242</v>
      </c>
      <c r="B66" t="str">
        <f ca="1">OFFSET('IP Dynamic Power Data'!$C$1,MATCH($A66,'IP Dynamic Power Data'!$A:$A,0)-1,0)</f>
        <v>EMIF1</v>
      </c>
      <c r="C66" t="s">
        <v>244</v>
      </c>
      <c r="D66" t="str">
        <f ca="1">OFFSET('IP Dynamic Power Data'!$B$1,MATCH($A66,'IP Dynamic Power Data'!$A:$A,0)-1,0)</f>
        <v>Core</v>
      </c>
      <c r="E66" t="str">
        <f ca="1">OFFSET(INDIRECT(ADDRESS(1,4,1,1,Info!$B$1&amp;" Power")),MATCH($A66,OFFSET(INDIRECT(ADDRESS(1,4,1,1,Info!$B$1&amp;" Power")),3,0,100,1),0)+2,4,1,1)</f>
        <v>AutoCG</v>
      </c>
      <c r="F66" t="s">
        <v>69</v>
      </c>
      <c r="G66" s="17">
        <f ca="1">IF(J66="AlwaysOn",($Z$65+$AA$65)*IF(DDR_WIDTH=32,1,0.5)+(1-$Z$65-$AA$65),(IF(J66="Auto",($Z$65+$AA$65)*IF(DDR_WIDTH=32,1,0.5),0)))*100</f>
        <v>100</v>
      </c>
      <c r="H66">
        <f aca="true" t="shared" si="26" ref="H66:H68">IF(E66="Always enabled",1,0)</f>
        <v>0</v>
      </c>
      <c r="I66">
        <f aca="true" t="shared" si="27" ref="I66:I68">IF(OR(E66="AutoCG",E66="AutoPD",E66="AutoPD with Ret",E66="Auto"),1,0)</f>
        <v>1</v>
      </c>
      <c r="J66" t="str">
        <f ca="1">OFFSET('Power Domain Map'!$A$1,MATCH($C66,'Power Domain Map'!$A:$A,0)-1,2,1,1)</f>
        <v>AlwaysOn</v>
      </c>
      <c r="K66" s="17">
        <f ca="1">OFFSET('Power Domain Map'!$A$1,MATCH($C66,'Power Domain Map'!$A:$A,0)-1,3,1,1)</f>
        <v>100</v>
      </c>
      <c r="L66">
        <f ca="1">OFFSET('IP Dynamic Power Data'!$A$1,MATCH($A66,'IP Dynamic Power Data'!A:A,0),MATCH($F66,OFFSET('IP Dynamic Power Data'!$A$1,MATCH($A66,'IP Dynamic Power Data'!A:A,0)-1,0,1,10),0)-1)</f>
        <v>0.1</v>
      </c>
      <c r="M66">
        <f ca="1">OFFSET('IP Dynamic Power Data'!$A$1,MATCH($A66,'IP Dynamic Power Data'!A:A,0),MATCH("idle",OFFSET('IP Dynamic Power Data'!$A$1,MATCH($A66,'IP Dynamic Power Data'!A:A,0)-1,0,1,10),0)-1)</f>
        <v>0.005</v>
      </c>
      <c r="N66">
        <f ca="1">OFFSET(INDIRECT(ADDRESS(1,4,1,1,Info!$B$1&amp;" Power")),MATCH($A66,OFFSET(INDIRECT(ADDRESS(1,4,1,1,Info!$B$1&amp;" Power")),3,0,100,1),0)+2,1,1,1)</f>
        <v>0.92</v>
      </c>
      <c r="O66">
        <f ca="1">OFFSET(INDIRECT(ADDRESS(1,4,1,1,Info!$B$1&amp;" Power")),MATCH($A66,OFFSET(INDIRECT(ADDRESS(1,4,1,1,Info!$B$1&amp;" Power")),3,0,100,1),0)+2,2,1,1)</f>
        <v>266</v>
      </c>
      <c r="P66" s="7">
        <f aca="true" t="shared" si="28" ref="P66:P68">IF(J66="AlwaysOn",G66*L66/100+(1-G66/100)*M66,(IF(AND(J66="Auto",F66&lt;&gt;"idle"),G66/100*L66+(K66-G66)*M66/100,(K66)*M66/100)))*O66*N66*N66</f>
        <v>22.51424</v>
      </c>
      <c r="Q66" s="7">
        <f ca="1">IF(MATCH($B66,$B:$B,0)=ROW($B66),OFFSET('SoC Leakage'!$B$1,MATCH($B66,'SoC Leakage'!A:A,0)-1,0)*EXP(OFFSET('SoC Leakage'!$C$1,MATCH($B66,'SoC Leakage'!A:A,0)-1,0)*$N66)*EXP((OFFSET('SoC Leakage'!$D$1,MATCH($B66,'SoC Leakage'!A:A,0)-1,0)*$N66+OFFSET('SoC Leakage'!$E$1,MATCH($B66,'SoC Leakage'!A:A,0)-1,0))*Tj_eff),0)*1000*IF(OR(E66="AutoPD with Ret",E66="Auto"),G66*(F66&lt;&gt;"idle")+(100-G66*(F66&lt;&gt;"idle"))*0.1,IF(E66="AutoPD",G66*(F66&lt;&gt;"idle")+(100-G66*(F66&lt;&gt;"idle"))*0.05,100))/100*1.03</f>
        <v>3.8414606722235844</v>
      </c>
      <c r="R66" s="7">
        <f ca="1">IF($E66="Disabled",0,OFFSET(INDIRECT(ADDRESS(1,4,1,1,Info!$B$1&amp;" Power")),MATCH($A66,OFFSET(INDIRECT(ADDRESS(1,4,1,1,Info!$B$1&amp;" Power")),3,0,100,1),0)+2,8,1,1))</f>
        <v>0</v>
      </c>
      <c r="S66" s="7">
        <f ca="1">IF($E66="Disabled",0,OFFSET(INDIRECT(ADDRESS(1,4,1,1,Info!$B$1&amp;" Power")),MATCH($A66,OFFSET(INDIRECT(ADDRESS(1,4,1,1,Info!$B$1&amp;" Power")),3,0,100,1),0)+2,9,1,1))</f>
        <v>0</v>
      </c>
      <c r="T66" s="7">
        <f ca="1">OFFSET('IP Dynamic Power Data'!$A$1,MATCH($A66,'IP Dynamic Power Data'!A:A,0)+1,MATCH($F66,OFFSET('IP Dynamic Power Data'!$A$1,MATCH($A66,'IP Dynamic Power Data'!A:A,0)-1,0,1,10),0)-1)</f>
        <v>0</v>
      </c>
      <c r="U66" s="7">
        <f ca="1">OFFSET('IP Dynamic Power Data'!$A$1,MATCH($A66,'IP Dynamic Power Data'!A:A,0)+1,MATCH("idle",OFFSET('IP Dynamic Power Data'!$A$1,MATCH($A66,'IP Dynamic Power Data'!A:A,0)-1,0,1,10),0)-1)</f>
        <v>0</v>
      </c>
      <c r="V66" s="7">
        <f ca="1" t="shared" si="3"/>
        <v>1.15</v>
      </c>
      <c r="W66" s="7">
        <f ca="1" t="shared" si="4"/>
        <v>266</v>
      </c>
      <c r="X66" s="7">
        <f ca="1" t="shared" si="5"/>
        <v>0</v>
      </c>
      <c r="Y66" s="7">
        <f ca="1">IF(MATCH($B66,$B:$B,0)=ROW($B66),OFFSET('SoC Leakage'!$G$1,MATCH($B66,'SoC Leakage'!A:A,0)-1,0)*EXP(OFFSET('SoC Leakage'!$H$1,MATCH($B66,'SoC Leakage'!A:A,0)-1,0)*$V66)*EXP((OFFSET('SoC Leakage'!$I$1,MATCH($B66,'SoC Leakage'!A:A,0)-1,0)*$V66+OFFSET('SoC Leakage'!$J$1,MATCH($B66,'SoC Leakage'!A:A,0)-1,0))*Tj_eff),0)*1000</f>
        <v>0</v>
      </c>
    </row>
    <row r="67" spans="1:25" ht="15">
      <c r="A67" s="10" t="s">
        <v>243</v>
      </c>
      <c r="B67" t="str">
        <f ca="1">OFFSET('IP Dynamic Power Data'!$C$1,MATCH($A67,'IP Dynamic Power Data'!$A:$A,0)-1,0)</f>
        <v>EMIF2</v>
      </c>
      <c r="C67" t="s">
        <v>244</v>
      </c>
      <c r="D67" t="str">
        <f ca="1">OFFSET('IP Dynamic Power Data'!$B$1,MATCH($A67,'IP Dynamic Power Data'!$A:$A,0)-1,0)</f>
        <v>Core</v>
      </c>
      <c r="E67" t="str">
        <f ca="1">OFFSET(INDIRECT(ADDRESS(1,4,1,1,Info!$B$1&amp;" Power")),MATCH($A67,OFFSET(INDIRECT(ADDRESS(1,4,1,1,Info!$B$1&amp;" Power")),3,0,100,1),0)+2,4,1,1)</f>
        <v>AutoCG</v>
      </c>
      <c r="F67" t="s">
        <v>69</v>
      </c>
      <c r="G67" s="17">
        <f ca="1">IF(NUM_DDR_CH=2,IF(J67="AlwaysOn",($Z$65+$AA$65)*IF(DDR_WIDTH=32,1,0.5)+(1-$Z$65-$AA$65),(IF(J67="Auto",($Z$65+$AA$65)*IF(DDR_WIDTH=32,1,0.5),0)))*100,0)</f>
        <v>100</v>
      </c>
      <c r="H67">
        <f ca="1" t="shared" si="26"/>
        <v>0</v>
      </c>
      <c r="I67">
        <f ca="1" t="shared" si="27"/>
        <v>1</v>
      </c>
      <c r="J67" t="str">
        <f ca="1">OFFSET('Power Domain Map'!$A$1,MATCH($C67,'Power Domain Map'!$A:$A,0)-1,2,1,1)</f>
        <v>AlwaysOn</v>
      </c>
      <c r="K67" s="17">
        <f ca="1">OFFSET('Power Domain Map'!$A$1,MATCH($C67,'Power Domain Map'!$A:$A,0)-1,3,1,1)</f>
        <v>100</v>
      </c>
      <c r="L67">
        <f ca="1">OFFSET('IP Dynamic Power Data'!$A$1,MATCH($A67,'IP Dynamic Power Data'!A:A,0),MATCH($F67,OFFSET('IP Dynamic Power Data'!$A$1,MATCH($A67,'IP Dynamic Power Data'!A:A,0)-1,0,1,10),0)-1)</f>
        <v>0.1</v>
      </c>
      <c r="M67">
        <f ca="1">OFFSET('IP Dynamic Power Data'!$A$1,MATCH($A67,'IP Dynamic Power Data'!A:A,0),MATCH("idle",OFFSET('IP Dynamic Power Data'!$A$1,MATCH($A67,'IP Dynamic Power Data'!A:A,0)-1,0,1,10),0)-1)</f>
        <v>0.005</v>
      </c>
      <c r="N67">
        <f ca="1">OFFSET(INDIRECT(ADDRESS(1,4,1,1,Info!$B$1&amp;" Power")),MATCH($A67,OFFSET(INDIRECT(ADDRESS(1,4,1,1,Info!$B$1&amp;" Power")),3,0,100,1),0)+2,1,1,1)</f>
        <v>0.92</v>
      </c>
      <c r="O67">
        <f ca="1">OFFSET(INDIRECT(ADDRESS(1,4,1,1,Info!$B$1&amp;" Power")),MATCH($A67,OFFSET(INDIRECT(ADDRESS(1,4,1,1,Info!$B$1&amp;" Power")),3,0,100,1),0)+2,2,1,1)</f>
        <v>266</v>
      </c>
      <c r="P67" s="7">
        <f ca="1" t="shared" si="28"/>
        <v>22.51424</v>
      </c>
      <c r="Q67" s="7">
        <f ca="1">IF(MATCH($B67,$B:$B,0)=ROW($B67),OFFSET('SoC Leakage'!$B$1,MATCH($B67,'SoC Leakage'!A:A,0)-1,0)*EXP(OFFSET('SoC Leakage'!$C$1,MATCH($B67,'SoC Leakage'!A:A,0)-1,0)*$N67)*EXP((OFFSET('SoC Leakage'!$D$1,MATCH($B67,'SoC Leakage'!A:A,0)-1,0)*$N67+OFFSET('SoC Leakage'!$E$1,MATCH($B67,'SoC Leakage'!A:A,0)-1,0))*Tj_eff),0)*1000*IF(OR(E67="AutoPD with Ret",E67="Auto"),G67*(F67&lt;&gt;"idle")+(100-G67*(F67&lt;&gt;"idle"))*0.1,IF(E67="AutoPD",G67*(F67&lt;&gt;"idle")+(100-G67*(F67&lt;&gt;"idle"))*0.05,100))/100*1.03</f>
        <v>3.8414606722235844</v>
      </c>
      <c r="R67" s="7">
        <f ca="1">IF($E67="Disabled",0,OFFSET(INDIRECT(ADDRESS(1,4,1,1,Info!$B$1&amp;" Power")),MATCH($A67,OFFSET(INDIRECT(ADDRESS(1,4,1,1,Info!$B$1&amp;" Power")),3,0,100,1),0)+2,8,1,1))</f>
        <v>0</v>
      </c>
      <c r="S67" s="7">
        <f ca="1">IF($E67="Disabled",0,OFFSET(INDIRECT(ADDRESS(1,4,1,1,Info!$B$1&amp;" Power")),MATCH($A67,OFFSET(INDIRECT(ADDRESS(1,4,1,1,Info!$B$1&amp;" Power")),3,0,100,1),0)+2,9,1,1))</f>
        <v>0</v>
      </c>
      <c r="T67" s="7">
        <f ca="1">OFFSET('IP Dynamic Power Data'!$A$1,MATCH($A67,'IP Dynamic Power Data'!A:A,0)+1,MATCH($F67,OFFSET('IP Dynamic Power Data'!$A$1,MATCH($A67,'IP Dynamic Power Data'!A:A,0)-1,0,1,10),0)-1)</f>
        <v>0</v>
      </c>
      <c r="U67" s="7">
        <f ca="1">OFFSET('IP Dynamic Power Data'!$A$1,MATCH($A67,'IP Dynamic Power Data'!A:A,0)+1,MATCH("idle",OFFSET('IP Dynamic Power Data'!$A$1,MATCH($A67,'IP Dynamic Power Data'!A:A,0)-1,0,1,10),0)-1)</f>
        <v>0</v>
      </c>
      <c r="V67" s="7">
        <f ca="1" t="shared" si="3"/>
        <v>1.15</v>
      </c>
      <c r="W67" s="7">
        <f ca="1" t="shared" si="4"/>
        <v>266</v>
      </c>
      <c r="X67" s="7">
        <f ca="1" t="shared" si="5"/>
        <v>0</v>
      </c>
      <c r="Y67" s="7">
        <f ca="1">IF(MATCH($B67,$B:$B,0)=ROW($B67),OFFSET('SoC Leakage'!$G$1,MATCH($B67,'SoC Leakage'!A:A,0)-1,0)*EXP(OFFSET('SoC Leakage'!$H$1,MATCH($B67,'SoC Leakage'!A:A,0)-1,0)*$V67)*EXP((OFFSET('SoC Leakage'!$I$1,MATCH($B67,'SoC Leakage'!A:A,0)-1,0)*$V67+OFFSET('SoC Leakage'!$J$1,MATCH($B67,'SoC Leakage'!A:A,0)-1,0))*Tj_eff),0)*1000</f>
        <v>0</v>
      </c>
    </row>
    <row r="68" spans="1:25" ht="15">
      <c r="A68" s="10" t="s">
        <v>245</v>
      </c>
      <c r="B68" t="str">
        <f ca="1">OFFSET('IP Dynamic Power Data'!$C$1,MATCH($A68,'IP Dynamic Power Data'!$A:$A,0)-1,0)</f>
        <v>DMM</v>
      </c>
      <c r="C68" t="s">
        <v>244</v>
      </c>
      <c r="D68" t="str">
        <f ca="1">OFFSET('IP Dynamic Power Data'!$B$1,MATCH($A68,'IP Dynamic Power Data'!$A:$A,0)-1,0)</f>
        <v>Core</v>
      </c>
      <c r="E68" t="str">
        <f ca="1">OFFSET(INDIRECT(ADDRESS(1,4,1,1,Info!$B$1&amp;" Power")),MATCH($A68,OFFSET(INDIRECT(ADDRESS(1,4,1,1,Info!$B$1&amp;" Power")),3,0,100,1),0)+2,4,1,1)</f>
        <v>AutoCG</v>
      </c>
      <c r="F68" t="s">
        <v>69</v>
      </c>
      <c r="G68" s="17">
        <f ca="1">IF(J68="AlwaysOn",($Z$65+$AA$65)*IF(DDR_WIDTH=32,1,0.5)+(1-$Z$65-$AA$65),(IF(J68="Auto",($Z$65+$AA$65)*IF(DDR_WIDTH=32,1,0.5),0)))*100*IF(NUM_DDR_CH=2,1,0.5)</f>
        <v>100</v>
      </c>
      <c r="H68">
        <f ca="1" t="shared" si="26"/>
        <v>0</v>
      </c>
      <c r="I68">
        <f ca="1" t="shared" si="27"/>
        <v>1</v>
      </c>
      <c r="J68" t="str">
        <f ca="1">OFFSET('Power Domain Map'!$A$1,MATCH($C68,'Power Domain Map'!$A:$A,0)-1,2,1,1)</f>
        <v>AlwaysOn</v>
      </c>
      <c r="K68" s="17">
        <f ca="1">OFFSET('Power Domain Map'!$A$1,MATCH($C68,'Power Domain Map'!$A:$A,0)-1,3,1,1)</f>
        <v>100</v>
      </c>
      <c r="L68">
        <f ca="1">OFFSET('IP Dynamic Power Data'!$A$1,MATCH($A68,'IP Dynamic Power Data'!A:A,0),MATCH($F68,OFFSET('IP Dynamic Power Data'!$A$1,MATCH($A68,'IP Dynamic Power Data'!A:A,0)-1,0,1,10),0)-1)</f>
        <v>0.04</v>
      </c>
      <c r="M68">
        <f ca="1">OFFSET('IP Dynamic Power Data'!$A$1,MATCH($A68,'IP Dynamic Power Data'!A:A,0),MATCH("idle",OFFSET('IP Dynamic Power Data'!$A$1,MATCH($A68,'IP Dynamic Power Data'!A:A,0)-1,0,1,10),0)-1)</f>
        <v>0.001</v>
      </c>
      <c r="N68">
        <f ca="1">OFFSET(INDIRECT(ADDRESS(1,4,1,1,Info!$B$1&amp;" Power")),MATCH($A68,OFFSET(INDIRECT(ADDRESS(1,4,1,1,Info!$B$1&amp;" Power")),3,0,100,1),0)+2,1,1,1)</f>
        <v>0.92</v>
      </c>
      <c r="O68">
        <f ca="1">OFFSET(INDIRECT(ADDRESS(1,4,1,1,Info!$B$1&amp;" Power")),MATCH($A68,OFFSET(INDIRECT(ADDRESS(1,4,1,1,Info!$B$1&amp;" Power")),3,0,100,1),0)+2,2,1,1)</f>
        <v>266</v>
      </c>
      <c r="P68" s="7">
        <f ca="1" t="shared" si="28"/>
        <v>9.005696</v>
      </c>
      <c r="Q68" s="7">
        <f ca="1">IF(MATCH($B68,$B:$B,0)=ROW($B68),OFFSET('SoC Leakage'!$B$1,MATCH($B68,'SoC Leakage'!A:A,0)-1,0)*EXP(OFFSET('SoC Leakage'!$C$1,MATCH($B68,'SoC Leakage'!A:A,0)-1,0)*$N68)*EXP((OFFSET('SoC Leakage'!$D$1,MATCH($B68,'SoC Leakage'!A:A,0)-1,0)*$N68+OFFSET('SoC Leakage'!$E$1,MATCH($B68,'SoC Leakage'!A:A,0)-1,0))*Tj_eff),0)*1000*IF(OR(E68="AutoPD with Ret",E68="Auto"),G68*(F68&lt;&gt;"idle")+(100-G68*(F68&lt;&gt;"idle"))*0.1,IF(E68="AutoPD",G68*(F68&lt;&gt;"idle")+(100-G68*(F68&lt;&gt;"idle"))*0.05,100))/100*1.03</f>
        <v>4.7551970675148825</v>
      </c>
      <c r="R68" s="7">
        <f ca="1">IF($E68="Disabled",0,OFFSET(INDIRECT(ADDRESS(1,4,1,1,Info!$B$1&amp;" Power")),MATCH($A68,OFFSET(INDIRECT(ADDRESS(1,4,1,1,Info!$B$1&amp;" Power")),3,0,100,1),0)+2,8,1,1))</f>
        <v>0</v>
      </c>
      <c r="S68" s="7">
        <f ca="1">IF($E68="Disabled",0,OFFSET(INDIRECT(ADDRESS(1,4,1,1,Info!$B$1&amp;" Power")),MATCH($A68,OFFSET(INDIRECT(ADDRESS(1,4,1,1,Info!$B$1&amp;" Power")),3,0,100,1),0)+2,9,1,1))</f>
        <v>0</v>
      </c>
      <c r="T68" s="7">
        <f ca="1">OFFSET('IP Dynamic Power Data'!$A$1,MATCH($A68,'IP Dynamic Power Data'!A:A,0)+1,MATCH($F68,OFFSET('IP Dynamic Power Data'!$A$1,MATCH($A68,'IP Dynamic Power Data'!A:A,0)-1,0,1,10),0)-1)</f>
        <v>0</v>
      </c>
      <c r="U68" s="7">
        <f ca="1">OFFSET('IP Dynamic Power Data'!$A$1,MATCH($A68,'IP Dynamic Power Data'!A:A,0)+1,MATCH("idle",OFFSET('IP Dynamic Power Data'!$A$1,MATCH($A68,'IP Dynamic Power Data'!A:A,0)-1,0,1,10),0)-1)</f>
        <v>0</v>
      </c>
      <c r="V68" s="7">
        <f ca="1" t="shared" si="3"/>
        <v>1.15</v>
      </c>
      <c r="W68" s="7">
        <f ca="1" t="shared" si="4"/>
        <v>266</v>
      </c>
      <c r="X68" s="7">
        <f ca="1" t="shared" si="5"/>
        <v>0</v>
      </c>
      <c r="Y68" s="7">
        <f ca="1">IF(MATCH($B68,$B:$B,0)=ROW($B68),OFFSET('SoC Leakage'!$G$1,MATCH($B68,'SoC Leakage'!A:A,0)-1,0)*EXP(OFFSET('SoC Leakage'!$H$1,MATCH($B68,'SoC Leakage'!A:A,0)-1,0)*$V68)*EXP((OFFSET('SoC Leakage'!$I$1,MATCH($B68,'SoC Leakage'!A:A,0)-1,0)*$V68+OFFSET('SoC Leakage'!$J$1,MATCH($B68,'SoC Leakage'!A:A,0)-1,0))*Tj_eff),0)*1000</f>
        <v>0</v>
      </c>
    </row>
    <row r="69" ht="15">
      <c r="Q69" s="7"/>
    </row>
    <row r="70" spans="2:17" ht="15">
      <c r="B70" t="s">
        <v>247</v>
      </c>
      <c r="N70">
        <f>IF(DDR_TYPE="DDR2",1.8,(IF(DDR_TYPE="DDR3",1.5,(IF(DDR_TYPE="DDR3L",1.35,"NA")))))</f>
        <v>1.5</v>
      </c>
      <c r="O70">
        <f>DDR_FREQ</f>
        <v>532</v>
      </c>
      <c r="P70" s="7">
        <f ca="1">(IF(DDR_WIDTH=32,32,16)*N70*7.7*($Z$65)+IF(DDR_WIDTH=32,32,16)*N70*5.7*($AA$65))*(1+ECC_ENABLED*8/DDR_WIDTH)</f>
        <v>253.26766917293236</v>
      </c>
      <c r="Q70" s="7"/>
    </row>
    <row r="71" spans="2:17" ht="15">
      <c r="B71" t="s">
        <v>248</v>
      </c>
      <c r="N71">
        <v>1.8</v>
      </c>
      <c r="O71">
        <f>DDR_FREQ</f>
        <v>532</v>
      </c>
      <c r="P71" s="7">
        <f ca="1">(IF(DDR_WIDTH=32,32,16)*N71*0.5*($Z$65)+IF(DDR_WIDTH=32,32,16)*N70*2.6*($AA$65))*(1+ECC_ENABLED*8/DDR_WIDTH)</f>
        <v>58.637593984962415</v>
      </c>
      <c r="Q71" s="7"/>
    </row>
    <row r="72" spans="2:17" ht="15">
      <c r="B72" t="s">
        <v>249</v>
      </c>
      <c r="N72">
        <f>IF(DDR_TYPE="DDR2",1.8,(IF(DDR_TYPE="DDR3",1.5,(IF(DDR_TYPE="DDR3L",1.35,"NA")))))</f>
        <v>1.5</v>
      </c>
      <c r="O72">
        <f>DDR_FREQ</f>
        <v>532</v>
      </c>
      <c r="P72" s="7">
        <f ca="1">IF(NUM_DDR_CH=2,(IF(DDR_WIDTH=32,32,16)*N72*7.7*($Z$65)+IF(DDR_WIDTH=32,32,16)*N72*5.7*($AA$65)),0)</f>
        <v>253.26766917293236</v>
      </c>
      <c r="Q72" s="7"/>
    </row>
    <row r="73" spans="2:17" ht="15">
      <c r="B73" t="s">
        <v>250</v>
      </c>
      <c r="N73">
        <v>1.8</v>
      </c>
      <c r="O73">
        <f>DDR_FREQ</f>
        <v>532</v>
      </c>
      <c r="P73" s="7">
        <f ca="1">IF(NUM_DDR_CH=2,(IF(DDR_WIDTH=32,32,16)*N73*0.5*($Z$65)+IF(DDR_WIDTH=32,32,16)*N72*2.6*($AA$65)),0)</f>
        <v>58.637593984962415</v>
      </c>
      <c r="Q73" s="7"/>
    </row>
    <row r="74" ht="15">
      <c r="Q74" s="7"/>
    </row>
    <row r="75" spans="1:25" ht="15">
      <c r="A75" t="s">
        <v>40</v>
      </c>
      <c r="B75" t="s">
        <v>40</v>
      </c>
      <c r="C75" t="s">
        <v>100</v>
      </c>
      <c r="D75" t="str">
        <f ca="1">OFFSET('IP Dynamic Power Data'!$B$1,MATCH($A75,'IP Dynamic Power Data'!$A:$A,0)-1,0)</f>
        <v>Core</v>
      </c>
      <c r="E75" t="str">
        <f ca="1">OFFSET(INDIRECT(ADDRESS(1,4,1,1,Info!$B$1&amp;" Power")),MATCH($A75,OFFSET(INDIRECT(ADDRESS(1,4,1,1,Info!$B$1&amp;" Power")),3,0,100,1),0)+2,4,1,1)</f>
        <v>Always enabled</v>
      </c>
      <c r="F75" t="s">
        <v>69</v>
      </c>
      <c r="G75" s="17">
        <f ca="1">MIN(G66+G67+G76+G77,100)</f>
        <v>100</v>
      </c>
      <c r="H75">
        <f aca="true" t="shared" si="29" ref="H75">IF(E75="Always enabled",1,0)</f>
        <v>1</v>
      </c>
      <c r="I75">
        <f aca="true" t="shared" si="30" ref="I75:I78">IF(OR(E75="AutoCG",E75="AutoPD",E75="AutoPD with Ret",E75="Auto"),1,0)</f>
        <v>0</v>
      </c>
      <c r="J75" t="str">
        <f ca="1">OFFSET('Power Domain Map'!$A$1,MATCH($C75,'Power Domain Map'!$A:$A,0)-1,2,1,1)</f>
        <v>AlwaysOn</v>
      </c>
      <c r="K75" s="17">
        <f ca="1">OFFSET('Power Domain Map'!$A$1,MATCH($C75,'Power Domain Map'!$A:$A,0)-1,3,1,1)</f>
        <v>100</v>
      </c>
      <c r="L75">
        <f ca="1">OFFSET('IP Dynamic Power Data'!$A$1,MATCH($A75,'IP Dynamic Power Data'!A:A,0),MATCH($F75,OFFSET('IP Dynamic Power Data'!$A$1,MATCH($A75,'IP Dynamic Power Data'!A:A,0)-1,0,1,10),0)-1)</f>
        <v>0.6</v>
      </c>
      <c r="M75">
        <f ca="1">OFFSET('IP Dynamic Power Data'!$A$1,MATCH($A75,'IP Dynamic Power Data'!A:A,0),MATCH("idle",OFFSET('IP Dynamic Power Data'!$A$1,MATCH($A75,'IP Dynamic Power Data'!A:A,0)-1,0,1,10),0)-1)</f>
        <v>0.1</v>
      </c>
      <c r="N75">
        <f ca="1">OFFSET(INDIRECT(ADDRESS(1,4,1,1,Info!$B$1&amp;" Power")),MATCH($A75,OFFSET(INDIRECT(ADDRESS(1,4,1,1,Info!$B$1&amp;" Power")),3,0,100,1),0)+2,1,1,1)</f>
        <v>0.92</v>
      </c>
      <c r="O75">
        <f ca="1">OFFSET(INDIRECT(ADDRESS(1,4,1,1,Info!$B$1&amp;" Power")),MATCH($A75,OFFSET(INDIRECT(ADDRESS(1,4,1,1,Info!$B$1&amp;" Power")),3,0,100,1),0)+2,2,1,1)</f>
        <v>266</v>
      </c>
      <c r="P75" s="7">
        <f aca="true" t="shared" si="31" ref="P75:P78">IF(J75="AlwaysOn",G75*L75/100+(1-G75/100)*M75,(IF(AND(J75="Auto",F75&lt;&gt;"idle"),G75/100*L75+(K75-G75)*M75/100,(K75)*M75/100)))*O75*N75*N75</f>
        <v>135.08544</v>
      </c>
      <c r="Q75" s="7">
        <f ca="1">IF(MATCH($B75,$B:$B,0)=ROW($B75),OFFSET('SoC Leakage'!$B$1,MATCH($B75,'SoC Leakage'!A:A,0)-1,0)*EXP(OFFSET('SoC Leakage'!$C$1,MATCH($B75,'SoC Leakage'!A:A,0)-1,0)*$N75)*EXP((OFFSET('SoC Leakage'!$D$1,MATCH($B75,'SoC Leakage'!A:A,0)-1,0)*$N75+OFFSET('SoC Leakage'!$E$1,MATCH($B75,'SoC Leakage'!A:A,0)-1,0))*Tj_eff),0)*1000*IF(OR(E75="AutoPD with Ret",E75="Auto"),G75*(F75&lt;&gt;"idle")+(100-G75*(F75&lt;&gt;"idle"))*0.1,IF(E75="AutoPD",G75*(F75&lt;&gt;"idle")+(100-G75*(F75&lt;&gt;"idle"))*0.05,100))/100*1.03</f>
        <v>33.45249518881337</v>
      </c>
      <c r="R75" s="7">
        <f ca="1">IF($E75="Disabled",0,OFFSET(INDIRECT(ADDRESS(1,4,1,1,Info!$B$1&amp;" Power")),MATCH($A75,OFFSET(INDIRECT(ADDRESS(1,4,1,1,Info!$B$1&amp;" Power")),3,0,100,1),0)+2,8,1,1))</f>
        <v>0</v>
      </c>
      <c r="S75" s="7">
        <f ca="1">IF($E75="Disabled",0,OFFSET(INDIRECT(ADDRESS(1,4,1,1,Info!$B$1&amp;" Power")),MATCH($A75,OFFSET(INDIRECT(ADDRESS(1,4,1,1,Info!$B$1&amp;" Power")),3,0,100,1),0)+2,9,1,1))</f>
        <v>0</v>
      </c>
      <c r="T75" s="7">
        <f ca="1">OFFSET('IP Dynamic Power Data'!$A$1,MATCH($A75,'IP Dynamic Power Data'!A:A,0)+1,MATCH($F75,OFFSET('IP Dynamic Power Data'!$A$1,MATCH($A75,'IP Dynamic Power Data'!A:A,0)-1,0,1,10),0)-1)</f>
        <v>0</v>
      </c>
      <c r="U75" s="7">
        <f ca="1">OFFSET('IP Dynamic Power Data'!$A$1,MATCH($A75,'IP Dynamic Power Data'!A:A,0)+1,MATCH("idle",OFFSET('IP Dynamic Power Data'!$A$1,MATCH($A75,'IP Dynamic Power Data'!A:A,0)-1,0,1,10),0)-1)</f>
        <v>0</v>
      </c>
      <c r="V75" s="7">
        <f aca="true" t="shared" si="32" ref="V75:V78">IF(N75&gt;1.15,N75,1.15)</f>
        <v>1.15</v>
      </c>
      <c r="W75" s="7">
        <f aca="true" t="shared" si="33" ref="W75:W78">O75</f>
        <v>266</v>
      </c>
      <c r="X75" s="7">
        <f aca="true" t="shared" si="34" ref="X75:X78">IF(J75="AlwaysOn",G75*T75/100+(1-G75/100)*U75,(IF(J75="Auto",G75/100*T75,0)))*W75*V75*V75</f>
        <v>0</v>
      </c>
      <c r="Y75" s="7">
        <f ca="1">IF(MATCH($B75,$B:$B,0)=ROW($B75),OFFSET('SoC Leakage'!$G$1,MATCH($B75,'SoC Leakage'!A:A,0)-1,0)*EXP(OFFSET('SoC Leakage'!$H$1,MATCH($B75,'SoC Leakage'!A:A,0)-1,0)*$V75)*EXP((OFFSET('SoC Leakage'!$I$1,MATCH($B75,'SoC Leakage'!A:A,0)-1,0)*$V75+OFFSET('SoC Leakage'!$J$1,MATCH($B75,'SoC Leakage'!A:A,0)-1,0))*Tj_eff),0)*1000</f>
        <v>0.572470906909378</v>
      </c>
    </row>
    <row r="76" spans="1:25" ht="15">
      <c r="A76" t="s">
        <v>266</v>
      </c>
      <c r="B76" t="str">
        <f ca="1">OFFSET('IP Dynamic Power Data'!$C$1,MATCH($A76,'IP Dynamic Power Data'!$A:$A,0)-1,0)</f>
        <v>OCMC2</v>
      </c>
      <c r="C76" t="s">
        <v>100</v>
      </c>
      <c r="D76" t="str">
        <f ca="1">OFFSET('IP Dynamic Power Data'!$B$1,MATCH($A76,'IP Dynamic Power Data'!$A:$A,0)-1,0)</f>
        <v>Core</v>
      </c>
      <c r="E76" t="str">
        <f ca="1">OFFSET(INDIRECT(ADDRESS(1,4,1,1,Info!$B$1&amp;" Power")),MATCH($A76,OFFSET(INDIRECT(ADDRESS(1,4,1,1,Info!$B$1&amp;" Power")),3,0,100,1),0)+2,4,1,1)</f>
        <v>Disabled</v>
      </c>
      <c r="F76" t="s">
        <v>69</v>
      </c>
      <c r="G76">
        <f ca="1">OFFSET(INDIRECT(ADDRESS(1,4,1,1,Info!$B$1&amp;" Power")),MATCH($A76,OFFSET(INDIRECT(ADDRESS(1,4,1,1,Info!$B$1&amp;" Power")),3,0,100,1),0)+2,7,1,1)</f>
        <v>0</v>
      </c>
      <c r="H76">
        <f aca="true" t="shared" si="35" ref="H76:H78">IF(E76="Always enabled",1,0)</f>
        <v>0</v>
      </c>
      <c r="I76">
        <f ca="1" t="shared" si="30"/>
        <v>0</v>
      </c>
      <c r="J76" t="str">
        <f ca="1">OFFSET('Power Domain Map'!$A$1,MATCH($C76,'Power Domain Map'!$A:$A,0)-1,2,1,1)</f>
        <v>AlwaysOn</v>
      </c>
      <c r="K76" s="17">
        <f ca="1">OFFSET('Power Domain Map'!$A$1,MATCH($C76,'Power Domain Map'!$A:$A,0)-1,3,1,1)</f>
        <v>100</v>
      </c>
      <c r="L76">
        <f ca="1">OFFSET('IP Dynamic Power Data'!$A$1,MATCH($A76,'IP Dynamic Power Data'!A:A,0),MATCH($F76,OFFSET('IP Dynamic Power Data'!$A$1,MATCH($A76,'IP Dynamic Power Data'!A:A,0)-1,0,1,10),0)-1)</f>
        <v>0.2</v>
      </c>
      <c r="M76">
        <f ca="1">OFFSET('IP Dynamic Power Data'!$A$1,MATCH($A76,'IP Dynamic Power Data'!A:A,0),MATCH("idle",OFFSET('IP Dynamic Power Data'!$A$1,MATCH($A76,'IP Dynamic Power Data'!A:A,0)-1,0,1,10),0)-1)</f>
        <v>0.02</v>
      </c>
      <c r="N76">
        <f ca="1">OFFSET(INDIRECT(ADDRESS(1,4,1,1,Info!$B$1&amp;" Power")),MATCH($A76,OFFSET(INDIRECT(ADDRESS(1,4,1,1,Info!$B$1&amp;" Power")),3,0,100,1),0)+2,1,1,1)</f>
        <v>0.92</v>
      </c>
      <c r="O76">
        <f ca="1">OFFSET(INDIRECT(ADDRESS(1,4,1,1,Info!$B$1&amp;" Power")),MATCH($A76,OFFSET(INDIRECT(ADDRESS(1,4,1,1,Info!$B$1&amp;" Power")),3,0,100,1),0)+2,2,1,1)</f>
        <v>266</v>
      </c>
      <c r="P76" s="7">
        <f ca="1" t="shared" si="31"/>
        <v>4.502848</v>
      </c>
      <c r="Q76" s="7">
        <f ca="1">IF(MATCH($B76,$B:$B,0)=ROW($B76),OFFSET('SoC Leakage'!$B$1,MATCH($B76,'SoC Leakage'!A:A,0)-1,0)*EXP(OFFSET('SoC Leakage'!$C$1,MATCH($B76,'SoC Leakage'!A:A,0)-1,0)*$N76)*EXP((OFFSET('SoC Leakage'!$D$1,MATCH($B76,'SoC Leakage'!A:A,0)-1,0)*$N76+OFFSET('SoC Leakage'!$E$1,MATCH($B76,'SoC Leakage'!A:A,0)-1,0))*Tj_eff),0)*1000*IF(OR(E76="AutoPD with Ret",E76="Auto"),G76*(F76&lt;&gt;"idle")+(100-G76*(F76&lt;&gt;"idle"))*0.1,IF(E76="AutoPD",G76*(F76&lt;&gt;"idle")+(100-G76*(F76&lt;&gt;"idle"))*0.05,100))/100*1.03</f>
        <v>3.521298309161023</v>
      </c>
      <c r="R76" s="7">
        <f ca="1">IF($E76="Disabled",0,OFFSET(INDIRECT(ADDRESS(1,4,1,1,Info!$B$1&amp;" Power")),MATCH($A76,OFFSET(INDIRECT(ADDRESS(1,4,1,1,Info!$B$1&amp;" Power")),3,0,100,1),0)+2,8,1,1))</f>
        <v>0</v>
      </c>
      <c r="S76" s="7">
        <f ca="1">IF($E76="Disabled",0,OFFSET(INDIRECT(ADDRESS(1,4,1,1,Info!$B$1&amp;" Power")),MATCH($A76,OFFSET(INDIRECT(ADDRESS(1,4,1,1,Info!$B$1&amp;" Power")),3,0,100,1),0)+2,9,1,1))</f>
        <v>0</v>
      </c>
      <c r="T76" s="7">
        <f ca="1">OFFSET('IP Dynamic Power Data'!$A$1,MATCH($A76,'IP Dynamic Power Data'!A:A,0)+1,MATCH($F76,OFFSET('IP Dynamic Power Data'!$A$1,MATCH($A76,'IP Dynamic Power Data'!A:A,0)-1,0,1,10),0)-1)</f>
        <v>0.1</v>
      </c>
      <c r="U76" s="7">
        <f ca="1">OFFSET('IP Dynamic Power Data'!$A$1,MATCH($A76,'IP Dynamic Power Data'!A:A,0)+1,MATCH("idle",OFFSET('IP Dynamic Power Data'!$A$1,MATCH($A76,'IP Dynamic Power Data'!A:A,0)-1,0,1,10),0)-1)</f>
        <v>0.02</v>
      </c>
      <c r="V76" s="7">
        <f ca="1" t="shared" si="32"/>
        <v>1.15</v>
      </c>
      <c r="W76" s="7">
        <f ca="1" t="shared" si="33"/>
        <v>266</v>
      </c>
      <c r="X76" s="7">
        <f ca="1" t="shared" si="34"/>
        <v>7.0356999999999985</v>
      </c>
      <c r="Y76" s="7">
        <f ca="1">IF(MATCH($B76,$B:$B,0)=ROW($B76),OFFSET('SoC Leakage'!$G$1,MATCH($B76,'SoC Leakage'!A:A,0)-1,0)*EXP(OFFSET('SoC Leakage'!$H$1,MATCH($B76,'SoC Leakage'!A:A,0)-1,0)*$V76)*EXP((OFFSET('SoC Leakage'!$I$1,MATCH($B76,'SoC Leakage'!A:A,0)-1,0)*$V76+OFFSET('SoC Leakage'!$J$1,MATCH($B76,'SoC Leakage'!A:A,0)-1,0))*Tj_eff),0)*1000</f>
        <v>6.804477013598422</v>
      </c>
    </row>
    <row r="77" spans="1:25" ht="15">
      <c r="A77" t="s">
        <v>267</v>
      </c>
      <c r="B77" t="str">
        <f ca="1">OFFSET('IP Dynamic Power Data'!$C$1,MATCH($A77,'IP Dynamic Power Data'!$A:$A,0)-1,0)</f>
        <v>OCMC3</v>
      </c>
      <c r="C77" t="s">
        <v>100</v>
      </c>
      <c r="D77" t="str">
        <f ca="1">OFFSET('IP Dynamic Power Data'!$B$1,MATCH($A77,'IP Dynamic Power Data'!$A:$A,0)-1,0)</f>
        <v>Core</v>
      </c>
      <c r="E77" t="str">
        <f ca="1">OFFSET(INDIRECT(ADDRESS(1,4,1,1,Info!$B$1&amp;" Power")),MATCH($A77,OFFSET(INDIRECT(ADDRESS(1,4,1,1,Info!$B$1&amp;" Power")),3,0,100,1),0)+2,4,1,1)</f>
        <v>Disabled</v>
      </c>
      <c r="F77" t="s">
        <v>69</v>
      </c>
      <c r="G77">
        <f ca="1">OFFSET(INDIRECT(ADDRESS(1,4,1,1,Info!$B$1&amp;" Power")),MATCH($A77,OFFSET(INDIRECT(ADDRESS(1,4,1,1,Info!$B$1&amp;" Power")),3,0,100,1),0)+2,7,1,1)</f>
        <v>0</v>
      </c>
      <c r="H77">
        <f ca="1" t="shared" si="35"/>
        <v>0</v>
      </c>
      <c r="I77">
        <f ca="1" t="shared" si="30"/>
        <v>0</v>
      </c>
      <c r="J77" t="str">
        <f ca="1">OFFSET('Power Domain Map'!$A$1,MATCH($C77,'Power Domain Map'!$A:$A,0)-1,2,1,1)</f>
        <v>AlwaysOn</v>
      </c>
      <c r="K77" s="17">
        <f ca="1">OFFSET('Power Domain Map'!$A$1,MATCH($C77,'Power Domain Map'!$A:$A,0)-1,3,1,1)</f>
        <v>100</v>
      </c>
      <c r="L77">
        <f ca="1">OFFSET('IP Dynamic Power Data'!$A$1,MATCH($A77,'IP Dynamic Power Data'!A:A,0),MATCH($F77,OFFSET('IP Dynamic Power Data'!$A$1,MATCH($A77,'IP Dynamic Power Data'!A:A,0)-1,0,1,10),0)-1)</f>
        <v>0.2</v>
      </c>
      <c r="M77">
        <f ca="1">OFFSET('IP Dynamic Power Data'!$A$1,MATCH($A77,'IP Dynamic Power Data'!A:A,0),MATCH("idle",OFFSET('IP Dynamic Power Data'!$A$1,MATCH($A77,'IP Dynamic Power Data'!A:A,0)-1,0,1,10),0)-1)</f>
        <v>0.02</v>
      </c>
      <c r="N77">
        <f ca="1">OFFSET(INDIRECT(ADDRESS(1,4,1,1,Info!$B$1&amp;" Power")),MATCH($A77,OFFSET(INDIRECT(ADDRESS(1,4,1,1,Info!$B$1&amp;" Power")),3,0,100,1),0)+2,1,1,1)</f>
        <v>0.92</v>
      </c>
      <c r="O77">
        <f ca="1">OFFSET(INDIRECT(ADDRESS(1,4,1,1,Info!$B$1&amp;" Power")),MATCH($A77,OFFSET(INDIRECT(ADDRESS(1,4,1,1,Info!$B$1&amp;" Power")),3,0,100,1),0)+2,2,1,1)</f>
        <v>266</v>
      </c>
      <c r="P77" s="7">
        <f ca="1" t="shared" si="31"/>
        <v>4.502848</v>
      </c>
      <c r="Q77" s="7">
        <f ca="1">IF(MATCH($B77,$B:$B,0)=ROW($B77),OFFSET('SoC Leakage'!$B$1,MATCH($B77,'SoC Leakage'!A:A,0)-1,0)*EXP(OFFSET('SoC Leakage'!$C$1,MATCH($B77,'SoC Leakage'!A:A,0)-1,0)*$N77)*EXP((OFFSET('SoC Leakage'!$D$1,MATCH($B77,'SoC Leakage'!A:A,0)-1,0)*$N77+OFFSET('SoC Leakage'!$E$1,MATCH($B77,'SoC Leakage'!A:A,0)-1,0))*Tj_eff),0)*1000*IF(OR(E77="AutoPD with Ret",E77="Auto"),G77*(F77&lt;&gt;"idle")+(100-G77*(F77&lt;&gt;"idle"))*0.1,IF(E77="AutoPD",G77*(F77&lt;&gt;"idle")+(100-G77*(F77&lt;&gt;"idle"))*0.05,100))/100*1.03</f>
        <v>3.521298309161023</v>
      </c>
      <c r="R77" s="7">
        <f ca="1">IF($E77="Disabled",0,OFFSET(INDIRECT(ADDRESS(1,4,1,1,Info!$B$1&amp;" Power")),MATCH($A77,OFFSET(INDIRECT(ADDRESS(1,4,1,1,Info!$B$1&amp;" Power")),3,0,100,1),0)+2,8,1,1))</f>
        <v>0</v>
      </c>
      <c r="S77" s="7">
        <f ca="1">IF($E77="Disabled",0,OFFSET(INDIRECT(ADDRESS(1,4,1,1,Info!$B$1&amp;" Power")),MATCH($A77,OFFSET(INDIRECT(ADDRESS(1,4,1,1,Info!$B$1&amp;" Power")),3,0,100,1),0)+2,9,1,1))</f>
        <v>0</v>
      </c>
      <c r="T77" s="7">
        <f ca="1">OFFSET('IP Dynamic Power Data'!$A$1,MATCH($A77,'IP Dynamic Power Data'!A:A,0)+1,MATCH($F77,OFFSET('IP Dynamic Power Data'!$A$1,MATCH($A77,'IP Dynamic Power Data'!A:A,0)-1,0,1,10),0)-1)</f>
        <v>0.1</v>
      </c>
      <c r="U77" s="7">
        <f ca="1">OFFSET('IP Dynamic Power Data'!$A$1,MATCH($A77,'IP Dynamic Power Data'!A:A,0)+1,MATCH("idle",OFFSET('IP Dynamic Power Data'!$A$1,MATCH($A77,'IP Dynamic Power Data'!A:A,0)-1,0,1,10),0)-1)</f>
        <v>0.02</v>
      </c>
      <c r="V77" s="7">
        <f ca="1" t="shared" si="32"/>
        <v>1.15</v>
      </c>
      <c r="W77" s="7">
        <f ca="1" t="shared" si="33"/>
        <v>266</v>
      </c>
      <c r="X77" s="7">
        <f ca="1" t="shared" si="34"/>
        <v>7.0356999999999985</v>
      </c>
      <c r="Y77" s="7">
        <f ca="1">IF(MATCH($B77,$B:$B,0)=ROW($B77),OFFSET('SoC Leakage'!$G$1,MATCH($B77,'SoC Leakage'!A:A,0)-1,0)*EXP(OFFSET('SoC Leakage'!$H$1,MATCH($B77,'SoC Leakage'!A:A,0)-1,0)*$V77)*EXP((OFFSET('SoC Leakage'!$I$1,MATCH($B77,'SoC Leakage'!A:A,0)-1,0)*$V77+OFFSET('SoC Leakage'!$J$1,MATCH($B77,'SoC Leakage'!A:A,0)-1,0))*Tj_eff),0)*1000</f>
        <v>6.804477013598422</v>
      </c>
    </row>
    <row r="78" spans="1:25" ht="15">
      <c r="A78" t="s">
        <v>409</v>
      </c>
      <c r="B78" t="s">
        <v>409</v>
      </c>
      <c r="C78" t="s">
        <v>244</v>
      </c>
      <c r="D78" t="str">
        <f ca="1">OFFSET('IP Dynamic Power Data'!$B$1,MATCH($A78,'IP Dynamic Power Data'!$A:$A,0)-1,0)</f>
        <v>Core</v>
      </c>
      <c r="E78" t="str">
        <f ca="1">OFFSET(INDIRECT(ADDRESS(1,4,1,1,Info!$B$1&amp;" Power")),MATCH($A78,OFFSET(INDIRECT(ADDRESS(1,4,1,1,Info!$B$1&amp;" Power")),3,0,100,1),0)+2,4,1,1)</f>
        <v>Always enabled</v>
      </c>
      <c r="F78" t="str">
        <f ca="1">OFFSET(INDIRECT(ADDRESS(1,4,1,1,Info!$B$1&amp;" Power")),MATCH($A78,OFFSET(INDIRECT(ADDRESS(1,4,1,1,Info!$B$1&amp;" Power")),3,0,100,1),0)+2,6,1,1)</f>
        <v>idle</v>
      </c>
      <c r="G78" s="17">
        <f ca="1">OFFSET(INDIRECT(ADDRESS(1,4,1,1,Info!$B$1&amp;" Power")),MATCH($A78,OFFSET(INDIRECT(ADDRESS(1,4,1,1,Info!$B$1&amp;" Power")),3,0,100,1),0)+2,7,1,1)</f>
        <v>0</v>
      </c>
      <c r="H78">
        <f ca="1" t="shared" si="35"/>
        <v>1</v>
      </c>
      <c r="I78">
        <f ca="1" t="shared" si="30"/>
        <v>0</v>
      </c>
      <c r="J78" t="str">
        <f ca="1">OFFSET('Power Domain Map'!$A$1,MATCH($C78,'Power Domain Map'!$A:$A,0)-1,2,1,1)</f>
        <v>AlwaysOn</v>
      </c>
      <c r="K78" s="17">
        <f ca="1">OFFSET('Power Domain Map'!$A$1,MATCH($C78,'Power Domain Map'!$A:$A,0)-1,3,1,1)</f>
        <v>100</v>
      </c>
      <c r="L78">
        <f ca="1">OFFSET('IP Dynamic Power Data'!$A$1,MATCH($A78,'IP Dynamic Power Data'!A:A,0),MATCH($F78,OFFSET('IP Dynamic Power Data'!$A$1,MATCH($A78,'IP Dynamic Power Data'!A:A,0)-1,0,1,10),0)-1)</f>
        <v>0.01</v>
      </c>
      <c r="M78">
        <f ca="1">OFFSET('IP Dynamic Power Data'!$A$1,MATCH($A78,'IP Dynamic Power Data'!A:A,0),MATCH("idle",OFFSET('IP Dynamic Power Data'!$A$1,MATCH($A78,'IP Dynamic Power Data'!A:A,0)-1,0,1,10),0)-1)</f>
        <v>0.01</v>
      </c>
      <c r="N78">
        <f ca="1">OFFSET(INDIRECT(ADDRESS(1,4,1,1,Info!$B$1&amp;" Power")),MATCH($A78,OFFSET(INDIRECT(ADDRESS(1,4,1,1,Info!$B$1&amp;" Power")),3,0,100,1),0)+2,1,1,1)</f>
        <v>0.92</v>
      </c>
      <c r="O78">
        <f ca="1">OFFSET(INDIRECT(ADDRESS(1,4,1,1,Info!$B$1&amp;" Power")),MATCH($A78,OFFSET(INDIRECT(ADDRESS(1,4,1,1,Info!$B$1&amp;" Power")),3,0,100,1),0)+2,2,1,1)</f>
        <v>532</v>
      </c>
      <c r="P78" s="7">
        <f ca="1" t="shared" si="31"/>
        <v>4.502848</v>
      </c>
      <c r="Q78" s="7">
        <f ca="1">IF(MATCH($B78,$B:$B,0)=ROW($B78),OFFSET('SoC Leakage'!$B$1,MATCH($B78,'SoC Leakage'!A:A,0)-1,0)*EXP(OFFSET('SoC Leakage'!$C$1,MATCH($B78,'SoC Leakage'!A:A,0)-1,0)*$N78)*EXP((OFFSET('SoC Leakage'!$D$1,MATCH($B78,'SoC Leakage'!A:A,0)-1,0)*$N78+OFFSET('SoC Leakage'!$E$1,MATCH($B78,'SoC Leakage'!A:A,0)-1,0))*Tj_eff),0)*1000*IF(OR(E78="AutoPD with Ret",E78="Auto"),G78*(F78&lt;&gt;"idle")+(100-G78*(F78&lt;&gt;"idle"))*0.1,IF(E78="AutoPD",G78*(F78&lt;&gt;"idle")+(100-G78*(F78&lt;&gt;"idle"))*0.05,100))/100*1.03</f>
        <v>0.14883105779606542</v>
      </c>
      <c r="R78" s="7">
        <f ca="1">IF($E78="Disabled",0,OFFSET(INDIRECT(ADDRESS(1,4,1,1,Info!$B$1&amp;" Power")),MATCH($A78,OFFSET(INDIRECT(ADDRESS(1,4,1,1,Info!$B$1&amp;" Power")),3,0,100,1),0)+2,8,1,1))</f>
        <v>0</v>
      </c>
      <c r="S78" s="7">
        <f ca="1">IF($E78="Disabled",0,OFFSET(INDIRECT(ADDRESS(1,4,1,1,Info!$B$1&amp;" Power")),MATCH($A78,OFFSET(INDIRECT(ADDRESS(1,4,1,1,Info!$B$1&amp;" Power")),3,0,100,1),0)+2,9,1,1))</f>
        <v>0</v>
      </c>
      <c r="T78" s="7">
        <f ca="1">OFFSET('IP Dynamic Power Data'!$A$1,MATCH($A78,'IP Dynamic Power Data'!A:A,0)+1,MATCH($F78,OFFSET('IP Dynamic Power Data'!$A$1,MATCH($A78,'IP Dynamic Power Data'!A:A,0)-1,0,1,10),0)-1)</f>
        <v>0</v>
      </c>
      <c r="U78" s="7">
        <f ca="1">OFFSET('IP Dynamic Power Data'!$A$1,MATCH($A78,'IP Dynamic Power Data'!A:A,0)+1,MATCH("idle",OFFSET('IP Dynamic Power Data'!$A$1,MATCH($A78,'IP Dynamic Power Data'!A:A,0)-1,0,1,10),0)-1)</f>
        <v>0</v>
      </c>
      <c r="V78" s="7">
        <f ca="1" t="shared" si="32"/>
        <v>1.15</v>
      </c>
      <c r="W78" s="7">
        <f ca="1" t="shared" si="33"/>
        <v>532</v>
      </c>
      <c r="X78" s="7">
        <f ca="1" t="shared" si="34"/>
        <v>0</v>
      </c>
      <c r="Y78" s="7">
        <f ca="1">IF(MATCH($B78,$B:$B,0)=ROW($B78),OFFSET('SoC Leakage'!$G$1,MATCH($B78,'SoC Leakage'!A:A,0)-1,0)*EXP(OFFSET('SoC Leakage'!$H$1,MATCH($B78,'SoC Leakage'!A:A,0)-1,0)*$V78)*EXP((OFFSET('SoC Leakage'!$I$1,MATCH($B78,'SoC Leakage'!A:A,0)-1,0)*$V78+OFFSET('SoC Leakage'!$J$1,MATCH($B78,'SoC Leakage'!A:A,0)-1,0))*Tj_eff),0)*1000</f>
        <v>0</v>
      </c>
    </row>
    <row r="79" spans="1:25" ht="15">
      <c r="A79" t="s">
        <v>410</v>
      </c>
      <c r="B79" t="s">
        <v>410</v>
      </c>
      <c r="C79" t="s">
        <v>244</v>
      </c>
      <c r="D79" t="str">
        <f ca="1">OFFSET('IP Dynamic Power Data'!$B$1,MATCH($A79,'IP Dynamic Power Data'!$A:$A,0)-1,0)</f>
        <v>Core</v>
      </c>
      <c r="E79" t="str">
        <f ca="1">OFFSET(INDIRECT(ADDRESS(1,4,1,1,Info!$B$1&amp;" Power")),MATCH($A79,OFFSET(INDIRECT(ADDRESS(1,4,1,1,Info!$B$1&amp;" Power")),3,0,100,1),0)+2,4,1,1)</f>
        <v>Always enabled</v>
      </c>
      <c r="F79" t="str">
        <f ca="1">OFFSET(INDIRECT(ADDRESS(1,4,1,1,Info!$B$1&amp;" Power")),MATCH($A79,OFFSET(INDIRECT(ADDRESS(1,4,1,1,Info!$B$1&amp;" Power")),3,0,100,1),0)+2,6,1,1)</f>
        <v>idle</v>
      </c>
      <c r="G79" s="17">
        <f ca="1">OFFSET(INDIRECT(ADDRESS(1,4,1,1,Info!$B$1&amp;" Power")),MATCH($A79,OFFSET(INDIRECT(ADDRESS(1,4,1,1,Info!$B$1&amp;" Power")),3,0,100,1),0)+2,7,1,1)</f>
        <v>0</v>
      </c>
      <c r="H79">
        <f aca="true" t="shared" si="36" ref="H79:H80">IF(E79="Always enabled",1,0)</f>
        <v>1</v>
      </c>
      <c r="I79">
        <f aca="true" t="shared" si="37" ref="I79:I80">IF(OR(E79="AutoCG",E79="AutoPD",E79="AutoPD with Ret",E79="Auto"),1,0)</f>
        <v>0</v>
      </c>
      <c r="J79" t="str">
        <f ca="1">OFFSET('Power Domain Map'!$A$1,MATCH($C79,'Power Domain Map'!$A:$A,0)-1,2,1,1)</f>
        <v>AlwaysOn</v>
      </c>
      <c r="K79" s="17">
        <f ca="1">OFFSET('Power Domain Map'!$A$1,MATCH($C79,'Power Domain Map'!$A:$A,0)-1,3,1,1)</f>
        <v>100</v>
      </c>
      <c r="L79">
        <f ca="1">OFFSET('IP Dynamic Power Data'!$A$1,MATCH($A79,'IP Dynamic Power Data'!A:A,0),MATCH($F79,OFFSET('IP Dynamic Power Data'!$A$1,MATCH($A79,'IP Dynamic Power Data'!A:A,0)-1,0,1,10),0)-1)</f>
        <v>0.01</v>
      </c>
      <c r="M79">
        <f ca="1">OFFSET('IP Dynamic Power Data'!$A$1,MATCH($A79,'IP Dynamic Power Data'!A:A,0),MATCH("idle",OFFSET('IP Dynamic Power Data'!$A$1,MATCH($A79,'IP Dynamic Power Data'!A:A,0)-1,0,1,10),0)-1)</f>
        <v>0.01</v>
      </c>
      <c r="N79">
        <f ca="1">OFFSET(INDIRECT(ADDRESS(1,4,1,1,Info!$B$1&amp;" Power")),MATCH($A79,OFFSET(INDIRECT(ADDRESS(1,4,1,1,Info!$B$1&amp;" Power")),3,0,100,1),0)+2,1,1,1)</f>
        <v>0.92</v>
      </c>
      <c r="O79">
        <f ca="1">OFFSET(INDIRECT(ADDRESS(1,4,1,1,Info!$B$1&amp;" Power")),MATCH($A79,OFFSET(INDIRECT(ADDRESS(1,4,1,1,Info!$B$1&amp;" Power")),3,0,100,1),0)+2,2,1,1)</f>
        <v>532</v>
      </c>
      <c r="P79" s="7">
        <f aca="true" t="shared" si="38" ref="P79:P80">IF(J79="AlwaysOn",G79*L79/100+(1-G79/100)*M79,(IF(AND(J79="Auto",F79&lt;&gt;"idle"),G79/100*L79+(K79-G79)*M79/100,(K79)*M79/100)))*O79*N79*N79</f>
        <v>4.502848</v>
      </c>
      <c r="Q79" s="7">
        <f ca="1">IF(MATCH($B79,$B:$B,0)=ROW($B79),OFFSET('SoC Leakage'!$B$1,MATCH($B79,'SoC Leakage'!A:A,0)-1,0)*EXP(OFFSET('SoC Leakage'!$C$1,MATCH($B79,'SoC Leakage'!A:A,0)-1,0)*$N79)*EXP((OFFSET('SoC Leakage'!$D$1,MATCH($B79,'SoC Leakage'!A:A,0)-1,0)*$N79+OFFSET('SoC Leakage'!$E$1,MATCH($B79,'SoC Leakage'!A:A,0)-1,0))*Tj_eff),0)*1000*IF(OR(E79="AutoPD with Ret",E79="Auto"),G79*(F79&lt;&gt;"idle")+(100-G79*(F79&lt;&gt;"idle"))*0.1,IF(E79="AutoPD",G79*(F79&lt;&gt;"idle")+(100-G79*(F79&lt;&gt;"idle"))*0.05,100))/100*1.03</f>
        <v>3.4784041485192714</v>
      </c>
      <c r="R79" s="7">
        <f ca="1">IF($E79="Disabled",0,OFFSET(INDIRECT(ADDRESS(1,4,1,1,Info!$B$1&amp;" Power")),MATCH($A79,OFFSET(INDIRECT(ADDRESS(1,4,1,1,Info!$B$1&amp;" Power")),3,0,100,1),0)+2,8,1,1))</f>
        <v>0</v>
      </c>
      <c r="S79" s="7">
        <f ca="1">IF($E79="Disabled",0,OFFSET(INDIRECT(ADDRESS(1,4,1,1,Info!$B$1&amp;" Power")),MATCH($A79,OFFSET(INDIRECT(ADDRESS(1,4,1,1,Info!$B$1&amp;" Power")),3,0,100,1),0)+2,9,1,1))</f>
        <v>0</v>
      </c>
      <c r="T79" s="7">
        <f ca="1">OFFSET('IP Dynamic Power Data'!$A$1,MATCH($A79,'IP Dynamic Power Data'!A:A,0)+1,MATCH($F79,OFFSET('IP Dynamic Power Data'!$A$1,MATCH($A79,'IP Dynamic Power Data'!A:A,0)-1,0,1,10),0)-1)</f>
        <v>0</v>
      </c>
      <c r="U79" s="7">
        <f ca="1">OFFSET('IP Dynamic Power Data'!$A$1,MATCH($A79,'IP Dynamic Power Data'!A:A,0)+1,MATCH("idle",OFFSET('IP Dynamic Power Data'!$A$1,MATCH($A79,'IP Dynamic Power Data'!A:A,0)-1,0,1,10),0)-1)</f>
        <v>0</v>
      </c>
      <c r="V79" s="7">
        <f aca="true" t="shared" si="39" ref="V79:V80">IF(N79&gt;1.15,N79,1.15)</f>
        <v>1.15</v>
      </c>
      <c r="W79" s="7">
        <f aca="true" t="shared" si="40" ref="W79:W80">O79</f>
        <v>532</v>
      </c>
      <c r="X79" s="7">
        <f aca="true" t="shared" si="41" ref="X79:X80">IF(J79="AlwaysOn",G79*T79/100+(1-G79/100)*U79,(IF(J79="Auto",G79/100*T79,0)))*W79*V79*V79</f>
        <v>0</v>
      </c>
      <c r="Y79" s="7">
        <f ca="1">IF(MATCH($B79,$B:$B,0)=ROW($B79),OFFSET('SoC Leakage'!$G$1,MATCH($B79,'SoC Leakage'!A:A,0)-1,0)*EXP(OFFSET('SoC Leakage'!$H$1,MATCH($B79,'SoC Leakage'!A:A,0)-1,0)*$V79)*EXP((OFFSET('SoC Leakage'!$I$1,MATCH($B79,'SoC Leakage'!A:A,0)-1,0)*$V79+OFFSET('SoC Leakage'!$J$1,MATCH($B79,'SoC Leakage'!A:A,0)-1,0))*Tj_eff),0)*1000</f>
        <v>0</v>
      </c>
    </row>
    <row r="80" spans="1:25" ht="15">
      <c r="A80" t="s">
        <v>411</v>
      </c>
      <c r="B80" t="s">
        <v>411</v>
      </c>
      <c r="C80" t="s">
        <v>244</v>
      </c>
      <c r="D80" t="str">
        <f ca="1">OFFSET('IP Dynamic Power Data'!$B$1,MATCH($A80,'IP Dynamic Power Data'!$A:$A,0)-1,0)</f>
        <v>Core</v>
      </c>
      <c r="E80" t="str">
        <f ca="1">OFFSET(INDIRECT(ADDRESS(1,4,1,1,Info!$B$1&amp;" Power")),MATCH($A80,OFFSET(INDIRECT(ADDRESS(1,4,1,1,Info!$B$1&amp;" Power")),3,0,100,1),0)+2,4,1,1)</f>
        <v>Always enabled</v>
      </c>
      <c r="F80" t="str">
        <f ca="1">OFFSET(INDIRECT(ADDRESS(1,4,1,1,Info!$B$1&amp;" Power")),MATCH($A80,OFFSET(INDIRECT(ADDRESS(1,4,1,1,Info!$B$1&amp;" Power")),3,0,100,1),0)+2,6,1,1)</f>
        <v>idle</v>
      </c>
      <c r="G80" s="17">
        <f ca="1">OFFSET(INDIRECT(ADDRESS(1,4,1,1,Info!$B$1&amp;" Power")),MATCH($A80,OFFSET(INDIRECT(ADDRESS(1,4,1,1,Info!$B$1&amp;" Power")),3,0,100,1),0)+2,7,1,1)</f>
        <v>0</v>
      </c>
      <c r="H80">
        <f ca="1" t="shared" si="36"/>
        <v>1</v>
      </c>
      <c r="I80">
        <f ca="1" t="shared" si="37"/>
        <v>0</v>
      </c>
      <c r="J80" t="str">
        <f ca="1">OFFSET('Power Domain Map'!$A$1,MATCH($C80,'Power Domain Map'!$A:$A,0)-1,2,1,1)</f>
        <v>AlwaysOn</v>
      </c>
      <c r="K80" s="17">
        <f ca="1">OFFSET('Power Domain Map'!$A$1,MATCH($C80,'Power Domain Map'!$A:$A,0)-1,3,1,1)</f>
        <v>100</v>
      </c>
      <c r="L80">
        <f ca="1">OFFSET('IP Dynamic Power Data'!$A$1,MATCH($A80,'IP Dynamic Power Data'!A:A,0),MATCH($F80,OFFSET('IP Dynamic Power Data'!$A$1,MATCH($A80,'IP Dynamic Power Data'!A:A,0)-1,0,1,10),0)-1)</f>
        <v>0.005</v>
      </c>
      <c r="M80">
        <f ca="1">OFFSET('IP Dynamic Power Data'!$A$1,MATCH($A80,'IP Dynamic Power Data'!A:A,0),MATCH("idle",OFFSET('IP Dynamic Power Data'!$A$1,MATCH($A80,'IP Dynamic Power Data'!A:A,0)-1,0,1,10),0)-1)</f>
        <v>0.005</v>
      </c>
      <c r="N80">
        <f ca="1">OFFSET(INDIRECT(ADDRESS(1,4,1,1,Info!$B$1&amp;" Power")),MATCH($A80,OFFSET(INDIRECT(ADDRESS(1,4,1,1,Info!$B$1&amp;" Power")),3,0,100,1),0)+2,1,1,1)</f>
        <v>0.92</v>
      </c>
      <c r="O80">
        <f ca="1">OFFSET(INDIRECT(ADDRESS(1,4,1,1,Info!$B$1&amp;" Power")),MATCH($A80,OFFSET(INDIRECT(ADDRESS(1,4,1,1,Info!$B$1&amp;" Power")),3,0,100,1),0)+2,2,1,1)</f>
        <v>266</v>
      </c>
      <c r="P80" s="7">
        <f ca="1" t="shared" si="38"/>
        <v>1.125712</v>
      </c>
      <c r="Q80" s="7">
        <f ca="1">IF(MATCH($B80,$B:$B,0)=ROW($B80),OFFSET('SoC Leakage'!$B$1,MATCH($B80,'SoC Leakage'!A:A,0)-1,0)*EXP(OFFSET('SoC Leakage'!$C$1,MATCH($B80,'SoC Leakage'!A:A,0)-1,0)*$N80)*EXP((OFFSET('SoC Leakage'!$D$1,MATCH($B80,'SoC Leakage'!A:A,0)-1,0)*$N80+OFFSET('SoC Leakage'!$E$1,MATCH($B80,'SoC Leakage'!A:A,0)-1,0))*Tj_eff),0)*1000*IF(OR(E80="AutoPD with Ret",E80="Auto"),G80*(F80&lt;&gt;"idle")+(100-G80*(F80&lt;&gt;"idle"))*0.1,IF(E80="AutoPD",G80*(F80&lt;&gt;"idle")+(100-G80*(F80&lt;&gt;"idle"))*0.05,100))/100*1.03</f>
        <v>0.613359209126194</v>
      </c>
      <c r="R80" s="7">
        <f ca="1">IF($E80="Disabled",0,OFFSET(INDIRECT(ADDRESS(1,4,1,1,Info!$B$1&amp;" Power")),MATCH($A80,OFFSET(INDIRECT(ADDRESS(1,4,1,1,Info!$B$1&amp;" Power")),3,0,100,1),0)+2,8,1,1))</f>
        <v>0</v>
      </c>
      <c r="S80" s="7">
        <f ca="1">IF($E80="Disabled",0,OFFSET(INDIRECT(ADDRESS(1,4,1,1,Info!$B$1&amp;" Power")),MATCH($A80,OFFSET(INDIRECT(ADDRESS(1,4,1,1,Info!$B$1&amp;" Power")),3,0,100,1),0)+2,9,1,1))</f>
        <v>0</v>
      </c>
      <c r="T80" s="7">
        <f ca="1">OFFSET('IP Dynamic Power Data'!$A$1,MATCH($A80,'IP Dynamic Power Data'!A:A,0)+1,MATCH($F80,OFFSET('IP Dynamic Power Data'!$A$1,MATCH($A80,'IP Dynamic Power Data'!A:A,0)-1,0,1,10),0)-1)</f>
        <v>0</v>
      </c>
      <c r="U80" s="7">
        <f ca="1">OFFSET('IP Dynamic Power Data'!$A$1,MATCH($A80,'IP Dynamic Power Data'!A:A,0)+1,MATCH("idle",OFFSET('IP Dynamic Power Data'!$A$1,MATCH($A80,'IP Dynamic Power Data'!A:A,0)-1,0,1,10),0)-1)</f>
        <v>0</v>
      </c>
      <c r="V80" s="7">
        <f ca="1" t="shared" si="39"/>
        <v>1.15</v>
      </c>
      <c r="W80" s="7">
        <f ca="1" t="shared" si="40"/>
        <v>266</v>
      </c>
      <c r="X80" s="7">
        <f ca="1" t="shared" si="41"/>
        <v>0</v>
      </c>
      <c r="Y80" s="7">
        <f ca="1">IF(MATCH($B80,$B:$B,0)=ROW($B80),OFFSET('SoC Leakage'!$G$1,MATCH($B80,'SoC Leakage'!A:A,0)-1,0)*EXP(OFFSET('SoC Leakage'!$H$1,MATCH($B80,'SoC Leakage'!A:A,0)-1,0)*$V80)*EXP((OFFSET('SoC Leakage'!$I$1,MATCH($B80,'SoC Leakage'!A:A,0)-1,0)*$V80+OFFSET('SoC Leakage'!$J$1,MATCH($B80,'SoC Leakage'!A:A,0)-1,0))*Tj_eff),0)*1000</f>
        <v>0</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F39002100AED4881FF84EF59C3C9C1" ma:contentTypeVersion="2" ma:contentTypeDescription="Create a new document." ma:contentTypeScope="" ma:versionID="2c603e2ad5ea469e5bf2eb3f29f75115">
  <xsd:schema xmlns:xsd="http://www.w3.org/2001/XMLSchema" xmlns:p="http://schemas.microsoft.com/office/2006/metadata/properties" targetNamespace="http://schemas.microsoft.com/office/2006/metadata/properties" ma:root="true" ma:fieldsID="7d71986fb7b614c2a4eba97d0afda2d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98CF5-8746-4AD4-9231-54E8DEE15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D9F20E1-0476-4573-8AD5-7A992F9E71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a0876070</dc:creator>
  <cp:keywords/>
  <dc:description/>
  <cp:lastModifiedBy>Jagadish</cp:lastModifiedBy>
  <dcterms:created xsi:type="dcterms:W3CDTF">2013-03-14T05:30:16Z</dcterms:created>
  <dcterms:modified xsi:type="dcterms:W3CDTF">2017-11-17T05:44:59Z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0x010100EDF39002100AED4881FF84EF59C3C9C1</vt:lpwstr>
  </property>
</Properties>
</file>