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codeName="{3D1A710C-6663-3D7B-7F91-EC182F24A4BC}"/>
  <workbookPr updateLinks="never" codeName="ThisWorkbook" defaultThemeVersion="124226"/>
  <mc:AlternateContent xmlns:mc="http://schemas.openxmlformats.org/markup-compatibility/2006">
    <mc:Choice Requires="x15">
      <x15ac:absPath xmlns:x15ac="http://schemas.microsoft.com/office/spreadsheetml/2010/11/ac" url="D:\Work_flow MI\DMS\Calculations\AM62ax power tool\"/>
    </mc:Choice>
  </mc:AlternateContent>
  <xr:revisionPtr revIDLastSave="0" documentId="13_ncr:1_{AE117D45-3643-479F-846D-211828FD720A}" xr6:coauthVersionLast="47" xr6:coauthVersionMax="47" xr10:uidLastSave="{00000000-0000-0000-0000-000000000000}"/>
  <bookViews>
    <workbookView xWindow="9510" yWindow="0" windowWidth="9780" windowHeight="10170" firstSheet="1" activeTab="1" xr2:uid="{7B30E156-EAFE-4D4F-BA8D-5E274081D8CF}"/>
  </bookViews>
  <sheets>
    <sheet name="Rev History" sheetId="49" state="veryHidden" r:id="rId1"/>
    <sheet name="Summary" sheetId="371" r:id="rId2"/>
    <sheet name="Control Panel" sheetId="59" state="veryHidden" r:id="rId3"/>
    <sheet name="Use Cases" sheetId="320" state="veryHidden" r:id="rId4"/>
    <sheet name="Power Summary" sheetId="343" state="veryHidden" r:id="rId5"/>
    <sheet name="PWRCALC" sheetId="370" state="veryHidden" r:id="rId6"/>
    <sheet name="MDB" sheetId="301" state="veryHidden" r:id="rId7"/>
  </sheets>
  <externalReferences>
    <externalReference r:id="rId8"/>
  </externalReferences>
  <definedNames>
    <definedName name="_xlnm._FilterDatabase" localSheetId="6" hidden="1">MDB!$A$16:$H$1647</definedName>
    <definedName name="_xlnm._FilterDatabase" localSheetId="4" hidden="1">'Power Summary'!$A$57:$E$75</definedName>
    <definedName name="_xlnm._FilterDatabase" localSheetId="5" hidden="1">PWRCALC!$A$1:$AH$126</definedName>
    <definedName name="_xlnm._FilterDatabase" localSheetId="3" hidden="1">'Use Cases'!$B$3:$N$45</definedName>
    <definedName name="_R5F__Frequency">Summary!$C$13</definedName>
    <definedName name="_R5F_Util">Summary!$F$13</definedName>
    <definedName name="aspect_ratio">#REF!</definedName>
    <definedName name="canfd_modes">'Control Panel'!$A$295:$A$306</definedName>
    <definedName name="csi_modes">Summary!$F$29</definedName>
    <definedName name="CSI_Util">Summary!$G$29</definedName>
    <definedName name="ddr_modes">Summary!$F$21</definedName>
    <definedName name="DDR_TypeRate_Util">Summary!$G$21</definedName>
    <definedName name="Device">'Control Panel'!#REF!</definedName>
    <definedName name="dphy_rx_modes">'Control Panel'!$A$165:$A$174</definedName>
    <definedName name="dpi_modes">'Control Panel'!$A$321:$A$482</definedName>
    <definedName name="ecap_modes">'Control Panel'!$A$570:$A$579</definedName>
    <definedName name="emmc4_modes">'Control Panel'!$A$286:$A$292</definedName>
    <definedName name="emmc8_hs400_modes">'Control Panel'!$A$177:$A$184</definedName>
    <definedName name="epwm_modes">'Control Panel'!$A$587:$A$590</definedName>
    <definedName name="eqep_modes">'Control Panel'!$A$582:$A$584</definedName>
    <definedName name="Ethernet_CPSW_Port0_mode">Summary!$B$30</definedName>
    <definedName name="Ethernet_CPSW_Port0_Util">Summary!$C$30</definedName>
    <definedName name="Ethernet_CPSW_Port1_mode">Summary!$B$31</definedName>
    <definedName name="Ethernet_CPSW_Port1_Util">Summary!$C$31</definedName>
    <definedName name="ethernet_port_modes">'Control Panel'!$A$261:$A$272</definedName>
    <definedName name="fssul_modes">Summary!$B$27</definedName>
    <definedName name="gpio_modes">'Control Panel'!$A$593:$A$596</definedName>
    <definedName name="gpmc_modes">Summary!$B$28</definedName>
    <definedName name="GPMC_Util">Summary!$C$28</definedName>
    <definedName name="GPU_Frequency">Summary!$C$9</definedName>
    <definedName name="GPU_Util">Summary!$F$12</definedName>
    <definedName name="guardband">#REF!</definedName>
    <definedName name="hsdiv_modes">'Control Panel'!$A$230:$A$242</definedName>
    <definedName name="HSM_Frequency">Summary!$C$12</definedName>
    <definedName name="HSM_Util">Summary!$F$16</definedName>
    <definedName name="i2c_modes">'Control Panel'!$A$552:$A$557</definedName>
    <definedName name="i2c_od_modes">'Control Panel'!$A$543:$A$549</definedName>
    <definedName name="icssm_modes">Summary!$B$34</definedName>
    <definedName name="icssm_util">Summary!$C$34</definedName>
    <definedName name="LPDDR4_DDR4_16_1600_Modes">'Control Panel'!$A$136:$A$148</definedName>
    <definedName name="LVDS_Modes">'Control Panel'!$A$203:$A$209</definedName>
    <definedName name="MAIN_UART_mode">Summary!$B$23</definedName>
    <definedName name="MAIN_UART_Util">Summary!$C$23</definedName>
    <definedName name="Margining">'Control Panel'!$B$9</definedName>
    <definedName name="mcasp_modes">'Control Panel'!$A$485:$A$512</definedName>
    <definedName name="mcasp0_modes">Summary!$B$32</definedName>
    <definedName name="McASP0_Util">Summary!$C$32</definedName>
    <definedName name="mcasp1_modes">Summary!$B$33</definedName>
    <definedName name="McASP1_Util">Summary!$C$33</definedName>
    <definedName name="mcu_2_spi_modes">Summary!$B$26</definedName>
    <definedName name="mcu_2_spi_util">Summary!$C$26</definedName>
    <definedName name="MCU_M4F_Frequency">Summary!$C$10</definedName>
    <definedName name="MCU_M4F_Util">Summary!$F$14</definedName>
    <definedName name="mcu_spi_0_modes">Summary!$B$24</definedName>
    <definedName name="mcu_spi_1_modes">Summary!$B$25</definedName>
    <definedName name="MCU_SPI0_Util">Summary!$C$24</definedName>
    <definedName name="MCU_SPI1_Util">Summary!$C$25</definedName>
    <definedName name="MCU_UART_Mode">Summary!$B$21</definedName>
    <definedName name="MCU0_UART_Util">Summary!$C$21</definedName>
    <definedName name="MCU1_UART_Util">Summary!$C$22</definedName>
    <definedName name="MDB">MDB!$A$16:$G$8553</definedName>
    <definedName name="MMC_4b_0_mode">Summary!$F$26</definedName>
    <definedName name="MMC_4b_1_mode">Summary!$F$27</definedName>
    <definedName name="MMC_8b_mode">Summary!$F$25</definedName>
    <definedName name="MMC_SD0_8b_Util">Summary!$G$25</definedName>
    <definedName name="MMC_SD1_4b_Util">Summary!$G$26</definedName>
    <definedName name="MMC_SD2_4b_Util">Summary!$G$27</definedName>
    <definedName name="MPU_A530_1_2_3_Frequency">Summary!$C$8</definedName>
    <definedName name="MPU_A530_Util">Summary!$F$8</definedName>
    <definedName name="MPU_A531_Util">Summary!$F$9</definedName>
    <definedName name="MPU_A532_Util">Summary!$F$10</definedName>
    <definedName name="MPU_A533_Util">Summary!$F$11</definedName>
    <definedName name="oldi_modes">Summary!$F$28</definedName>
    <definedName name="OLDI_Util">Summary!$G$28</definedName>
    <definedName name="OSPI_Util">Summary!$C$27</definedName>
    <definedName name="PD_State_Table">'Control Panel'!$A$32:$B$119</definedName>
    <definedName name="PD_Table_Row_Header">'Control Panel'!$A$32:$A$119</definedName>
    <definedName name="PG_Date">#REF!</definedName>
    <definedName name="pll_modes">'Control Panel'!$A$212:$A$227</definedName>
    <definedName name="_xlnm.Print_Area" localSheetId="2">'Control Panel'!$A$1:$J$29</definedName>
    <definedName name="Process">'Control Panel'!$B$8</definedName>
    <definedName name="PRU_SS_Frequency">Summary!$C$11</definedName>
    <definedName name="PRU_SS_Util">Summary!$F$15</definedName>
    <definedName name="pwr_scale_rows">'Control Panel'!$A$26:$A$28</definedName>
    <definedName name="pwr_scale_table">'Control Panel'!$A$26:$D$28</definedName>
    <definedName name="pwr_scaling_cols">'Control Panel'!$A$26:$D$26</definedName>
    <definedName name="scribex">#REF!</definedName>
    <definedName name="scribey">#REF!</definedName>
    <definedName name="Security_Accelerator_Util">Summary!$F$17</definedName>
    <definedName name="serdes_10g_common_modes">'Control Panel'!$A$151:$A$154</definedName>
    <definedName name="serdes_10g_common1_modes">'Control Panel'!$A$151:$A$153</definedName>
    <definedName name="serdes_10g_lane_modes">'Control Panel'!$A$157:$A$162</definedName>
    <definedName name="serdes_10g_lane1_modes">'Control Panel'!$A$157:$A$162</definedName>
    <definedName name="signal_pins">#REF!</definedName>
    <definedName name="SoCDB_Col_Header">#REF!</definedName>
    <definedName name="SoCDB_Row_Header">#REF!</definedName>
    <definedName name="SoCDB_Table">#REF!</definedName>
    <definedName name="spi_modes">'Control Panel'!$A$515:$A$540</definedName>
    <definedName name="Tj">'Control Panel'!$B$13</definedName>
    <definedName name="top_route_factor">#REF!</definedName>
    <definedName name="uart_modes">'Control Panel'!$A$560:$A$567</definedName>
    <definedName name="UC_Description">'Control Panel'!$B$7</definedName>
    <definedName name="uc_list">'Use Cases'!$G$3:$CZ$3</definedName>
    <definedName name="UC_Target_mW">'Control Panel'!$B$12</definedName>
    <definedName name="usb2_modes">'Control Panel'!$A$187:$A$200</definedName>
    <definedName name="USB2_modes_port0">Summary!$F$23</definedName>
    <definedName name="USB2_modes_port1">Summary!$F$24</definedName>
    <definedName name="USB2_Port_0_Util">Summary!$G$23</definedName>
    <definedName name="USB2_Port1_Util">Summary!$G$24</definedName>
    <definedName name="Use_Case">'Control Panel'!$B$6</definedName>
    <definedName name="VDD_Core">'Control Panel'!$B$14</definedName>
    <definedName name="VDD_Core_Dyn_Scale">'Control Panel'!$D$27</definedName>
    <definedName name="VDD_Core_Lkg_Scale">'Control Panel'!$B$27</definedName>
    <definedName name="vdd_core_modes">'Control Panel'!$A$599:$A$600</definedName>
    <definedName name="VDD_DDREW_Lkg_Scale">'Control Panel'!$B$28</definedName>
    <definedName name="VDDAR_Core">'Control Panel'!$B$15</definedName>
    <definedName name="VDDAR_Core_Lkg_Scale">'Control Panel'!$C$27</definedName>
    <definedName name="VOUT_modes">Summary!$B$29</definedName>
    <definedName name="VOUT_Util">Summary!$C$29</definedName>
    <definedName name="WKUP_UART_mode">Summary!$B$22</definedName>
    <definedName name="WKUP_UART_Util">Summary!$C$22</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K82" i="320" l="1"/>
  <c r="BL90" i="320" l="1"/>
  <c r="BL89" i="320"/>
  <c r="BL88" i="320"/>
  <c r="BK90" i="320"/>
  <c r="BK89" i="320"/>
  <c r="BK88" i="320"/>
  <c r="BL93" i="320" l="1"/>
  <c r="BL92" i="320"/>
  <c r="BK93" i="320"/>
  <c r="BK92" i="320"/>
  <c r="BL115" i="320"/>
  <c r="BK115" i="320"/>
  <c r="BL130" i="320"/>
  <c r="BK130" i="320"/>
  <c r="BK129" i="320"/>
  <c r="BL129" i="320"/>
  <c r="BL128" i="320"/>
  <c r="BK128" i="320"/>
  <c r="BL110" i="320"/>
  <c r="BK110" i="320"/>
  <c r="BL109" i="320"/>
  <c r="BK95" i="320" l="1"/>
  <c r="BL102" i="320" l="1"/>
  <c r="BL84" i="320" l="1"/>
  <c r="BL86" i="320"/>
  <c r="BL29" i="320"/>
  <c r="BL28" i="320"/>
  <c r="BL82" i="320" l="1"/>
  <c r="BL114" i="320"/>
  <c r="BK114" i="320"/>
  <c r="BL113" i="320"/>
  <c r="BK113" i="320"/>
  <c r="BL107" i="320"/>
  <c r="BK107" i="320"/>
  <c r="BL95" i="320"/>
  <c r="BK109" i="320"/>
  <c r="BK102" i="320"/>
  <c r="BL100" i="320"/>
  <c r="BK100" i="320"/>
  <c r="BK27" i="320"/>
  <c r="BL98" i="320" l="1"/>
  <c r="BL97" i="320"/>
  <c r="BK97" i="320"/>
  <c r="BK98" i="320"/>
  <c r="BK6" i="320" l="1"/>
  <c r="BK8" i="320" l="1"/>
  <c r="BK4" i="320" l="1"/>
  <c r="BK44" i="320"/>
  <c r="BL23" i="320"/>
  <c r="BL13" i="320"/>
  <c r="BK13" i="320"/>
  <c r="BL20" i="320"/>
  <c r="BL19" i="320"/>
  <c r="BL18" i="320"/>
  <c r="BL17" i="320"/>
  <c r="BL16" i="320"/>
  <c r="BL14" i="320"/>
  <c r="BK14" i="320"/>
  <c r="BK30" i="320" l="1"/>
  <c r="BK29" i="320"/>
  <c r="BK28" i="320"/>
  <c r="BK26" i="320"/>
  <c r="BK23" i="320"/>
  <c r="BK21" i="320"/>
  <c r="BK20" i="320"/>
  <c r="BK19" i="320"/>
  <c r="BK17" i="320"/>
  <c r="BK16" i="320"/>
  <c r="BK18" i="320"/>
  <c r="BK15" i="320"/>
  <c r="B76" i="343" l="1"/>
  <c r="B119" i="59" l="1"/>
  <c r="B118" i="59"/>
  <c r="B117" i="59"/>
  <c r="B116" i="59"/>
  <c r="B115" i="59"/>
  <c r="B114" i="59"/>
  <c r="B113" i="59"/>
  <c r="B112" i="59"/>
  <c r="B111" i="59"/>
  <c r="B110" i="59"/>
  <c r="B109" i="59"/>
  <c r="B108" i="59"/>
  <c r="B107" i="59"/>
  <c r="B106" i="59"/>
  <c r="B105" i="59"/>
  <c r="B103" i="59"/>
  <c r="B102" i="59"/>
  <c r="B101" i="59"/>
  <c r="B100" i="59"/>
  <c r="B99" i="59"/>
  <c r="B98" i="59"/>
  <c r="B97" i="59"/>
  <c r="B96" i="59"/>
  <c r="B95" i="59"/>
  <c r="B94" i="59"/>
  <c r="B93" i="59"/>
  <c r="B92" i="59"/>
  <c r="B91" i="59"/>
  <c r="B86" i="59"/>
  <c r="B85" i="59"/>
  <c r="B84" i="59"/>
  <c r="B83" i="59"/>
  <c r="B82" i="59"/>
  <c r="B81" i="59"/>
  <c r="B80" i="59"/>
  <c r="B79" i="59"/>
  <c r="B78" i="59"/>
  <c r="B77" i="59"/>
  <c r="B76" i="59"/>
  <c r="B75" i="59"/>
  <c r="B74" i="59"/>
  <c r="B73" i="59"/>
  <c r="B72" i="59"/>
  <c r="B71" i="59"/>
  <c r="B70" i="59"/>
  <c r="B69" i="59"/>
  <c r="B68" i="59"/>
  <c r="B67" i="59"/>
  <c r="B66" i="59"/>
  <c r="B64" i="59"/>
  <c r="B63" i="59"/>
  <c r="B62" i="59"/>
  <c r="B60" i="59"/>
  <c r="B57" i="59"/>
  <c r="B56" i="59"/>
  <c r="B55" i="59"/>
  <c r="B54" i="59"/>
  <c r="B52" i="59"/>
  <c r="B50" i="59"/>
  <c r="B49" i="59"/>
  <c r="B48" i="59"/>
  <c r="B47" i="59"/>
  <c r="B46" i="59"/>
  <c r="B45" i="59"/>
  <c r="B44" i="59"/>
  <c r="B43" i="59"/>
  <c r="B42" i="59"/>
  <c r="B41" i="59"/>
  <c r="B40" i="59"/>
  <c r="AI101" i="370" l="1"/>
  <c r="I64" i="370"/>
  <c r="AI100" i="370"/>
  <c r="I63" i="370"/>
  <c r="AI99" i="370"/>
  <c r="I62" i="370"/>
  <c r="AI98" i="370"/>
  <c r="I61" i="370"/>
  <c r="AI97" i="370"/>
  <c r="I60" i="370"/>
  <c r="AI96" i="370"/>
  <c r="I59" i="370"/>
  <c r="AI95" i="370"/>
  <c r="I58" i="370"/>
  <c r="AI94" i="370"/>
  <c r="I57" i="370"/>
  <c r="AI93" i="370"/>
  <c r="I56" i="370"/>
  <c r="AI92" i="370"/>
  <c r="I55" i="370"/>
  <c r="AI91" i="370"/>
  <c r="I54" i="370"/>
  <c r="AI124" i="370"/>
  <c r="I87" i="370"/>
  <c r="AI123" i="370"/>
  <c r="I86" i="370"/>
  <c r="AI122" i="370"/>
  <c r="I85" i="370"/>
  <c r="AI121" i="370"/>
  <c r="I84" i="370"/>
  <c r="AI120" i="370"/>
  <c r="I83" i="370"/>
  <c r="AI112" i="370"/>
  <c r="I75" i="370"/>
  <c r="AI90" i="370"/>
  <c r="I53" i="370"/>
  <c r="AI89" i="370"/>
  <c r="I52" i="370"/>
  <c r="AI88" i="370"/>
  <c r="I51" i="370"/>
  <c r="AI119" i="370"/>
  <c r="I82" i="370"/>
  <c r="AI104" i="370"/>
  <c r="I67" i="370"/>
  <c r="AI103" i="370"/>
  <c r="I66" i="370"/>
  <c r="AI108" i="370"/>
  <c r="I71" i="370"/>
  <c r="AI107" i="370"/>
  <c r="I70" i="370"/>
  <c r="AI106" i="370"/>
  <c r="I69" i="370"/>
  <c r="AI105" i="370"/>
  <c r="I68" i="370"/>
  <c r="AI87" i="370"/>
  <c r="I50" i="370"/>
  <c r="AI126" i="370"/>
  <c r="I89" i="370"/>
  <c r="AI125" i="370"/>
  <c r="I88" i="370"/>
  <c r="AI118" i="370"/>
  <c r="I81" i="370"/>
  <c r="AI117" i="370"/>
  <c r="I80" i="370"/>
  <c r="AI116" i="370"/>
  <c r="I79" i="370"/>
  <c r="AI115" i="370"/>
  <c r="I78" i="370"/>
  <c r="AI114" i="370"/>
  <c r="I77" i="370"/>
  <c r="AI111" i="370"/>
  <c r="I74" i="370"/>
  <c r="AI110" i="370"/>
  <c r="I73" i="370"/>
  <c r="AI109" i="370"/>
  <c r="I72" i="370"/>
  <c r="AI113" i="370"/>
  <c r="I76" i="370"/>
  <c r="AI102" i="370"/>
  <c r="I65" i="370"/>
  <c r="AI86" i="370"/>
  <c r="I49" i="370"/>
  <c r="AI85" i="370"/>
  <c r="I48" i="370"/>
  <c r="AI62" i="370"/>
  <c r="I38" i="370"/>
  <c r="AI61" i="370"/>
  <c r="I37" i="370"/>
  <c r="AI70" i="370"/>
  <c r="I45" i="370"/>
  <c r="AI69" i="370"/>
  <c r="I44" i="370"/>
  <c r="AI78" i="370"/>
  <c r="I91" i="370"/>
  <c r="AI77" i="370"/>
  <c r="I90" i="370"/>
  <c r="AI82" i="370"/>
  <c r="I92" i="370"/>
  <c r="AI68" i="370"/>
  <c r="I43" i="370"/>
  <c r="AI67" i="370"/>
  <c r="I7" i="370"/>
  <c r="AI66" i="370"/>
  <c r="I42" i="370"/>
  <c r="AI81" i="370"/>
  <c r="I47" i="370"/>
  <c r="AI59" i="370"/>
  <c r="I36" i="370"/>
  <c r="AI65" i="370"/>
  <c r="I41" i="370"/>
  <c r="AI64" i="370"/>
  <c r="I40" i="370"/>
  <c r="AI63" i="370"/>
  <c r="I39" i="370"/>
  <c r="AI72" i="370"/>
  <c r="I46" i="370"/>
  <c r="AI76" i="370"/>
  <c r="I12" i="370"/>
  <c r="AI75" i="370"/>
  <c r="I11" i="370"/>
  <c r="AI83" i="370"/>
  <c r="I15" i="370"/>
  <c r="AI80" i="370"/>
  <c r="I14" i="370"/>
  <c r="AI79" i="370"/>
  <c r="I13" i="370"/>
  <c r="AI84" i="370"/>
  <c r="I16" i="370"/>
  <c r="AI74" i="370"/>
  <c r="I10" i="370"/>
  <c r="AI73" i="370"/>
  <c r="I9" i="370"/>
  <c r="AI71" i="370"/>
  <c r="I8" i="370"/>
  <c r="AI60" i="370"/>
  <c r="I93" i="370"/>
  <c r="AI51" i="370"/>
  <c r="I33" i="370"/>
  <c r="AI50" i="370"/>
  <c r="I32" i="370"/>
  <c r="AI49" i="370"/>
  <c r="I31" i="370"/>
  <c r="AI48" i="370"/>
  <c r="I30" i="370"/>
  <c r="AI47" i="370"/>
  <c r="I29" i="370"/>
  <c r="AI46" i="370"/>
  <c r="I28" i="370"/>
  <c r="AI45" i="370"/>
  <c r="I27" i="370"/>
  <c r="AI44" i="370"/>
  <c r="I26" i="370"/>
  <c r="AI57" i="370"/>
  <c r="I6" i="370"/>
  <c r="AI53" i="370"/>
  <c r="I3" i="370"/>
  <c r="AI52" i="370"/>
  <c r="I2" i="370"/>
  <c r="AI56" i="370"/>
  <c r="I5" i="370"/>
  <c r="AI55" i="370"/>
  <c r="I4" i="370"/>
  <c r="AI54" i="370"/>
  <c r="I34" i="370"/>
  <c r="AI58" i="370"/>
  <c r="I35" i="370"/>
  <c r="AI40" i="370"/>
  <c r="I22" i="370"/>
  <c r="AI39" i="370"/>
  <c r="I21" i="370"/>
  <c r="AI38" i="370"/>
  <c r="I20" i="370"/>
  <c r="AI37" i="370"/>
  <c r="I19" i="370"/>
  <c r="AI36" i="370"/>
  <c r="I18" i="370"/>
  <c r="AI43" i="370"/>
  <c r="I25" i="370"/>
  <c r="AI41" i="370"/>
  <c r="I23" i="370"/>
  <c r="AI35" i="370"/>
  <c r="I17" i="370"/>
  <c r="AI42" i="370"/>
  <c r="I24" i="370"/>
  <c r="AI33" i="370"/>
  <c r="I125" i="370"/>
  <c r="AI32" i="370"/>
  <c r="AI34" i="370"/>
  <c r="I126" i="370"/>
  <c r="AI31" i="370"/>
  <c r="I123" i="370"/>
  <c r="AI30" i="370"/>
  <c r="AI29" i="370"/>
  <c r="I121" i="370"/>
  <c r="AI28" i="370"/>
  <c r="AI27" i="370"/>
  <c r="I119" i="370"/>
  <c r="AI26" i="370"/>
  <c r="I118" i="370"/>
  <c r="AI25" i="370"/>
  <c r="AI24" i="370"/>
  <c r="I116" i="370"/>
  <c r="AI23" i="370"/>
  <c r="I115" i="370"/>
  <c r="AI22" i="370"/>
  <c r="I114" i="370"/>
  <c r="AI21" i="370"/>
  <c r="I113" i="370"/>
  <c r="AI20" i="370"/>
  <c r="I112" i="370"/>
  <c r="AI19" i="370"/>
  <c r="I111" i="370"/>
  <c r="AI18" i="370"/>
  <c r="I110" i="370"/>
  <c r="AI17" i="370"/>
  <c r="I109" i="370"/>
  <c r="AI16" i="370"/>
  <c r="I108" i="370"/>
  <c r="AI15" i="370"/>
  <c r="I107" i="370"/>
  <c r="AI14" i="370"/>
  <c r="I106" i="370"/>
  <c r="AI13" i="370"/>
  <c r="I105" i="370"/>
  <c r="AI10" i="370"/>
  <c r="AI9" i="370"/>
  <c r="AI12" i="370"/>
  <c r="AI11" i="370"/>
  <c r="AI8" i="370"/>
  <c r="AI7" i="370"/>
  <c r="AI6" i="370"/>
  <c r="AI5" i="370"/>
  <c r="AI4" i="370"/>
  <c r="AI3" i="370"/>
  <c r="I95" i="370"/>
  <c r="AI2" i="370"/>
  <c r="A1177" i="301" l="1"/>
  <c r="A1418" i="301"/>
  <c r="A619" i="301"/>
  <c r="A618" i="301"/>
  <c r="CZ3" i="320"/>
  <c r="CX3" i="320"/>
  <c r="CV3" i="320"/>
  <c r="CT3" i="320"/>
  <c r="CR3" i="320"/>
  <c r="CP3" i="320"/>
  <c r="CN3" i="320"/>
  <c r="CL3" i="320"/>
  <c r="CJ3" i="320"/>
  <c r="CH3" i="320"/>
  <c r="CF3" i="320"/>
  <c r="CD3" i="320"/>
  <c r="CB3" i="320"/>
  <c r="BZ3" i="320"/>
  <c r="BX3" i="320"/>
  <c r="BV3" i="320"/>
  <c r="BT3" i="320"/>
  <c r="BR3" i="320"/>
  <c r="BP3" i="320"/>
  <c r="BN3" i="320"/>
  <c r="BL3" i="320"/>
  <c r="A105" i="320"/>
  <c r="B105" i="320"/>
  <c r="A389" i="301" l="1"/>
  <c r="A390" i="301"/>
  <c r="A381" i="301"/>
  <c r="A374" i="301"/>
  <c r="A400" i="301"/>
  <c r="A377" i="301"/>
  <c r="A376" i="301"/>
  <c r="A368" i="301"/>
  <c r="A364" i="301"/>
  <c r="A363" i="301"/>
  <c r="A367" i="301"/>
  <c r="A362" i="301"/>
  <c r="A402" i="301"/>
  <c r="A369" i="301"/>
  <c r="A356" i="301"/>
  <c r="A365" i="301"/>
  <c r="A370" i="301"/>
  <c r="A371" i="301"/>
  <c r="A361" i="301"/>
  <c r="A360" i="301"/>
  <c r="A366" i="301"/>
  <c r="A383" i="301"/>
  <c r="A380" i="301"/>
  <c r="A382" i="301"/>
  <c r="A373" i="301"/>
  <c r="A372" i="301"/>
  <c r="A379" i="301"/>
  <c r="A378" i="301"/>
  <c r="A358" i="301"/>
  <c r="A355" i="301"/>
  <c r="A357" i="301"/>
  <c r="A359" i="301"/>
  <c r="A388" i="301"/>
  <c r="A385" i="301"/>
  <c r="A399" i="301"/>
  <c r="A393" i="301"/>
  <c r="A392" i="301"/>
  <c r="A387" i="301"/>
  <c r="A401" i="301"/>
  <c r="A395" i="301"/>
  <c r="A398" i="301"/>
  <c r="A397" i="301"/>
  <c r="A394" i="301"/>
  <c r="A396" i="301"/>
  <c r="A391" i="301"/>
  <c r="A375" i="301"/>
  <c r="A403" i="301"/>
  <c r="A386" i="301"/>
  <c r="A384" i="301"/>
  <c r="A92" i="301" l="1"/>
  <c r="A1052" i="301" l="1"/>
  <c r="A1065" i="301"/>
  <c r="A1067" i="301"/>
  <c r="A1064" i="301"/>
  <c r="A1063" i="301"/>
  <c r="A1062" i="301"/>
  <c r="A1050" i="301"/>
  <c r="A1061" i="301"/>
  <c r="A1060" i="301"/>
  <c r="A1042" i="301"/>
  <c r="A1049" i="301"/>
  <c r="A1047" i="301"/>
  <c r="A1055" i="301"/>
  <c r="A1054" i="301"/>
  <c r="A1053" i="301"/>
  <c r="A1059" i="301"/>
  <c r="A1048" i="301"/>
  <c r="A1043" i="301"/>
  <c r="A1058" i="301"/>
  <c r="A1056" i="301"/>
  <c r="A1051" i="301"/>
  <c r="A1046" i="301"/>
  <c r="A1066" i="301"/>
  <c r="A1044" i="301"/>
  <c r="A1045" i="301"/>
  <c r="A1057" i="301"/>
  <c r="A1026" i="301"/>
  <c r="A1039" i="301"/>
  <c r="A1041" i="301"/>
  <c r="A1038" i="301"/>
  <c r="A1037" i="301"/>
  <c r="A1036" i="301"/>
  <c r="A1024" i="301"/>
  <c r="A1035" i="301"/>
  <c r="A1034" i="301"/>
  <c r="A1016" i="301"/>
  <c r="A1023" i="301"/>
  <c r="A1021" i="301"/>
  <c r="A1029" i="301"/>
  <c r="A1028" i="301"/>
  <c r="A1027" i="301"/>
  <c r="A1033" i="301"/>
  <c r="A1022" i="301"/>
  <c r="A1017" i="301"/>
  <c r="A1032" i="301"/>
  <c r="A1030" i="301"/>
  <c r="A1025" i="301"/>
  <c r="A1020" i="301"/>
  <c r="A1040" i="301"/>
  <c r="A1018" i="301"/>
  <c r="A1019" i="301"/>
  <c r="A1031" i="301"/>
  <c r="A1000" i="301"/>
  <c r="A1013" i="301"/>
  <c r="A1015" i="301"/>
  <c r="A1012" i="301"/>
  <c r="A1011" i="301"/>
  <c r="A1010" i="301"/>
  <c r="A998" i="301"/>
  <c r="A1009" i="301"/>
  <c r="A1008" i="301"/>
  <c r="A990" i="301"/>
  <c r="A997" i="301"/>
  <c r="A995" i="301"/>
  <c r="A1003" i="301"/>
  <c r="A1002" i="301"/>
  <c r="A1001" i="301"/>
  <c r="A1007" i="301"/>
  <c r="A996" i="301"/>
  <c r="A991" i="301"/>
  <c r="A1006" i="301"/>
  <c r="A1004" i="301"/>
  <c r="A999" i="301"/>
  <c r="A994" i="301"/>
  <c r="A1014" i="301"/>
  <c r="A992" i="301"/>
  <c r="A993" i="301"/>
  <c r="A1005" i="301"/>
  <c r="A974" i="301"/>
  <c r="A987" i="301"/>
  <c r="A989" i="301"/>
  <c r="A986" i="301"/>
  <c r="A985" i="301"/>
  <c r="A984" i="301"/>
  <c r="A972" i="301"/>
  <c r="A983" i="301"/>
  <c r="A982" i="301"/>
  <c r="A964" i="301"/>
  <c r="A971" i="301"/>
  <c r="A969" i="301"/>
  <c r="A977" i="301"/>
  <c r="A976" i="301"/>
  <c r="A975" i="301"/>
  <c r="A981" i="301"/>
  <c r="A970" i="301"/>
  <c r="A965" i="301"/>
  <c r="A980" i="301"/>
  <c r="A978" i="301"/>
  <c r="A973" i="301"/>
  <c r="A968" i="301"/>
  <c r="A988" i="301"/>
  <c r="A966" i="301"/>
  <c r="A967" i="301"/>
  <c r="A979" i="301"/>
  <c r="A557" i="301" l="1"/>
  <c r="A152" i="320" l="1"/>
  <c r="B152" i="320"/>
  <c r="A151" i="320"/>
  <c r="B151" i="320"/>
  <c r="A149" i="320"/>
  <c r="B149" i="320"/>
  <c r="A148" i="320"/>
  <c r="B148" i="320"/>
  <c r="A147" i="320"/>
  <c r="B147" i="320"/>
  <c r="A145" i="320"/>
  <c r="B145" i="320"/>
  <c r="A144" i="320"/>
  <c r="B144" i="320"/>
  <c r="A143" i="320"/>
  <c r="B143" i="320"/>
  <c r="A141" i="320"/>
  <c r="B141" i="320"/>
  <c r="A140" i="320"/>
  <c r="B140" i="320"/>
  <c r="A139" i="320"/>
  <c r="B139" i="320"/>
  <c r="A137" i="320"/>
  <c r="B137" i="320"/>
  <c r="A136" i="320"/>
  <c r="B136" i="320"/>
  <c r="A135" i="320"/>
  <c r="B135" i="320"/>
  <c r="A134" i="320"/>
  <c r="B134" i="320"/>
  <c r="A133" i="320"/>
  <c r="B133" i="320"/>
  <c r="A132" i="320"/>
  <c r="B132" i="320"/>
  <c r="A131" i="320"/>
  <c r="B131" i="320"/>
  <c r="A130" i="320"/>
  <c r="B130" i="320"/>
  <c r="A129" i="320"/>
  <c r="B129" i="320"/>
  <c r="A128" i="320"/>
  <c r="B128" i="320"/>
  <c r="A127" i="320"/>
  <c r="B127" i="320"/>
  <c r="A125" i="320"/>
  <c r="B125" i="320"/>
  <c r="A124" i="320"/>
  <c r="B124" i="320"/>
  <c r="A123" i="320"/>
  <c r="B123" i="320"/>
  <c r="A122" i="320"/>
  <c r="B122" i="320"/>
  <c r="A120" i="320"/>
  <c r="B120" i="320"/>
  <c r="A119" i="320"/>
  <c r="B119" i="320"/>
  <c r="A117" i="320"/>
  <c r="B117" i="320"/>
  <c r="A116" i="320"/>
  <c r="B116" i="320"/>
  <c r="A115" i="320"/>
  <c r="B115" i="320"/>
  <c r="A114" i="320"/>
  <c r="B114" i="320"/>
  <c r="A113" i="320"/>
  <c r="B113" i="320"/>
  <c r="A111" i="320"/>
  <c r="B111" i="320"/>
  <c r="A110" i="320"/>
  <c r="B110" i="320"/>
  <c r="A109" i="320"/>
  <c r="B109" i="320"/>
  <c r="A107" i="320"/>
  <c r="B107" i="320"/>
  <c r="A104" i="320"/>
  <c r="B104" i="320"/>
  <c r="A102" i="320"/>
  <c r="B102" i="320"/>
  <c r="A100" i="320"/>
  <c r="B100" i="320"/>
  <c r="A98" i="320"/>
  <c r="B98" i="320"/>
  <c r="A97" i="320"/>
  <c r="B97" i="320"/>
  <c r="A95" i="320"/>
  <c r="B95" i="320"/>
  <c r="A93" i="320"/>
  <c r="A92" i="320"/>
  <c r="A90" i="320"/>
  <c r="A89" i="320"/>
  <c r="A88" i="320"/>
  <c r="A86" i="320"/>
  <c r="A84" i="320"/>
  <c r="A82" i="320"/>
  <c r="A80" i="320"/>
  <c r="A79" i="320"/>
  <c r="A78" i="320"/>
  <c r="A77" i="320"/>
  <c r="A76" i="320"/>
  <c r="A75" i="320"/>
  <c r="A74" i="320"/>
  <c r="A73" i="320"/>
  <c r="A72" i="320"/>
  <c r="A71" i="320"/>
  <c r="A70" i="320"/>
  <c r="A69" i="320"/>
  <c r="A68" i="320"/>
  <c r="A67" i="320"/>
  <c r="A66" i="320"/>
  <c r="A65" i="320"/>
  <c r="A64" i="320"/>
  <c r="A63" i="320"/>
  <c r="A62" i="320"/>
  <c r="A60" i="320"/>
  <c r="A59" i="320"/>
  <c r="A58" i="320"/>
  <c r="A57" i="320"/>
  <c r="A56" i="320"/>
  <c r="A55" i="320"/>
  <c r="A54" i="320"/>
  <c r="A53" i="320"/>
  <c r="A52" i="320"/>
  <c r="A50" i="320"/>
  <c r="A45" i="320"/>
  <c r="A44" i="320"/>
  <c r="A43" i="320"/>
  <c r="A42" i="320"/>
  <c r="A41" i="320"/>
  <c r="A40" i="320"/>
  <c r="A39" i="320"/>
  <c r="A38" i="320"/>
  <c r="A37" i="320"/>
  <c r="A36" i="320"/>
  <c r="A35" i="320"/>
  <c r="A34" i="320"/>
  <c r="A33" i="320"/>
  <c r="A32" i="320"/>
  <c r="A31" i="320"/>
  <c r="A30" i="320"/>
  <c r="A29" i="320"/>
  <c r="A28" i="320"/>
  <c r="A27" i="320"/>
  <c r="A26" i="320"/>
  <c r="A25" i="320"/>
  <c r="A24" i="320"/>
  <c r="A23" i="320"/>
  <c r="A22" i="320"/>
  <c r="A21" i="320"/>
  <c r="A20" i="320"/>
  <c r="A19" i="320"/>
  <c r="A18" i="320"/>
  <c r="A17" i="320"/>
  <c r="A16" i="320"/>
  <c r="A15" i="320"/>
  <c r="A14" i="320"/>
  <c r="A13" i="320"/>
  <c r="A12" i="320"/>
  <c r="B12" i="320"/>
  <c r="A11" i="320"/>
  <c r="B11" i="320"/>
  <c r="A10" i="320"/>
  <c r="B10" i="320"/>
  <c r="A9" i="320"/>
  <c r="B9" i="320"/>
  <c r="A8" i="320"/>
  <c r="B8" i="320"/>
  <c r="A7" i="320"/>
  <c r="B7" i="320"/>
  <c r="A6" i="320"/>
  <c r="B6" i="320"/>
  <c r="A5" i="320"/>
  <c r="B5" i="320"/>
  <c r="A4" i="320"/>
  <c r="B4" i="320"/>
  <c r="BJ3" i="320"/>
  <c r="BH3" i="320"/>
  <c r="BF3" i="320"/>
  <c r="BD3" i="320"/>
  <c r="BB3" i="320"/>
  <c r="AZ3" i="320"/>
  <c r="AX3" i="320"/>
  <c r="AV3" i="320"/>
  <c r="AT3" i="320"/>
  <c r="AR3" i="320"/>
  <c r="AP3" i="320"/>
  <c r="AN3" i="320"/>
  <c r="AL3" i="320"/>
  <c r="AJ3" i="320"/>
  <c r="AH3" i="320"/>
  <c r="AF3" i="320"/>
  <c r="AD3" i="320"/>
  <c r="AB3" i="320"/>
  <c r="Z3" i="320"/>
  <c r="X3" i="320"/>
  <c r="V3" i="320"/>
  <c r="T3" i="320"/>
  <c r="R3" i="320"/>
  <c r="P3" i="320"/>
  <c r="N3" i="320"/>
  <c r="L3" i="320"/>
  <c r="J3" i="320"/>
  <c r="H3" i="320"/>
  <c r="B13" i="59" l="1"/>
  <c r="B15" i="59"/>
  <c r="B12" i="59"/>
  <c r="B11" i="59"/>
  <c r="B10" i="59"/>
  <c r="B8" i="59"/>
  <c r="B7" i="59"/>
  <c r="L38" i="370"/>
  <c r="L91" i="370"/>
  <c r="L42" i="370"/>
  <c r="L40" i="370"/>
  <c r="L33" i="370"/>
  <c r="L29" i="370"/>
  <c r="L34" i="370"/>
  <c r="K20" i="370"/>
  <c r="K23" i="370"/>
  <c r="K124" i="370"/>
  <c r="K121" i="370"/>
  <c r="K117" i="370"/>
  <c r="K113" i="370"/>
  <c r="K109" i="370"/>
  <c r="K105" i="370"/>
  <c r="L100" i="370"/>
  <c r="B104" i="59" s="1"/>
  <c r="L96" i="370"/>
  <c r="B87" i="59" s="1"/>
  <c r="L25" i="370"/>
  <c r="K38" i="370"/>
  <c r="K91" i="370"/>
  <c r="K42" i="370"/>
  <c r="K40" i="370"/>
  <c r="K33" i="370"/>
  <c r="K29" i="370"/>
  <c r="L35" i="370"/>
  <c r="L19" i="370"/>
  <c r="L17" i="370"/>
  <c r="L126" i="370"/>
  <c r="L120" i="370"/>
  <c r="L116" i="370"/>
  <c r="L112" i="370"/>
  <c r="L108" i="370"/>
  <c r="K102" i="370"/>
  <c r="K100" i="370"/>
  <c r="K96" i="370"/>
  <c r="L122" i="370"/>
  <c r="K94" i="370"/>
  <c r="L37" i="370"/>
  <c r="L90" i="370"/>
  <c r="L47" i="370"/>
  <c r="L39" i="370"/>
  <c r="L32" i="370"/>
  <c r="L28" i="370"/>
  <c r="K35" i="370"/>
  <c r="K19" i="370"/>
  <c r="K17" i="370"/>
  <c r="K126" i="370"/>
  <c r="K120" i="370"/>
  <c r="K116" i="370"/>
  <c r="K112" i="370"/>
  <c r="K108" i="370"/>
  <c r="L101" i="370"/>
  <c r="B58" i="59" s="1"/>
  <c r="L99" i="370"/>
  <c r="B90" i="59" s="1"/>
  <c r="L95" i="370"/>
  <c r="K27" i="370"/>
  <c r="K37" i="370"/>
  <c r="K90" i="370"/>
  <c r="K47" i="370"/>
  <c r="K39" i="370"/>
  <c r="K32" i="370"/>
  <c r="K28" i="370"/>
  <c r="L22" i="370"/>
  <c r="L18" i="370"/>
  <c r="L24" i="370"/>
  <c r="L123" i="370"/>
  <c r="L119" i="370"/>
  <c r="L115" i="370"/>
  <c r="L111" i="370"/>
  <c r="L107" i="370"/>
  <c r="K101" i="370"/>
  <c r="K99" i="370"/>
  <c r="K95" i="370"/>
  <c r="L118" i="370"/>
  <c r="L106" i="370"/>
  <c r="L45" i="370"/>
  <c r="L92" i="370"/>
  <c r="L36" i="370"/>
  <c r="L46" i="370"/>
  <c r="L31" i="370"/>
  <c r="L27" i="370"/>
  <c r="K22" i="370"/>
  <c r="K18" i="370"/>
  <c r="K24" i="370"/>
  <c r="K123" i="370"/>
  <c r="K119" i="370"/>
  <c r="K115" i="370"/>
  <c r="K111" i="370"/>
  <c r="K107" i="370"/>
  <c r="L104" i="370"/>
  <c r="B53" i="59" s="1"/>
  <c r="L98" i="370"/>
  <c r="B89" i="59" s="1"/>
  <c r="L94" i="370"/>
  <c r="K45" i="370"/>
  <c r="K92" i="370"/>
  <c r="K36" i="370"/>
  <c r="K46" i="370"/>
  <c r="L21" i="370"/>
  <c r="L114" i="370"/>
  <c r="L110" i="370"/>
  <c r="K104" i="370"/>
  <c r="L44" i="370"/>
  <c r="L43" i="370"/>
  <c r="L41" i="370"/>
  <c r="L93" i="370"/>
  <c r="L30" i="370"/>
  <c r="L26" i="370"/>
  <c r="K21" i="370"/>
  <c r="K25" i="370"/>
  <c r="K125" i="370"/>
  <c r="K122" i="370"/>
  <c r="K118" i="370"/>
  <c r="K114" i="370"/>
  <c r="K110" i="370"/>
  <c r="K106" i="370"/>
  <c r="L103" i="370"/>
  <c r="B51" i="59" s="1"/>
  <c r="L97" i="370"/>
  <c r="B88" i="59" s="1"/>
  <c r="K31" i="370"/>
  <c r="K44" i="370"/>
  <c r="K43" i="370"/>
  <c r="K41" i="370"/>
  <c r="K93" i="370"/>
  <c r="K30" i="370"/>
  <c r="K26" i="370"/>
  <c r="L20" i="370"/>
  <c r="L23" i="370"/>
  <c r="L124" i="370"/>
  <c r="L121" i="370"/>
  <c r="L117" i="370"/>
  <c r="L113" i="370"/>
  <c r="L109" i="370"/>
  <c r="L105" i="370"/>
  <c r="K103" i="370"/>
  <c r="K97" i="370"/>
  <c r="L125" i="370"/>
  <c r="K98" i="370"/>
  <c r="L64" i="370"/>
  <c r="L60" i="370"/>
  <c r="L56" i="370"/>
  <c r="L86" i="370"/>
  <c r="L75" i="370"/>
  <c r="L70" i="370"/>
  <c r="L89" i="370"/>
  <c r="L79" i="370"/>
  <c r="L73" i="370"/>
  <c r="L49" i="370"/>
  <c r="K64" i="370"/>
  <c r="K60" i="370"/>
  <c r="K56" i="370"/>
  <c r="K86" i="370"/>
  <c r="K75" i="370"/>
  <c r="K82" i="370"/>
  <c r="K70" i="370"/>
  <c r="K89" i="370"/>
  <c r="K79" i="370"/>
  <c r="K73" i="370"/>
  <c r="K49" i="370"/>
  <c r="K66" i="370"/>
  <c r="K81" i="370"/>
  <c r="L63" i="370"/>
  <c r="L59" i="370"/>
  <c r="L55" i="370"/>
  <c r="L85" i="370"/>
  <c r="L53" i="370"/>
  <c r="L67" i="370"/>
  <c r="L69" i="370"/>
  <c r="L88" i="370"/>
  <c r="L78" i="370"/>
  <c r="L72" i="370"/>
  <c r="L48" i="370"/>
  <c r="K54" i="370"/>
  <c r="K77" i="370"/>
  <c r="K63" i="370"/>
  <c r="K59" i="370"/>
  <c r="K55" i="370"/>
  <c r="K85" i="370"/>
  <c r="K53" i="370"/>
  <c r="K67" i="370"/>
  <c r="K69" i="370"/>
  <c r="K88" i="370"/>
  <c r="K78" i="370"/>
  <c r="K72" i="370"/>
  <c r="K48" i="370"/>
  <c r="K52" i="370"/>
  <c r="L62" i="370"/>
  <c r="L58" i="370"/>
  <c r="L54" i="370"/>
  <c r="L84" i="370"/>
  <c r="L52" i="370"/>
  <c r="L66" i="370"/>
  <c r="L68" i="370"/>
  <c r="L81" i="370"/>
  <c r="L77" i="370"/>
  <c r="L76" i="370"/>
  <c r="K62" i="370"/>
  <c r="K58" i="370"/>
  <c r="K84" i="370"/>
  <c r="K68" i="370"/>
  <c r="K76" i="370"/>
  <c r="L61" i="370"/>
  <c r="L57" i="370"/>
  <c r="L87" i="370"/>
  <c r="L83" i="370"/>
  <c r="L51" i="370"/>
  <c r="L71" i="370"/>
  <c r="L50" i="370"/>
  <c r="L80" i="370"/>
  <c r="L74" i="370"/>
  <c r="L65" i="370"/>
  <c r="K61" i="370"/>
  <c r="K57" i="370"/>
  <c r="K87" i="370"/>
  <c r="K83" i="370"/>
  <c r="K51" i="370"/>
  <c r="K71" i="370"/>
  <c r="K50" i="370"/>
  <c r="K80" i="370"/>
  <c r="K74" i="370"/>
  <c r="K65" i="370"/>
  <c r="C1" i="343"/>
  <c r="B19" i="59"/>
  <c r="B65" i="59" l="1"/>
  <c r="B61" i="59"/>
  <c r="A339" i="301"/>
  <c r="A352" i="301"/>
  <c r="A354" i="301"/>
  <c r="A351" i="301"/>
  <c r="A350" i="301"/>
  <c r="A349" i="301"/>
  <c r="A337" i="301"/>
  <c r="A348" i="301"/>
  <c r="A347" i="301"/>
  <c r="A329" i="301"/>
  <c r="A336" i="301"/>
  <c r="A334" i="301"/>
  <c r="A342" i="301"/>
  <c r="A341" i="301"/>
  <c r="A340" i="301"/>
  <c r="A346" i="301"/>
  <c r="A335" i="301"/>
  <c r="A330" i="301"/>
  <c r="A345" i="301"/>
  <c r="A343" i="301"/>
  <c r="A338" i="301"/>
  <c r="A333" i="301"/>
  <c r="A353" i="301"/>
  <c r="A331" i="301"/>
  <c r="A332" i="301"/>
  <c r="A344" i="301"/>
  <c r="A313" i="301"/>
  <c r="A326" i="301"/>
  <c r="A328" i="301"/>
  <c r="A325" i="301"/>
  <c r="A324" i="301"/>
  <c r="A323" i="301"/>
  <c r="A311" i="301"/>
  <c r="A322" i="301"/>
  <c r="A321" i="301"/>
  <c r="A303" i="301"/>
  <c r="A310" i="301"/>
  <c r="A308" i="301"/>
  <c r="A316" i="301"/>
  <c r="A315" i="301"/>
  <c r="A314" i="301"/>
  <c r="A320" i="301"/>
  <c r="A309" i="301"/>
  <c r="A304" i="301"/>
  <c r="A319" i="301"/>
  <c r="A317" i="301"/>
  <c r="A312" i="301"/>
  <c r="A307" i="301"/>
  <c r="A327" i="301"/>
  <c r="A305" i="301"/>
  <c r="A306" i="301"/>
  <c r="A318" i="301"/>
  <c r="A230" i="301"/>
  <c r="A243" i="301"/>
  <c r="A245" i="301"/>
  <c r="A242" i="301"/>
  <c r="A241" i="301"/>
  <c r="A240" i="301"/>
  <c r="A228" i="301"/>
  <c r="A239" i="301"/>
  <c r="A238" i="301"/>
  <c r="A220" i="301"/>
  <c r="A227" i="301"/>
  <c r="A225" i="301"/>
  <c r="A233" i="301"/>
  <c r="A232" i="301"/>
  <c r="A231" i="301"/>
  <c r="A237" i="301"/>
  <c r="A226" i="301"/>
  <c r="A221" i="301"/>
  <c r="A236" i="301"/>
  <c r="A234" i="301"/>
  <c r="A229" i="301"/>
  <c r="A224" i="301"/>
  <c r="A244" i="301"/>
  <c r="A222" i="301"/>
  <c r="A223" i="301"/>
  <c r="A235" i="301"/>
  <c r="A204" i="301"/>
  <c r="A217" i="301"/>
  <c r="A219" i="301"/>
  <c r="A216" i="301"/>
  <c r="A215" i="301"/>
  <c r="A214" i="301"/>
  <c r="A202" i="301"/>
  <c r="A213" i="301"/>
  <c r="A212" i="301"/>
  <c r="A194" i="301"/>
  <c r="A201" i="301"/>
  <c r="A199" i="301"/>
  <c r="A207" i="301"/>
  <c r="A206" i="301"/>
  <c r="A205" i="301"/>
  <c r="A211" i="301"/>
  <c r="A200" i="301"/>
  <c r="A195" i="301"/>
  <c r="A210" i="301"/>
  <c r="A208" i="301"/>
  <c r="A203" i="301"/>
  <c r="A198" i="301"/>
  <c r="A218" i="301"/>
  <c r="A196" i="301"/>
  <c r="A197" i="301"/>
  <c r="A209" i="301"/>
  <c r="A541" i="301"/>
  <c r="A554" i="301"/>
  <c r="A556" i="301"/>
  <c r="A553" i="301"/>
  <c r="A552" i="301"/>
  <c r="A551" i="301"/>
  <c r="A539" i="301"/>
  <c r="A550" i="301"/>
  <c r="A549" i="301"/>
  <c r="A531" i="301"/>
  <c r="A538" i="301"/>
  <c r="A536" i="301"/>
  <c r="A544" i="301"/>
  <c r="A543" i="301"/>
  <c r="A542" i="301"/>
  <c r="A548" i="301"/>
  <c r="A537" i="301"/>
  <c r="A532" i="301"/>
  <c r="A547" i="301"/>
  <c r="A545" i="301"/>
  <c r="A540" i="301"/>
  <c r="A535" i="301"/>
  <c r="A555" i="301"/>
  <c r="A533" i="301"/>
  <c r="A534" i="301"/>
  <c r="A546" i="301"/>
  <c r="A515" i="301"/>
  <c r="A528" i="301"/>
  <c r="A530" i="301"/>
  <c r="A527" i="301"/>
  <c r="A526" i="301"/>
  <c r="A525" i="301"/>
  <c r="A513" i="301"/>
  <c r="A524" i="301"/>
  <c r="A523" i="301"/>
  <c r="A505" i="301"/>
  <c r="A512" i="301"/>
  <c r="A510" i="301"/>
  <c r="A518" i="301"/>
  <c r="A517" i="301"/>
  <c r="A516" i="301"/>
  <c r="A522" i="301"/>
  <c r="A511" i="301"/>
  <c r="A506" i="301"/>
  <c r="A521" i="301"/>
  <c r="A519" i="301"/>
  <c r="A514" i="301"/>
  <c r="A509" i="301"/>
  <c r="A529" i="301"/>
  <c r="A507" i="301"/>
  <c r="A508" i="301"/>
  <c r="A520" i="301"/>
  <c r="A117" i="301" l="1"/>
  <c r="A116" i="301"/>
  <c r="A118" i="301"/>
  <c r="A115" i="301"/>
  <c r="A114" i="301"/>
  <c r="A113" i="301"/>
  <c r="A112" i="301"/>
  <c r="A111" i="301"/>
  <c r="A110" i="301"/>
  <c r="A109" i="301"/>
  <c r="A106" i="301"/>
  <c r="A105" i="301"/>
  <c r="A104" i="301"/>
  <c r="A107" i="301"/>
  <c r="A108" i="301"/>
  <c r="A103" i="301"/>
  <c r="A99" i="301"/>
  <c r="A102" i="301"/>
  <c r="A101" i="301"/>
  <c r="A98" i="301"/>
  <c r="A97" i="301"/>
  <c r="A100" i="301"/>
  <c r="A95" i="301"/>
  <c r="A96" i="301"/>
  <c r="A93" i="301"/>
  <c r="A94" i="301"/>
  <c r="A428" i="301"/>
  <c r="A427" i="301"/>
  <c r="A429" i="301"/>
  <c r="A426" i="301"/>
  <c r="A425" i="301"/>
  <c r="A424" i="301"/>
  <c r="A423" i="301"/>
  <c r="A422" i="301"/>
  <c r="A421" i="301"/>
  <c r="A420" i="301"/>
  <c r="A417" i="301"/>
  <c r="A416" i="301"/>
  <c r="A415" i="301"/>
  <c r="A418" i="301"/>
  <c r="A419" i="301"/>
  <c r="A414" i="301"/>
  <c r="A410" i="301"/>
  <c r="A413" i="301"/>
  <c r="A412" i="301"/>
  <c r="A409" i="301"/>
  <c r="A408" i="301"/>
  <c r="A411" i="301"/>
  <c r="A406" i="301"/>
  <c r="A407" i="301"/>
  <c r="A404" i="301"/>
  <c r="A405" i="301"/>
  <c r="A1646" i="301"/>
  <c r="A1645" i="301"/>
  <c r="A1647" i="301"/>
  <c r="A1644" i="301"/>
  <c r="A1643" i="301"/>
  <c r="A1642" i="301"/>
  <c r="A1641" i="301"/>
  <c r="A1640" i="301"/>
  <c r="A1639" i="301"/>
  <c r="A1638" i="301"/>
  <c r="A1635" i="301"/>
  <c r="A1634" i="301"/>
  <c r="A1633" i="301"/>
  <c r="A1636" i="301"/>
  <c r="A1637" i="301"/>
  <c r="A1632" i="301"/>
  <c r="A1628" i="301"/>
  <c r="A1631" i="301"/>
  <c r="A1630" i="301"/>
  <c r="A1627" i="301"/>
  <c r="A1626" i="301"/>
  <c r="A1629" i="301"/>
  <c r="A1624" i="301"/>
  <c r="A1625" i="301"/>
  <c r="A1622" i="301"/>
  <c r="A1623" i="301"/>
  <c r="A192" i="301"/>
  <c r="A191" i="301"/>
  <c r="A193" i="301"/>
  <c r="A190" i="301"/>
  <c r="A189" i="301"/>
  <c r="A188" i="301"/>
  <c r="A187" i="301"/>
  <c r="A186" i="301"/>
  <c r="A185" i="301"/>
  <c r="A184" i="301"/>
  <c r="A181" i="301"/>
  <c r="A180" i="301"/>
  <c r="A179" i="301"/>
  <c r="A182" i="301"/>
  <c r="A183" i="301"/>
  <c r="A178" i="301"/>
  <c r="A174" i="301"/>
  <c r="A177" i="301"/>
  <c r="A176" i="301"/>
  <c r="A173" i="301"/>
  <c r="A172" i="301"/>
  <c r="A175" i="301"/>
  <c r="A170" i="301"/>
  <c r="A171" i="301"/>
  <c r="A168" i="301"/>
  <c r="A169" i="301"/>
  <c r="A503" i="301"/>
  <c r="A502" i="301"/>
  <c r="A504" i="301"/>
  <c r="A501" i="301"/>
  <c r="A500" i="301"/>
  <c r="A499" i="301"/>
  <c r="A498" i="301"/>
  <c r="A497" i="301"/>
  <c r="A496" i="301"/>
  <c r="A495" i="301"/>
  <c r="A492" i="301"/>
  <c r="A491" i="301"/>
  <c r="A490" i="301"/>
  <c r="A493" i="301"/>
  <c r="A494" i="301"/>
  <c r="A489" i="301"/>
  <c r="A485" i="301"/>
  <c r="A488" i="301"/>
  <c r="A487" i="301"/>
  <c r="A484" i="301"/>
  <c r="A483" i="301"/>
  <c r="A486" i="301"/>
  <c r="A481" i="301"/>
  <c r="A482" i="301"/>
  <c r="A479" i="301"/>
  <c r="A480" i="301"/>
  <c r="A1102" i="301"/>
  <c r="A1101" i="301"/>
  <c r="A1103" i="301"/>
  <c r="A1100" i="301"/>
  <c r="A1099" i="301"/>
  <c r="A1098" i="301"/>
  <c r="A1097" i="301"/>
  <c r="A1096" i="301"/>
  <c r="A1095" i="301"/>
  <c r="A1094" i="301"/>
  <c r="A1091" i="301"/>
  <c r="A1090" i="301"/>
  <c r="A1089" i="301"/>
  <c r="A1092" i="301"/>
  <c r="A1093" i="301"/>
  <c r="A1088" i="301"/>
  <c r="A1084" i="301"/>
  <c r="A1087" i="301"/>
  <c r="A1086" i="301"/>
  <c r="A1083" i="301"/>
  <c r="A1082" i="301"/>
  <c r="A1085" i="301"/>
  <c r="A1080" i="301"/>
  <c r="A1081" i="301"/>
  <c r="A1078" i="301"/>
  <c r="A1079" i="301"/>
  <c r="A90" i="301"/>
  <c r="A89" i="301"/>
  <c r="A91" i="301"/>
  <c r="A88" i="301"/>
  <c r="A87" i="301"/>
  <c r="A86" i="301"/>
  <c r="A85" i="301"/>
  <c r="A84" i="301"/>
  <c r="A83" i="301"/>
  <c r="A82" i="301"/>
  <c r="A79" i="301"/>
  <c r="A78" i="301"/>
  <c r="A77" i="301"/>
  <c r="A80" i="301"/>
  <c r="A81" i="301"/>
  <c r="A76" i="301"/>
  <c r="A72" i="301"/>
  <c r="A75" i="301"/>
  <c r="A74" i="301"/>
  <c r="A71" i="301"/>
  <c r="A70" i="301"/>
  <c r="A73" i="301"/>
  <c r="A68" i="301"/>
  <c r="A69" i="301"/>
  <c r="A66" i="301"/>
  <c r="A67" i="301"/>
  <c r="F1168" i="301" l="1"/>
  <c r="A1168" i="301"/>
  <c r="F603" i="301"/>
  <c r="A603" i="301"/>
  <c r="A63" i="301" l="1"/>
  <c r="A56" i="301"/>
  <c r="A59" i="301"/>
  <c r="A58" i="301"/>
  <c r="A52" i="301"/>
  <c r="A51" i="301"/>
  <c r="A54" i="301"/>
  <c r="A55" i="301"/>
  <c r="A62" i="301"/>
  <c r="A50" i="301"/>
  <c r="A53" i="301"/>
  <c r="A57" i="301"/>
  <c r="A48" i="301"/>
  <c r="A49" i="301"/>
  <c r="A60" i="301"/>
  <c r="A61" i="301"/>
  <c r="A269" i="301"/>
  <c r="A259" i="301"/>
  <c r="A262" i="301"/>
  <c r="A264" i="301"/>
  <c r="A252" i="301"/>
  <c r="A250" i="301"/>
  <c r="A255" i="301"/>
  <c r="A257" i="301"/>
  <c r="A267" i="301"/>
  <c r="A248" i="301"/>
  <c r="A253" i="301"/>
  <c r="A260" i="301"/>
  <c r="A246" i="301"/>
  <c r="A247" i="301"/>
  <c r="A265" i="301"/>
  <c r="A266" i="301"/>
  <c r="A165" i="301"/>
  <c r="A268" i="301"/>
  <c r="A476" i="301"/>
  <c r="A158" i="301"/>
  <c r="A258" i="301"/>
  <c r="A469" i="301"/>
  <c r="A161" i="301"/>
  <c r="A263" i="301"/>
  <c r="A472" i="301"/>
  <c r="A160" i="301"/>
  <c r="A261" i="301"/>
  <c r="A471" i="301"/>
  <c r="A154" i="301"/>
  <c r="A251" i="301"/>
  <c r="A465" i="301"/>
  <c r="A153" i="301"/>
  <c r="A249" i="301"/>
  <c r="A464" i="301"/>
  <c r="A156" i="301"/>
  <c r="A254" i="301"/>
  <c r="A467" i="301"/>
  <c r="A157" i="301"/>
  <c r="A256" i="301"/>
  <c r="A468" i="301"/>
  <c r="A164" i="301"/>
  <c r="A475" i="301"/>
  <c r="A152" i="301"/>
  <c r="A463" i="301"/>
  <c r="A155" i="301"/>
  <c r="A466" i="301"/>
  <c r="A159" i="301"/>
  <c r="A470" i="301"/>
  <c r="A150" i="301"/>
  <c r="A461" i="301"/>
  <c r="A151" i="301"/>
  <c r="A462" i="301"/>
  <c r="A162" i="301"/>
  <c r="A473" i="301"/>
  <c r="A163" i="301"/>
  <c r="A474" i="301"/>
  <c r="A1073" i="301"/>
  <c r="A456" i="301"/>
  <c r="A296" i="301"/>
  <c r="A145" i="301"/>
  <c r="A43" i="301"/>
  <c r="A1071" i="301"/>
  <c r="A449" i="301"/>
  <c r="A289" i="301"/>
  <c r="A138" i="301"/>
  <c r="A36" i="301"/>
  <c r="A1620" i="301"/>
  <c r="A1391" i="301"/>
  <c r="A1125" i="301"/>
  <c r="A1072" i="301"/>
  <c r="A452" i="301"/>
  <c r="A292" i="301"/>
  <c r="A141" i="301"/>
  <c r="A39" i="301"/>
  <c r="A451" i="301"/>
  <c r="A291" i="301"/>
  <c r="A140" i="301"/>
  <c r="A38" i="301"/>
  <c r="A443" i="301"/>
  <c r="A283" i="301"/>
  <c r="A132" i="301"/>
  <c r="A30" i="301"/>
  <c r="A439" i="301"/>
  <c r="A279" i="301"/>
  <c r="A128" i="301"/>
  <c r="A26" i="301"/>
  <c r="A438" i="301"/>
  <c r="A278" i="301"/>
  <c r="A127" i="301"/>
  <c r="A25" i="301"/>
  <c r="A442" i="301"/>
  <c r="A282" i="301"/>
  <c r="A131" i="301"/>
  <c r="A29" i="301"/>
  <c r="A437" i="301"/>
  <c r="A277" i="301"/>
  <c r="A126" i="301"/>
  <c r="A24" i="301"/>
  <c r="A477" i="301"/>
  <c r="A301" i="301"/>
  <c r="A166" i="301"/>
  <c r="A64" i="301"/>
  <c r="A444" i="301"/>
  <c r="A284" i="301"/>
  <c r="A133" i="301"/>
  <c r="A31" i="301"/>
  <c r="A431" i="301"/>
  <c r="A271" i="301"/>
  <c r="A120" i="301"/>
  <c r="A18" i="301"/>
  <c r="A440" i="301"/>
  <c r="A280" i="301"/>
  <c r="A129" i="301"/>
  <c r="A27" i="301"/>
  <c r="A1388" i="301"/>
  <c r="A1068" i="301"/>
  <c r="A445" i="301"/>
  <c r="A285" i="301"/>
  <c r="A134" i="301"/>
  <c r="A32" i="301"/>
  <c r="A446" i="301"/>
  <c r="A286" i="301"/>
  <c r="A135" i="301"/>
  <c r="A33" i="301"/>
  <c r="A436" i="301"/>
  <c r="A276" i="301"/>
  <c r="A125" i="301"/>
  <c r="A23" i="301"/>
  <c r="A435" i="301"/>
  <c r="A275" i="301"/>
  <c r="A124" i="301"/>
  <c r="A22" i="301"/>
  <c r="A441" i="301"/>
  <c r="A281" i="301"/>
  <c r="A130" i="301"/>
  <c r="A28" i="301"/>
  <c r="A1396" i="301"/>
  <c r="A458" i="301"/>
  <c r="A298" i="301"/>
  <c r="A147" i="301"/>
  <c r="A45" i="301"/>
  <c r="A1394" i="301"/>
  <c r="A455" i="301"/>
  <c r="A295" i="301"/>
  <c r="A144" i="301"/>
  <c r="A42" i="301"/>
  <c r="A1395" i="301"/>
  <c r="A1074" i="301"/>
  <c r="A457" i="301"/>
  <c r="A297" i="301"/>
  <c r="A146" i="301"/>
  <c r="A44" i="301"/>
  <c r="A1390" i="301"/>
  <c r="A1070" i="301"/>
  <c r="A448" i="301"/>
  <c r="A288" i="301"/>
  <c r="A137" i="301"/>
  <c r="A35" i="301"/>
  <c r="A1389" i="301"/>
  <c r="A1069" i="301"/>
  <c r="A447" i="301"/>
  <c r="A287" i="301"/>
  <c r="A136" i="301"/>
  <c r="A34" i="301"/>
  <c r="A1393" i="301"/>
  <c r="A454" i="301"/>
  <c r="A294" i="301"/>
  <c r="A143" i="301"/>
  <c r="A41" i="301"/>
  <c r="A1392" i="301"/>
  <c r="A453" i="301"/>
  <c r="A293" i="301"/>
  <c r="A142" i="301"/>
  <c r="A40" i="301"/>
  <c r="A433" i="301"/>
  <c r="A273" i="301"/>
  <c r="A122" i="301"/>
  <c r="A20" i="301"/>
  <c r="A430" i="301"/>
  <c r="A270" i="301"/>
  <c r="A119" i="301"/>
  <c r="A17" i="301"/>
  <c r="B88" i="320" s="1"/>
  <c r="A432" i="301"/>
  <c r="A272" i="301"/>
  <c r="A121" i="301"/>
  <c r="A19" i="301"/>
  <c r="A434" i="301"/>
  <c r="A274" i="301"/>
  <c r="A123" i="301"/>
  <c r="A21" i="301"/>
  <c r="A1398" i="301"/>
  <c r="A1076" i="301"/>
  <c r="A460" i="301"/>
  <c r="A300" i="301"/>
  <c r="A149" i="301"/>
  <c r="A47" i="301"/>
  <c r="A450" i="301"/>
  <c r="A290" i="301"/>
  <c r="A139" i="301"/>
  <c r="A37" i="301"/>
  <c r="A1621" i="301"/>
  <c r="A1399" i="301"/>
  <c r="A1077" i="301"/>
  <c r="A478" i="301"/>
  <c r="A302" i="301"/>
  <c r="A167" i="301"/>
  <c r="A65" i="301"/>
  <c r="A1397" i="301"/>
  <c r="A1075" i="301"/>
  <c r="A459" i="301"/>
  <c r="A299" i="301"/>
  <c r="A148" i="301"/>
  <c r="A46" i="301"/>
  <c r="A1342" i="301" l="1"/>
  <c r="A1580" i="301"/>
  <c r="A917" i="301"/>
  <c r="A918" i="301"/>
  <c r="A1293" i="301"/>
  <c r="A1528" i="301"/>
  <c r="A839" i="301"/>
  <c r="A840" i="301"/>
  <c r="A1305" i="301"/>
  <c r="A1543" i="301"/>
  <c r="A866" i="301"/>
  <c r="A867" i="301"/>
  <c r="A1302" i="301"/>
  <c r="A1539" i="301"/>
  <c r="A1540" i="301"/>
  <c r="A1303" i="301"/>
  <c r="A1304" i="301"/>
  <c r="A1541" i="301"/>
  <c r="A1542" i="301"/>
  <c r="A858" i="301"/>
  <c r="A860" i="301"/>
  <c r="A859" i="301"/>
  <c r="A861" i="301"/>
  <c r="A862" i="301"/>
  <c r="A864" i="301"/>
  <c r="A863" i="301"/>
  <c r="A865" i="301"/>
  <c r="A1206" i="301"/>
  <c r="A1443" i="301"/>
  <c r="A1440" i="301"/>
  <c r="A1441" i="301"/>
  <c r="A1442" i="301"/>
  <c r="A1203" i="301"/>
  <c r="A1204" i="301"/>
  <c r="A1205" i="301"/>
  <c r="A668" i="301"/>
  <c r="A663" i="301"/>
  <c r="A665" i="301"/>
  <c r="A667" i="301"/>
  <c r="A662" i="301"/>
  <c r="A664" i="301"/>
  <c r="A666" i="301"/>
  <c r="A1202" i="301"/>
  <c r="A1439" i="301"/>
  <c r="A1436" i="301"/>
  <c r="A1437" i="301"/>
  <c r="A1438" i="301"/>
  <c r="A1199" i="301"/>
  <c r="A1200" i="301"/>
  <c r="A1201" i="301"/>
  <c r="A661" i="301"/>
  <c r="A656" i="301"/>
  <c r="A658" i="301"/>
  <c r="A660" i="301"/>
  <c r="A655" i="301"/>
  <c r="A657" i="301"/>
  <c r="A659" i="301"/>
  <c r="A1524" i="301"/>
  <c r="A1525" i="301"/>
  <c r="A1287" i="301"/>
  <c r="A1290" i="301"/>
  <c r="A1288" i="301"/>
  <c r="A1289" i="301"/>
  <c r="A831" i="301"/>
  <c r="A835" i="301"/>
  <c r="A832" i="301"/>
  <c r="A836" i="301"/>
  <c r="A833" i="301"/>
  <c r="A834" i="301"/>
  <c r="A1291" i="301"/>
  <c r="A1292" i="301"/>
  <c r="A1526" i="301"/>
  <c r="A1527" i="301"/>
  <c r="A837" i="301"/>
  <c r="A838" i="301"/>
  <c r="A1338" i="301"/>
  <c r="A1337" i="301"/>
  <c r="A1340" i="301"/>
  <c r="A1341" i="301"/>
  <c r="A1336" i="301"/>
  <c r="A1339" i="301"/>
  <c r="A1330" i="301"/>
  <c r="A1332" i="301"/>
  <c r="A1334" i="301"/>
  <c r="A1335" i="301"/>
  <c r="A1331" i="301"/>
  <c r="A1333" i="301"/>
  <c r="A1576" i="301"/>
  <c r="A1575" i="301"/>
  <c r="A1578" i="301"/>
  <c r="A1579" i="301"/>
  <c r="A1574" i="301"/>
  <c r="A1577" i="301"/>
  <c r="A1568" i="301"/>
  <c r="A1570" i="301"/>
  <c r="A1572" i="301"/>
  <c r="A1573" i="301"/>
  <c r="A1569" i="301"/>
  <c r="A1571" i="301"/>
  <c r="A904" i="301"/>
  <c r="A908" i="301"/>
  <c r="A907" i="301"/>
  <c r="A913" i="301"/>
  <c r="A915" i="301"/>
  <c r="A905" i="301"/>
  <c r="A911" i="301"/>
  <c r="A892" i="301"/>
  <c r="A896" i="301"/>
  <c r="A900" i="301"/>
  <c r="A902" i="301"/>
  <c r="A894" i="301"/>
  <c r="A898" i="301"/>
  <c r="A910" i="301"/>
  <c r="A909" i="301"/>
  <c r="A914" i="301"/>
  <c r="A916" i="301"/>
  <c r="A906" i="301"/>
  <c r="A912" i="301"/>
  <c r="A893" i="301"/>
  <c r="A897" i="301"/>
  <c r="A901" i="301"/>
  <c r="A903" i="301"/>
  <c r="A895" i="301"/>
  <c r="A899" i="301"/>
  <c r="A1191" i="301"/>
  <c r="A1194" i="301"/>
  <c r="A1197" i="301"/>
  <c r="A1186" i="301"/>
  <c r="A1188" i="301"/>
  <c r="A1192" i="301"/>
  <c r="A1195" i="301"/>
  <c r="A1198" i="301"/>
  <c r="A1187" i="301"/>
  <c r="A1189" i="301"/>
  <c r="A1190" i="301"/>
  <c r="A1193" i="301"/>
  <c r="A1196" i="301"/>
  <c r="A1428" i="301"/>
  <c r="A1431" i="301"/>
  <c r="A1434" i="301"/>
  <c r="A1423" i="301"/>
  <c r="A1425" i="301"/>
  <c r="A1429" i="301"/>
  <c r="A1432" i="301"/>
  <c r="A1435" i="301"/>
  <c r="A1424" i="301"/>
  <c r="A1426" i="301"/>
  <c r="A1427" i="301"/>
  <c r="A1430" i="301"/>
  <c r="A1433" i="301"/>
  <c r="A654" i="301"/>
  <c r="A638" i="301"/>
  <c r="A644" i="301"/>
  <c r="A650" i="301"/>
  <c r="A628" i="301"/>
  <c r="A632" i="301"/>
  <c r="A640" i="301"/>
  <c r="A646" i="301"/>
  <c r="A652" i="301"/>
  <c r="A630" i="301"/>
  <c r="A634" i="301"/>
  <c r="A636" i="301"/>
  <c r="A642" i="301"/>
  <c r="A648" i="301"/>
  <c r="A639" i="301"/>
  <c r="A645" i="301"/>
  <c r="A651" i="301"/>
  <c r="A629" i="301"/>
  <c r="A633" i="301"/>
  <c r="A641" i="301"/>
  <c r="A647" i="301"/>
  <c r="A653" i="301"/>
  <c r="A631" i="301"/>
  <c r="A635" i="301"/>
  <c r="A637" i="301"/>
  <c r="A643" i="301"/>
  <c r="A649" i="301"/>
  <c r="A1447" i="301"/>
  <c r="A1210" i="301"/>
  <c r="A1446" i="301"/>
  <c r="A1209" i="301"/>
  <c r="A1445" i="301"/>
  <c r="A1208" i="301"/>
  <c r="A1444" i="301"/>
  <c r="A1207" i="301"/>
  <c r="A1455" i="301"/>
  <c r="A1218" i="301"/>
  <c r="A1454" i="301"/>
  <c r="A1217" i="301"/>
  <c r="A1453" i="301"/>
  <c r="A1216" i="301"/>
  <c r="A1452" i="301"/>
  <c r="A1215" i="301"/>
  <c r="A1451" i="301"/>
  <c r="A1214" i="301"/>
  <c r="A1450" i="301"/>
  <c r="A1213" i="301"/>
  <c r="A1449" i="301"/>
  <c r="A1212" i="301"/>
  <c r="A1448" i="301"/>
  <c r="A1211" i="301"/>
  <c r="A1463" i="301"/>
  <c r="A1226" i="301"/>
  <c r="A1462" i="301"/>
  <c r="A1225" i="301"/>
  <c r="A1461" i="301"/>
  <c r="A1224" i="301"/>
  <c r="A1460" i="301"/>
  <c r="A1223" i="301"/>
  <c r="A1459" i="301"/>
  <c r="A1222" i="301"/>
  <c r="A1458" i="301"/>
  <c r="A1221" i="301"/>
  <c r="A1457" i="301"/>
  <c r="A1220" i="301"/>
  <c r="A1456" i="301"/>
  <c r="A1219" i="301"/>
  <c r="A1507" i="301"/>
  <c r="A1270" i="301"/>
  <c r="A1506" i="301"/>
  <c r="A1269" i="301"/>
  <c r="A1505" i="301"/>
  <c r="A1268" i="301"/>
  <c r="A1504" i="301"/>
  <c r="A1267" i="301"/>
  <c r="A1503" i="301"/>
  <c r="A1266" i="301"/>
  <c r="A1502" i="301"/>
  <c r="A1265" i="301"/>
  <c r="A1501" i="301"/>
  <c r="A1264" i="301"/>
  <c r="A1500" i="301"/>
  <c r="A1263" i="301"/>
  <c r="A1479" i="301"/>
  <c r="A1242" i="301"/>
  <c r="A1478" i="301"/>
  <c r="A1241" i="301"/>
  <c r="A1477" i="301"/>
  <c r="A1240" i="301"/>
  <c r="A1476" i="301"/>
  <c r="A1239" i="301"/>
  <c r="A1475" i="301"/>
  <c r="A1238" i="301"/>
  <c r="A1474" i="301"/>
  <c r="A1237" i="301"/>
  <c r="A1473" i="301"/>
  <c r="A1236" i="301"/>
  <c r="A1472" i="301"/>
  <c r="A1235" i="301"/>
  <c r="A1499" i="301"/>
  <c r="A1262" i="301"/>
  <c r="A1498" i="301"/>
  <c r="A1261" i="301"/>
  <c r="A1497" i="301"/>
  <c r="A1260" i="301"/>
  <c r="A1496" i="301"/>
  <c r="A1259" i="301"/>
  <c r="A1495" i="301"/>
  <c r="A1258" i="301"/>
  <c r="A1494" i="301"/>
  <c r="A1257" i="301"/>
  <c r="A1493" i="301"/>
  <c r="A1256" i="301"/>
  <c r="A1492" i="301"/>
  <c r="A1255" i="301"/>
  <c r="A1491" i="301"/>
  <c r="A1254" i="301"/>
  <c r="A1490" i="301"/>
  <c r="A1253" i="301"/>
  <c r="A1489" i="301"/>
  <c r="A1252" i="301"/>
  <c r="A1488" i="301"/>
  <c r="A1251" i="301"/>
  <c r="A1519" i="301"/>
  <c r="A1282" i="301"/>
  <c r="A1518" i="301"/>
  <c r="A1281" i="301"/>
  <c r="A1517" i="301"/>
  <c r="A1280" i="301"/>
  <c r="A1516" i="301"/>
  <c r="A1279" i="301"/>
  <c r="A1515" i="301"/>
  <c r="A1278" i="301"/>
  <c r="A1514" i="301"/>
  <c r="A1277" i="301"/>
  <c r="A1513" i="301"/>
  <c r="A1276" i="301"/>
  <c r="A1512" i="301"/>
  <c r="A1275" i="301"/>
  <c r="A1471" i="301"/>
  <c r="A1234" i="301"/>
  <c r="A1470" i="301"/>
  <c r="A1233" i="301"/>
  <c r="A1469" i="301"/>
  <c r="A1232" i="301"/>
  <c r="A1468" i="301"/>
  <c r="A1231" i="301"/>
  <c r="A1467" i="301"/>
  <c r="A1230" i="301"/>
  <c r="A1466" i="301"/>
  <c r="A1229" i="301"/>
  <c r="A1465" i="301"/>
  <c r="A1228" i="301"/>
  <c r="A1464" i="301"/>
  <c r="A1227" i="301"/>
  <c r="A1523" i="301"/>
  <c r="A1286" i="301"/>
  <c r="A1522" i="301"/>
  <c r="A1285" i="301"/>
  <c r="A1521" i="301"/>
  <c r="A1284" i="301"/>
  <c r="A1520" i="301"/>
  <c r="A1283" i="301"/>
  <c r="A1511" i="301"/>
  <c r="A1274" i="301"/>
  <c r="A1510" i="301"/>
  <c r="A1273" i="301"/>
  <c r="A1509" i="301"/>
  <c r="A1272" i="301"/>
  <c r="A1508" i="301"/>
  <c r="A1271" i="301"/>
  <c r="A1487" i="301"/>
  <c r="A1250" i="301"/>
  <c r="A1486" i="301"/>
  <c r="A1249" i="301"/>
  <c r="A1485" i="301"/>
  <c r="A1248" i="301"/>
  <c r="A1484" i="301"/>
  <c r="A1247" i="301"/>
  <c r="A1483" i="301"/>
  <c r="A1246" i="301"/>
  <c r="A1482" i="301"/>
  <c r="A1245" i="301"/>
  <c r="A1481" i="301"/>
  <c r="A1244" i="301"/>
  <c r="A1480" i="301"/>
  <c r="A1243" i="301"/>
  <c r="A742" i="301"/>
  <c r="A676" i="301"/>
  <c r="A675" i="301"/>
  <c r="A674" i="301"/>
  <c r="A673" i="301"/>
  <c r="A672" i="301"/>
  <c r="A671" i="301"/>
  <c r="A670" i="301"/>
  <c r="A669" i="301"/>
  <c r="A692" i="301"/>
  <c r="A691" i="301"/>
  <c r="A690" i="301"/>
  <c r="A689" i="301"/>
  <c r="A688" i="301"/>
  <c r="A687" i="301"/>
  <c r="A686" i="301"/>
  <c r="A685" i="301"/>
  <c r="A684" i="301"/>
  <c r="A683" i="301"/>
  <c r="A682" i="301"/>
  <c r="A681" i="301"/>
  <c r="A680" i="301"/>
  <c r="A679" i="301"/>
  <c r="A678" i="301"/>
  <c r="A677" i="301"/>
  <c r="A708" i="301"/>
  <c r="A707" i="301"/>
  <c r="A706" i="301"/>
  <c r="A705" i="301"/>
  <c r="A704" i="301"/>
  <c r="A703" i="301"/>
  <c r="A702" i="301"/>
  <c r="A701" i="301"/>
  <c r="A700" i="301"/>
  <c r="A699" i="301"/>
  <c r="A698" i="301"/>
  <c r="A697" i="301"/>
  <c r="A696" i="301"/>
  <c r="A695" i="301"/>
  <c r="A694" i="301"/>
  <c r="A693" i="301"/>
  <c r="A798" i="301"/>
  <c r="A797" i="301"/>
  <c r="A796" i="301"/>
  <c r="A795" i="301"/>
  <c r="A794" i="301"/>
  <c r="A793" i="301"/>
  <c r="A792" i="301"/>
  <c r="A791" i="301"/>
  <c r="A790" i="301"/>
  <c r="A789" i="301"/>
  <c r="A788" i="301"/>
  <c r="A787" i="301"/>
  <c r="A786" i="301"/>
  <c r="A785" i="301"/>
  <c r="A784" i="301"/>
  <c r="A783" i="301"/>
  <c r="A740" i="301"/>
  <c r="A738" i="301"/>
  <c r="A739" i="301"/>
  <c r="A737" i="301"/>
  <c r="A736" i="301"/>
  <c r="A735" i="301"/>
  <c r="A734" i="301"/>
  <c r="A733" i="301"/>
  <c r="A732" i="301"/>
  <c r="A731" i="301"/>
  <c r="A730" i="301"/>
  <c r="A729" i="301"/>
  <c r="A728" i="301"/>
  <c r="A727" i="301"/>
  <c r="A726" i="301"/>
  <c r="A725" i="301"/>
  <c r="A782" i="301"/>
  <c r="A781" i="301"/>
  <c r="A780" i="301"/>
  <c r="A779" i="301"/>
  <c r="A778" i="301"/>
  <c r="A777" i="301"/>
  <c r="A776" i="301"/>
  <c r="A775" i="301"/>
  <c r="A774" i="301"/>
  <c r="A773" i="301"/>
  <c r="A772" i="301"/>
  <c r="A771" i="301"/>
  <c r="A770" i="301"/>
  <c r="A769" i="301"/>
  <c r="A768" i="301"/>
  <c r="A767" i="301"/>
  <c r="A766" i="301"/>
  <c r="A765" i="301"/>
  <c r="A764" i="301"/>
  <c r="A763" i="301"/>
  <c r="A762" i="301"/>
  <c r="A761" i="301"/>
  <c r="A760" i="301"/>
  <c r="A759" i="301"/>
  <c r="A822" i="301"/>
  <c r="A821" i="301"/>
  <c r="A820" i="301"/>
  <c r="A819" i="301"/>
  <c r="A818" i="301"/>
  <c r="A817" i="301"/>
  <c r="A816" i="301"/>
  <c r="A815" i="301"/>
  <c r="A814" i="301"/>
  <c r="A812" i="301"/>
  <c r="A813" i="301"/>
  <c r="A811" i="301"/>
  <c r="A810" i="301"/>
  <c r="A809" i="301"/>
  <c r="A808" i="301"/>
  <c r="A807" i="301"/>
  <c r="A724" i="301"/>
  <c r="A722" i="301"/>
  <c r="A723" i="301"/>
  <c r="A721" i="301"/>
  <c r="A720" i="301"/>
  <c r="A719" i="301"/>
  <c r="A718" i="301"/>
  <c r="A717" i="301"/>
  <c r="A716" i="301"/>
  <c r="A714" i="301"/>
  <c r="A715" i="301"/>
  <c r="A713" i="301"/>
  <c r="A712" i="301"/>
  <c r="A711" i="301"/>
  <c r="A710" i="301"/>
  <c r="A709" i="301"/>
  <c r="A830" i="301"/>
  <c r="A828" i="301"/>
  <c r="A829" i="301"/>
  <c r="A827" i="301"/>
  <c r="A826" i="301"/>
  <c r="A825" i="301"/>
  <c r="A824" i="301"/>
  <c r="A823" i="301"/>
  <c r="A806" i="301"/>
  <c r="A804" i="301"/>
  <c r="A805" i="301"/>
  <c r="A803" i="301"/>
  <c r="A802" i="301"/>
  <c r="A801" i="301"/>
  <c r="A800" i="301"/>
  <c r="A799" i="301"/>
  <c r="A758" i="301"/>
  <c r="A756" i="301"/>
  <c r="A757" i="301"/>
  <c r="A755" i="301"/>
  <c r="A754" i="301"/>
  <c r="A753" i="301"/>
  <c r="A752" i="301"/>
  <c r="A751" i="301"/>
  <c r="A750" i="301"/>
  <c r="A748" i="301"/>
  <c r="A749" i="301"/>
  <c r="A747" i="301"/>
  <c r="A746" i="301"/>
  <c r="A745" i="301"/>
  <c r="A744" i="301"/>
  <c r="A743" i="301"/>
  <c r="A741" i="301"/>
  <c r="A1530" i="301"/>
  <c r="A1533" i="301"/>
  <c r="A1534" i="301"/>
  <c r="A1531" i="301"/>
  <c r="A1532" i="301"/>
  <c r="A1537" i="301"/>
  <c r="A1538" i="301"/>
  <c r="A1535" i="301"/>
  <c r="A1536" i="301"/>
  <c r="A1529" i="301"/>
  <c r="A1296" i="301"/>
  <c r="A1297" i="301"/>
  <c r="A1294" i="301"/>
  <c r="A1295" i="301"/>
  <c r="A1300" i="301"/>
  <c r="A1301" i="301"/>
  <c r="A1298" i="301"/>
  <c r="A1299" i="301"/>
  <c r="A841" i="301"/>
  <c r="A846" i="301"/>
  <c r="A848" i="301"/>
  <c r="A842" i="301"/>
  <c r="A844" i="301"/>
  <c r="A854" i="301"/>
  <c r="A856" i="301"/>
  <c r="A850" i="301"/>
  <c r="A852" i="301"/>
  <c r="A847" i="301"/>
  <c r="A849" i="301"/>
  <c r="A843" i="301"/>
  <c r="A845" i="301"/>
  <c r="A855" i="301"/>
  <c r="A857" i="301"/>
  <c r="A851" i="301"/>
  <c r="A853" i="301"/>
  <c r="A1419" i="301"/>
  <c r="A1416" i="301"/>
  <c r="A1415" i="301"/>
  <c r="A1417" i="301"/>
  <c r="A1414" i="301"/>
  <c r="A1180" i="301"/>
  <c r="A1178" i="301"/>
  <c r="A1176" i="301"/>
  <c r="A1179" i="301"/>
  <c r="A1175" i="301"/>
  <c r="A620" i="301"/>
  <c r="A614" i="301"/>
  <c r="A612" i="301"/>
  <c r="A616" i="301"/>
  <c r="A610" i="301"/>
  <c r="A615" i="301"/>
  <c r="A613" i="301"/>
  <c r="A617" i="301"/>
  <c r="A611" i="301"/>
  <c r="A1345" i="301"/>
  <c r="A1344" i="301"/>
  <c r="A1346" i="301"/>
  <c r="A1343" i="301"/>
  <c r="A1348" i="301"/>
  <c r="A1347" i="301"/>
  <c r="A921" i="301"/>
  <c r="A920" i="301"/>
  <c r="A922" i="301"/>
  <c r="A919" i="301"/>
  <c r="A924" i="301"/>
  <c r="A923" i="301"/>
  <c r="A1185" i="301"/>
  <c r="A1422" i="301"/>
  <c r="A1420" i="301"/>
  <c r="A1421" i="301"/>
  <c r="A1184" i="301"/>
  <c r="A1183" i="301"/>
  <c r="A1181" i="301"/>
  <c r="A1182" i="301"/>
  <c r="A627" i="301"/>
  <c r="A625" i="301"/>
  <c r="A621" i="301"/>
  <c r="A623" i="301"/>
  <c r="A626" i="301"/>
  <c r="A622" i="301"/>
  <c r="A624" i="301"/>
  <c r="A1544" i="301"/>
  <c r="A1552" i="301"/>
  <c r="A1554" i="301"/>
  <c r="A1546" i="301"/>
  <c r="A1548" i="301"/>
  <c r="A1550" i="301"/>
  <c r="A1551" i="301"/>
  <c r="A1553" i="301"/>
  <c r="A1545" i="301"/>
  <c r="A1547" i="301"/>
  <c r="A1549" i="301"/>
  <c r="A1306" i="301"/>
  <c r="A1314" i="301"/>
  <c r="A1316" i="301"/>
  <c r="A1308" i="301"/>
  <c r="A1310" i="301"/>
  <c r="A1312" i="301"/>
  <c r="A1313" i="301"/>
  <c r="A1315" i="301"/>
  <c r="A1307" i="301"/>
  <c r="A1309" i="301"/>
  <c r="A1311" i="301"/>
  <c r="A868" i="301"/>
  <c r="A876" i="301"/>
  <c r="A878" i="301"/>
  <c r="A870" i="301"/>
  <c r="A872" i="301"/>
  <c r="A874" i="301"/>
  <c r="A875" i="301"/>
  <c r="A877" i="301"/>
  <c r="A869" i="301"/>
  <c r="A871" i="301"/>
  <c r="A873" i="301"/>
  <c r="A1561" i="301"/>
  <c r="A1555" i="301"/>
  <c r="A1562" i="301"/>
  <c r="A1557" i="301"/>
  <c r="A1559" i="301"/>
  <c r="A1564" i="301"/>
  <c r="A1566" i="301"/>
  <c r="A1556" i="301"/>
  <c r="A1563" i="301"/>
  <c r="A1558" i="301"/>
  <c r="A1560" i="301"/>
  <c r="A1565" i="301"/>
  <c r="A1567" i="301"/>
  <c r="A1323" i="301"/>
  <c r="A1317" i="301"/>
  <c r="A1324" i="301"/>
  <c r="A1319" i="301"/>
  <c r="A1321" i="301"/>
  <c r="A1326" i="301"/>
  <c r="A1328" i="301"/>
  <c r="A1318" i="301"/>
  <c r="A1325" i="301"/>
  <c r="A1320" i="301"/>
  <c r="A1322" i="301"/>
  <c r="A1327" i="301"/>
  <c r="A1329" i="301"/>
  <c r="A885" i="301"/>
  <c r="A879" i="301"/>
  <c r="A886" i="301"/>
  <c r="A881" i="301"/>
  <c r="A883" i="301"/>
  <c r="A888" i="301"/>
  <c r="A890" i="301"/>
  <c r="A880" i="301"/>
  <c r="A887" i="301"/>
  <c r="A882" i="301"/>
  <c r="A884" i="301"/>
  <c r="A889" i="301"/>
  <c r="A891" i="301"/>
  <c r="A573" i="301"/>
  <c r="A1413" i="301"/>
  <c r="A1412" i="301"/>
  <c r="A1411" i="301"/>
  <c r="F1410" i="301"/>
  <c r="A1410" i="301"/>
  <c r="A1409" i="301"/>
  <c r="F1408" i="301"/>
  <c r="A1408" i="301"/>
  <c r="A1407" i="301"/>
  <c r="F1406" i="301"/>
  <c r="A1406" i="301"/>
  <c r="A1405" i="301"/>
  <c r="F1404" i="301"/>
  <c r="A1404" i="301"/>
  <c r="A1403" i="301"/>
  <c r="F1402" i="301"/>
  <c r="A1402" i="301"/>
  <c r="A1401" i="301"/>
  <c r="F1400" i="301"/>
  <c r="A1400" i="301"/>
  <c r="A1161" i="301"/>
  <c r="A1160" i="301"/>
  <c r="A1159" i="301"/>
  <c r="F1158" i="301"/>
  <c r="A1158" i="301"/>
  <c r="A1157" i="301"/>
  <c r="F1156" i="301"/>
  <c r="A1156" i="301"/>
  <c r="A1155" i="301"/>
  <c r="F1154" i="301"/>
  <c r="A1154" i="301"/>
  <c r="A1153" i="301"/>
  <c r="F1152" i="301"/>
  <c r="A1152" i="301"/>
  <c r="A1151" i="301"/>
  <c r="F1150" i="301"/>
  <c r="A1150" i="301"/>
  <c r="A1149" i="301"/>
  <c r="F1148" i="301"/>
  <c r="A1148" i="301"/>
  <c r="A1123" i="301"/>
  <c r="A1122" i="301"/>
  <c r="A1121" i="301"/>
  <c r="F1120" i="301"/>
  <c r="A1120" i="301"/>
  <c r="A1119" i="301"/>
  <c r="F1118" i="301"/>
  <c r="A1118" i="301"/>
  <c r="A1117" i="301"/>
  <c r="F1116" i="301"/>
  <c r="A1116" i="301"/>
  <c r="A1115" i="301"/>
  <c r="F1114" i="301"/>
  <c r="A1114" i="301"/>
  <c r="A1113" i="301"/>
  <c r="F1112" i="301"/>
  <c r="A1112" i="301"/>
  <c r="A1111" i="301"/>
  <c r="F1110" i="301"/>
  <c r="A1110" i="301"/>
  <c r="A600" i="301"/>
  <c r="A599" i="301"/>
  <c r="A598" i="301"/>
  <c r="F597" i="301"/>
  <c r="A597" i="301"/>
  <c r="A596" i="301"/>
  <c r="F595" i="301"/>
  <c r="A595" i="301"/>
  <c r="A594" i="301"/>
  <c r="F593" i="301"/>
  <c r="A593" i="301"/>
  <c r="A592" i="301"/>
  <c r="F591" i="301"/>
  <c r="A591" i="301"/>
  <c r="A590" i="301"/>
  <c r="F589" i="301"/>
  <c r="A589" i="301"/>
  <c r="A588" i="301"/>
  <c r="F587" i="301"/>
  <c r="A587" i="301"/>
  <c r="A1147" i="301"/>
  <c r="A1146" i="301"/>
  <c r="A1145" i="301"/>
  <c r="A1109" i="301"/>
  <c r="A1108" i="301"/>
  <c r="A1107" i="301"/>
  <c r="A1106" i="301"/>
  <c r="A1126" i="301"/>
  <c r="A1140" i="301"/>
  <c r="A1139" i="301"/>
  <c r="A1138" i="301"/>
  <c r="A1137" i="301"/>
  <c r="A1136" i="301"/>
  <c r="A1135" i="301"/>
  <c r="A1133" i="301"/>
  <c r="A1132" i="301"/>
  <c r="A1131" i="301"/>
  <c r="A1130" i="301"/>
  <c r="A1129" i="301"/>
  <c r="A1128" i="301"/>
  <c r="A1142" i="301"/>
  <c r="A1141" i="301"/>
  <c r="A1134" i="301"/>
  <c r="A1127" i="301"/>
  <c r="A570" i="301"/>
  <c r="A569" i="301"/>
  <c r="A568" i="301"/>
  <c r="A567" i="301"/>
  <c r="A566" i="301"/>
  <c r="A565" i="301"/>
  <c r="A563" i="301"/>
  <c r="A562" i="301"/>
  <c r="A561" i="301"/>
  <c r="A560" i="301"/>
  <c r="A559" i="301"/>
  <c r="A558" i="301"/>
  <c r="A572" i="301"/>
  <c r="A571" i="301"/>
  <c r="A564" i="301"/>
  <c r="A1124" i="301"/>
  <c r="A1105" i="301"/>
  <c r="A1104" i="301"/>
  <c r="A1166" i="301"/>
  <c r="A1164" i="301"/>
  <c r="A1165" i="301"/>
  <c r="A601" i="301"/>
  <c r="A1144" i="301"/>
  <c r="F1389" i="301"/>
  <c r="F1143" i="301"/>
  <c r="A1143" i="301"/>
  <c r="F1069" i="301"/>
  <c r="A1163" i="301"/>
  <c r="A1162" i="301"/>
  <c r="F1398" i="301"/>
  <c r="F1174" i="301"/>
  <c r="A1174" i="301"/>
  <c r="F1173" i="301"/>
  <c r="A1173" i="301"/>
  <c r="F1172" i="301"/>
  <c r="A1172" i="301"/>
  <c r="F1171" i="301"/>
  <c r="A1171" i="301"/>
  <c r="F1170" i="301"/>
  <c r="A1170" i="301"/>
  <c r="A1169" i="301"/>
  <c r="F1076" i="301"/>
  <c r="F609" i="301"/>
  <c r="A609" i="301"/>
  <c r="F608" i="301"/>
  <c r="A608" i="301"/>
  <c r="F607" i="301"/>
  <c r="A607" i="301"/>
  <c r="F606" i="301"/>
  <c r="A606" i="301"/>
  <c r="F605" i="301"/>
  <c r="A605" i="301"/>
  <c r="A604" i="301"/>
  <c r="A576" i="301"/>
  <c r="A586" i="301"/>
  <c r="A585" i="301"/>
  <c r="A584" i="301"/>
  <c r="A583" i="301"/>
  <c r="A582" i="301"/>
  <c r="A580" i="301"/>
  <c r="A579" i="301"/>
  <c r="A577" i="301"/>
  <c r="A575" i="301"/>
  <c r="A581" i="301"/>
  <c r="A578" i="301"/>
  <c r="A574" i="301"/>
  <c r="A1619" i="301"/>
  <c r="A1618" i="301"/>
  <c r="A1617" i="301"/>
  <c r="A1616" i="301"/>
  <c r="A1615" i="301"/>
  <c r="A1614" i="301"/>
  <c r="A1613" i="301"/>
  <c r="A1612" i="301"/>
  <c r="A1611" i="301"/>
  <c r="A1610" i="301"/>
  <c r="A1609" i="301"/>
  <c r="A1608" i="301"/>
  <c r="A1607" i="301"/>
  <c r="A1606" i="301"/>
  <c r="A1605" i="301"/>
  <c r="A1604" i="301"/>
  <c r="A1603" i="301"/>
  <c r="A1602" i="301"/>
  <c r="A1601" i="301"/>
  <c r="A1600" i="301"/>
  <c r="A1599" i="301"/>
  <c r="A1598" i="301"/>
  <c r="A1597" i="301"/>
  <c r="A1596" i="301"/>
  <c r="A1595" i="301"/>
  <c r="A1594" i="301"/>
  <c r="A1593" i="301"/>
  <c r="A1592" i="301"/>
  <c r="A1591" i="301"/>
  <c r="A1590" i="301"/>
  <c r="A1589" i="301"/>
  <c r="A1588" i="301"/>
  <c r="A1587" i="301"/>
  <c r="A1586" i="301"/>
  <c r="A1585" i="301"/>
  <c r="A1584" i="301"/>
  <c r="A1583" i="301"/>
  <c r="A1582" i="301"/>
  <c r="A1581" i="301"/>
  <c r="A1387" i="301"/>
  <c r="A1386" i="301"/>
  <c r="A1385" i="301"/>
  <c r="A1384" i="301"/>
  <c r="A1383" i="301"/>
  <c r="A1382" i="301"/>
  <c r="A1381" i="301"/>
  <c r="A1380" i="301"/>
  <c r="A1379" i="301"/>
  <c r="A1378" i="301"/>
  <c r="A1377" i="301"/>
  <c r="A1376" i="301"/>
  <c r="A1375" i="301"/>
  <c r="A1374" i="301"/>
  <c r="A1373" i="301"/>
  <c r="A1372" i="301"/>
  <c r="A1371" i="301"/>
  <c r="A1370" i="301"/>
  <c r="A1369" i="301"/>
  <c r="A1368" i="301"/>
  <c r="A1367" i="301"/>
  <c r="A1366" i="301"/>
  <c r="A1365" i="301"/>
  <c r="A1364" i="301"/>
  <c r="A1363" i="301"/>
  <c r="A1362" i="301"/>
  <c r="A1361" i="301"/>
  <c r="A1360" i="301"/>
  <c r="A1359" i="301"/>
  <c r="A1358" i="301"/>
  <c r="A1357" i="301"/>
  <c r="A1356" i="301"/>
  <c r="A1355" i="301"/>
  <c r="A1354" i="301"/>
  <c r="A1353" i="301"/>
  <c r="A1352" i="301"/>
  <c r="A1351" i="301"/>
  <c r="A1350" i="301"/>
  <c r="A1349" i="301"/>
  <c r="A963" i="301"/>
  <c r="A962" i="301"/>
  <c r="A961" i="301"/>
  <c r="A960" i="301"/>
  <c r="A959" i="301"/>
  <c r="A958" i="301"/>
  <c r="A957" i="301"/>
  <c r="A956" i="301"/>
  <c r="A955" i="301"/>
  <c r="A954" i="301"/>
  <c r="A953" i="301"/>
  <c r="A952" i="301"/>
  <c r="A951" i="301"/>
  <c r="A950" i="301"/>
  <c r="A949" i="301"/>
  <c r="A948" i="301"/>
  <c r="A947" i="301"/>
  <c r="A946" i="301"/>
  <c r="A945" i="301"/>
  <c r="A944" i="301"/>
  <c r="A943" i="301"/>
  <c r="A942" i="301"/>
  <c r="A941" i="301"/>
  <c r="A940" i="301"/>
  <c r="A939" i="301"/>
  <c r="A938" i="301"/>
  <c r="A937" i="301"/>
  <c r="A936" i="301"/>
  <c r="A935" i="301"/>
  <c r="A934" i="301"/>
  <c r="A933" i="301"/>
  <c r="A932" i="301"/>
  <c r="A931" i="301"/>
  <c r="A930" i="301"/>
  <c r="A929" i="301"/>
  <c r="A928" i="301"/>
  <c r="A927" i="301"/>
  <c r="A926" i="301"/>
  <c r="A925" i="301"/>
  <c r="F302" i="301"/>
  <c r="A1167" i="301"/>
  <c r="A602" i="301"/>
  <c r="E4" i="370"/>
  <c r="D20" i="370" l="1"/>
  <c r="C25" i="370"/>
  <c r="C21" i="370"/>
  <c r="F16" i="370"/>
  <c r="D12" i="370"/>
  <c r="D25" i="370"/>
  <c r="C22" i="370"/>
  <c r="D6" i="370"/>
  <c r="F13" i="370"/>
  <c r="F7" i="370"/>
  <c r="D18" i="370"/>
  <c r="F4" i="370"/>
  <c r="F9" i="370"/>
  <c r="D15" i="370"/>
  <c r="C23" i="370"/>
  <c r="F22" i="370"/>
  <c r="C8" i="370"/>
  <c r="F15" i="370"/>
  <c r="E23" i="370"/>
  <c r="E18" i="370"/>
  <c r="E2" i="370"/>
  <c r="E25" i="370"/>
  <c r="E9" i="370"/>
  <c r="E16" i="370"/>
  <c r="D23" i="370"/>
  <c r="F17" i="370"/>
  <c r="F2" i="370"/>
  <c r="D13" i="370"/>
  <c r="D7" i="370"/>
  <c r="C18" i="370"/>
  <c r="D4" i="370"/>
  <c r="F8" i="370"/>
  <c r="D14" i="370"/>
  <c r="D24" i="370"/>
  <c r="C19" i="370"/>
  <c r="D5" i="370"/>
  <c r="D10" i="370"/>
  <c r="C11" i="370"/>
  <c r="F18" i="370"/>
  <c r="F5" i="370"/>
  <c r="F10" i="370"/>
  <c r="D11" i="370"/>
  <c r="E15" i="370"/>
  <c r="E14" i="370"/>
  <c r="E19" i="370"/>
  <c r="E21" i="370"/>
  <c r="E5" i="370"/>
  <c r="E12" i="370"/>
  <c r="F19" i="370"/>
  <c r="C4" i="370"/>
  <c r="D8" i="370"/>
  <c r="C14" i="370"/>
  <c r="C24" i="370"/>
  <c r="F20" i="370"/>
  <c r="C5" i="370"/>
  <c r="D9" i="370"/>
  <c r="C15" i="370"/>
  <c r="C17" i="370"/>
  <c r="F21" i="370"/>
  <c r="C2" i="370"/>
  <c r="C16" i="370"/>
  <c r="F24" i="370"/>
  <c r="D19" i="370"/>
  <c r="D2" i="370"/>
  <c r="D16" i="370"/>
  <c r="C12" i="370"/>
  <c r="E7" i="370"/>
  <c r="E10" i="370"/>
  <c r="E11" i="370"/>
  <c r="E17" i="370"/>
  <c r="E24" i="370"/>
  <c r="E8" i="370"/>
  <c r="C6" i="370"/>
  <c r="D3" i="370"/>
  <c r="C9" i="370"/>
  <c r="F11" i="370"/>
  <c r="F23" i="370"/>
  <c r="D21" i="370"/>
  <c r="F3" i="370"/>
  <c r="C10" i="370"/>
  <c r="F12" i="370"/>
  <c r="F25" i="370"/>
  <c r="D22" i="370"/>
  <c r="F6" i="370"/>
  <c r="F14" i="370"/>
  <c r="D17" i="370"/>
  <c r="C20" i="370"/>
  <c r="C3" i="370"/>
  <c r="C13" i="370"/>
  <c r="C7" i="370"/>
  <c r="E22" i="370"/>
  <c r="E6" i="370"/>
  <c r="E3" i="370"/>
  <c r="E13" i="370"/>
  <c r="E20" i="370"/>
  <c r="M48" i="370"/>
  <c r="M59" i="370"/>
  <c r="M74" i="370"/>
  <c r="M69" i="370"/>
  <c r="M70" i="370"/>
  <c r="M54" i="370"/>
  <c r="M85" i="370"/>
  <c r="M61" i="370"/>
  <c r="M84" i="370"/>
  <c r="M68" i="370"/>
  <c r="M65" i="370"/>
  <c r="AE94" i="370"/>
  <c r="AG99" i="370"/>
  <c r="D110" i="370"/>
  <c r="J117" i="370"/>
  <c r="C29" i="370"/>
  <c r="D95" i="370"/>
  <c r="F97" i="370"/>
  <c r="C99" i="370"/>
  <c r="D104" i="370"/>
  <c r="AG119" i="370"/>
  <c r="F31" i="370"/>
  <c r="AD98" i="370"/>
  <c r="J107" i="370"/>
  <c r="J115" i="370"/>
  <c r="J94" i="370"/>
  <c r="C96" i="370"/>
  <c r="F98" i="370"/>
  <c r="C100" i="370"/>
  <c r="D101" i="370"/>
  <c r="AF107" i="370"/>
  <c r="AF111" i="370"/>
  <c r="AF115" i="370"/>
  <c r="AF124" i="370"/>
  <c r="C98" i="370"/>
  <c r="AF95" i="370"/>
  <c r="AD97" i="370"/>
  <c r="AF99" i="370"/>
  <c r="AE101" i="370"/>
  <c r="AG122" i="370"/>
  <c r="D34" i="370"/>
  <c r="F40" i="370"/>
  <c r="F44" i="370"/>
  <c r="D49" i="370"/>
  <c r="C74" i="370"/>
  <c r="F88" i="370"/>
  <c r="D70" i="370"/>
  <c r="D51" i="370"/>
  <c r="AD103" i="370"/>
  <c r="AF101" i="370"/>
  <c r="AG105" i="370"/>
  <c r="AG107" i="370"/>
  <c r="AG109" i="370"/>
  <c r="AG111" i="370"/>
  <c r="AG113" i="370"/>
  <c r="AG115" i="370"/>
  <c r="AD117" i="370"/>
  <c r="AD119" i="370"/>
  <c r="AE121" i="370"/>
  <c r="AF123" i="370"/>
  <c r="AG124" i="370"/>
  <c r="F28" i="370"/>
  <c r="D33" i="370"/>
  <c r="D36" i="370"/>
  <c r="C92" i="370"/>
  <c r="D37" i="370"/>
  <c r="C76" i="370"/>
  <c r="F79" i="370"/>
  <c r="D50" i="370"/>
  <c r="C66" i="370"/>
  <c r="D64" i="370"/>
  <c r="AF100" i="370"/>
  <c r="AD104" i="370"/>
  <c r="AF102" i="370"/>
  <c r="AF106" i="370"/>
  <c r="AF108" i="370"/>
  <c r="AF110" i="370"/>
  <c r="AF112" i="370"/>
  <c r="AF114" i="370"/>
  <c r="AF116" i="370"/>
  <c r="AG118" i="370"/>
  <c r="AD120" i="370"/>
  <c r="AE122" i="370"/>
  <c r="AE126" i="370"/>
  <c r="AF125" i="370"/>
  <c r="C35" i="370"/>
  <c r="D30" i="370"/>
  <c r="C40" i="370"/>
  <c r="F43" i="370"/>
  <c r="C44" i="370"/>
  <c r="F65" i="370"/>
  <c r="D77" i="370"/>
  <c r="C88" i="370"/>
  <c r="F71" i="370"/>
  <c r="F63" i="370"/>
  <c r="AG102" i="370"/>
  <c r="AG106" i="370"/>
  <c r="AG108" i="370"/>
  <c r="AG110" i="370"/>
  <c r="AG112" i="370"/>
  <c r="AG114" i="370"/>
  <c r="AG116" i="370"/>
  <c r="AD118" i="370"/>
  <c r="AE120" i="370"/>
  <c r="AF122" i="370"/>
  <c r="AF126" i="370"/>
  <c r="AG125" i="370"/>
  <c r="D35" i="370"/>
  <c r="F30" i="370"/>
  <c r="D40" i="370"/>
  <c r="D44" i="370"/>
  <c r="C49" i="370"/>
  <c r="F77" i="370"/>
  <c r="D88" i="370"/>
  <c r="C70" i="370"/>
  <c r="C87" i="370"/>
  <c r="F86" i="370"/>
  <c r="D57" i="370"/>
  <c r="C62" i="370"/>
  <c r="E36" i="370"/>
  <c r="E52" i="370"/>
  <c r="E68" i="370"/>
  <c r="E84" i="370"/>
  <c r="E100" i="370"/>
  <c r="E116" i="370"/>
  <c r="E41" i="370"/>
  <c r="E57" i="370"/>
  <c r="E73" i="370"/>
  <c r="E89" i="370"/>
  <c r="E105" i="370"/>
  <c r="E121" i="370"/>
  <c r="E51" i="370"/>
  <c r="E83" i="370"/>
  <c r="E115" i="370"/>
  <c r="E26" i="370"/>
  <c r="E42" i="370"/>
  <c r="E58" i="370"/>
  <c r="E74" i="370"/>
  <c r="E90" i="370"/>
  <c r="E106" i="370"/>
  <c r="E122" i="370"/>
  <c r="E55" i="370"/>
  <c r="E87" i="370"/>
  <c r="E123" i="370"/>
  <c r="E40" i="370"/>
  <c r="E56" i="370"/>
  <c r="E72" i="370"/>
  <c r="E88" i="370"/>
  <c r="E104" i="370"/>
  <c r="E120" i="370"/>
  <c r="E29" i="370"/>
  <c r="E45" i="370"/>
  <c r="E61" i="370"/>
  <c r="E77" i="370"/>
  <c r="E93" i="370"/>
  <c r="E109" i="370"/>
  <c r="E125" i="370"/>
  <c r="E27" i="370"/>
  <c r="E59" i="370"/>
  <c r="E91" i="370"/>
  <c r="E119" i="370"/>
  <c r="E30" i="370"/>
  <c r="E46" i="370"/>
  <c r="E62" i="370"/>
  <c r="E78" i="370"/>
  <c r="E94" i="370"/>
  <c r="E110" i="370"/>
  <c r="E126" i="370"/>
  <c r="E31" i="370"/>
  <c r="E63" i="370"/>
  <c r="E95" i="370"/>
  <c r="E28" i="370"/>
  <c r="E44" i="370"/>
  <c r="E60" i="370"/>
  <c r="E76" i="370"/>
  <c r="E92" i="370"/>
  <c r="E108" i="370"/>
  <c r="E124" i="370"/>
  <c r="E33" i="370"/>
  <c r="E49" i="370"/>
  <c r="E65" i="370"/>
  <c r="E81" i="370"/>
  <c r="E97" i="370"/>
  <c r="E113" i="370"/>
  <c r="E35" i="370"/>
  <c r="E67" i="370"/>
  <c r="E99" i="370"/>
  <c r="E34" i="370"/>
  <c r="E50" i="370"/>
  <c r="E66" i="370"/>
  <c r="E82" i="370"/>
  <c r="E98" i="370"/>
  <c r="E114" i="370"/>
  <c r="E39" i="370"/>
  <c r="E71" i="370"/>
  <c r="E103" i="370"/>
  <c r="E32" i="370"/>
  <c r="E48" i="370"/>
  <c r="E64" i="370"/>
  <c r="E80" i="370"/>
  <c r="E96" i="370"/>
  <c r="E112" i="370"/>
  <c r="E37" i="370"/>
  <c r="E53" i="370"/>
  <c r="E69" i="370"/>
  <c r="E85" i="370"/>
  <c r="E101" i="370"/>
  <c r="E117" i="370"/>
  <c r="E43" i="370"/>
  <c r="E75" i="370"/>
  <c r="E107" i="370"/>
  <c r="E38" i="370"/>
  <c r="E54" i="370"/>
  <c r="E70" i="370"/>
  <c r="E86" i="370"/>
  <c r="E102" i="370"/>
  <c r="E118" i="370"/>
  <c r="E47" i="370"/>
  <c r="E79" i="370"/>
  <c r="E111" i="370"/>
  <c r="F62" i="370"/>
  <c r="C56" i="370"/>
  <c r="D85" i="370"/>
  <c r="F52" i="370"/>
  <c r="C63" i="370"/>
  <c r="D58" i="370"/>
  <c r="F87" i="370"/>
  <c r="C53" i="370"/>
  <c r="D66" i="370"/>
  <c r="C60" i="370"/>
  <c r="D55" i="370"/>
  <c r="F84" i="370"/>
  <c r="C82" i="370"/>
  <c r="D62" i="370"/>
  <c r="F57" i="370"/>
  <c r="C85" i="370"/>
  <c r="D52" i="370"/>
  <c r="C64" i="370"/>
  <c r="D59" i="370"/>
  <c r="F54" i="370"/>
  <c r="C75" i="370"/>
  <c r="D67" i="370"/>
  <c r="F61" i="370"/>
  <c r="C55" i="370"/>
  <c r="D84" i="370"/>
  <c r="F51" i="370"/>
  <c r="D63" i="370"/>
  <c r="F58" i="370"/>
  <c r="C86" i="370"/>
  <c r="D53" i="370"/>
  <c r="F66" i="370"/>
  <c r="C59" i="370"/>
  <c r="D54" i="370"/>
  <c r="F83" i="370"/>
  <c r="C67" i="370"/>
  <c r="V93" i="370"/>
  <c r="M82" i="370"/>
  <c r="T93" i="370"/>
  <c r="M63" i="370"/>
  <c r="M51" i="370"/>
  <c r="M81" i="370"/>
  <c r="M53" i="370"/>
  <c r="M58" i="370"/>
  <c r="M60" i="370"/>
  <c r="M88" i="370"/>
  <c r="M92" i="370"/>
  <c r="J95" i="370"/>
  <c r="AF104" i="370"/>
  <c r="D112" i="370"/>
  <c r="AF120" i="370"/>
  <c r="D32" i="370"/>
  <c r="AD95" i="370"/>
  <c r="AF97" i="370"/>
  <c r="AD99" i="370"/>
  <c r="C102" i="370"/>
  <c r="F123" i="370"/>
  <c r="C95" i="370"/>
  <c r="J99" i="370"/>
  <c r="J109" i="370"/>
  <c r="AD121" i="370"/>
  <c r="AG94" i="370"/>
  <c r="AD96" i="370"/>
  <c r="AF98" i="370"/>
  <c r="AG100" i="370"/>
  <c r="AD102" i="370"/>
  <c r="AD108" i="370"/>
  <c r="AD112" i="370"/>
  <c r="AD116" i="370"/>
  <c r="AD125" i="370"/>
  <c r="F27" i="370"/>
  <c r="J100" i="370"/>
  <c r="D96" i="370"/>
  <c r="J98" i="370"/>
  <c r="D100" i="370"/>
  <c r="F118" i="370"/>
  <c r="AE123" i="370"/>
  <c r="D41" i="370"/>
  <c r="C43" i="370"/>
  <c r="D45" i="370"/>
  <c r="C65" i="370"/>
  <c r="F78" i="370"/>
  <c r="D89" i="370"/>
  <c r="C71" i="370"/>
  <c r="C83" i="370"/>
  <c r="J104" i="370"/>
  <c r="D102" i="370"/>
  <c r="F106" i="370"/>
  <c r="F108" i="370"/>
  <c r="F110" i="370"/>
  <c r="F112" i="370"/>
  <c r="F114" i="370"/>
  <c r="F116" i="370"/>
  <c r="J118" i="370"/>
  <c r="J120" i="370"/>
  <c r="C122" i="370"/>
  <c r="D126" i="370"/>
  <c r="F125" i="370"/>
  <c r="D29" i="370"/>
  <c r="C93" i="370"/>
  <c r="D46" i="370"/>
  <c r="C47" i="370"/>
  <c r="M90" i="370"/>
  <c r="C38" i="370"/>
  <c r="F73" i="370"/>
  <c r="D80" i="370"/>
  <c r="C68" i="370"/>
  <c r="D75" i="370"/>
  <c r="D103" i="370"/>
  <c r="J101" i="370"/>
  <c r="D105" i="370"/>
  <c r="D107" i="370"/>
  <c r="D109" i="370"/>
  <c r="D111" i="370"/>
  <c r="D113" i="370"/>
  <c r="D115" i="370"/>
  <c r="D117" i="370"/>
  <c r="F119" i="370"/>
  <c r="J121" i="370"/>
  <c r="C123" i="370"/>
  <c r="C124" i="370"/>
  <c r="D26" i="370"/>
  <c r="C31" i="370"/>
  <c r="F36" i="370"/>
  <c r="D92" i="370"/>
  <c r="F37" i="370"/>
  <c r="D76" i="370"/>
  <c r="C78" i="370"/>
  <c r="F50" i="370"/>
  <c r="F53" i="370"/>
  <c r="C101" i="370"/>
  <c r="F105" i="370"/>
  <c r="F107" i="370"/>
  <c r="F109" i="370"/>
  <c r="F111" i="370"/>
  <c r="F113" i="370"/>
  <c r="F115" i="370"/>
  <c r="F117" i="370"/>
  <c r="J119" i="370"/>
  <c r="C121" i="370"/>
  <c r="D123" i="370"/>
  <c r="D124" i="370"/>
  <c r="C34" i="370"/>
  <c r="F26" i="370"/>
  <c r="D31" i="370"/>
  <c r="C41" i="370"/>
  <c r="F92" i="370"/>
  <c r="C45" i="370"/>
  <c r="F76" i="370"/>
  <c r="D78" i="370"/>
  <c r="C89" i="370"/>
  <c r="D82" i="370"/>
  <c r="D56" i="370"/>
  <c r="F75" i="370"/>
  <c r="D87" i="370"/>
  <c r="C58" i="370"/>
  <c r="F64" i="370"/>
  <c r="M64" i="370"/>
  <c r="M66" i="370"/>
  <c r="M87" i="370"/>
  <c r="M55" i="370"/>
  <c r="M89" i="370"/>
  <c r="M73" i="370"/>
  <c r="M76" i="370"/>
  <c r="M52" i="370"/>
  <c r="M62" i="370"/>
  <c r="M50" i="370"/>
  <c r="M75" i="370"/>
  <c r="AF96" i="370"/>
  <c r="D106" i="370"/>
  <c r="D114" i="370"/>
  <c r="F94" i="370"/>
  <c r="J96" i="370"/>
  <c r="D98" i="370"/>
  <c r="AD100" i="370"/>
  <c r="AG117" i="370"/>
  <c r="C126" i="370"/>
  <c r="AG95" i="370"/>
  <c r="F103" i="370"/>
  <c r="J111" i="370"/>
  <c r="D125" i="370"/>
  <c r="F95" i="370"/>
  <c r="J97" i="370"/>
  <c r="D99" i="370"/>
  <c r="AF103" i="370"/>
  <c r="AF105" i="370"/>
  <c r="AF109" i="370"/>
  <c r="AF113" i="370"/>
  <c r="D121" i="370"/>
  <c r="D94" i="370"/>
  <c r="C94" i="370"/>
  <c r="AE96" i="370"/>
  <c r="AG98" i="370"/>
  <c r="AG103" i="370"/>
  <c r="C119" i="370"/>
  <c r="AG126" i="370"/>
  <c r="C33" i="370"/>
  <c r="C36" i="370"/>
  <c r="F90" i="370"/>
  <c r="C37" i="370"/>
  <c r="F72" i="370"/>
  <c r="D79" i="370"/>
  <c r="C50" i="370"/>
  <c r="F67" i="370"/>
  <c r="D86" i="370"/>
  <c r="AE100" i="370"/>
  <c r="AG104" i="370"/>
  <c r="AE102" i="370"/>
  <c r="AE106" i="370"/>
  <c r="AE108" i="370"/>
  <c r="AE110" i="370"/>
  <c r="AE112" i="370"/>
  <c r="AE114" i="370"/>
  <c r="AE116" i="370"/>
  <c r="AF118" i="370"/>
  <c r="AG120" i="370"/>
  <c r="AD122" i="370"/>
  <c r="AD126" i="370"/>
  <c r="AE125" i="370"/>
  <c r="F34" i="370"/>
  <c r="C30" i="370"/>
  <c r="C39" i="370"/>
  <c r="D91" i="370"/>
  <c r="F49" i="370"/>
  <c r="D74" i="370"/>
  <c r="C81" i="370"/>
  <c r="F70" i="370"/>
  <c r="F85" i="370"/>
  <c r="AE103" i="370"/>
  <c r="AG101" i="370"/>
  <c r="AD105" i="370"/>
  <c r="AD107" i="370"/>
  <c r="AD109" i="370"/>
  <c r="AD111" i="370"/>
  <c r="AD113" i="370"/>
  <c r="AD115" i="370"/>
  <c r="AE117" i="370"/>
  <c r="AE119" i="370"/>
  <c r="AF121" i="370"/>
  <c r="AG123" i="370"/>
  <c r="AD124" i="370"/>
  <c r="C27" i="370"/>
  <c r="F33" i="370"/>
  <c r="F46" i="370"/>
  <c r="D47" i="370"/>
  <c r="C90" i="370"/>
  <c r="D38" i="370"/>
  <c r="C72" i="370"/>
  <c r="F80" i="370"/>
  <c r="D68" i="370"/>
  <c r="C57" i="370"/>
  <c r="AD101" i="370"/>
  <c r="AE105" i="370"/>
  <c r="AE107" i="370"/>
  <c r="AE109" i="370"/>
  <c r="AE111" i="370"/>
  <c r="AE113" i="370"/>
  <c r="AE115" i="370"/>
  <c r="AF117" i="370"/>
  <c r="AF119" i="370"/>
  <c r="AG121" i="370"/>
  <c r="AD123" i="370"/>
  <c r="AE124" i="370"/>
  <c r="D27" i="370"/>
  <c r="C32" i="370"/>
  <c r="F47" i="370"/>
  <c r="D90" i="370"/>
  <c r="F38" i="370"/>
  <c r="D72" i="370"/>
  <c r="C79" i="370"/>
  <c r="F68" i="370"/>
  <c r="C51" i="370"/>
  <c r="F59" i="370"/>
  <c r="D83" i="370"/>
  <c r="C54" i="370"/>
  <c r="F60" i="370"/>
  <c r="M83" i="370"/>
  <c r="M57" i="370"/>
  <c r="M78" i="370"/>
  <c r="M67" i="370"/>
  <c r="M71" i="370"/>
  <c r="M72" i="370"/>
  <c r="M56" i="370"/>
  <c r="M49" i="370"/>
  <c r="M80" i="370"/>
  <c r="M86" i="370"/>
  <c r="M77" i="370"/>
  <c r="M79" i="370"/>
  <c r="AE97" i="370"/>
  <c r="D108" i="370"/>
  <c r="D116" i="370"/>
  <c r="F35" i="370"/>
  <c r="AF94" i="370"/>
  <c r="AG96" i="370"/>
  <c r="AE98" i="370"/>
  <c r="J103" i="370"/>
  <c r="AE118" i="370"/>
  <c r="F124" i="370"/>
  <c r="D28" i="370"/>
  <c r="D97" i="370"/>
  <c r="J105" i="370"/>
  <c r="J113" i="370"/>
  <c r="AE95" i="370"/>
  <c r="AG97" i="370"/>
  <c r="AE99" i="370"/>
  <c r="F104" i="370"/>
  <c r="AD106" i="370"/>
  <c r="AD110" i="370"/>
  <c r="AD114" i="370"/>
  <c r="J122" i="370"/>
  <c r="F96" i="370"/>
  <c r="AD94" i="370"/>
  <c r="C97" i="370"/>
  <c r="F99" i="370"/>
  <c r="AE104" i="370"/>
  <c r="F120" i="370"/>
  <c r="M93" i="370"/>
  <c r="C46" i="370"/>
  <c r="F42" i="370"/>
  <c r="C91" i="370"/>
  <c r="F48" i="370"/>
  <c r="D73" i="370"/>
  <c r="C80" i="370"/>
  <c r="F69" i="370"/>
  <c r="F82" i="370"/>
  <c r="F55" i="370"/>
  <c r="C103" i="370"/>
  <c r="F101" i="370"/>
  <c r="C105" i="370"/>
  <c r="C107" i="370"/>
  <c r="C109" i="370"/>
  <c r="C111" i="370"/>
  <c r="C113" i="370"/>
  <c r="C115" i="370"/>
  <c r="C117" i="370"/>
  <c r="D119" i="370"/>
  <c r="F121" i="370"/>
  <c r="J123" i="370"/>
  <c r="J124" i="370"/>
  <c r="C26" i="370"/>
  <c r="F32" i="370"/>
  <c r="F41" i="370"/>
  <c r="D43" i="370"/>
  <c r="F45" i="370"/>
  <c r="D65" i="370"/>
  <c r="C77" i="370"/>
  <c r="F89" i="370"/>
  <c r="D71" i="370"/>
  <c r="C61" i="370"/>
  <c r="F100" i="370"/>
  <c r="C104" i="370"/>
  <c r="F102" i="370"/>
  <c r="J106" i="370"/>
  <c r="J108" i="370"/>
  <c r="J110" i="370"/>
  <c r="J112" i="370"/>
  <c r="J114" i="370"/>
  <c r="J116" i="370"/>
  <c r="C118" i="370"/>
  <c r="C120" i="370"/>
  <c r="D122" i="370"/>
  <c r="F126" i="370"/>
  <c r="J125" i="370"/>
  <c r="F29" i="370"/>
  <c r="D93" i="370"/>
  <c r="D39" i="370"/>
  <c r="C42" i="370"/>
  <c r="F91" i="370"/>
  <c r="C48" i="370"/>
  <c r="F74" i="370"/>
  <c r="D81" i="370"/>
  <c r="C69" i="370"/>
  <c r="D60" i="370"/>
  <c r="J102" i="370"/>
  <c r="C106" i="370"/>
  <c r="C108" i="370"/>
  <c r="C110" i="370"/>
  <c r="C112" i="370"/>
  <c r="C114" i="370"/>
  <c r="C116" i="370"/>
  <c r="D118" i="370"/>
  <c r="D120" i="370"/>
  <c r="F122" i="370"/>
  <c r="J126" i="370"/>
  <c r="C125" i="370"/>
  <c r="C28" i="370"/>
  <c r="F93" i="370"/>
  <c r="F39" i="370"/>
  <c r="D42" i="370"/>
  <c r="M91" i="370"/>
  <c r="D48" i="370"/>
  <c r="C73" i="370"/>
  <c r="F81" i="370"/>
  <c r="D69" i="370"/>
  <c r="C52" i="370"/>
  <c r="C84" i="370"/>
  <c r="F56" i="370"/>
  <c r="D61" i="370"/>
  <c r="E105" i="320"/>
  <c r="F105" i="320"/>
  <c r="B70" i="320"/>
  <c r="B64" i="320"/>
  <c r="B73" i="320"/>
  <c r="B78" i="320"/>
  <c r="B75" i="320"/>
  <c r="B80" i="320"/>
  <c r="B66" i="320"/>
  <c r="B69" i="320"/>
  <c r="B76" i="320"/>
  <c r="B62" i="320"/>
  <c r="B79" i="320"/>
  <c r="B65" i="320"/>
  <c r="B72" i="320"/>
  <c r="B67" i="320"/>
  <c r="B74" i="320"/>
  <c r="B68" i="320"/>
  <c r="B77" i="320"/>
  <c r="B63" i="320"/>
  <c r="B71" i="320"/>
  <c r="E79" i="320"/>
  <c r="F100" i="320"/>
  <c r="E30" i="320"/>
  <c r="E100" i="320"/>
  <c r="F139" i="320"/>
  <c r="E50" i="320"/>
  <c r="F82" i="320"/>
  <c r="E104" i="320"/>
  <c r="B30" i="320"/>
  <c r="B50" i="320"/>
  <c r="F50" i="320"/>
  <c r="F104" i="320"/>
  <c r="F79" i="320"/>
  <c r="F141" i="320"/>
  <c r="B82" i="320"/>
  <c r="F140" i="320"/>
  <c r="F30" i="320"/>
  <c r="E82" i="320"/>
  <c r="F143" i="320"/>
  <c r="F120" i="320"/>
  <c r="F92" i="320"/>
  <c r="F71" i="320"/>
  <c r="F54" i="320"/>
  <c r="F32" i="320"/>
  <c r="F15" i="320"/>
  <c r="E137" i="320"/>
  <c r="E119" i="320"/>
  <c r="E90" i="320"/>
  <c r="E70" i="320"/>
  <c r="E53" i="320"/>
  <c r="E31" i="320"/>
  <c r="E14" i="320"/>
  <c r="B93" i="320"/>
  <c r="B55" i="320"/>
  <c r="B33" i="320"/>
  <c r="B16" i="320"/>
  <c r="F137" i="320"/>
  <c r="F119" i="320"/>
  <c r="F90" i="320"/>
  <c r="F70" i="320"/>
  <c r="F53" i="320"/>
  <c r="F31" i="320"/>
  <c r="F14" i="320"/>
  <c r="E136" i="320"/>
  <c r="E117" i="320"/>
  <c r="E89" i="320"/>
  <c r="E69" i="320"/>
  <c r="E52" i="320"/>
  <c r="E29" i="320"/>
  <c r="E13" i="320"/>
  <c r="B92" i="320"/>
  <c r="F152" i="320"/>
  <c r="F134" i="320"/>
  <c r="F115" i="320"/>
  <c r="F86" i="320"/>
  <c r="F67" i="320"/>
  <c r="F44" i="320"/>
  <c r="F27" i="320"/>
  <c r="E133" i="320"/>
  <c r="E114" i="320"/>
  <c r="E84" i="320"/>
  <c r="E66" i="320"/>
  <c r="E43" i="320"/>
  <c r="E26" i="320"/>
  <c r="B45" i="320"/>
  <c r="B28" i="320"/>
  <c r="F133" i="320"/>
  <c r="F114" i="320"/>
  <c r="F84" i="320"/>
  <c r="F66" i="320"/>
  <c r="F43" i="320"/>
  <c r="F26" i="320"/>
  <c r="E132" i="320"/>
  <c r="E113" i="320"/>
  <c r="E80" i="320"/>
  <c r="E65" i="320"/>
  <c r="E42" i="320"/>
  <c r="E25" i="320"/>
  <c r="F147" i="320"/>
  <c r="F151" i="320"/>
  <c r="F130" i="320"/>
  <c r="F110" i="320"/>
  <c r="F77" i="320"/>
  <c r="F63" i="320"/>
  <c r="F40" i="320"/>
  <c r="F23" i="320"/>
  <c r="E129" i="320"/>
  <c r="E109" i="320"/>
  <c r="E76" i="320"/>
  <c r="E62" i="320"/>
  <c r="E39" i="320"/>
  <c r="E22" i="320"/>
  <c r="B41" i="320"/>
  <c r="B24" i="320"/>
  <c r="F129" i="320"/>
  <c r="F109" i="320"/>
  <c r="F76" i="320"/>
  <c r="F62" i="320"/>
  <c r="F39" i="320"/>
  <c r="F22" i="320"/>
  <c r="E128" i="320"/>
  <c r="E107" i="320"/>
  <c r="E60" i="320"/>
  <c r="E38" i="320"/>
  <c r="E21" i="320"/>
  <c r="F125" i="320"/>
  <c r="F98" i="320"/>
  <c r="F75" i="320"/>
  <c r="F58" i="320"/>
  <c r="F36" i="320"/>
  <c r="F19" i="320"/>
  <c r="E124" i="320"/>
  <c r="E97" i="320"/>
  <c r="E74" i="320"/>
  <c r="E57" i="320"/>
  <c r="E35" i="320"/>
  <c r="E18" i="320"/>
  <c r="B59" i="320"/>
  <c r="B37" i="320"/>
  <c r="B20" i="320"/>
  <c r="F124" i="320"/>
  <c r="F97" i="320"/>
  <c r="F74" i="320"/>
  <c r="F57" i="320"/>
  <c r="F35" i="320"/>
  <c r="F18" i="320"/>
  <c r="E123" i="320"/>
  <c r="E95" i="320"/>
  <c r="E73" i="320"/>
  <c r="E56" i="320"/>
  <c r="E34" i="320"/>
  <c r="E17" i="320"/>
  <c r="F111" i="320"/>
  <c r="F64" i="320"/>
  <c r="F24" i="320"/>
  <c r="F136" i="320"/>
  <c r="F89" i="320"/>
  <c r="F52" i="320"/>
  <c r="F13" i="320"/>
  <c r="F59" i="320"/>
  <c r="E111" i="320"/>
  <c r="E64" i="320"/>
  <c r="E24" i="320"/>
  <c r="B43" i="320"/>
  <c r="B21" i="320"/>
  <c r="F123" i="320"/>
  <c r="F34" i="320"/>
  <c r="F144" i="320"/>
  <c r="E92" i="320"/>
  <c r="E54" i="320"/>
  <c r="E15" i="320"/>
  <c r="F145" i="320"/>
  <c r="B36" i="320"/>
  <c r="B14" i="320"/>
  <c r="F88" i="320"/>
  <c r="E127" i="320"/>
  <c r="E37" i="320"/>
  <c r="B57" i="320"/>
  <c r="B29" i="320"/>
  <c r="F65" i="320"/>
  <c r="E115" i="320"/>
  <c r="E67" i="320"/>
  <c r="E27" i="320"/>
  <c r="B44" i="320"/>
  <c r="B22" i="320"/>
  <c r="F93" i="320"/>
  <c r="F55" i="320"/>
  <c r="F16" i="320"/>
  <c r="F128" i="320"/>
  <c r="F38" i="320"/>
  <c r="F127" i="320"/>
  <c r="F37" i="320"/>
  <c r="F148" i="320"/>
  <c r="E93" i="320"/>
  <c r="E55" i="320"/>
  <c r="E16" i="320"/>
  <c r="F149" i="320"/>
  <c r="B38" i="320"/>
  <c r="B15" i="320"/>
  <c r="F95" i="320"/>
  <c r="F17" i="320"/>
  <c r="E130" i="320"/>
  <c r="E77" i="320"/>
  <c r="E40" i="320"/>
  <c r="B58" i="320"/>
  <c r="B31" i="320"/>
  <c r="F68" i="320"/>
  <c r="E116" i="320"/>
  <c r="E68" i="320"/>
  <c r="E28" i="320"/>
  <c r="B52" i="320"/>
  <c r="B23" i="320"/>
  <c r="F132" i="320"/>
  <c r="F42" i="320"/>
  <c r="E98" i="320"/>
  <c r="E58" i="320"/>
  <c r="E19" i="320"/>
  <c r="B39" i="320"/>
  <c r="B17" i="320"/>
  <c r="F131" i="320"/>
  <c r="F78" i="320"/>
  <c r="F41" i="320"/>
  <c r="F117" i="320"/>
  <c r="F69" i="320"/>
  <c r="F29" i="320"/>
  <c r="F102" i="320"/>
  <c r="F20" i="320"/>
  <c r="E131" i="320"/>
  <c r="E78" i="320"/>
  <c r="E41" i="320"/>
  <c r="B84" i="320"/>
  <c r="B60" i="320"/>
  <c r="B32" i="320"/>
  <c r="F73" i="320"/>
  <c r="E120" i="320"/>
  <c r="E71" i="320"/>
  <c r="E32" i="320"/>
  <c r="B53" i="320"/>
  <c r="B25" i="320"/>
  <c r="F135" i="320"/>
  <c r="F45" i="320"/>
  <c r="E102" i="320"/>
  <c r="E59" i="320"/>
  <c r="E20" i="320"/>
  <c r="B40" i="320"/>
  <c r="B18" i="320"/>
  <c r="F113" i="320"/>
  <c r="F25" i="320"/>
  <c r="E134" i="320"/>
  <c r="E86" i="320"/>
  <c r="E44" i="320"/>
  <c r="B89" i="320"/>
  <c r="B34" i="320"/>
  <c r="B86" i="320"/>
  <c r="F122" i="320"/>
  <c r="F72" i="320"/>
  <c r="F33" i="320"/>
  <c r="F107" i="320"/>
  <c r="F60" i="320"/>
  <c r="F21" i="320"/>
  <c r="E122" i="320"/>
  <c r="E72" i="320"/>
  <c r="E33" i="320"/>
  <c r="B54" i="320"/>
  <c r="B26" i="320"/>
  <c r="F56" i="320"/>
  <c r="E110" i="320"/>
  <c r="E63" i="320"/>
  <c r="E23" i="320"/>
  <c r="B42" i="320"/>
  <c r="B19" i="320"/>
  <c r="F116" i="320"/>
  <c r="F28" i="320"/>
  <c r="E135" i="320"/>
  <c r="E88" i="320"/>
  <c r="E45" i="320"/>
  <c r="B90" i="320"/>
  <c r="B35" i="320"/>
  <c r="B13" i="320"/>
  <c r="F80" i="320"/>
  <c r="E125" i="320"/>
  <c r="E75" i="320"/>
  <c r="E36" i="320"/>
  <c r="B56" i="320"/>
  <c r="B27" i="320"/>
  <c r="B29" i="343" l="1"/>
  <c r="B31" i="343"/>
  <c r="B13" i="343"/>
  <c r="B40" i="343"/>
  <c r="B22" i="343"/>
  <c r="B17" i="343"/>
  <c r="B15" i="343"/>
  <c r="B26" i="343"/>
  <c r="B28" i="343"/>
  <c r="I1" i="343"/>
  <c r="D1" i="343"/>
  <c r="B62" i="343"/>
  <c r="B74" i="343"/>
  <c r="B69" i="343"/>
  <c r="B68" i="343"/>
  <c r="B61" i="343"/>
  <c r="B58" i="343"/>
  <c r="B67" i="343"/>
  <c r="B75" i="343"/>
  <c r="B63" i="343"/>
  <c r="B70" i="343"/>
  <c r="B64" i="343"/>
  <c r="B60" i="343"/>
  <c r="B71" i="343"/>
  <c r="B73" i="343"/>
  <c r="B72" i="343"/>
  <c r="B59" i="343"/>
  <c r="B65" i="343"/>
  <c r="B66" i="343"/>
  <c r="I104" i="370"/>
  <c r="I99" i="370" l="1"/>
  <c r="I98" i="370"/>
  <c r="I97" i="370"/>
  <c r="I94" i="370"/>
  <c r="I122" i="370"/>
  <c r="I103" i="370"/>
  <c r="I117" i="370"/>
  <c r="I124" i="370"/>
  <c r="I120" i="370"/>
  <c r="I101" i="370"/>
  <c r="I100" i="370" l="1"/>
  <c r="I96" i="370"/>
  <c r="B14" i="59" l="1"/>
  <c r="D58" i="343" l="1"/>
  <c r="BK7" i="320"/>
  <c r="C27" i="59" s="1"/>
  <c r="D27" i="59"/>
  <c r="P123" i="370" l="1"/>
  <c r="P125" i="370"/>
  <c r="C28" i="59"/>
  <c r="P105" i="370"/>
  <c r="P107" i="370"/>
  <c r="P106" i="370"/>
  <c r="P104" i="370"/>
  <c r="P109" i="370"/>
  <c r="P112" i="370"/>
  <c r="P110" i="370"/>
  <c r="P126" i="370"/>
  <c r="P95" i="370"/>
  <c r="P114" i="370"/>
  <c r="P118" i="370"/>
  <c r="P119" i="370"/>
  <c r="P108" i="370"/>
  <c r="P113" i="370"/>
  <c r="P121" i="370"/>
  <c r="P116" i="370"/>
  <c r="P111" i="370"/>
  <c r="P115" i="370"/>
  <c r="P94" i="370"/>
  <c r="P120" i="370"/>
  <c r="P103" i="370"/>
  <c r="P122" i="370"/>
  <c r="P117" i="370"/>
  <c r="P99" i="370"/>
  <c r="P124" i="370"/>
  <c r="P98" i="370"/>
  <c r="P101" i="370"/>
  <c r="P97" i="370"/>
  <c r="P100" i="370"/>
  <c r="P96" i="370"/>
  <c r="B27" i="59"/>
  <c r="O40" i="370"/>
  <c r="V70" i="370"/>
  <c r="T16" i="370"/>
  <c r="T78" i="370"/>
  <c r="O120" i="370"/>
  <c r="V71" i="370"/>
  <c r="O109" i="370"/>
  <c r="R42" i="370"/>
  <c r="V67" i="370"/>
  <c r="R91" i="370"/>
  <c r="V63" i="370"/>
  <c r="R46" i="370"/>
  <c r="O61" i="370"/>
  <c r="V78" i="370"/>
  <c r="O81" i="370"/>
  <c r="V31" i="370"/>
  <c r="O39" i="370"/>
  <c r="O58" i="370"/>
  <c r="V12" i="370"/>
  <c r="R92" i="370"/>
  <c r="T88" i="370"/>
  <c r="V50" i="370"/>
  <c r="T50" i="370"/>
  <c r="O42" i="370"/>
  <c r="O79" i="370"/>
  <c r="R47" i="370"/>
  <c r="V22" i="370"/>
  <c r="O106" i="370"/>
  <c r="O64" i="370"/>
  <c r="O60" i="370"/>
  <c r="V48" i="370"/>
  <c r="Q90" i="370"/>
  <c r="O4" i="370"/>
  <c r="V26" i="370"/>
  <c r="R43" i="370"/>
  <c r="T92" i="370"/>
  <c r="V77" i="370"/>
  <c r="O67" i="370"/>
  <c r="O7" i="370"/>
  <c r="T62" i="370"/>
  <c r="O47" i="370"/>
  <c r="T61" i="370"/>
  <c r="O55" i="370"/>
  <c r="V17" i="370"/>
  <c r="R21" i="370"/>
  <c r="T52" i="370"/>
  <c r="T84" i="370"/>
  <c r="R24" i="370"/>
  <c r="R90" i="370"/>
  <c r="T44" i="370"/>
  <c r="O101" i="370"/>
  <c r="R31" i="370"/>
  <c r="O15" i="370"/>
  <c r="T10" i="370"/>
  <c r="O90" i="370"/>
  <c r="O28" i="370"/>
  <c r="O97" i="370"/>
  <c r="R33" i="370"/>
  <c r="O118" i="370"/>
  <c r="T46" i="370"/>
  <c r="T55" i="370"/>
  <c r="V33" i="370"/>
  <c r="O48" i="370"/>
  <c r="V4" i="370"/>
  <c r="O53" i="370"/>
  <c r="O5" i="370"/>
  <c r="V23" i="370"/>
  <c r="O10" i="370"/>
  <c r="T24" i="370"/>
  <c r="O107" i="370"/>
  <c r="V15" i="370"/>
  <c r="V30" i="370"/>
  <c r="V72" i="370"/>
  <c r="O76" i="370"/>
  <c r="O78" i="370"/>
  <c r="O13" i="370"/>
  <c r="T91" i="370"/>
  <c r="Q92" i="370"/>
  <c r="R34" i="370"/>
  <c r="R12" i="370"/>
  <c r="O100" i="370"/>
  <c r="R9" i="370"/>
  <c r="V37" i="370"/>
  <c r="T66" i="370"/>
  <c r="V27" i="370"/>
  <c r="T40" i="370"/>
  <c r="V25" i="370"/>
  <c r="T20" i="370"/>
  <c r="O24" i="370"/>
  <c r="O38" i="370"/>
  <c r="T41" i="370"/>
  <c r="V88" i="370"/>
  <c r="O8" i="370"/>
  <c r="R19" i="370"/>
  <c r="R3" i="370"/>
  <c r="O70" i="370"/>
  <c r="V40" i="370"/>
  <c r="T43" i="370"/>
  <c r="O63" i="370"/>
  <c r="V80" i="370"/>
  <c r="O54" i="370"/>
  <c r="R25" i="370"/>
  <c r="T19" i="370"/>
  <c r="V55" i="370"/>
  <c r="R23" i="370"/>
  <c r="V85" i="370"/>
  <c r="O84" i="370"/>
  <c r="V61" i="370"/>
  <c r="T64" i="370"/>
  <c r="O66" i="370"/>
  <c r="O31" i="370"/>
  <c r="T81" i="370"/>
  <c r="V66" i="370"/>
  <c r="O69" i="370"/>
  <c r="O43" i="370"/>
  <c r="T34" i="370"/>
  <c r="V28" i="370"/>
  <c r="V51" i="370"/>
  <c r="V60" i="370"/>
  <c r="O93" i="370"/>
  <c r="O34" i="370"/>
  <c r="T38" i="370"/>
  <c r="O95" i="370"/>
  <c r="V69" i="370"/>
  <c r="R28" i="370"/>
  <c r="O11" i="370"/>
  <c r="O80" i="370"/>
  <c r="T71" i="370"/>
  <c r="T6" i="370"/>
  <c r="T29" i="370"/>
  <c r="O37" i="370"/>
  <c r="O119" i="370"/>
  <c r="V86" i="370"/>
  <c r="O108" i="370"/>
  <c r="O19" i="370"/>
  <c r="R35" i="370"/>
  <c r="V54" i="370"/>
  <c r="V13" i="370"/>
  <c r="O56" i="370"/>
  <c r="O18" i="370"/>
  <c r="T31" i="370"/>
  <c r="T79" i="370"/>
  <c r="O103" i="370"/>
  <c r="T67" i="370"/>
  <c r="T23" i="370"/>
  <c r="T75" i="370"/>
  <c r="T18" i="370"/>
  <c r="O105" i="370"/>
  <c r="V62" i="370"/>
  <c r="O36" i="370"/>
  <c r="T42" i="370"/>
  <c r="V46" i="370"/>
  <c r="O21" i="370"/>
  <c r="T58" i="370"/>
  <c r="O6" i="370"/>
  <c r="O26" i="370"/>
  <c r="O94" i="370"/>
  <c r="V3" i="370"/>
  <c r="V43" i="370"/>
  <c r="V73" i="370"/>
  <c r="V38" i="370"/>
  <c r="V89" i="370"/>
  <c r="T86" i="370"/>
  <c r="O124" i="370"/>
  <c r="O77" i="370"/>
  <c r="T11" i="370"/>
  <c r="O52" i="370"/>
  <c r="T45" i="370"/>
  <c r="O59" i="370"/>
  <c r="T76" i="370"/>
  <c r="V14" i="370"/>
  <c r="V92" i="370"/>
  <c r="V65" i="370"/>
  <c r="T32" i="370"/>
  <c r="R22" i="370"/>
  <c r="T39" i="370"/>
  <c r="O115" i="370"/>
  <c r="V49" i="370"/>
  <c r="V58" i="370"/>
  <c r="V47" i="370"/>
  <c r="T35" i="370"/>
  <c r="T65" i="370"/>
  <c r="T80" i="370"/>
  <c r="O23" i="370"/>
  <c r="R17" i="370"/>
  <c r="O49" i="370"/>
  <c r="T26" i="370"/>
  <c r="R39" i="370"/>
  <c r="V83" i="370"/>
  <c r="R11" i="370"/>
  <c r="V5" i="370"/>
  <c r="V53" i="370"/>
  <c r="T8" i="370"/>
  <c r="V24" i="370"/>
  <c r="O86" i="370"/>
  <c r="O110" i="370"/>
  <c r="T63" i="370"/>
  <c r="O68" i="370"/>
  <c r="V2" i="370"/>
  <c r="V41" i="370"/>
  <c r="T17" i="370"/>
  <c r="O3" i="370"/>
  <c r="T47" i="370"/>
  <c r="O123" i="370"/>
  <c r="V81" i="370"/>
  <c r="T77" i="370"/>
  <c r="R37" i="370"/>
  <c r="T56" i="370"/>
  <c r="T49" i="370"/>
  <c r="T5" i="370"/>
  <c r="O29" i="370"/>
  <c r="O116" i="370"/>
  <c r="R8" i="370"/>
  <c r="V16" i="370"/>
  <c r="V59" i="370"/>
  <c r="V19" i="370"/>
  <c r="T72" i="370"/>
  <c r="T36" i="370"/>
  <c r="T48" i="370"/>
  <c r="O35" i="370"/>
  <c r="O91" i="370"/>
  <c r="V9" i="370"/>
  <c r="V74" i="370"/>
  <c r="R7" i="370"/>
  <c r="O113" i="370"/>
  <c r="O89" i="370"/>
  <c r="R15" i="370"/>
  <c r="R20" i="370"/>
  <c r="V35" i="370"/>
  <c r="O125" i="370"/>
  <c r="R44" i="370"/>
  <c r="O9" i="370"/>
  <c r="T7" i="370"/>
  <c r="O114" i="370"/>
  <c r="O117" i="370"/>
  <c r="R45" i="370"/>
  <c r="O71" i="370"/>
  <c r="V18" i="370"/>
  <c r="O33" i="370"/>
  <c r="O98" i="370"/>
  <c r="O122" i="370"/>
  <c r="R10" i="370"/>
  <c r="T3" i="370"/>
  <c r="O75" i="370"/>
  <c r="T90" i="370"/>
  <c r="V84" i="370"/>
  <c r="V34" i="370"/>
  <c r="O83" i="370"/>
  <c r="R26" i="370"/>
  <c r="T89" i="370"/>
  <c r="O87" i="370"/>
  <c r="V45" i="370"/>
  <c r="R36" i="370"/>
  <c r="R29" i="370"/>
  <c r="T9" i="370"/>
  <c r="T51" i="370"/>
  <c r="T59" i="370"/>
  <c r="V52" i="370"/>
  <c r="V56" i="370"/>
  <c r="V42" i="370"/>
  <c r="V64" i="370"/>
  <c r="V79" i="370"/>
  <c r="T13" i="370"/>
  <c r="T14" i="370"/>
  <c r="R5" i="370"/>
  <c r="O45" i="370"/>
  <c r="O126" i="370"/>
  <c r="T68" i="370"/>
  <c r="O16" i="370"/>
  <c r="O12" i="370"/>
  <c r="V39" i="370"/>
  <c r="V91" i="370"/>
  <c r="T12" i="370"/>
  <c r="O14" i="370"/>
  <c r="O32" i="370"/>
  <c r="O73" i="370"/>
  <c r="R18" i="370"/>
  <c r="V44" i="370"/>
  <c r="O72" i="370"/>
  <c r="V36" i="370"/>
  <c r="T15" i="370"/>
  <c r="T83" i="370"/>
  <c r="T74" i="370"/>
  <c r="T87" i="370"/>
  <c r="R4" i="370"/>
  <c r="V57" i="370"/>
  <c r="R14" i="370"/>
  <c r="V68" i="370"/>
  <c r="V21" i="370"/>
  <c r="R2" i="370"/>
  <c r="V32" i="370"/>
  <c r="O44" i="370"/>
  <c r="T2" i="370"/>
  <c r="O27" i="370"/>
  <c r="V29" i="370"/>
  <c r="R40" i="370"/>
  <c r="T25" i="370"/>
  <c r="O121" i="370"/>
  <c r="O112" i="370"/>
  <c r="O22" i="370"/>
  <c r="O41" i="370"/>
  <c r="O51" i="370"/>
  <c r="T54" i="370"/>
  <c r="T73" i="370"/>
  <c r="O88" i="370"/>
  <c r="T4" i="370"/>
  <c r="T69" i="370"/>
  <c r="T85" i="370"/>
  <c r="T37" i="370"/>
  <c r="D28" i="59"/>
  <c r="R41" i="370"/>
  <c r="T30" i="370"/>
  <c r="R13" i="370"/>
  <c r="R38" i="370"/>
  <c r="R27" i="370"/>
  <c r="O57" i="370"/>
  <c r="O62" i="370"/>
  <c r="V10" i="370"/>
  <c r="V75" i="370"/>
  <c r="Q91" i="370"/>
  <c r="V7" i="370"/>
  <c r="V8" i="370"/>
  <c r="O30" i="370"/>
  <c r="O111" i="370"/>
  <c r="V90" i="370"/>
  <c r="T22" i="370"/>
  <c r="V76" i="370"/>
  <c r="O99" i="370"/>
  <c r="O74" i="370"/>
  <c r="V87" i="370"/>
  <c r="O17" i="370"/>
  <c r="V6" i="370"/>
  <c r="R30" i="370"/>
  <c r="T57" i="370"/>
  <c r="O96" i="370"/>
  <c r="R32" i="370"/>
  <c r="O85" i="370"/>
  <c r="R6" i="370"/>
  <c r="O92" i="370"/>
  <c r="O46" i="370"/>
  <c r="V11" i="370"/>
  <c r="T60" i="370"/>
  <c r="O50" i="370"/>
  <c r="O2" i="370"/>
  <c r="O65" i="370"/>
  <c r="T28" i="370"/>
  <c r="T53" i="370"/>
  <c r="R16" i="370"/>
  <c r="T70" i="370"/>
  <c r="O20" i="370"/>
  <c r="V20" i="370"/>
  <c r="T21" i="370"/>
  <c r="T27" i="370"/>
  <c r="T33" i="370"/>
  <c r="O25" i="370"/>
  <c r="O104" i="370"/>
  <c r="S63" i="370" l="1"/>
  <c r="N124" i="370"/>
  <c r="H124" i="370" s="1"/>
  <c r="B32" i="343" s="1"/>
  <c r="S8" i="370"/>
  <c r="N23" i="370"/>
  <c r="N13" i="370"/>
  <c r="N74" i="370"/>
  <c r="N2" i="370"/>
  <c r="N39" i="370"/>
  <c r="N110" i="370"/>
  <c r="H110" i="370" s="1"/>
  <c r="N11" i="370"/>
  <c r="N105" i="370"/>
  <c r="H105" i="370" s="1"/>
  <c r="N64" i="370"/>
  <c r="S50" i="370"/>
  <c r="U37" i="370"/>
  <c r="N10" i="370"/>
  <c r="N92" i="370"/>
  <c r="N21" i="370"/>
  <c r="Q11" i="370"/>
  <c r="N96" i="370"/>
  <c r="H96" i="370" s="1"/>
  <c r="N89" i="370"/>
  <c r="S76" i="370"/>
  <c r="U8" i="370"/>
  <c r="N68" i="370"/>
  <c r="Q30" i="370"/>
  <c r="S41" i="370"/>
  <c r="S73" i="370"/>
  <c r="U31" i="370"/>
  <c r="S30" i="370"/>
  <c r="S86" i="370"/>
  <c r="Q45" i="370"/>
  <c r="S67" i="370"/>
  <c r="U67" i="370"/>
  <c r="Q29" i="370"/>
  <c r="N51" i="370"/>
  <c r="U73" i="370"/>
  <c r="U74" i="370"/>
  <c r="S81" i="370"/>
  <c r="U25" i="370"/>
  <c r="S14" i="370"/>
  <c r="U49" i="370"/>
  <c r="N112" i="370"/>
  <c r="H112" i="370" s="1"/>
  <c r="S69" i="370"/>
  <c r="S91" i="370"/>
  <c r="U27" i="370"/>
  <c r="Q22" i="370"/>
  <c r="S22" i="370"/>
  <c r="S55" i="370"/>
  <c r="N46" i="370"/>
  <c r="N63" i="370"/>
  <c r="N20" i="370"/>
  <c r="N24" i="370"/>
  <c r="N122" i="370"/>
  <c r="H122" i="370" s="1"/>
  <c r="Q28" i="370"/>
  <c r="N95" i="370"/>
  <c r="H95" i="370" s="1"/>
  <c r="N8" i="370"/>
  <c r="N79" i="370"/>
  <c r="S53" i="370"/>
  <c r="U45" i="370"/>
  <c r="Q35" i="370"/>
  <c r="U85" i="370"/>
  <c r="N59" i="370"/>
  <c r="N12" i="370"/>
  <c r="N101" i="370"/>
  <c r="H101" i="370" s="1"/>
  <c r="N34" i="370"/>
  <c r="S80" i="370"/>
  <c r="N22" i="370"/>
  <c r="N52" i="370"/>
  <c r="N41" i="370"/>
  <c r="N76" i="370"/>
  <c r="N18" i="370"/>
  <c r="N37" i="370"/>
  <c r="N4" i="370"/>
  <c r="N97" i="370"/>
  <c r="H97" i="370" s="1"/>
  <c r="S28" i="370"/>
  <c r="N25" i="370"/>
  <c r="N120" i="370"/>
  <c r="H120" i="370" s="1"/>
  <c r="Q31" i="370"/>
  <c r="U21" i="370"/>
  <c r="U18" i="370"/>
  <c r="S74" i="370"/>
  <c r="U86" i="370"/>
  <c r="Q15" i="370"/>
  <c r="S29" i="370"/>
  <c r="U26" i="370"/>
  <c r="Q47" i="370"/>
  <c r="U63" i="370"/>
  <c r="N38" i="370"/>
  <c r="S24" i="370"/>
  <c r="Q46" i="370"/>
  <c r="S61" i="370"/>
  <c r="U54" i="370"/>
  <c r="U36" i="370"/>
  <c r="S15" i="370"/>
  <c r="S90" i="370"/>
  <c r="Q3" i="370"/>
  <c r="U33" i="370"/>
  <c r="Q6" i="370"/>
  <c r="Q10" i="370"/>
  <c r="S58" i="370"/>
  <c r="Q27" i="370"/>
  <c r="N57" i="370"/>
  <c r="N78" i="370"/>
  <c r="N50" i="370"/>
  <c r="U7" i="370"/>
  <c r="N113" i="370"/>
  <c r="H113" i="370" s="1"/>
  <c r="Q7" i="370"/>
  <c r="U12" i="370"/>
  <c r="U16" i="370"/>
  <c r="S12" i="370"/>
  <c r="U3" i="370"/>
  <c r="N14" i="370"/>
  <c r="U43" i="370"/>
  <c r="N125" i="370"/>
  <c r="H125" i="370" s="1"/>
  <c r="B33" i="343" s="1"/>
  <c r="N90" i="370"/>
  <c r="U88" i="370"/>
  <c r="N71" i="370"/>
  <c r="N126" i="370"/>
  <c r="H126" i="370" s="1"/>
  <c r="S2" i="370"/>
  <c r="N69" i="370"/>
  <c r="N67" i="370"/>
  <c r="Q2" i="370"/>
  <c r="N45" i="370"/>
  <c r="S37" i="370"/>
  <c r="U83" i="370"/>
  <c r="N56" i="370"/>
  <c r="N121" i="370"/>
  <c r="H121" i="370" s="1"/>
  <c r="U38" i="370"/>
  <c r="Q42" i="370"/>
  <c r="Q19" i="370"/>
  <c r="S88" i="370"/>
  <c r="U11" i="370"/>
  <c r="S64" i="370"/>
  <c r="Q39" i="370"/>
  <c r="Q18" i="370"/>
  <c r="S60" i="370"/>
  <c r="Q43" i="370"/>
  <c r="Q21" i="370"/>
  <c r="Q8" i="370"/>
  <c r="Q41" i="370"/>
  <c r="U61" i="370"/>
  <c r="S49" i="370"/>
  <c r="U70" i="370"/>
  <c r="U14" i="370"/>
  <c r="U79" i="370"/>
  <c r="U84" i="370"/>
  <c r="S40" i="370"/>
  <c r="S10" i="370"/>
  <c r="U56" i="370"/>
  <c r="U66" i="370"/>
  <c r="S87" i="370"/>
  <c r="N35" i="370"/>
  <c r="N83" i="370"/>
  <c r="S19" i="370"/>
  <c r="N86" i="370"/>
  <c r="U6" i="370"/>
  <c r="U62" i="370"/>
  <c r="U17" i="370"/>
  <c r="N109" i="370"/>
  <c r="H109" i="370" s="1"/>
  <c r="N117" i="370"/>
  <c r="H117" i="370" s="1"/>
  <c r="B27" i="343" s="1"/>
  <c r="N43" i="370"/>
  <c r="U51" i="370"/>
  <c r="N6" i="370"/>
  <c r="N123" i="370"/>
  <c r="H123" i="370" s="1"/>
  <c r="N29" i="370"/>
  <c r="S21" i="370"/>
  <c r="Q37" i="370"/>
  <c r="N44" i="370"/>
  <c r="N104" i="370"/>
  <c r="H104" i="370" s="1"/>
  <c r="B14" i="343" s="1"/>
  <c r="N82" i="370"/>
  <c r="N58" i="370"/>
  <c r="N100" i="370"/>
  <c r="H100" i="370" s="1"/>
  <c r="N49" i="370"/>
  <c r="N55" i="370"/>
  <c r="S17" i="370"/>
  <c r="N114" i="370"/>
  <c r="H114" i="370" s="1"/>
  <c r="S32" i="370"/>
  <c r="U30" i="370"/>
  <c r="S51" i="370"/>
  <c r="S46" i="370"/>
  <c r="S3" i="370"/>
  <c r="S23" i="370"/>
  <c r="U48" i="370"/>
  <c r="U19" i="370"/>
  <c r="U47" i="370"/>
  <c r="Q32" i="370"/>
  <c r="S52" i="370"/>
  <c r="S34" i="370"/>
  <c r="B28" i="59"/>
  <c r="U20" i="370"/>
  <c r="U82" i="370"/>
  <c r="U92" i="370"/>
  <c r="S11" i="370"/>
  <c r="S16" i="370"/>
  <c r="U4" i="370"/>
  <c r="S26" i="370"/>
  <c r="U24" i="370"/>
  <c r="U35" i="370"/>
  <c r="S6" i="370"/>
  <c r="U59" i="370"/>
  <c r="N36" i="370"/>
  <c r="N72" i="370"/>
  <c r="U93" i="370"/>
  <c r="C75" i="343" s="1"/>
  <c r="E75" i="343" s="1"/>
  <c r="N17" i="370"/>
  <c r="N88" i="370"/>
  <c r="N106" i="370"/>
  <c r="H106" i="370" s="1"/>
  <c r="N16" i="370"/>
  <c r="N91" i="370"/>
  <c r="Q9" i="370"/>
  <c r="Q16" i="370"/>
  <c r="U34" i="370"/>
  <c r="N77" i="370"/>
  <c r="N19" i="370"/>
  <c r="N3" i="370"/>
  <c r="S33" i="370"/>
  <c r="S44" i="370"/>
  <c r="N115" i="370"/>
  <c r="H115" i="370" s="1"/>
  <c r="N87" i="370"/>
  <c r="N53" i="370"/>
  <c r="N65" i="370"/>
  <c r="U13" i="370"/>
  <c r="N84" i="370"/>
  <c r="N28" i="370"/>
  <c r="S84" i="370"/>
  <c r="S93" i="370"/>
  <c r="C59" i="343" s="1"/>
  <c r="N30" i="370"/>
  <c r="N31" i="370"/>
  <c r="N32" i="370"/>
  <c r="N54" i="370"/>
  <c r="S68" i="370"/>
  <c r="S56" i="370"/>
  <c r="Q40" i="370"/>
  <c r="U22" i="370"/>
  <c r="U28" i="370"/>
  <c r="S35" i="370"/>
  <c r="N119" i="370"/>
  <c r="H119" i="370" s="1"/>
  <c r="U91" i="370"/>
  <c r="U2" i="370"/>
  <c r="Q14" i="370"/>
  <c r="U23" i="370"/>
  <c r="S43" i="370"/>
  <c r="U39" i="370"/>
  <c r="S85" i="370"/>
  <c r="Q12" i="370"/>
  <c r="U58" i="370"/>
  <c r="U42" i="370"/>
  <c r="U76" i="370"/>
  <c r="S48" i="370"/>
  <c r="S20" i="370"/>
  <c r="U44" i="370"/>
  <c r="S7" i="370"/>
  <c r="S31" i="370"/>
  <c r="U53" i="370"/>
  <c r="U77" i="370"/>
  <c r="N15" i="370"/>
  <c r="N93" i="370"/>
  <c r="S78" i="370"/>
  <c r="Q33" i="370"/>
  <c r="Q25" i="370"/>
  <c r="S59" i="370"/>
  <c r="N33" i="370"/>
  <c r="N9" i="370"/>
  <c r="N80" i="370"/>
  <c r="N7" i="370"/>
  <c r="N98" i="370"/>
  <c r="H98" i="370" s="1"/>
  <c r="U5" i="370"/>
  <c r="S47" i="370"/>
  <c r="C61" i="343" s="1"/>
  <c r="E61" i="343" s="1"/>
  <c r="Q5" i="370"/>
  <c r="N66" i="370"/>
  <c r="N5" i="370"/>
  <c r="Q38" i="370"/>
  <c r="S18" i="370"/>
  <c r="N108" i="370"/>
  <c r="H108" i="370" s="1"/>
  <c r="B20" i="343" s="1"/>
  <c r="N42" i="370"/>
  <c r="N62" i="370"/>
  <c r="N107" i="370"/>
  <c r="H107" i="370" s="1"/>
  <c r="N99" i="370"/>
  <c r="H99" i="370" s="1"/>
  <c r="U65" i="370"/>
  <c r="S75" i="370"/>
  <c r="U71" i="370"/>
  <c r="Q20" i="370"/>
  <c r="U89" i="370"/>
  <c r="S5" i="370"/>
  <c r="N60" i="370"/>
  <c r="U46" i="370"/>
  <c r="S13" i="370"/>
  <c r="U60" i="370"/>
  <c r="Q24" i="370"/>
  <c r="U78" i="370"/>
  <c r="U55" i="370"/>
  <c r="S42" i="370"/>
  <c r="U9" i="370"/>
  <c r="S89" i="370"/>
  <c r="U50" i="370"/>
  <c r="U15" i="370"/>
  <c r="Q13" i="370"/>
  <c r="S66" i="370"/>
  <c r="S65" i="370"/>
  <c r="U75" i="370"/>
  <c r="S54" i="370"/>
  <c r="Q23" i="370"/>
  <c r="N111" i="370"/>
  <c r="H111" i="370" s="1"/>
  <c r="N27" i="370"/>
  <c r="S4" i="370"/>
  <c r="N103" i="370"/>
  <c r="H103" i="370" s="1"/>
  <c r="B21" i="343" s="1"/>
  <c r="S36" i="370"/>
  <c r="C64" i="343" s="1"/>
  <c r="E64" i="343" s="1"/>
  <c r="U87" i="370"/>
  <c r="S57" i="370"/>
  <c r="U72" i="370"/>
  <c r="U64" i="370"/>
  <c r="U57" i="370"/>
  <c r="N73" i="370"/>
  <c r="N70" i="370"/>
  <c r="N81" i="370"/>
  <c r="N118" i="370"/>
  <c r="H118" i="370" s="1"/>
  <c r="N116" i="370"/>
  <c r="H116" i="370" s="1"/>
  <c r="N85" i="370"/>
  <c r="Q36" i="370"/>
  <c r="C65" i="343" s="1"/>
  <c r="E65" i="343" s="1"/>
  <c r="S38" i="370"/>
  <c r="N94" i="370"/>
  <c r="H94" i="370" s="1"/>
  <c r="N47" i="370"/>
  <c r="Q4" i="370"/>
  <c r="N48" i="370"/>
  <c r="N26" i="370"/>
  <c r="N61" i="370"/>
  <c r="N75" i="370"/>
  <c r="S45" i="370"/>
  <c r="C74" i="343" s="1"/>
  <c r="E74" i="343" s="1"/>
  <c r="S72" i="370"/>
  <c r="S25" i="370"/>
  <c r="U41" i="370"/>
  <c r="S83" i="370"/>
  <c r="U69" i="370"/>
  <c r="S82" i="370"/>
  <c r="S70" i="370"/>
  <c r="Q44" i="370"/>
  <c r="U52" i="370"/>
  <c r="S79" i="370"/>
  <c r="S27" i="370"/>
  <c r="U68" i="370"/>
  <c r="Q17" i="370"/>
  <c r="U90" i="370"/>
  <c r="S77" i="370"/>
  <c r="Q34" i="370"/>
  <c r="U10" i="370"/>
  <c r="S62" i="370"/>
  <c r="Q26" i="370"/>
  <c r="U32" i="370"/>
  <c r="S71" i="370"/>
  <c r="S92" i="370"/>
  <c r="U80" i="370"/>
  <c r="N40" i="370"/>
  <c r="U29" i="370"/>
  <c r="U40" i="370"/>
  <c r="S9" i="370"/>
  <c r="U81" i="370"/>
  <c r="S39" i="370"/>
  <c r="D5" i="343"/>
  <c r="G59" i="343" l="1"/>
  <c r="D41" i="371" s="1"/>
  <c r="B23" i="343"/>
  <c r="H14" i="370"/>
  <c r="C71" i="343"/>
  <c r="E71" i="343" s="1"/>
  <c r="H51" i="370"/>
  <c r="H49" i="370"/>
  <c r="H69" i="370"/>
  <c r="H67" i="370"/>
  <c r="H63" i="370"/>
  <c r="H10" i="370"/>
  <c r="H52" i="370"/>
  <c r="H73" i="370"/>
  <c r="C66" i="343"/>
  <c r="E66" i="343" s="1"/>
  <c r="H3" i="370"/>
  <c r="H38" i="370"/>
  <c r="H93" i="370"/>
  <c r="B41" i="343" s="1"/>
  <c r="H76" i="370"/>
  <c r="H54" i="370"/>
  <c r="H86" i="370"/>
  <c r="H28" i="370"/>
  <c r="H29" i="370"/>
  <c r="H24" i="370"/>
  <c r="H70" i="370"/>
  <c r="H75" i="370"/>
  <c r="H57" i="370"/>
  <c r="H6" i="370"/>
  <c r="H56" i="370"/>
  <c r="H83" i="370"/>
  <c r="H22" i="370"/>
  <c r="H37" i="370"/>
  <c r="H7" i="370"/>
  <c r="H88" i="370"/>
  <c r="H47" i="370"/>
  <c r="H5" i="370"/>
  <c r="H61" i="370"/>
  <c r="H85" i="370"/>
  <c r="H89" i="370"/>
  <c r="H32" i="370"/>
  <c r="C73" i="343"/>
  <c r="E73" i="343" s="1"/>
  <c r="H45" i="370"/>
  <c r="C70" i="343"/>
  <c r="E70" i="343" s="1"/>
  <c r="H91" i="370"/>
  <c r="H59" i="370"/>
  <c r="H19" i="370"/>
  <c r="H43" i="370"/>
  <c r="H74" i="370"/>
  <c r="H4" i="370"/>
  <c r="H34" i="370"/>
  <c r="B38" i="343" s="1"/>
  <c r="H30" i="370"/>
  <c r="B24" i="343"/>
  <c r="H84" i="370"/>
  <c r="B19" i="343"/>
  <c r="C67" i="343"/>
  <c r="E67" i="343" s="1"/>
  <c r="H2" i="370"/>
  <c r="H12" i="370"/>
  <c r="B10" i="343"/>
  <c r="H25" i="370"/>
  <c r="H92" i="370"/>
  <c r="H46" i="370"/>
  <c r="B43" i="343" s="1"/>
  <c r="H33" i="370"/>
  <c r="H48" i="370"/>
  <c r="H21" i="370"/>
  <c r="H68" i="370"/>
  <c r="H9" i="370"/>
  <c r="H55" i="370"/>
  <c r="B30" i="343"/>
  <c r="B25" i="343" s="1"/>
  <c r="C68" i="343"/>
  <c r="E68" i="343" s="1"/>
  <c r="H66" i="370"/>
  <c r="H60" i="370"/>
  <c r="H71" i="370"/>
  <c r="H41" i="370"/>
  <c r="H23" i="370"/>
  <c r="H62" i="370"/>
  <c r="H31" i="370"/>
  <c r="H53" i="370"/>
  <c r="H58" i="370"/>
  <c r="B11" i="343"/>
  <c r="H81" i="370"/>
  <c r="H72" i="370"/>
  <c r="C69" i="343"/>
  <c r="E69" i="343" s="1"/>
  <c r="H20" i="370"/>
  <c r="H11" i="370"/>
  <c r="D4" i="343"/>
  <c r="D6" i="343" s="1"/>
  <c r="H40" i="370"/>
  <c r="H15" i="370"/>
  <c r="H16" i="370"/>
  <c r="H35" i="370"/>
  <c r="H50" i="370"/>
  <c r="H44" i="370"/>
  <c r="H79" i="370"/>
  <c r="H39" i="370"/>
  <c r="H27" i="370"/>
  <c r="H80" i="370"/>
  <c r="C63" i="343"/>
  <c r="E63" i="343" s="1"/>
  <c r="C72" i="343"/>
  <c r="E72" i="343" s="1"/>
  <c r="H8" i="370"/>
  <c r="E4" i="343"/>
  <c r="H78" i="370"/>
  <c r="H18" i="370"/>
  <c r="H13" i="370"/>
  <c r="H26" i="370"/>
  <c r="H65" i="370"/>
  <c r="H77" i="370"/>
  <c r="H17" i="370"/>
  <c r="H64" i="370"/>
  <c r="H42" i="370"/>
  <c r="H87" i="370"/>
  <c r="H90" i="370"/>
  <c r="H36" i="370"/>
  <c r="B45" i="343" s="1"/>
  <c r="E59" i="343"/>
  <c r="B18" i="343" l="1"/>
  <c r="B36" i="343"/>
  <c r="B44" i="343"/>
  <c r="B9" i="343"/>
  <c r="B37" i="343"/>
  <c r="B35" i="343"/>
  <c r="B42" i="343"/>
  <c r="B46" i="343"/>
  <c r="D40" i="371"/>
  <c r="B34" i="343" l="1"/>
  <c r="B39" i="343"/>
  <c r="L82" i="370"/>
  <c r="O82" i="370" s="1"/>
  <c r="BK22" i="320"/>
  <c r="L102" i="370" s="1"/>
  <c r="V82" i="370" l="1"/>
  <c r="C60" i="343" s="1"/>
  <c r="E60" i="343" s="1"/>
  <c r="T82" i="370"/>
  <c r="C62" i="343" s="1"/>
  <c r="B59" i="59"/>
  <c r="I102" i="370" s="1"/>
  <c r="O102" i="370"/>
  <c r="B5" i="343" s="1"/>
  <c r="H82" i="370" l="1"/>
  <c r="D43" i="371"/>
  <c r="E5" i="343"/>
  <c r="E6" i="343" s="1"/>
  <c r="D42" i="371"/>
  <c r="E62" i="343"/>
  <c r="P102" i="370"/>
  <c r="N102" i="370"/>
  <c r="B47" i="343" l="1"/>
  <c r="F5" i="343"/>
  <c r="C76" i="343"/>
  <c r="C4" i="343"/>
  <c r="C6" i="343" s="1"/>
  <c r="B4" i="343"/>
  <c r="H102" i="370"/>
  <c r="B16" i="343" s="1"/>
  <c r="C58" i="343"/>
  <c r="G58" i="343" l="1"/>
  <c r="D38" i="371" s="1"/>
  <c r="E47" i="371" s="1"/>
  <c r="H128" i="370"/>
  <c r="E58" i="343"/>
  <c r="B12" i="343"/>
  <c r="F4" i="343"/>
  <c r="F6" i="343" s="1"/>
  <c r="B6" i="343"/>
  <c r="E76" i="343"/>
  <c r="D39" i="371"/>
  <c r="D44" i="371" l="1"/>
  <c r="B48" i="343"/>
  <c r="C15" i="343" l="1"/>
  <c r="C46" i="343"/>
  <c r="C25" i="343"/>
  <c r="C19" i="343"/>
  <c r="C10" i="343"/>
  <c r="C13" i="343"/>
  <c r="C33" i="343"/>
  <c r="C23" i="343"/>
  <c r="C32" i="343"/>
  <c r="C27" i="343"/>
  <c r="C22" i="343"/>
  <c r="C30" i="343"/>
  <c r="C18" i="343"/>
  <c r="C34" i="343"/>
  <c r="C29" i="343"/>
  <c r="C38" i="343"/>
  <c r="C40" i="343"/>
  <c r="C42" i="343"/>
  <c r="C35" i="343"/>
  <c r="C43" i="343"/>
  <c r="C20" i="343"/>
  <c r="C21" i="343"/>
  <c r="C17" i="343"/>
  <c r="C9" i="343"/>
  <c r="C48" i="343"/>
  <c r="C44" i="343"/>
  <c r="C39" i="343"/>
  <c r="C37" i="343"/>
  <c r="C14" i="343"/>
  <c r="C11" i="343"/>
  <c r="C24" i="343"/>
  <c r="C41" i="343"/>
  <c r="C45" i="343"/>
  <c r="C31" i="343"/>
  <c r="C26" i="343"/>
  <c r="C28" i="343"/>
  <c r="C36" i="343"/>
  <c r="C47" i="343"/>
  <c r="C16" i="343"/>
  <c r="C12" i="34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Callaghan, Colin</author>
  </authors>
  <commentList>
    <comment ref="BL28" authorId="0" shapeId="0" xr:uid="{2064D889-F516-4D69-A1E1-D02390EFF6A9}">
      <text>
        <r>
          <rPr>
            <b/>
            <sz val="9"/>
            <color indexed="81"/>
            <rFont val="Tahoma"/>
            <family val="2"/>
          </rPr>
          <t>Callaghan, Colin:</t>
        </r>
        <r>
          <rPr>
            <sz val="9"/>
            <color indexed="81"/>
            <rFont val="Tahoma"/>
            <family val="2"/>
          </rPr>
          <t xml:space="preserve">
non functional 
</t>
        </r>
      </text>
    </comment>
    <comment ref="BL29" authorId="0" shapeId="0" xr:uid="{8D994A56-F34F-4557-8AC1-B838F3AD7D68}">
      <text>
        <r>
          <rPr>
            <b/>
            <sz val="9"/>
            <color indexed="81"/>
            <rFont val="Tahoma"/>
            <family val="2"/>
          </rPr>
          <t>Callaghan, Colin:</t>
        </r>
        <r>
          <rPr>
            <sz val="9"/>
            <color indexed="81"/>
            <rFont val="Tahoma"/>
            <family val="2"/>
          </rPr>
          <t xml:space="preserve">
non functional</t>
        </r>
      </text>
    </comment>
    <comment ref="BK35" authorId="0" shapeId="0" xr:uid="{F71E00B7-C9CA-4E7D-8DF0-912992B2B14E}">
      <text>
        <r>
          <rPr>
            <b/>
            <sz val="9"/>
            <color indexed="81"/>
            <rFont val="Tahoma"/>
            <family val="2"/>
          </rPr>
          <t>Callaghan, Colin:</t>
        </r>
        <r>
          <rPr>
            <sz val="9"/>
            <color indexed="81"/>
            <rFont val="Tahoma"/>
            <family val="2"/>
          </rPr>
          <t xml:space="preserve">
I incorrectly called this GPMC_Util. Not sure what I should consider this otherwise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Carson, Paul</author>
  </authors>
  <commentList>
    <comment ref="F58" authorId="0" shapeId="0" xr:uid="{33BFF8A9-9B5A-4396-8363-2D07519C91B7}">
      <text>
        <r>
          <rPr>
            <b/>
            <sz val="9"/>
            <color indexed="81"/>
            <rFont val="Tahoma"/>
            <family val="2"/>
          </rPr>
          <t>Carson, Paul:</t>
        </r>
        <r>
          <rPr>
            <sz val="9"/>
            <color indexed="81"/>
            <rFont val="Tahoma"/>
            <family val="2"/>
          </rPr>
          <t xml:space="preserve">
All power on a device should be mapped to a power pin.  If any power appears on an N/A pin, it implies that the SoCDB does not assign all contents to defined supply pin names OR that a power pin name is not included in this list (and it should be inserted).  When this happens, it requires some hunting to find the missing pin.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Carson, Paul</author>
  </authors>
  <commentList>
    <comment ref="O1" authorId="0" shapeId="0" xr:uid="{C5F69A66-100E-4F9F-9E60-621223AC4D3B}">
      <text>
        <r>
          <rPr>
            <b/>
            <sz val="9"/>
            <color indexed="81"/>
            <rFont val="Tahoma"/>
            <family val="2"/>
          </rPr>
          <t>Carson, Paul:</t>
        </r>
        <r>
          <rPr>
            <sz val="9"/>
            <color indexed="81"/>
            <rFont val="Tahoma"/>
            <family val="2"/>
          </rPr>
          <t xml:space="preserve">
VDD dynamic power of cell - generally scaled the same way that the </t>
        </r>
      </text>
    </comment>
    <comment ref="R1" authorId="0" shapeId="0" xr:uid="{4163B34A-C091-4DF4-908E-B15BD3F29217}">
      <text>
        <r>
          <rPr>
            <b/>
            <sz val="9"/>
            <color indexed="81"/>
            <rFont val="Tahoma"/>
            <family val="2"/>
          </rPr>
          <t>Carson, Paul:</t>
        </r>
        <r>
          <rPr>
            <sz val="9"/>
            <color indexed="81"/>
            <rFont val="Tahoma"/>
            <family val="2"/>
          </rPr>
          <t xml:space="preserve">
VDD dynamic power of cell - generally scaled the same way that the </t>
        </r>
      </text>
    </comment>
    <comment ref="T1" authorId="0" shapeId="0" xr:uid="{63FF1547-C9E0-4FD9-82F7-ECBA97C50D2C}">
      <text>
        <r>
          <rPr>
            <b/>
            <sz val="9"/>
            <color indexed="81"/>
            <rFont val="Tahoma"/>
            <family val="2"/>
          </rPr>
          <t>Carson, Paul:</t>
        </r>
        <r>
          <rPr>
            <sz val="9"/>
            <color indexed="81"/>
            <rFont val="Tahoma"/>
            <family val="2"/>
          </rPr>
          <t xml:space="preserve">
VDD dynamic power of cell - generally scaled the same way that the </t>
        </r>
      </text>
    </comment>
    <comment ref="V1" authorId="0" shapeId="0" xr:uid="{6F53CD8A-6182-4F11-9F03-E0F610114DA1}">
      <text>
        <r>
          <rPr>
            <b/>
            <sz val="9"/>
            <color indexed="81"/>
            <rFont val="Tahoma"/>
            <family val="2"/>
          </rPr>
          <t>Carson, Paul:</t>
        </r>
        <r>
          <rPr>
            <sz val="9"/>
            <color indexed="81"/>
            <rFont val="Tahoma"/>
            <family val="2"/>
          </rPr>
          <t xml:space="preserve">
VDD dynamic power of cell - generally scaled the same way that the </t>
        </r>
      </text>
    </comment>
    <comment ref="AD1" authorId="0" shapeId="0" xr:uid="{0D326AD1-D601-443F-84DC-9E1BAC867370}">
      <text>
        <r>
          <rPr>
            <b/>
            <sz val="9"/>
            <color indexed="81"/>
            <rFont val="Tahoma"/>
            <family val="2"/>
          </rPr>
          <t>Carson, Paul:</t>
        </r>
        <r>
          <rPr>
            <sz val="9"/>
            <color indexed="81"/>
            <rFont val="Tahoma"/>
            <family val="2"/>
          </rPr>
          <t xml:space="preserve">
VDD dynamic power of cell - generally scaled the same way that the </t>
        </r>
      </text>
    </comment>
    <comment ref="AE1" authorId="0" shapeId="0" xr:uid="{5A321F83-AFD6-4340-B7BA-DF2D9CA47C3C}">
      <text>
        <r>
          <rPr>
            <b/>
            <sz val="9"/>
            <color indexed="81"/>
            <rFont val="Tahoma"/>
            <family val="2"/>
          </rPr>
          <t>Carson, Paul:</t>
        </r>
        <r>
          <rPr>
            <sz val="9"/>
            <color indexed="81"/>
            <rFont val="Tahoma"/>
            <family val="2"/>
          </rPr>
          <t xml:space="preserve">
VDD dynamic power of cell - generally scaled the same way that the </t>
        </r>
      </text>
    </comment>
    <comment ref="AF1" authorId="0" shapeId="0" xr:uid="{27F28AB8-83E9-4CD5-97D2-5848D10368B2}">
      <text>
        <r>
          <rPr>
            <b/>
            <sz val="9"/>
            <color indexed="81"/>
            <rFont val="Tahoma"/>
            <family val="2"/>
          </rPr>
          <t>Carson, Paul:</t>
        </r>
        <r>
          <rPr>
            <sz val="9"/>
            <color indexed="81"/>
            <rFont val="Tahoma"/>
            <family val="2"/>
          </rPr>
          <t xml:space="preserve">
VDD dynamic power of cell - generally scaled the same way that the </t>
        </r>
      </text>
    </comment>
    <comment ref="AG1" authorId="0" shapeId="0" xr:uid="{7A3E0CFD-3EB5-4FAD-BCF3-C486E32B7CD3}">
      <text>
        <r>
          <rPr>
            <b/>
            <sz val="9"/>
            <color indexed="81"/>
            <rFont val="Tahoma"/>
            <family val="2"/>
          </rPr>
          <t>Carson, Paul:</t>
        </r>
        <r>
          <rPr>
            <sz val="9"/>
            <color indexed="81"/>
            <rFont val="Tahoma"/>
            <family val="2"/>
          </rPr>
          <t xml:space="preserve">
VDD dynamic power of cell - generally scaled the same way that the </t>
        </r>
      </text>
    </comment>
    <comment ref="AX1" authorId="0" shapeId="0" xr:uid="{0E488A13-CD23-453C-91D3-07999FBBDD14}">
      <text>
        <r>
          <rPr>
            <b/>
            <sz val="9"/>
            <color indexed="81"/>
            <rFont val="Tahoma"/>
            <family val="2"/>
          </rPr>
          <t>Carson, Paul:</t>
        </r>
        <r>
          <rPr>
            <sz val="9"/>
            <color indexed="81"/>
            <rFont val="Tahoma"/>
            <family val="2"/>
          </rPr>
          <t xml:space="preserve">
Signals plus dedicated power and ground</t>
        </r>
      </text>
    </comment>
    <comment ref="O93" authorId="0" shapeId="0" xr:uid="{F9BB7B58-44AF-4737-B581-CB1B70FEF922}">
      <text>
        <r>
          <rPr>
            <b/>
            <sz val="9"/>
            <color indexed="81"/>
            <rFont val="Tahoma"/>
            <family val="2"/>
          </rPr>
          <t>Carson, Paul:</t>
        </r>
        <r>
          <rPr>
            <sz val="9"/>
            <color indexed="81"/>
            <rFont val="Tahoma"/>
            <family val="2"/>
          </rPr>
          <t xml:space="preserve">
multiply the un-utilized power by the idle power.
Add this to the utilization times half of the write power and half of the read power.
This assumes 50% duty cycle.  </t>
        </r>
      </text>
    </comment>
    <comment ref="T93" authorId="0" shapeId="0" xr:uid="{72A77C2E-63BC-4450-85C8-167CB5D1CD40}">
      <text>
        <r>
          <rPr>
            <b/>
            <sz val="9"/>
            <color indexed="81"/>
            <rFont val="Tahoma"/>
            <family val="2"/>
          </rPr>
          <t>Carson, Paul:</t>
        </r>
        <r>
          <rPr>
            <sz val="9"/>
            <color indexed="81"/>
            <rFont val="Tahoma"/>
            <family val="2"/>
          </rPr>
          <t xml:space="preserve">
multiply the un-utilized power by the idle power.
Add this to the utilization times half of the write power and half of the read power.
This assumes 50% duty cycle.  </t>
        </r>
      </text>
    </comment>
    <comment ref="V93" authorId="0" shapeId="0" xr:uid="{96B0E1C5-E282-466F-BA9C-6A20E8739689}">
      <text>
        <r>
          <rPr>
            <b/>
            <sz val="9"/>
            <color indexed="81"/>
            <rFont val="Tahoma"/>
            <family val="2"/>
          </rPr>
          <t>Carson, Paul:</t>
        </r>
        <r>
          <rPr>
            <sz val="9"/>
            <color indexed="81"/>
            <rFont val="Tahoma"/>
            <family val="2"/>
          </rPr>
          <t xml:space="preserve">
multiply the un-utilized power by the idle power.
Add this to the utilization times half of the write power and half of the read power.
This assumes 50% duty cycle.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Carson, Paul</author>
  </authors>
  <commentList>
    <comment ref="B100" authorId="0" shapeId="0" xr:uid="{0697A420-A115-47A1-8A4D-6F67AB19EE70}">
      <text>
        <r>
          <rPr>
            <b/>
            <sz val="9"/>
            <color indexed="81"/>
            <rFont val="Tahoma"/>
            <family val="2"/>
          </rPr>
          <t>Carson, Paul:</t>
        </r>
        <r>
          <rPr>
            <sz val="9"/>
            <color indexed="81"/>
            <rFont val="Tahoma"/>
            <family val="2"/>
          </rPr>
          <t xml:space="preserve">
SGX530 based upon Maxwell SGX544 at the moment.</t>
        </r>
      </text>
    </comment>
    <comment ref="B102" authorId="0" shapeId="0" xr:uid="{CDC833A7-6EA8-4F87-99FE-348CF2907CEC}">
      <text>
        <r>
          <rPr>
            <b/>
            <sz val="9"/>
            <color indexed="81"/>
            <rFont val="Tahoma"/>
            <family val="2"/>
          </rPr>
          <t>Carson, Paul:</t>
        </r>
        <r>
          <rPr>
            <sz val="9"/>
            <color indexed="81"/>
            <rFont val="Tahoma"/>
            <family val="2"/>
          </rPr>
          <t xml:space="preserve">
8/7/19 did J7ES drill down and extracted a single RX controller.  Drill down sheet in this book.</t>
        </r>
      </text>
    </comment>
    <comment ref="F1069" authorId="0" shapeId="0" xr:uid="{86667BD5-C5A9-4EC0-90D1-0E3B28B28315}">
      <text>
        <r>
          <rPr>
            <b/>
            <sz val="9"/>
            <color indexed="81"/>
            <rFont val="Tahoma"/>
            <family val="2"/>
          </rPr>
          <t>Carson, Paul:</t>
        </r>
        <r>
          <rPr>
            <sz val="9"/>
            <color indexed="81"/>
            <rFont val="Tahoma"/>
            <family val="2"/>
          </rPr>
          <t xml:space="preserve">
Took 53.6 uA 150C 1.98V strong active current and scaled back down to 1.8V by V^2.  Tj won't effect that much.</t>
        </r>
      </text>
    </comment>
    <comment ref="F1143" authorId="0" shapeId="0" xr:uid="{F7FDA827-1390-4E3F-894C-7CE9F48F47F6}">
      <text>
        <r>
          <rPr>
            <b/>
            <sz val="9"/>
            <color indexed="81"/>
            <rFont val="Tahoma"/>
            <family val="2"/>
          </rPr>
          <t>Carson, Paul:</t>
        </r>
        <r>
          <rPr>
            <sz val="9"/>
            <color indexed="81"/>
            <rFont val="Tahoma"/>
            <family val="2"/>
          </rPr>
          <t xml:space="preserve">
Took 45.6 uA 150C 1.98V strong leakage and scaled with VDD core temperature.  It's not precise, but it comprehends 10% voltage drop and the Tj drop and the process factor or the core and has some conservatism in it due to 150C.</t>
        </r>
      </text>
    </comment>
    <comment ref="F1389" authorId="0" shapeId="0" xr:uid="{E97FE8B5-9CC4-4A22-9818-13DCD0884A20}">
      <text>
        <r>
          <rPr>
            <b/>
            <sz val="9"/>
            <color indexed="81"/>
            <rFont val="Tahoma"/>
            <family val="2"/>
          </rPr>
          <t>Carson, Paul:</t>
        </r>
        <r>
          <rPr>
            <sz val="9"/>
            <color indexed="81"/>
            <rFont val="Tahoma"/>
            <family val="2"/>
          </rPr>
          <t xml:space="preserve">
Took 53.6 uA 150C 1.98V strong active current and scaled back down to 1.8V by V^2.  Tj won't effect that much.</t>
        </r>
      </text>
    </comment>
  </commentList>
</comments>
</file>

<file path=xl/sharedStrings.xml><?xml version="1.0" encoding="utf-8"?>
<sst xmlns="http://schemas.openxmlformats.org/spreadsheetml/2006/main" count="13589" uniqueCount="1296">
  <si>
    <t>Type</t>
  </si>
  <si>
    <t>Total</t>
  </si>
  <si>
    <t>GPIO</t>
  </si>
  <si>
    <t>eQEP</t>
  </si>
  <si>
    <t>eCAP</t>
  </si>
  <si>
    <t>Temperature</t>
  </si>
  <si>
    <t>Voltage Domain</t>
  </si>
  <si>
    <t>ICSSM</t>
  </si>
  <si>
    <t>Top</t>
  </si>
  <si>
    <t>GP_Core_CTL</t>
  </si>
  <si>
    <t>HSDIVIDER</t>
  </si>
  <si>
    <t>PGD</t>
  </si>
  <si>
    <t>POK</t>
  </si>
  <si>
    <t>POR</t>
  </si>
  <si>
    <t>USB2 - PHY</t>
  </si>
  <si>
    <t>Instance Name</t>
  </si>
  <si>
    <t>Physical Name</t>
  </si>
  <si>
    <t>Insance Name</t>
  </si>
  <si>
    <t>_0</t>
  </si>
  <si>
    <t>_1</t>
  </si>
  <si>
    <t>_2</t>
  </si>
  <si>
    <t>Power Domain</t>
  </si>
  <si>
    <t>_3</t>
  </si>
  <si>
    <t>_4</t>
  </si>
  <si>
    <t>_5</t>
  </si>
  <si>
    <t>_6</t>
  </si>
  <si>
    <t>_7</t>
  </si>
  <si>
    <t>_8</t>
  </si>
  <si>
    <t>DPHY 1.2 RX - 4L</t>
  </si>
  <si>
    <t>_multiple</t>
  </si>
  <si>
    <t>PD_VPAC</t>
  </si>
  <si>
    <t>PD_DMPAC</t>
  </si>
  <si>
    <t>Release</t>
  </si>
  <si>
    <t>PD_MMA_0</t>
  </si>
  <si>
    <t>PD_MMA_1</t>
  </si>
  <si>
    <t>Use Case</t>
  </si>
  <si>
    <t>POWER</t>
  </si>
  <si>
    <t>mW</t>
  </si>
  <si>
    <t>Comment</t>
  </si>
  <si>
    <t>PD_GPUCOM</t>
  </si>
  <si>
    <t>PD_Pulsar_0</t>
  </si>
  <si>
    <t>PD_Pulsar_1</t>
  </si>
  <si>
    <t>PD_decode</t>
  </si>
  <si>
    <t>PD_encode</t>
  </si>
  <si>
    <t>GP_CORE_CTL_wkup</t>
  </si>
  <si>
    <t>GP_Core_CTL (CC)</t>
  </si>
  <si>
    <t>J7ES</t>
  </si>
  <si>
    <t>_Main</t>
  </si>
  <si>
    <t>Open Drain - 1 bit</t>
  </si>
  <si>
    <t>_mmc_1</t>
  </si>
  <si>
    <t>_mmc_2</t>
  </si>
  <si>
    <t>Use Case Mode</t>
  </si>
  <si>
    <t>Idle</t>
  </si>
  <si>
    <t>Util</t>
  </si>
  <si>
    <t>N/A</t>
  </si>
  <si>
    <t>ADPLL - FRACF</t>
  </si>
  <si>
    <t>POKSA</t>
  </si>
  <si>
    <t>ODP</t>
  </si>
  <si>
    <t>LVDS IO</t>
  </si>
  <si>
    <t>HFOSC</t>
  </si>
  <si>
    <t>LFOSC</t>
  </si>
  <si>
    <t>Temp Sensing Diode</t>
  </si>
  <si>
    <t>_main</t>
  </si>
  <si>
    <t>LVCMOS POC</t>
  </si>
  <si>
    <t>LVCMOS PVDD1</t>
  </si>
  <si>
    <t>LVCMOS IO</t>
  </si>
  <si>
    <t>LVCMOS PVDD3LDO</t>
  </si>
  <si>
    <t>Description</t>
  </si>
  <si>
    <t>on</t>
  </si>
  <si>
    <t>off</t>
  </si>
  <si>
    <t>tag</t>
  </si>
  <si>
    <t>Power</t>
  </si>
  <si>
    <t>ON</t>
  </si>
  <si>
    <t>N16FFC_POR</t>
  </si>
  <si>
    <t>TEF16FCLL256X32HD18_PHRM</t>
  </si>
  <si>
    <t>TODP16FFC18_C170915</t>
  </si>
  <si>
    <t>N16FFC_LFXOSC</t>
  </si>
  <si>
    <t>N16FFC_HFXOSC</t>
  </si>
  <si>
    <t>PLLTS16FFCLAFRACF</t>
  </si>
  <si>
    <t>n16_core_vdd3p3_clamp</t>
  </si>
  <si>
    <t>N16FFC_POK</t>
  </si>
  <si>
    <t>LVDSTS16LLBI1E</t>
  </si>
  <si>
    <t>N16FFC_TEMP_DIODE_TOP</t>
  </si>
  <si>
    <t>N16FFC_POKSA</t>
  </si>
  <si>
    <t>N16FFC_RCOSC</t>
  </si>
  <si>
    <t>DIVTS16FFC1TO128A</t>
  </si>
  <si>
    <t>SDIO - 1 bit</t>
  </si>
  <si>
    <t>SIG ESD</t>
  </si>
  <si>
    <t>ODP IO</t>
  </si>
  <si>
    <t>1.8V POWER ESD</t>
  </si>
  <si>
    <t>3.3V POWER ESD</t>
  </si>
  <si>
    <t>PRCUT</t>
  </si>
  <si>
    <t>Tool Rev</t>
  </si>
  <si>
    <t>MCU Only</t>
  </si>
  <si>
    <t>100%</t>
  </si>
  <si>
    <t>Use Case Setting</t>
  </si>
  <si>
    <t>PD_C66_0</t>
  </si>
  <si>
    <t>PD_C66_1</t>
  </si>
  <si>
    <t>PD_C7_0</t>
  </si>
  <si>
    <t>PD_C7_1</t>
  </si>
  <si>
    <t>PD_Pulsar_MCU</t>
  </si>
  <si>
    <t>Status</t>
  </si>
  <si>
    <t>Burn In</t>
  </si>
  <si>
    <t>_Per0</t>
  </si>
  <si>
    <t>_Per1</t>
  </si>
  <si>
    <t>_ARM0_PLL</t>
  </si>
  <si>
    <t>DDR_PHY</t>
  </si>
  <si>
    <t>_DSS0_PLL</t>
  </si>
  <si>
    <t>_DSS1_PLL</t>
  </si>
  <si>
    <t>_MCU_PERIPHERIAL</t>
  </si>
  <si>
    <t>PRCUTLvcMOS</t>
  </si>
  <si>
    <t>P Carson</t>
  </si>
  <si>
    <t>0.8V POWER ESD</t>
  </si>
  <si>
    <t>Tool Release</t>
  </si>
  <si>
    <t>Expand the groups to see listing of updates (older rev details deleted).</t>
  </si>
  <si>
    <t>TBD</t>
  </si>
  <si>
    <t>VDD_CORE</t>
  </si>
  <si>
    <t>VDDA_1P8_USB</t>
  </si>
  <si>
    <t>VDDA_3P3_USB</t>
  </si>
  <si>
    <t>VDDS_DDR</t>
  </si>
  <si>
    <t>_VDD_CORE_UV</t>
  </si>
  <si>
    <t>_VDD_CORE_OV</t>
  </si>
  <si>
    <t>_VDDR_CORE_UV</t>
  </si>
  <si>
    <t>_VDDR_CORE_OV</t>
  </si>
  <si>
    <t>_MAIN_CORE</t>
  </si>
  <si>
    <t>_VMON_EXT_OV</t>
  </si>
  <si>
    <t>Voltage</t>
  </si>
  <si>
    <t>?</t>
  </si>
  <si>
    <t>PD_A53_Cluster_0</t>
  </si>
  <si>
    <t>PD_A53_0</t>
  </si>
  <si>
    <t>PD_A53_1</t>
  </si>
  <si>
    <t>PD_ICSSG_0</t>
  </si>
  <si>
    <t>PD_ICSSG_1</t>
  </si>
  <si>
    <t>PD_Debugss</t>
  </si>
  <si>
    <t>PD_A72_0</t>
  </si>
  <si>
    <t>PD_A72_1</t>
  </si>
  <si>
    <t>PD_A72_2</t>
  </si>
  <si>
    <t>PD_A72_3</t>
  </si>
  <si>
    <t>PD_Future_CPU_0</t>
  </si>
  <si>
    <t>PD_Future_CPU_1</t>
  </si>
  <si>
    <t>PD_A72_Cluster_0</t>
  </si>
  <si>
    <t>PD_A72_Cluster_1</t>
  </si>
  <si>
    <t>PD_Future_Axx_Cluster_0</t>
  </si>
  <si>
    <t>Main_infra AM62</t>
  </si>
  <si>
    <t>sam62_main_infra_phys</t>
  </si>
  <si>
    <t>DSS7UL AM62</t>
  </si>
  <si>
    <t>PD_Core</t>
  </si>
  <si>
    <t>GP_RTC</t>
  </si>
  <si>
    <t>Deep Sleep</t>
  </si>
  <si>
    <t>USB2 PHY</t>
  </si>
  <si>
    <t>PD_MCU</t>
  </si>
  <si>
    <t>PD_MMA_2</t>
  </si>
  <si>
    <t>PD_C7_2</t>
  </si>
  <si>
    <t>Report Print Date</t>
  </si>
  <si>
    <t>Tool Revision Date</t>
  </si>
  <si>
    <t>should ever be shared externally.  The tool is stored in a restricted server location due to sensitive competitive information.</t>
  </si>
  <si>
    <r>
      <t xml:space="preserve">This spreadsheet and all reports generated by this tool are </t>
    </r>
    <r>
      <rPr>
        <b/>
        <sz val="9"/>
        <color rgb="FFFF0000"/>
        <rFont val="Calibri"/>
        <family val="2"/>
        <scheme val="minor"/>
      </rPr>
      <t>Texas Instruments Confidential, NDA Disclosure</t>
    </r>
    <r>
      <rPr>
        <sz val="9"/>
        <color theme="1"/>
        <rFont val="Calibri"/>
        <family val="2"/>
        <scheme val="minor"/>
      </rPr>
      <t>.  Additionally, only specifically noted pages of print reports</t>
    </r>
  </si>
  <si>
    <t>RCOSC</t>
  </si>
  <si>
    <t>LVCMOS</t>
  </si>
  <si>
    <t>Tool Revision Information</t>
  </si>
  <si>
    <t>PD_A72_4</t>
  </si>
  <si>
    <t>PD_A72_5</t>
  </si>
  <si>
    <t>PD_A72_6</t>
  </si>
  <si>
    <t>PD_A72_7</t>
  </si>
  <si>
    <t>PD_C7_3</t>
  </si>
  <si>
    <t>PD_MMA_3</t>
  </si>
  <si>
    <t>3 Periph</t>
  </si>
  <si>
    <t>4 Infra</t>
  </si>
  <si>
    <t>CANFD</t>
  </si>
  <si>
    <t>VDD_Core</t>
  </si>
  <si>
    <t>VDDAR</t>
  </si>
  <si>
    <t>Tj</t>
  </si>
  <si>
    <t>Stuck At Test (Scan)</t>
  </si>
  <si>
    <t>Stuck At Test.  200 Mhz, 125C, 0.88V, worst case scan partition running.</t>
  </si>
  <si>
    <t>Analog</t>
  </si>
  <si>
    <t>CSI_RX</t>
  </si>
  <si>
    <t>USB2 Controller</t>
  </si>
  <si>
    <t>PD_A53_2</t>
  </si>
  <si>
    <t>PD_A53_3</t>
  </si>
  <si>
    <t>PD_Pulsar_2</t>
  </si>
  <si>
    <t>_mmc_0</t>
  </si>
  <si>
    <t>LVCMOS PVDD3 power cell</t>
  </si>
  <si>
    <t>PD_Core_CTL</t>
  </si>
  <si>
    <t>sam62_mcu_infra_phys</t>
  </si>
  <si>
    <t>AM62X Top</t>
  </si>
  <si>
    <t>sam62_core</t>
  </si>
  <si>
    <t>sam62_debug_wrap</t>
  </si>
  <si>
    <t>Sleep</t>
  </si>
  <si>
    <t>UC 1.2</t>
  </si>
  <si>
    <t>AM62 SRD Building Automation</t>
  </si>
  <si>
    <t>AM62 SRD Automotive Telematics</t>
  </si>
  <si>
    <t>AM62 SRD Driver Monitoring System</t>
  </si>
  <si>
    <t>UC 1.3</t>
  </si>
  <si>
    <t>UC 1.4</t>
  </si>
  <si>
    <t>AM62 SRD Automotive Entry Cluster</t>
  </si>
  <si>
    <t>&lt;1.5W</t>
  </si>
  <si>
    <t>AM62 Broad Market</t>
  </si>
  <si>
    <t>PD_SMS</t>
  </si>
  <si>
    <t>PD_ICSSM</t>
  </si>
  <si>
    <t>PD_EMMC</t>
  </si>
  <si>
    <t>PD_GPU</t>
  </si>
  <si>
    <t>PD_DSS</t>
  </si>
  <si>
    <t>PD_MCU_M4F</t>
  </si>
  <si>
    <t>PD_CPSW</t>
  </si>
  <si>
    <t>PD_USB</t>
  </si>
  <si>
    <t>PD_main_audio</t>
  </si>
  <si>
    <t>PD_Debug</t>
  </si>
  <si>
    <t>sam62_usb2_wrap</t>
  </si>
  <si>
    <t>sam62_mcasp_wrap</t>
  </si>
  <si>
    <t>sam62_icss_m_wrap</t>
  </si>
  <si>
    <t>PD_main_peri</t>
  </si>
  <si>
    <t>sam62_gpmc_elm_wrap</t>
  </si>
  <si>
    <t>sam62_odp_ctrl_wrap</t>
  </si>
  <si>
    <t>sam62_efuse_ctrl_wrap</t>
  </si>
  <si>
    <t>sam62_dss_oldi_wrap</t>
  </si>
  <si>
    <t>sam62_ddr_wrap</t>
  </si>
  <si>
    <t>sam62_cpsw3_wrap</t>
  </si>
  <si>
    <t>PD_A53_cluster_0</t>
  </si>
  <si>
    <t>PD_MCU_PERI</t>
  </si>
  <si>
    <t>sam62_m4ss_wrap</t>
  </si>
  <si>
    <t>GP_Core_CTL_MCU</t>
  </si>
  <si>
    <t>sam62_pll_ctrl_wrap</t>
  </si>
  <si>
    <t>LP/DDR4-16 EMIF AM62</t>
  </si>
  <si>
    <t>eFuse Controller AM62</t>
  </si>
  <si>
    <t>ODP Controller AM62</t>
  </si>
  <si>
    <t>GPMC_ELM AM62</t>
  </si>
  <si>
    <t>EMMC 8 AM62</t>
  </si>
  <si>
    <t>MCASP AM62</t>
  </si>
  <si>
    <t>CPSW3x eAVB AM62</t>
  </si>
  <si>
    <t>HSM AM62</t>
  </si>
  <si>
    <t>EMMC 4 AM62</t>
  </si>
  <si>
    <t>MCU_INFRA_WAKEUP AM62</t>
  </si>
  <si>
    <t>Main_IP AM62</t>
  </si>
  <si>
    <t>PLL Controller AM62</t>
  </si>
  <si>
    <t>GP_CORE_CTL_MCU</t>
  </si>
  <si>
    <t>PD_encode2</t>
  </si>
  <si>
    <t>sam62_mcu_wrap</t>
  </si>
  <si>
    <t>sam62_dm_wrap</t>
  </si>
  <si>
    <t>sam62_main_ip_wrap</t>
  </si>
  <si>
    <t>sam62_csirx_wrap</t>
  </si>
  <si>
    <t>sam62_emmc_4bit_wrap</t>
  </si>
  <si>
    <t>sam62_emmc_8bit_wrap</t>
  </si>
  <si>
    <t>sam62_k3_gpu_axe116m_wrap</t>
  </si>
  <si>
    <t>_PMIC_IN_OV</t>
  </si>
  <si>
    <t>CBASS</t>
  </si>
  <si>
    <t>Debug</t>
  </si>
  <si>
    <t>GPMC</t>
  </si>
  <si>
    <t>DSP</t>
  </si>
  <si>
    <t>Video</t>
  </si>
  <si>
    <t>Imaging</t>
  </si>
  <si>
    <t>Display</t>
  </si>
  <si>
    <t>GPU</t>
  </si>
  <si>
    <t>MSMC</t>
  </si>
  <si>
    <t>Networking</t>
  </si>
  <si>
    <t>Audio</t>
  </si>
  <si>
    <t>SerDes</t>
  </si>
  <si>
    <t>Buffering</t>
  </si>
  <si>
    <t>Clocking</t>
  </si>
  <si>
    <t>Special</t>
  </si>
  <si>
    <t>Monitor</t>
  </si>
  <si>
    <t>Passives</t>
  </si>
  <si>
    <t>Camera</t>
  </si>
  <si>
    <t>sam62_sec_wrap</t>
  </si>
  <si>
    <t>VDDA_TEMP0</t>
  </si>
  <si>
    <t>VDDA_TEMP1</t>
  </si>
  <si>
    <t>MCUSS AM62</t>
  </si>
  <si>
    <t>DDR-PHY</t>
  </si>
  <si>
    <t>PVT Sensor</t>
  </si>
  <si>
    <t>USB2 PHY lookup table (mW) - updated 10/2/20 from datasheet to enable deep sleep modeling for AM62</t>
  </si>
  <si>
    <t>ABJSTBL5</t>
  </si>
  <si>
    <t>sam62_a53_512kb_wrap</t>
  </si>
  <si>
    <t>Power Down Reset</t>
  </si>
  <si>
    <t>PD_VPAC2</t>
  </si>
  <si>
    <t>Pins</t>
  </si>
  <si>
    <t>sam62_a53_dual_wrap_cba_cpu_phys</t>
  </si>
  <si>
    <t>Shin SRD 0.1.02</t>
  </si>
  <si>
    <t>UC 1.1 Dual</t>
  </si>
  <si>
    <t>UC 1.1 Quad</t>
  </si>
  <si>
    <t>&lt;2.0W</t>
  </si>
  <si>
    <t>&lt;1.8W</t>
  </si>
  <si>
    <t>UC1.7.1.1</t>
  </si>
  <si>
    <t>UC1.7.1.2</t>
  </si>
  <si>
    <t>UC1.7.1.3</t>
  </si>
  <si>
    <t>UC1.7.1.4</t>
  </si>
  <si>
    <t>UC1.5 Quad</t>
  </si>
  <si>
    <t>UC1.5 Dual</t>
  </si>
  <si>
    <t>UC 1.6 Dual</t>
  </si>
  <si>
    <t>UC 1.6 Quad</t>
  </si>
  <si>
    <t>&lt;1.0W</t>
  </si>
  <si>
    <t>&lt;7mW nom</t>
  </si>
  <si>
    <t>&lt;60 mW nom</t>
  </si>
  <si>
    <t>&lt;0.6 mW nom</t>
  </si>
  <si>
    <t>UC1.7.3.1</t>
  </si>
  <si>
    <t>UC1.7.3.3</t>
  </si>
  <si>
    <t>UC1.7.3.2</t>
  </si>
  <si>
    <t>&lt;100 m@ nom</t>
  </si>
  <si>
    <t>&lt;200 mW nom</t>
  </si>
  <si>
    <t>&lt;150 mW nom</t>
  </si>
  <si>
    <t>Standby</t>
  </si>
  <si>
    <t>Partial IO On</t>
  </si>
  <si>
    <t>Low power active</t>
  </si>
  <si>
    <t>OS Idle OPP100</t>
  </si>
  <si>
    <t>OS Ilde OPP50</t>
  </si>
  <si>
    <t>Max Current 105C</t>
  </si>
  <si>
    <t>Max Current 125C</t>
  </si>
  <si>
    <t>PD_LCW</t>
  </si>
  <si>
    <t>PD_XPR</t>
  </si>
  <si>
    <t>A53 Quad Cluster 1.4 GHz 512KB AM62</t>
  </si>
  <si>
    <t>A53 CPU 1.4 GHz AM62</t>
  </si>
  <si>
    <t>GPU AXE1-16C</t>
  </si>
  <si>
    <t>GP_DDREW</t>
  </si>
  <si>
    <t>GP_DDRNS</t>
  </si>
  <si>
    <t>AM62</t>
  </si>
  <si>
    <t>Ethernet</t>
  </si>
  <si>
    <t>ddr16_1600_phy</t>
  </si>
  <si>
    <t>PD_EBC</t>
  </si>
  <si>
    <t>LP/DDR4-16 PHY 1600</t>
  </si>
  <si>
    <t>PD_CSI</t>
  </si>
  <si>
    <t>PD_PCIE</t>
  </si>
  <si>
    <t>Emeter OSPI
DM(Bypass-25MHz) @ 50%
OSPI-160Mbaud@1.8V@ 25%
SPI(20MHz)@50%RX/TX
HSM/MCUSS Idle (memory used)
NOTE : Need to manually override DM Frequency to 25MHz</t>
  </si>
  <si>
    <t>&lt;200mW</t>
  </si>
  <si>
    <t>J Peck</t>
  </si>
  <si>
    <t>Emeter OSPI</t>
  </si>
  <si>
    <t>PD_HWA_0</t>
  </si>
  <si>
    <t>PD_HWA_1</t>
  </si>
  <si>
    <t>PD_OCSRAM_1</t>
  </si>
  <si>
    <t>PD_OCSRAM_0</t>
  </si>
  <si>
    <t>PD_OCSRAM_2</t>
  </si>
  <si>
    <t>PD_OCSRAM_3</t>
  </si>
  <si>
    <t>PD_OCSRAM_4</t>
  </si>
  <si>
    <t>PD_OCSRAM_5</t>
  </si>
  <si>
    <t>PD_OCSRAM_6</t>
  </si>
  <si>
    <t>PD_OCSRAM_7</t>
  </si>
  <si>
    <t>Pulsar UL (DM) AM62</t>
  </si>
  <si>
    <t>PD_Pulsar_3</t>
  </si>
  <si>
    <t>UC 1.1b Dual</t>
  </si>
  <si>
    <t>AM62 SRD Industrial HMI Full Spec Dual Core</t>
  </si>
  <si>
    <t>AM62 SRD Industrial HMI Full Spec Quad Core</t>
  </si>
  <si>
    <t>AM62 Industrial HMI Low End</t>
  </si>
  <si>
    <t>PD_DDR</t>
  </si>
  <si>
    <t>sam62_june_power</t>
  </si>
  <si>
    <t>Packaging Max Step Low</t>
  </si>
  <si>
    <t>Packaging Max Step High</t>
  </si>
  <si>
    <t>_SMS</t>
  </si>
  <si>
    <t>PD_HSM</t>
  </si>
  <si>
    <t>Scan Partition Study</t>
  </si>
  <si>
    <t>PD_NPAC</t>
  </si>
  <si>
    <t>Debug SS AM62</t>
  </si>
  <si>
    <t>Fourecia DMS Single Core</t>
  </si>
  <si>
    <t>New use case submitted Aug 30 2021.  Francois C.</t>
  </si>
  <si>
    <t>Francois C</t>
  </si>
  <si>
    <t>Strong</t>
  </si>
  <si>
    <t>sam62_final</t>
  </si>
  <si>
    <t>LP/DDR4-16 IO 1600</t>
  </si>
  <si>
    <t>VDDS_DDR_C</t>
  </si>
  <si>
    <t>VDDA_MCU</t>
  </si>
  <si>
    <t>VDDA_PLL0</t>
  </si>
  <si>
    <t>VDDA_PLL1</t>
  </si>
  <si>
    <t>VDDA_PLL2</t>
  </si>
  <si>
    <t>VDDA_1P8_CSIRX0</t>
  </si>
  <si>
    <t>VDDA_1P8_OLDI0</t>
  </si>
  <si>
    <t>VDDA_CORE_CSIRX0</t>
  </si>
  <si>
    <t>VDDA_CORE_USB</t>
  </si>
  <si>
    <t>VDDS_OSC0</t>
  </si>
  <si>
    <t>VDD_DDR</t>
  </si>
  <si>
    <t>Attribute</t>
  </si>
  <si>
    <t>Value</t>
  </si>
  <si>
    <t>Function</t>
  </si>
  <si>
    <t>vdd_lkg</t>
  </si>
  <si>
    <t>vdd_dyn</t>
  </si>
  <si>
    <t>Lookup_string</t>
  </si>
  <si>
    <t>Cell_Name</t>
  </si>
  <si>
    <t>2p5g4l</t>
  </si>
  <si>
    <t>1p5g4l</t>
  </si>
  <si>
    <t>ulps</t>
  </si>
  <si>
    <t>1p5g1l</t>
  </si>
  <si>
    <t>1pll</t>
  </si>
  <si>
    <t>3g</t>
  </si>
  <si>
    <t>5g</t>
  </si>
  <si>
    <t>8g</t>
  </si>
  <si>
    <t>disable</t>
  </si>
  <si>
    <t>2pll</t>
  </si>
  <si>
    <t>1g</t>
  </si>
  <si>
    <t>comment</t>
  </si>
  <si>
    <t>suspend</t>
  </si>
  <si>
    <t>DPHY RX 4L</t>
  </si>
  <si>
    <t>PVDD3LDOLVCMOS</t>
  </si>
  <si>
    <t>PCBRTEPOCODIO</t>
  </si>
  <si>
    <t>PVDD1LVCMOSM</t>
  </si>
  <si>
    <t>PVDD3LVCMOSM</t>
  </si>
  <si>
    <t>PVDD18MODEDET</t>
  </si>
  <si>
    <t>PRBOPDDGZIIC</t>
  </si>
  <si>
    <t>PVDD2CDGM_C161202</t>
  </si>
  <si>
    <t>PVDD1CDGM_C161202</t>
  </si>
  <si>
    <t>PDIDGZRESET_C161202</t>
  </si>
  <si>
    <t>PRWDWUWSWEWCDGLVCMOS</t>
  </si>
  <si>
    <t>PRWDWUWSWEWCDGSDIO</t>
  </si>
  <si>
    <t>PDBODPMACRO</t>
  </si>
  <si>
    <t>n16_core_vdd_clamp</t>
  </si>
  <si>
    <t>n16_core_vdda_clamp</t>
  </si>
  <si>
    <t>n16_core_sig_esd_secondary</t>
  </si>
  <si>
    <t>If an IO only has "ON/OFF" choices, it is hard coded into the data validation list instead of pointing to a named range in one of the tables below.</t>
  </si>
  <si>
    <t>This includes items such as ADC/DAC/POK/PGD etc.</t>
  </si>
  <si>
    <t>Most other items have a mode specified, and we calculate the power in that mode and put it into a lookup table.</t>
  </si>
  <si>
    <t>Therefore, there is not complete freedom to set any data rate, for example - we give a few choices and the user must pick.</t>
  </si>
  <si>
    <t>The name used in the name manager is written in a blue box, and the data in the column immediately under it is the named range of options.</t>
  </si>
  <si>
    <t>DDR PHY IO settings for power efficient Sitara (AM64, AM62, and several other future concept devices)</t>
  </si>
  <si>
    <t>10g</t>
  </si>
  <si>
    <t>serdes_10g_lane_modes</t>
  </si>
  <si>
    <t>serdes_10g_common_modes</t>
  </si>
  <si>
    <t>dphy_rx_modes</t>
  </si>
  <si>
    <t>lprx</t>
  </si>
  <si>
    <t>2p5g4l_15pct</t>
  </si>
  <si>
    <t>2p5g4l_25pct</t>
  </si>
  <si>
    <t>2p5g4l_50pct</t>
  </si>
  <si>
    <t>2p5g4l_5pct</t>
  </si>
  <si>
    <t>2p5g4l_75pct</t>
  </si>
  <si>
    <t>on/off mode toggling between ultra low power state and fastest transmission to save power</t>
  </si>
  <si>
    <t>turns off SerDes and turns on a special low power channel</t>
  </si>
  <si>
    <t>ultra low power mode</t>
  </si>
  <si>
    <t>hold in reset - lowest power mode since it does not have power switchews</t>
  </si>
  <si>
    <t>turn on 1 pll and one clock reference</t>
  </si>
  <si>
    <t>turn on 2 plls and two clock raferences (did not include 2 pll 1 ref because that's just plain wasteful)</t>
  </si>
  <si>
    <t>Here the PLL is off</t>
  </si>
  <si>
    <t>Here the PLL is initialized but in it's lowest power state</t>
  </si>
  <si>
    <t>Lane not used (there are no power switches, so this is the lowest power state)</t>
  </si>
  <si>
    <t>SGMII and several others - not going to specify every standard.</t>
  </si>
  <si>
    <t>PCIe G1, USB3 lowest rate, 2.5G Ethernet, Dataport…not going to specify every intermediate rate</t>
  </si>
  <si>
    <t>PCIe G2, USB3 Superspeed, 5G Ethernet, Datapost etc.</t>
  </si>
  <si>
    <t>PCIe G3, USB3.1, eDP</t>
  </si>
  <si>
    <t>10G Ethernet (10.3G), USB3.2, some others.</t>
  </si>
  <si>
    <t>Self explanatory - all these modes require 0.75V fixed VDD or above.</t>
  </si>
  <si>
    <t>emmc8_hs400_phy_modes</t>
  </si>
  <si>
    <t>Description (Arasan HS400 PHY selection)</t>
  </si>
  <si>
    <t>Lowest power</t>
  </si>
  <si>
    <t>HS200 mode</t>
  </si>
  <si>
    <t>HS400 mode (probably going to be descoped due to silicon findings).</t>
  </si>
  <si>
    <t>lvds_io_modes</t>
  </si>
  <si>
    <t>Used for Silicon Creations LVDS IO.  The drop down selects a mode, and the power is set to equal the whole bundle when multipled by the IO cnt.</t>
  </si>
  <si>
    <t>disabled</t>
  </si>
  <si>
    <t>oldi_single_18b_modes</t>
  </si>
  <si>
    <t>oldi_single_24b_modes</t>
  </si>
  <si>
    <t>oldi_dual_18b_modes</t>
  </si>
  <si>
    <t>oldi_dual_24b_modes</t>
  </si>
  <si>
    <t>Paul modeled the 10 channel OLDI interface in detail and found little difference in power based upon resolution / pixel clock.</t>
  </si>
  <si>
    <t>The main thing that drives power differences are the number of lanes - and that is dictated by pixel depth and number of display channels.</t>
  </si>
  <si>
    <t>Dual mode drives two displays and takes up all 10 lanes.  18 bit requires one fewer data lane per display.</t>
  </si>
  <si>
    <t>Again - you get slight differences in VDD and VDDA power with pixel clock, but 95% is dictated by the DC power of the termination scheme.</t>
  </si>
  <si>
    <t>Power down</t>
  </si>
  <si>
    <t>mlb</t>
  </si>
  <si>
    <t>3 LVDS lanes at 50-150 mbs each (one clock, one data, one sync).  It's DC termination dominated, so we don't offer multiple rates in drop down.</t>
  </si>
  <si>
    <t>mode</t>
  </si>
  <si>
    <t>BLUE BOXES HAVE LOOKUP STRINGS USING A DIFFERENT FORMULA THAN THE GENERIC ONE, BECAUSE THEY MUST INCLUDE THE MODE IN THE LOOKUP.  OTHER FIELDS ARE MODE AGNOSTIC.</t>
  </si>
  <si>
    <t>lvds transciever.  Used for mlb and oldi.</t>
  </si>
  <si>
    <t>lvds transciever.  Used for mlb and oldi.  8 buffers required for dual display 18 bit.</t>
  </si>
  <si>
    <t>lvds transciever.  Used for mlb and oldi.  10 buffers required for dual display 24 bit</t>
  </si>
  <si>
    <t>lvds transciever.  Used for mlb and oldi.  5 buffers required for 1 display 24 bit</t>
  </si>
  <si>
    <t>lvds transciever.  Used for mlb and oldi.  4 buffer required for 1 display 18 bit</t>
  </si>
  <si>
    <t>lvds transciever.  Used for mlb and oldi.  3 buffers required.  50% duty cycle assumed.</t>
  </si>
  <si>
    <t>lvds transciever.  Used for mlb and oldi.  4 buffer required for 1 display 18 bit..but sheet will multiply by 10…so scale to 4/10.</t>
  </si>
  <si>
    <t>lvds transciever.  Used for mlb and oldi.  3 buffers required.  This will be multiplied by 10, so scale to 3/10.</t>
  </si>
  <si>
    <t>lvds transciever.  Used for mlb and oldi.  5 buffers required for 1 display 24 bit - scale to 5/10</t>
  </si>
  <si>
    <t>lvds transciever.  Used for mlb and oldi.  8 buffers required for dual display 18 bit.  Scale to 8/10</t>
  </si>
  <si>
    <t>sleep</t>
  </si>
  <si>
    <t>host_hs</t>
  </si>
  <si>
    <t>host_fs</t>
  </si>
  <si>
    <t>host_ls</t>
  </si>
  <si>
    <t>device_hs</t>
  </si>
  <si>
    <t>device_fs</t>
  </si>
  <si>
    <t>device_ls</t>
  </si>
  <si>
    <t>Power_down</t>
  </si>
  <si>
    <t>USB2 PHY used device mode suspend - host and device are very similar and suspend is essentially equal to sleep mode.</t>
  </si>
  <si>
    <t>USB2 PHY - Powered down and "disconnected/disabled" are essentially the same power</t>
  </si>
  <si>
    <t>USB2 PHY - averaging transmit and receive power assuming 50/50 write / read.</t>
  </si>
  <si>
    <t>host_hs_idle</t>
  </si>
  <si>
    <t>host_fs_idle</t>
  </si>
  <si>
    <t>host_ls_idle</t>
  </si>
  <si>
    <t>device_hs_idle</t>
  </si>
  <si>
    <t>device_fs_idle</t>
  </si>
  <si>
    <t>device_ls_idle</t>
  </si>
  <si>
    <t>USB2 PHY - device and host idle power is similar except for 3.3v rail</t>
  </si>
  <si>
    <t>power_down</t>
  </si>
  <si>
    <t>power down and disconnected are two different states, but they have the same power profile - so just listing power down.</t>
  </si>
  <si>
    <t>sleep and suspend are two distinct states, but they have essentially the same power profile - so combining into sleep</t>
  </si>
  <si>
    <t>device mode has high speed, fast speed, and low speed tx and rx.  I assume 50/50 rx/tx and average the power of the two states.</t>
  </si>
  <si>
    <t>host mode has high speed, fast speed, and low speed tx and rx.  I assume 50/50 rx/tx and average the power of the two states.</t>
  </si>
  <si>
    <t>idle state is a distinct state where it is connected but no tx/rx is occuring.  This is probably a common mission mode power state.</t>
  </si>
  <si>
    <t>USB2 PHY  - the datasheet does not specify leakage - it just shows total power.  I leave a model slot but put 0 in it.</t>
  </si>
  <si>
    <t>Notes</t>
  </si>
  <si>
    <t>PLLs power depends on frequency.  The use case mode column rounds to the nearest 250 mhz and then does a lookup</t>
  </si>
  <si>
    <t>Fuse block power is vaguely specified in the datasheet.  Mode is hard coded to ON (so not listed in the use case sheets).</t>
  </si>
  <si>
    <t>ESD and clamps are passive structures in the IO ring.  They take up area but do not have power.</t>
  </si>
  <si>
    <t>PGD/POK/POKSA/POR are on or off.  They are hard coded to ON in the mode column so the user does not enter their state in the UC sheets</t>
  </si>
  <si>
    <t>The DPHY RX block contains 4 lanes and can do several rates.  The datasheet only specified power for 2.5g and 1.5g and does not split out power by lanes.  We estimated.</t>
  </si>
  <si>
    <t>The LVDS IOs are used for MLB or OLDI.  The power in the lookup table calculates the power per LVDS driver, and this is then multiplied by 10 (OLDI) or 3 (MLB) from the QTY</t>
  </si>
  <si>
    <t>The sub threshold LVDS driver is used on the DLPC8430 to drive the DMD display data in bundles of 9 LVDS drivers.  The modes are very specific to display modes and use cases.</t>
  </si>
  <si>
    <t>The USB2 PHY is the only IO that uses all 4 supplies, but the datasheet does not specify leakage.  We therefore lump it all together in the dynamic column.</t>
  </si>
  <si>
    <t>The Vx1 macro is a display data standard used on the DLPC8430.  It is a receiver only and it's under development.  Power is estimated at this time.</t>
  </si>
  <si>
    <t>Ignoring the ODP IO power.  It's only used by TI for process monitoring - never in a use case.  I don't model them for power.</t>
  </si>
  <si>
    <t>vddh1_lkg</t>
  </si>
  <si>
    <t>vddh2_lkg</t>
  </si>
  <si>
    <t>vddh1_dyn</t>
  </si>
  <si>
    <t>vdda_dyn</t>
  </si>
  <si>
    <t>vdda_lkg</t>
  </si>
  <si>
    <t>vddh2_dyn</t>
  </si>
  <si>
    <t>lpddr4_1600_16</t>
  </si>
  <si>
    <t>ddr4_1600_16</t>
  </si>
  <si>
    <t>ddr4_1333_16</t>
  </si>
  <si>
    <t>ddr4_800_16</t>
  </si>
  <si>
    <t>ddr4_533_16</t>
  </si>
  <si>
    <t>ddr4_1067_16</t>
  </si>
  <si>
    <t>lpddr4_1333_16</t>
  </si>
  <si>
    <t>lpddr4_1067_16</t>
  </si>
  <si>
    <t>lpddr4_800_16</t>
  </si>
  <si>
    <t>lpddr4_533_16</t>
  </si>
  <si>
    <t>lpddr4_DDR4_16_1600_Modes</t>
  </si>
  <si>
    <t>lpddr4_100_16</t>
  </si>
  <si>
    <t>lpddr4_50_16</t>
  </si>
  <si>
    <t>lpddr4_1600_16_idle</t>
  </si>
  <si>
    <t>lpddr4_1333_16_idle</t>
  </si>
  <si>
    <t>lpddr4_1067_16_idle</t>
  </si>
  <si>
    <t>lpddr4_800_16_idle</t>
  </si>
  <si>
    <t>lpddr4_533_16_idle</t>
  </si>
  <si>
    <t>lpddr4_100_16_idle</t>
  </si>
  <si>
    <t>lpddr4_50_16_idle</t>
  </si>
  <si>
    <t>ddr4_1600_16_idle</t>
  </si>
  <si>
    <t>ddr4_1333_16_idle</t>
  </si>
  <si>
    <t>ddr4_1067_16_idle</t>
  </si>
  <si>
    <t>ddr4_800_16_idle</t>
  </si>
  <si>
    <t>ddr4_533_16_idle</t>
  </si>
  <si>
    <t>Sleep_idle</t>
  </si>
  <si>
    <t>lpddr4_1600_16_read</t>
  </si>
  <si>
    <t>lpddr4_1333_16_read</t>
  </si>
  <si>
    <t>lpddr4_1067_16_read</t>
  </si>
  <si>
    <t>lpddr4_800_16_read</t>
  </si>
  <si>
    <t>lpddr4_533_16_read</t>
  </si>
  <si>
    <t>lpddr4_100_16_read</t>
  </si>
  <si>
    <t>lpddr4_50_16_read</t>
  </si>
  <si>
    <t>ddr4_1600_16_read</t>
  </si>
  <si>
    <t>ddr4_1333_16_read</t>
  </si>
  <si>
    <t>ddr4_1067_16_read</t>
  </si>
  <si>
    <t>ddr4_800_16_read</t>
  </si>
  <si>
    <t>ddr4_533_16_read</t>
  </si>
  <si>
    <t>Sleep_read</t>
  </si>
  <si>
    <t>lpddr4_1600_16_write</t>
  </si>
  <si>
    <t>lpddr4_1333_16_write</t>
  </si>
  <si>
    <t>lpddr4_1067_16_write</t>
  </si>
  <si>
    <t>lpddr4_800_16_write</t>
  </si>
  <si>
    <t>lpddr4_533_16_write</t>
  </si>
  <si>
    <t>lpddr4_100_16_write</t>
  </si>
  <si>
    <t>lpddr4_50_16_write</t>
  </si>
  <si>
    <t>ddr4_1600_16_write</t>
  </si>
  <si>
    <t>ddr4_1333_16_write</t>
  </si>
  <si>
    <t>ddr4_1067_16_write</t>
  </si>
  <si>
    <t>ddr4_800_16_write</t>
  </si>
  <si>
    <t>ddr4_533_16_write</t>
  </si>
  <si>
    <t>Sleep_write</t>
  </si>
  <si>
    <t>The DDR PHY IOs have a unique dynamic formula for every supply.  It assumes 50% read/write for the utilized part and idle for the unutilized part.</t>
  </si>
  <si>
    <t>PLL used for MOST150 to reduce jitter.</t>
  </si>
  <si>
    <t>PLL used for every device and application except J7ES and MLB on all devices</t>
  </si>
  <si>
    <t>Power Glitch Detector - for safety to monitor supplies for noise</t>
  </si>
  <si>
    <t>DDR PHY reset input cell</t>
  </si>
  <si>
    <t>On Die Process Monitor - full of ring oscillators and other circuits to measure transistor parameters.</t>
  </si>
  <si>
    <t>LVCMOS support cell - used in every group of LVCMOS cells.  Groups have either 3.3V or 1.8V, depending upon the user setting.</t>
  </si>
  <si>
    <t>Temperature Sensing Diode</t>
  </si>
  <si>
    <t>RC Oscillator to provide a clock in PLL bypass mode.</t>
  </si>
  <si>
    <t>Power On Reset Cell</t>
  </si>
  <si>
    <t>Power "OK" monitor</t>
  </si>
  <si>
    <t>Low Frequency Oscillator used during boot.</t>
  </si>
  <si>
    <t>High Frequency Oscillator to generate clock going to PLLs</t>
  </si>
  <si>
    <t>ESD structures - only need these for area calculation.</t>
  </si>
  <si>
    <t>LPDDR4/DDR4 IOs used on AM64 and AM62.  Lower power and limited to 1600.</t>
  </si>
  <si>
    <t>0.8V VDD power on DDR16 IOs</t>
  </si>
  <si>
    <t>1.1V VDDS power on DDR16 IOs</t>
  </si>
  <si>
    <t>1.1V VDDS leakage power on DDR16 IOs</t>
  </si>
  <si>
    <t>1.1V Bias power on DDR16 IOs</t>
  </si>
  <si>
    <t>1.1V Bias leakage on DDR16 IOs</t>
  </si>
  <si>
    <t>Grand Total</t>
  </si>
  <si>
    <t>ARM_MPU</t>
  </si>
  <si>
    <t>ARM_MCU</t>
  </si>
  <si>
    <t>Security</t>
  </si>
  <si>
    <t>Mix</t>
  </si>
  <si>
    <t>Fabric</t>
  </si>
  <si>
    <t>DMA</t>
  </si>
  <si>
    <t>mw</t>
  </si>
  <si>
    <t>Category</t>
  </si>
  <si>
    <t>"Mix" is a blend of infrastructure and peripheral IP.  E.g. CBA+DMA+I2C+MCAN…etc.</t>
  </si>
  <si>
    <t>DLP</t>
  </si>
  <si>
    <t>mW %</t>
  </si>
  <si>
    <t>Total mW</t>
  </si>
  <si>
    <t>OSC</t>
  </si>
  <si>
    <t>EMIF + PHY Digital part</t>
  </si>
  <si>
    <t>All DLP Peripherals</t>
  </si>
  <si>
    <t>VPAC/DMPAC/DLP blocks</t>
  </si>
  <si>
    <t>All GPUs</t>
  </si>
  <si>
    <t>C66/C7/MMA</t>
  </si>
  <si>
    <t>DSS</t>
  </si>
  <si>
    <t>McASP/AASRC</t>
  </si>
  <si>
    <t>R5F/M4F/R52/M7 etc.</t>
  </si>
  <si>
    <t>A35/A53/A72</t>
  </si>
  <si>
    <t>Debugss</t>
  </si>
  <si>
    <t>UDMA</t>
  </si>
  <si>
    <t>CBASS+Perif+Infra IP mix</t>
  </si>
  <si>
    <t>CTS/repeaters/hold buffs</t>
  </si>
  <si>
    <t>53 uA worst case (150C 1.98V VDDA1p8) current consumption minus the worst case leakage to get dynamic portion.</t>
  </si>
  <si>
    <t>45.6 uA leakage at 150C</t>
  </si>
  <si>
    <t>1.19 uA current consumption listed on VDD_CORE - it does not state if it's leakage or dynamic…so putting as leakage.</t>
  </si>
  <si>
    <t>sd0901_rx4</t>
  </si>
  <si>
    <t>sd1000</t>
  </si>
  <si>
    <t>IO Cell VDD PAD cell</t>
  </si>
  <si>
    <t>IO Cell VDDS PAD cell</t>
  </si>
  <si>
    <t>Part of ESD structure to provide power and ground combo cell for IO library.  See TSMC IO app note.</t>
  </si>
  <si>
    <t>DDR Reset Input</t>
  </si>
  <si>
    <t>58 signals from AM62 pinmux file + 4 VDDS1.1 + 1 VDDS clk</t>
  </si>
  <si>
    <t>eFuse</t>
  </si>
  <si>
    <t>UC_Description</t>
  </si>
  <si>
    <t>Leakage_Margin</t>
  </si>
  <si>
    <t>Process_Corner</t>
  </si>
  <si>
    <t>UC_Update</t>
  </si>
  <si>
    <t>UC_Target_mW</t>
  </si>
  <si>
    <t>ddr16_1600_ios</t>
  </si>
  <si>
    <t>pll_modes</t>
  </si>
  <si>
    <t>hs200</t>
  </si>
  <si>
    <t>hs400</t>
  </si>
  <si>
    <t>HSDIV power depends on average frequency of all HSDIVs on the device.  Estimate this and enter into UC sheet to nearest 100 mhz.  Lookup table then used.</t>
  </si>
  <si>
    <t>No power LVCMOS support cells - all loaded onto Source Detect cell for each group.</t>
  </si>
  <si>
    <t>See the peripheral IO name below for LVCMOS power - area / pins / beachfront are calculated here.</t>
  </si>
  <si>
    <t>The eFuse pins are allocated for the entire array (so not assigning them to this core analog block)</t>
  </si>
  <si>
    <t>hsdiv_modes</t>
  </si>
  <si>
    <t>LVCMOS VDDS power estimation</t>
  </si>
  <si>
    <t>icssm_modes</t>
  </si>
  <si>
    <t>rmii_rmii_3p3v</t>
  </si>
  <si>
    <t>profinet_3p3v</t>
  </si>
  <si>
    <t>ethercat_3p3v</t>
  </si>
  <si>
    <t>rmii_3p3v</t>
  </si>
  <si>
    <t>mii_3p3v</t>
  </si>
  <si>
    <t>rmii_rmii_1p8v</t>
  </si>
  <si>
    <t>rmii_1p8v</t>
  </si>
  <si>
    <t>mii_1p8v</t>
  </si>
  <si>
    <t>profinet_1p8v</t>
  </si>
  <si>
    <t>ethercat_1p8v</t>
  </si>
  <si>
    <t>mii_mii_3p3v</t>
  </si>
  <si>
    <t>mii_mii_1p8v</t>
  </si>
  <si>
    <t>icssm</t>
  </si>
  <si>
    <t>1 Processor</t>
  </si>
  <si>
    <t>2 ASPE</t>
  </si>
  <si>
    <t>5 Analog</t>
  </si>
  <si>
    <t>6 IO</t>
  </si>
  <si>
    <t>7 LVCMOS IO</t>
  </si>
  <si>
    <t>ethernet</t>
  </si>
  <si>
    <t>ethernet_modes</t>
  </si>
  <si>
    <t>mcu_0</t>
  </si>
  <si>
    <t>gpmc_modes</t>
  </si>
  <si>
    <t>gpmc</t>
  </si>
  <si>
    <t>canfd_modes</t>
  </si>
  <si>
    <t>canfd</t>
  </si>
  <si>
    <t>12mbs_3p3v</t>
  </si>
  <si>
    <t>5mbs_3p3v</t>
  </si>
  <si>
    <t>1mbs_3p3v</t>
  </si>
  <si>
    <t>250kbs_3p3v</t>
  </si>
  <si>
    <t>12mbs_1p8v</t>
  </si>
  <si>
    <t>5mbs_1p8v</t>
  </si>
  <si>
    <t>1mbs_1p8v</t>
  </si>
  <si>
    <t>250kbs_1p8v</t>
  </si>
  <si>
    <t>fssul_modes</t>
  </si>
  <si>
    <t>rgmii_1000_1p8v</t>
  </si>
  <si>
    <t>rgmii_100_1p8v</t>
  </si>
  <si>
    <t>rgmii_10_1p8v</t>
  </si>
  <si>
    <t>rmii_100_1p8v</t>
  </si>
  <si>
    <t>rmii_10_1p8v</t>
  </si>
  <si>
    <t>16b_133_MHz_1p8V</t>
  </si>
  <si>
    <t>16b_100_MHz_1p8V</t>
  </si>
  <si>
    <t>16b_80_MHz_1p8V</t>
  </si>
  <si>
    <t>rgmii_1000_3p3v</t>
  </si>
  <si>
    <t>rgmii_100_3p3v</t>
  </si>
  <si>
    <t>rgmii_10_3p3v</t>
  </si>
  <si>
    <t>rmii_100_3p3v</t>
  </si>
  <si>
    <t>rmii_10_3p3v</t>
  </si>
  <si>
    <t>16b_133_MHz_3p3V</t>
  </si>
  <si>
    <t>16b_100_MHz_3p3V</t>
  </si>
  <si>
    <t>16b_80_MHz_3p3V</t>
  </si>
  <si>
    <t>qspi_ddr_master_160_3p3v</t>
  </si>
  <si>
    <t>qspi_ddr_master_133_3p3v</t>
  </si>
  <si>
    <t>qspi_sdr_master_133_3p3v</t>
  </si>
  <si>
    <t>qspi_sdr_master_108_3p3v</t>
  </si>
  <si>
    <t>ospi_ddr_master_160_3p3v</t>
  </si>
  <si>
    <t>ospi_ddr_master_133_3p3v</t>
  </si>
  <si>
    <t>ospi_sdr_master_133_3p3v</t>
  </si>
  <si>
    <t>ospi_sdr_master_108_3p3v</t>
  </si>
  <si>
    <t>fssul</t>
  </si>
  <si>
    <t>qspi_ddr_master_160_1p8v</t>
  </si>
  <si>
    <t>qspi_ddr_master_133_1p8v</t>
  </si>
  <si>
    <t>qspi_sdr_master_133_1p8v</t>
  </si>
  <si>
    <t>qspi_sdr_master_108_1p8v</t>
  </si>
  <si>
    <t>ospi_ddr_master_160_1p8v</t>
  </si>
  <si>
    <t>ospi_ddr_master_133_1p8v</t>
  </si>
  <si>
    <t>ospi_sdr_master_133_1p8v</t>
  </si>
  <si>
    <t>ospi_sdr_master_108_1p8v</t>
  </si>
  <si>
    <t>OSPI/QSPI</t>
  </si>
  <si>
    <t>dpi</t>
  </si>
  <si>
    <t>dpi_modes</t>
  </si>
  <si>
    <t>DPI Display</t>
  </si>
  <si>
    <t>HD+_|_1600x900x60_fps_18b_|_1p8V</t>
  </si>
  <si>
    <t>SD_|_640x480x60_fps_12b_|_3p3V</t>
  </si>
  <si>
    <t>SD_|_640x480x60_fps_16b_|_3p3V</t>
  </si>
  <si>
    <t>SD_|_640x480x60_fps_24b_|_3p3V</t>
  </si>
  <si>
    <t>SVGA_|_800x600x60_fps_12b_|_3p3V</t>
  </si>
  <si>
    <t>SVGA_|_800x600x60_fps_16b_|_3p3V</t>
  </si>
  <si>
    <t>SVGA_|_800x600x60_fps_24b_|_3p3V</t>
  </si>
  <si>
    <t>WVGA_|_854x480x60_fps_12b_|_3p3V</t>
  </si>
  <si>
    <t>WVGA_|_854x480x60_fps_16b_|_3p3V</t>
  </si>
  <si>
    <t>WVGA_|_854x480x60_fps_24b_|_3p3V</t>
  </si>
  <si>
    <t>XGA_|_1024x768x60_fps_12b_|_3p3V</t>
  </si>
  <si>
    <t>XGA_|_1024x768x60_fps_16b_|_3p3V</t>
  </si>
  <si>
    <t>XGA_|_1024x768x60_fps_24b_|_3p3V</t>
  </si>
  <si>
    <t>HD_|_1280x720x30_fps_12b_|_3p3V</t>
  </si>
  <si>
    <t>HD_|_1280x720x30_fps_16b_|_3p3V</t>
  </si>
  <si>
    <t>HD_|_1280x720x30_fps_24b_|_3p3V</t>
  </si>
  <si>
    <t>HD_|_1280x720x60_fps_12b_|_3p3V</t>
  </si>
  <si>
    <t>HD_|_1280x720x60_fps_16b_|_3p3V</t>
  </si>
  <si>
    <t>HD_|_1280x720x60_fps_24b_|_3p3V</t>
  </si>
  <si>
    <t>WXGA_|_1280x800x30_fps_12b_|_3p3V</t>
  </si>
  <si>
    <t>WXGA_|_1280x800x30_fps_16b_|_3p3V</t>
  </si>
  <si>
    <t>WXGA_|_1280x800x30_fps_24b_|_3p3V</t>
  </si>
  <si>
    <t>WXGA_|_1280x800x60_fps_12b_|_3p3V</t>
  </si>
  <si>
    <t>WXGA_|_1280x800x60_fps_16b_|_3p3V</t>
  </si>
  <si>
    <t>WXGA_|_1280x800x60_fps_18b_|_3p3V</t>
  </si>
  <si>
    <t>WXGA_|_1280x800x60_fps_24b_|_3p3V</t>
  </si>
  <si>
    <t>SXGA_|_1280x1024x30_fps_12b_|_3p3V</t>
  </si>
  <si>
    <t>SXGA_|_1280x1024x30_fps_16b_|_3p3V</t>
  </si>
  <si>
    <t>SXGA_|_1280x1024x30_fps_18b_|_3p3V</t>
  </si>
  <si>
    <t>SXGA_|_1280x1024x30_fps_24b_|_3p3V</t>
  </si>
  <si>
    <t>SXGA_|_1280x1024x60_fps_12b_|_3p3V</t>
  </si>
  <si>
    <t>SXGA_|_1280x1024x60_fps_16b_|_3p3V</t>
  </si>
  <si>
    <t>SXGA_|_1280x1024x60_fps_18b_|_3p3V</t>
  </si>
  <si>
    <t>SXGA_|_1280x1024x60_fps_24b_|_3p3V</t>
  </si>
  <si>
    <t>SXGA+_|_1400x1050x60_fps_12b_|_3p3V</t>
  </si>
  <si>
    <t>SXGA+_|_1400x1050x60_fps_16b_|_3p3V</t>
  </si>
  <si>
    <t>SXGA+_|_1400x1050x60_fps_18b_|_3p3V</t>
  </si>
  <si>
    <t>SXGA+_|_1400x1050x60_fps_24b_|_3p3V</t>
  </si>
  <si>
    <t>HD+_|_1600x900x30_fps_12b_|_3p3V</t>
  </si>
  <si>
    <t>HD+_|_1600x900x30_fps_16b_|_3p3V</t>
  </si>
  <si>
    <t>HD+_|_1600x900x30_fps_18b_|_3p3V</t>
  </si>
  <si>
    <t>HD+_|_1600x900x30_fps_24b_|_3p3V</t>
  </si>
  <si>
    <t>HD+_|_1600x900x60_fps_12b_|_3p3V</t>
  </si>
  <si>
    <t>HD+_|_1600x900x60_fps_16b_|_3p3V</t>
  </si>
  <si>
    <t>HD+_|_1600x900x60_fps_18b_|_3p3V</t>
  </si>
  <si>
    <t>HD+_|_1600x900x60_fps_24b_|_3p3V</t>
  </si>
  <si>
    <t>UXGA_|_1600x1200x30_fps_12b_|_3p3V</t>
  </si>
  <si>
    <t>UXGA_|_1600x1200x30_fps_16b_|_3p3V</t>
  </si>
  <si>
    <t>UXGA_|_1600x1200x30_fps_18b_|_3p3V</t>
  </si>
  <si>
    <t>UXGA_|_1600x1200x30_fps_24b_|_3p3V</t>
  </si>
  <si>
    <t>UXGA_|_1600x1200x60_fps_12b_|_3p3V</t>
  </si>
  <si>
    <t>UXGA_|_1600x1200x60_fps_16b_|_3p3V</t>
  </si>
  <si>
    <t>UXGA_|_1600x1200x60_fps_18b_|_3p3V</t>
  </si>
  <si>
    <t>UXGA_|_1600x1200x60_fps_24b_|_3p3V</t>
  </si>
  <si>
    <t>Full_HD_|_1920x720x30_fps_12b_|_3p3V</t>
  </si>
  <si>
    <t>Full_HD_|_1920x720x30_fps_16b_|_3p3V</t>
  </si>
  <si>
    <t>Full_HD_|_1920x720x30_fps_18b_|_3p3V</t>
  </si>
  <si>
    <t>Full_HD_|_1920x720x30_fps_24b_|_3p3V</t>
  </si>
  <si>
    <t>Full_HD_|_1920x720x60_fps_12b_|_3p3V</t>
  </si>
  <si>
    <t>Full_HD_|_1920x720x60_fps_16b_|_3p3V</t>
  </si>
  <si>
    <t>Full_HD_|_1920x720x60_fps_18b_|_3p3V</t>
  </si>
  <si>
    <t>Full_HD_|_1920x720x60_fps_24b_|_3p3V</t>
  </si>
  <si>
    <t>Full_HD_|_1920x1080x30_fps_12b_|_3p3V</t>
  </si>
  <si>
    <t>Full_HD_|_1920x1080x30_fps_16b_|_3p3V</t>
  </si>
  <si>
    <t>Full_HD_|_1920x1080x30_fps_18b_|_3p3V</t>
  </si>
  <si>
    <t>Full_HD_|_1920x1080x30_fps_24b_|_3p3V</t>
  </si>
  <si>
    <t>Full_HD_|_1920x1080x60_fps_12b_|_3p3V</t>
  </si>
  <si>
    <t>Full_HD_|_1920x1080x60_fps_16b_|_3p3V</t>
  </si>
  <si>
    <t>Full_HD_|_1920x1080x60_fps_18b_|_3p3V</t>
  </si>
  <si>
    <t>Full_HD_|_1920x1080x60_fps_24b_|_3p3V</t>
  </si>
  <si>
    <t>2K_|_2048x1080x30_fps_18b_|_3p3V</t>
  </si>
  <si>
    <t>2K_|_2048x1080x30_fps_24b_|_3p3V</t>
  </si>
  <si>
    <t>2K_|_2048x1080x60_fps_18b_|_3p3V</t>
  </si>
  <si>
    <t>2K_|_2048x1080x60_fps_24b_|_3p3V</t>
  </si>
  <si>
    <t>SD_|_640x480x60_fps_12b_|_1p8V</t>
  </si>
  <si>
    <t>SD_|_640x480x60_fps_16b_|_1p8V</t>
  </si>
  <si>
    <t>SD_|_640x480x60_fps_24b_|_1p8V</t>
  </si>
  <si>
    <t>SVGA_|_800x600x60_fps_12b_|_1p8V</t>
  </si>
  <si>
    <t>SVGA_|_800x600x60_fps_16b_|_1p8V</t>
  </si>
  <si>
    <t>SVGA_|_800x600x60_fps_24b_|_1p8V</t>
  </si>
  <si>
    <t>WVGA_|_854x480x60_fps_12b_|_1p8V</t>
  </si>
  <si>
    <t>WVGA_|_854x480x60_fps_16b_|_1p8V</t>
  </si>
  <si>
    <t>WVGA_|_854x480x60_fps_24b_|_1p8V</t>
  </si>
  <si>
    <t>XGA_|_1024x768x60_fps_12b_|_1p8V</t>
  </si>
  <si>
    <t>XGA_|_1024x768x60_fps_16b_|_1p8V</t>
  </si>
  <si>
    <t>XGA_|_1024x768x60_fps_24b_|_1p8V</t>
  </si>
  <si>
    <t>HD_|_1280x720x30_fps_12b_|_1p8V</t>
  </si>
  <si>
    <t>HD_|_1280x720x30_fps_16b_|_1p8V</t>
  </si>
  <si>
    <t>HD_|_1280x720x30_fps_24b_|_1p8V</t>
  </si>
  <si>
    <t>HD_|_1280x720x60_fps_12b_|_1p8V</t>
  </si>
  <si>
    <t>HD_|_1280x720x60_fps_16b_|_1p8V</t>
  </si>
  <si>
    <t>HD_|_1280x720x60_fps_24b_|_1p8V</t>
  </si>
  <si>
    <t>WXGA_|_1280x800x30_fps_12b_|_1p8V</t>
  </si>
  <si>
    <t>WXGA_|_1280x800x30_fps_16b_|_1p8V</t>
  </si>
  <si>
    <t>WXGA_|_1280x800x30_fps_24b_|_1p8V</t>
  </si>
  <si>
    <t>WXGA_|_1280x800x60_fps_12b_|_1p8V</t>
  </si>
  <si>
    <t>WXGA_|_1280x800x60_fps_16b_|_1p8V</t>
  </si>
  <si>
    <t>WXGA_|_1280x800x60_fps_18b_|_1p8V</t>
  </si>
  <si>
    <t>WXGA_|_1280x800x60_fps_24b_|_1p8V</t>
  </si>
  <si>
    <t>SXGA_|_1280x1024x30_fps_12b_|_1p8V</t>
  </si>
  <si>
    <t>SXGA_|_1280x1024x30_fps_16b_|_1p8V</t>
  </si>
  <si>
    <t>SXGA_|_1280x1024x30_fps_18b_|_1p8V</t>
  </si>
  <si>
    <t>SXGA_|_1280x1024x30_fps_24b_|_1p8V</t>
  </si>
  <si>
    <t>SXGA_|_1280x1024x60_fps_12b_|_1p8V</t>
  </si>
  <si>
    <t>SXGA_|_1280x1024x60_fps_16b_|_1p8V</t>
  </si>
  <si>
    <t>SXGA_|_1280x1024x60_fps_18b_|_1p8V</t>
  </si>
  <si>
    <t>SXGA_|_1280x1024x60_fps_24b_|_1p8V</t>
  </si>
  <si>
    <t>SXGA+_|_1400x1050x60_fps_12b_|_1p8V</t>
  </si>
  <si>
    <t>SXGA+_|_1400x1050x60_fps_16b_|_1p8V</t>
  </si>
  <si>
    <t>SXGA+_|_1400x1050x60_fps_18b_|_1p8V</t>
  </si>
  <si>
    <t>SXGA+_|_1400x1050x60_fps_24b_|_1p8V</t>
  </si>
  <si>
    <t>HD+_|_1600x900x30_fps_12b_|_1p8V</t>
  </si>
  <si>
    <t>HD+_|_1600x900x30_fps_16b_|_1p8V</t>
  </si>
  <si>
    <t>HD+_|_1600x900x30_fps_18b_|_1p8V</t>
  </si>
  <si>
    <t>HD+_|_1600x900x30_fps_24b_|_1p8V</t>
  </si>
  <si>
    <t>HD+_|_1600x900x60_fps_12b_|_1p8V</t>
  </si>
  <si>
    <t>HD+_|_1600x900x60_fps_16b_|_1p8V</t>
  </si>
  <si>
    <t>UXGA_|_1600x1200x30_fps_12b_|_1p8V</t>
  </si>
  <si>
    <t>UXGA_|_1600x1200x30_fps_16b_|_1p8V</t>
  </si>
  <si>
    <t>UXGA_|_1600x1200x30_fps_18b_|_1p8V</t>
  </si>
  <si>
    <t>UXGA_|_1600x1200x30_fps_24b_|_1p8V</t>
  </si>
  <si>
    <t>UXGA_|_1600x1200x60_fps_12b_|_1p8V</t>
  </si>
  <si>
    <t>UXGA_|_1600x1200x60_fps_16b_|_1p8V</t>
  </si>
  <si>
    <t>UXGA_|_1600x1200x60_fps_18b_|_1p8V</t>
  </si>
  <si>
    <t>UXGA_|_1600x1200x60_fps_24b_|_1p8V</t>
  </si>
  <si>
    <t>Full_HD_|_1920x720x30_fps_12b_|_1p8V</t>
  </si>
  <si>
    <t>Full_HD_|_1920x720x30_fps_16b_|_1p8V</t>
  </si>
  <si>
    <t>Full_HD_|_1920x720x30_fps_18b_|_1p8V</t>
  </si>
  <si>
    <t>Full_HD_|_1920x720x30_fps_24b_|_1p8V</t>
  </si>
  <si>
    <t>Full_HD_|_1920x720x60_fps_12b_|_1p8V</t>
  </si>
  <si>
    <t>Full_HD_|_1920x720x60_fps_16b_|_1p8V</t>
  </si>
  <si>
    <t>Full_HD_|_1920x720x60_fps_18b_|_1p8V</t>
  </si>
  <si>
    <t>Full_HD_|_1920x720x60_fps_24b_|_1p8V</t>
  </si>
  <si>
    <t>Full_HD_|_1920x1080x30_fps_12b_|_1p8V</t>
  </si>
  <si>
    <t>Full_HD_|_1920x1080x30_fps_16b_|_1p8V</t>
  </si>
  <si>
    <t>Full_HD_|_1920x1080x30_fps_18b_|_1p8V</t>
  </si>
  <si>
    <t>Full_HD_|_1920x1080x30_fps_24b_|_1p8V</t>
  </si>
  <si>
    <t>Full_HD_|_1920x1080x60_fps_12b_|_1p8V</t>
  </si>
  <si>
    <t>Full_HD_|_1920x1080x60_fps_16b_|_1p8V</t>
  </si>
  <si>
    <t>Full_HD_|_1920x1080x60_fps_18b_|_1p8V</t>
  </si>
  <si>
    <t>Full_HD_|_1920x1080x60_fps_24b_|_1p8V</t>
  </si>
  <si>
    <t>2K_|_2048x1080x30_fps_18b_|_1p8V</t>
  </si>
  <si>
    <t>2K_|_2048x1080x30_fps_24b_|_1p8V</t>
  </si>
  <si>
    <t>2K_|_2048x1080x60_fps_18b_|_1p8V</t>
  </si>
  <si>
    <t>2K_|_2048x1080x60_fps_24b_|_1p8V</t>
  </si>
  <si>
    <t>mcasp_modes</t>
  </si>
  <si>
    <t>8Ch_RX_48_ksps_24b_3p3v</t>
  </si>
  <si>
    <t>4Ch_RX_48_ksps_24b_3p3v</t>
  </si>
  <si>
    <t>2Ch_RX_48_ksps_24b_3p3v</t>
  </si>
  <si>
    <t>16Ch_TX_48_ksps_24b_3p3v</t>
  </si>
  <si>
    <t>12Ch_TX_48_ksps_24b_3p3v</t>
  </si>
  <si>
    <t>8Ch_TX_48_ksps_24b_3p3v</t>
  </si>
  <si>
    <t>4Ch_TX_48_ksps_24b_3p3v</t>
  </si>
  <si>
    <t>2Ch_TX_48_ksps_24b_3p3v</t>
  </si>
  <si>
    <t>16Ch_RXTX_48ksps_24b_3p3v</t>
  </si>
  <si>
    <t>12Ch_RXTX_48_ksps_24b_3p3v</t>
  </si>
  <si>
    <t>8Ch_RXTX_48_ksps_24b_3p3v</t>
  </si>
  <si>
    <t>4Ch_RXTX_48_ksps_24b_3p3v</t>
  </si>
  <si>
    <t>2Ch_RXTX_48_ksps_24b_3p3v</t>
  </si>
  <si>
    <t>8Ch_RX_48_ksps_24b_1p8v</t>
  </si>
  <si>
    <t>4Ch_RX_48_ksps_24b_1p8v</t>
  </si>
  <si>
    <t>2Ch_RX_48_ksps_24b_1p8v</t>
  </si>
  <si>
    <t>16Ch_TX_48_ksps_24b_1p8v</t>
  </si>
  <si>
    <t>12Ch_TX_48_ksps_24b_1p8v</t>
  </si>
  <si>
    <t>8Ch_TX_48_ksps_24b_1p8v</t>
  </si>
  <si>
    <t>4Ch_TX_48_ksps_24b_1p8v</t>
  </si>
  <si>
    <t>2Ch_TX_48_ksps_24b_1p8v</t>
  </si>
  <si>
    <t>16Ch_RXTX_48ksps_24b_1p8v</t>
  </si>
  <si>
    <t>12Ch_RXTX_48_ksps_24b_1p8v</t>
  </si>
  <si>
    <t>8Ch_RXTX_48_ksps_24b_1p8v</t>
  </si>
  <si>
    <t>4Ch_RXTX_48_ksps_24b_1p8v</t>
  </si>
  <si>
    <t>2Ch_RXTX_48_ksps_24b_1p8v</t>
  </si>
  <si>
    <t>mcasp</t>
  </si>
  <si>
    <t>spi_modes</t>
  </si>
  <si>
    <t>Master_25_Mbaud_1p8v</t>
  </si>
  <si>
    <t>Master_12.5_Mbaud_1p8v</t>
  </si>
  <si>
    <t>Master_6.25_Mbaud_1p8v</t>
  </si>
  <si>
    <t>Master_3.125_Mbaud_1p8v</t>
  </si>
  <si>
    <t>Master_2.083_Mbaud_1p8v</t>
  </si>
  <si>
    <t>Master_1.563_Mbaud_1p8v</t>
  </si>
  <si>
    <t>Slave_25_Mbaud_1p8v</t>
  </si>
  <si>
    <t>Slave_12.5_Mbaud_1p8v</t>
  </si>
  <si>
    <t>Slave_6.25_Mbaud_1p8v</t>
  </si>
  <si>
    <t>Slave_3.125_Mbaud_1p8v</t>
  </si>
  <si>
    <t>Slave_2.083_Mbaud_1p8v</t>
  </si>
  <si>
    <t>Master_25_Mbaud_3p3v</t>
  </si>
  <si>
    <t>Master_12.5_Mbaud_3p3v</t>
  </si>
  <si>
    <t>Master_6.25_Mbaud_3p3v</t>
  </si>
  <si>
    <t>Master_3.125_Mbaud_3p3v</t>
  </si>
  <si>
    <t>Master_2.083_Mbaud_3p3v</t>
  </si>
  <si>
    <t>Master_1.563_Mbaud_3p3v</t>
  </si>
  <si>
    <t>Slave_25_Mbaud_3p3v</t>
  </si>
  <si>
    <t>Slave_12.5_Mbaud_3p3v</t>
  </si>
  <si>
    <t>Slave_6.25_Mbaud_3p3v</t>
  </si>
  <si>
    <t>Slave_3.125_Mbaud_3p3v</t>
  </si>
  <si>
    <t>Slave_2.083_Mbaud_3p3v</t>
  </si>
  <si>
    <t>spi</t>
  </si>
  <si>
    <t>Memory</t>
  </si>
  <si>
    <t>HS_Serial</t>
  </si>
  <si>
    <t>i2c_400k_3p3v</t>
  </si>
  <si>
    <t>i2c_100k_3p3v</t>
  </si>
  <si>
    <t>i2c_400k_1p8v</t>
  </si>
  <si>
    <t>i2c_100k_1p8v</t>
  </si>
  <si>
    <t>_mcu_1</t>
  </si>
  <si>
    <t>i2c</t>
  </si>
  <si>
    <t>i2c_od</t>
  </si>
  <si>
    <t>I2C with OD</t>
  </si>
  <si>
    <t>I2C</t>
  </si>
  <si>
    <t>LVCMOS attached I2C emulate the Open drain by going Hi-Z…and are limited to 400 kbs or less (most of the I2C are like this)</t>
  </si>
  <si>
    <t>i2c_3p4m_1p8v</t>
  </si>
  <si>
    <t>i2c_1m_1p8v</t>
  </si>
  <si>
    <t>with true open drainbuffer, the i2c can run up to 3.4 mbs if 1.8V…but 3.3v is limited to 400 kbs or less.</t>
  </si>
  <si>
    <t>i2c_od_modes</t>
  </si>
  <si>
    <t>when attached to true open drain buffers (only a few are), i2c can perform up to 3.5 mbs at 1.8v and 400 kbs @ 3.3v.  The other i2c are limited to 400</t>
  </si>
  <si>
    <t>i2c_modes</t>
  </si>
  <si>
    <t>most i2c on K3 are attached to lvcmos push/pull and emulate open drain by going high Z when driving low…these are limited to 400 kbs.</t>
  </si>
  <si>
    <t>uart</t>
  </si>
  <si>
    <t>wkp_0</t>
  </si>
  <si>
    <t>uart_modes</t>
  </si>
  <si>
    <t>3p6m_1p8v</t>
  </si>
  <si>
    <t>1m_1p8v</t>
  </si>
  <si>
    <t>112k_1p8v</t>
  </si>
  <si>
    <t>3p6m_3p3v</t>
  </si>
  <si>
    <t>1m_3p3v</t>
  </si>
  <si>
    <t>112k_3p3v</t>
  </si>
  <si>
    <t>according to TRM, the uarts are limited to 3.6 mbs</t>
  </si>
  <si>
    <t>uart_modem</t>
  </si>
  <si>
    <t>most of the uarts are only 4 pins (full duplex data in and out, and two control in and out).</t>
  </si>
  <si>
    <t>There is one uart (uart 0 in main) which can be configured as a modem (8 total pins) and has 4 more control pins (2 in and 2 out).</t>
  </si>
  <si>
    <t>RS485 and IrDA only uses 3 signals (tx, rx, and SD output.</t>
  </si>
  <si>
    <t>IrDA limited to 115.2k</t>
  </si>
  <si>
    <t>pinmux</t>
  </si>
  <si>
    <t>The power math for uart modem and uart are the same - and the modes offered are the same.  The pins they use are different (8 vs. 4)</t>
  </si>
  <si>
    <t>all uarts except uart0 in the main domain are 4 or 3 pin interfaces.  Uart0 can do a modem interface with 8 pins.</t>
  </si>
  <si>
    <t>uart and uart_modem both use the same power model…they differ only in the number of total pins (modem has 4 more control pins)</t>
  </si>
  <si>
    <t>eqep</t>
  </si>
  <si>
    <t>ecap</t>
  </si>
  <si>
    <t>eCAP can be used either for PWM capture of audio samples, rotating machinery data, hall sensor data, or time measurements.</t>
  </si>
  <si>
    <t>It is either input or output and can have various rates.</t>
  </si>
  <si>
    <t>ecap_modes</t>
  </si>
  <si>
    <t>pwm_out_5m_3p3v</t>
  </si>
  <si>
    <t>pwm_out_1m_3p3v</t>
  </si>
  <si>
    <t>pwm_out_5m_1p8v</t>
  </si>
  <si>
    <t>pwm_out_1m_1p8v</t>
  </si>
  <si>
    <t>capture_in_5m_3p3v</t>
  </si>
  <si>
    <t>capture_in_1m_3p3v</t>
  </si>
  <si>
    <t>capture_in_5m_1p8v</t>
  </si>
  <si>
    <t>capture_in_1m_1p8v</t>
  </si>
  <si>
    <t>single output feeding pulse width modulation asynchronous</t>
  </si>
  <si>
    <t>capture of data coming in (audio, sensor, etc.)</t>
  </si>
  <si>
    <t>in capture mode, there is a very tiny bit of VDDS power through input buffers…but not much.</t>
  </si>
  <si>
    <t>1 input or 1 output</t>
  </si>
  <si>
    <t>quadrature input A and B, index IO, Strobe IO</t>
  </si>
  <si>
    <t>eQEP has 2 inputs for quadrature clock and direction counts and two IOs for strobe an an index io.  It's low power.</t>
  </si>
  <si>
    <t>on_3p3v</t>
  </si>
  <si>
    <t>on_1p8v</t>
  </si>
  <si>
    <t>3p3v on mode at 1 mbs with outputs 25 pf.</t>
  </si>
  <si>
    <t>1p8v with 1 mbs</t>
  </si>
  <si>
    <t>eqep modes</t>
  </si>
  <si>
    <t>It's mainly input power from the two quadrature inputs.  The two IOs are slow (strobe and index).  Only did 1 mbs rate at 3p3v and 1p8v</t>
  </si>
  <si>
    <t>pwm on J7ES has 14 outputs and I inputs for 6 pwm modules (they vary on pins).  This is an average of 3 per module.</t>
  </si>
  <si>
    <t>using double ecap pwm power to estimate the ON power.</t>
  </si>
  <si>
    <t>due to the variance in number of signal IOs, putting in a conservative (but small) value for vdd activity power on the interface</t>
  </si>
  <si>
    <t>pwm_modes</t>
  </si>
  <si>
    <t>There are many modes for pwm usage and the power is small, so keeping it simple.</t>
  </si>
  <si>
    <t>epwm</t>
  </si>
  <si>
    <t>ePWM</t>
  </si>
  <si>
    <t>gpio</t>
  </si>
  <si>
    <t>gpio_modes</t>
  </si>
  <si>
    <t>1mbs_3p3v_20pf</t>
  </si>
  <si>
    <t>1mbs_1p8v_20pf</t>
  </si>
  <si>
    <t>GPIO are wide open and can't be modeled precisely.  Each GPIO module has 9 banks of 16 GPIO signals.</t>
  </si>
  <si>
    <t>We model them instead as a single bit at 1 mbs, and users can input 10,000% if they wish to model 10 outputs at 1 mbs.</t>
  </si>
  <si>
    <t>modeling just 1 bit of GPIO as a 1 mbs output into 25 pf.  The GPIO module can support 16 IO and 9 banks…so you have to overload it to emulate</t>
  </si>
  <si>
    <t>SPI</t>
  </si>
  <si>
    <t>McASP</t>
  </si>
  <si>
    <t>Pinmux</t>
  </si>
  <si>
    <t>dual rmii mode pin count</t>
  </si>
  <si>
    <t>RGMII port</t>
  </si>
  <si>
    <t>full hd 24 bit pixels</t>
  </si>
  <si>
    <t>16 channel tx/rx mode</t>
  </si>
  <si>
    <t>16 bit GPMC full width</t>
  </si>
  <si>
    <t>13 for hyperbus, 10 for OSPI</t>
  </si>
  <si>
    <t>All at 100% to test tool</t>
  </si>
  <si>
    <t>Lookup String</t>
  </si>
  <si>
    <t>0 UC Settings</t>
  </si>
  <si>
    <t>8W</t>
  </si>
  <si>
    <t>The Use Case Sheet is in two sections (Core and Analog/IO).  The Core section can be filtered and sorted.  The Analog/IO section CANNOT be Filtered.  Also, the header row must be row 3 or the tool will break.</t>
  </si>
  <si>
    <t>Because this section is somewhat delicate, divider rows are inserted to prevent you from inadvertedly sorting and ruining the drop down formatting.</t>
  </si>
  <si>
    <r>
      <rPr>
        <b/>
        <u/>
        <sz val="10"/>
        <color theme="0"/>
        <rFont val="Calibri"/>
        <family val="2"/>
        <scheme val="minor"/>
      </rPr>
      <t xml:space="preserve">Analog &amp; IO Section. </t>
    </r>
    <r>
      <rPr>
        <b/>
        <sz val="8"/>
        <color theme="0"/>
        <rFont val="Calibri"/>
        <family val="2"/>
        <scheme val="minor"/>
      </rPr>
      <t xml:space="preserve">                DO NOT SORT.  Drop down choices in the mode columns will get scrambled and you will break the tool if you do this.  Deleting or inserting rows is OK.</t>
    </r>
  </si>
  <si>
    <t>Nominal</t>
  </si>
  <si>
    <t>ddr4_50_16</t>
  </si>
  <si>
    <t>power_down_reset</t>
  </si>
  <si>
    <t>ICSSM LVCMOS IO</t>
  </si>
  <si>
    <t>Ethernet LVCMOS IO</t>
  </si>
  <si>
    <t>GPMC LVCMOS IO</t>
  </si>
  <si>
    <t>CANFD LVCMOS IO</t>
  </si>
  <si>
    <t>FSSUL LVCMOS IO</t>
  </si>
  <si>
    <t>DPI LVCMOS IO</t>
  </si>
  <si>
    <t>McASP LVCMOS IO</t>
  </si>
  <si>
    <t>SPI LVCMOS IO</t>
  </si>
  <si>
    <t>I2C LVCMOS IO</t>
  </si>
  <si>
    <t>I2C_OD LVCMOS IO</t>
  </si>
  <si>
    <t>UART LVCMOS IO</t>
  </si>
  <si>
    <t>UART Modem LVCMOS IO</t>
  </si>
  <si>
    <t>eCAP LVCMOS IO</t>
  </si>
  <si>
    <t>eQEP LVCMOS IO</t>
  </si>
  <si>
    <t>ePWM LVCMOS IO</t>
  </si>
  <si>
    <t>GPIO LVCMOS IO</t>
  </si>
  <si>
    <t>Red boxes in the Value column are "under construction" and contain placeholder values until we get modeling details.</t>
  </si>
  <si>
    <t>The table below is a named range called AIO_Table and is used everywhere in the tool.  Generally you do a lookup using the "Lookup_string" and pull the "Value" column.  It is the only data you actually use - the rest of the columns exist to enable data entry.</t>
  </si>
  <si>
    <t>In most cases, you can safely exclude values and the tool will still work.  For example, if you do not enter a state for leakage, the tool will error check and just zero it out (you obviously will be missing the leakage, but it won't tank the rest of the calculation).</t>
  </si>
  <si>
    <t>ddr_100mbs</t>
  </si>
  <si>
    <t>ddr_200mbs</t>
  </si>
  <si>
    <t>sdr_100mbs</t>
  </si>
  <si>
    <t>sdr_25mbs</t>
  </si>
  <si>
    <t>sdr_50mbs</t>
  </si>
  <si>
    <t>sdio_modes</t>
  </si>
  <si>
    <t>used to set sdio emmc4 and emmc8 power per bit, which is then multiplied by the 7 or 11 bits in emmc4 or emmc8 to got total bundle power.</t>
  </si>
  <si>
    <t>for built in SDIO modes in the Arasan phy</t>
  </si>
  <si>
    <t>The PLL power uses a complex equation with a ratio of frequency to 3200 mhz to the 1.5 power.</t>
  </si>
  <si>
    <t>Instead of plugging this equation into the power sheet as a unique formula (which is prone to be overwritten), it's calculated separately</t>
  </si>
  <si>
    <t xml:space="preserve">and then a lookup table is used.  To limit the number of values, it's only entered in increments of 250 MHz.  When entering the </t>
  </si>
  <si>
    <t>frequency in the use case sheet, the user must enter in 250 increments.  This can be done by an MROUND(freq,250) formula if needed, where FREQ</t>
  </si>
  <si>
    <t>is pointing to another cell in the use case (e.g. the DDR PHY frequency *4).  However, we encourage users  just to enter it from the drop down provided.</t>
  </si>
  <si>
    <t>The HSDIV, similar to PLL, uses a complex formula which is a ratio of frequencies to a reference frequency.</t>
  </si>
  <si>
    <t>Instead of implementing a unique formula in the power calculation sheet, it's done separately and then entered into the power database as values.</t>
  </si>
  <si>
    <t>The user then selects an average frequency for all HSDIVs on the device from the drop down. This is highly approximate anyway, since most devices have</t>
  </si>
  <si>
    <t>a large number of hsdivs (30-90 of them) at frequencies ranging from 100 mhz to 2000 mhz.  Therefore, it's a swag to guess the average frequency.</t>
  </si>
  <si>
    <t>The contribution is small relative to the other IP, so that's OK, but in deep sleep and low power modes, it's important to set the average frequency of all</t>
  </si>
  <si>
    <t>hsdivs low or you get several mW of power (which obviously is inaccurate in a 5-10 mW total power use case).</t>
  </si>
  <si>
    <t>ICSSM also has many bit banging modes and data capture modes.  We'll need to augment these drop downs to show them later</t>
  </si>
  <si>
    <t>In fact, in Sitara MPU these eQEP/PWM and other modes might be the primary use cases for industrial applications.</t>
  </si>
  <si>
    <t>You can augment the choices in the drop downs by inserting rows in the middle and entering text into column A.  They will then automatically appear in the selection menus.</t>
  </si>
  <si>
    <t>aurora</t>
  </si>
  <si>
    <t>All data validation mode select menus are defined here through named ranges.</t>
  </si>
  <si>
    <t>LU</t>
  </si>
  <si>
    <t>LUUD</t>
  </si>
  <si>
    <t>Calc_Mode</t>
  </si>
  <si>
    <t>Calculation Mode Key</t>
  </si>
  <si>
    <t>Straight lookup</t>
  </si>
  <si>
    <t>Lookup and then multiply by utilization</t>
  </si>
  <si>
    <t>Example</t>
  </si>
  <si>
    <t>SerDes Power: = mode_power</t>
  </si>
  <si>
    <t>Lookup with utilization and WR duty cycle</t>
  </si>
  <si>
    <t>Dyn_calc_method</t>
  </si>
  <si>
    <t>Strictly speaking, this should be LUUD method (there is clock idle power when 0% used), but we set dyn conservatively to account for this intercept and keep eqn simple.</t>
  </si>
  <si>
    <t>AO</t>
  </si>
  <si>
    <t>LUUA</t>
  </si>
  <si>
    <t>LUUB</t>
  </si>
  <si>
    <t>unused</t>
  </si>
  <si>
    <t>not muxed out.</t>
  </si>
  <si>
    <t>Power Scaling Table (PVT dictated scaling is derived vs. Strong/0.88/125C models)</t>
  </si>
  <si>
    <t>vddr_lkg</t>
  </si>
  <si>
    <t>Power Summary</t>
  </si>
  <si>
    <t>ADC/DAC/CMPSS</t>
  </si>
  <si>
    <t>DDR PHY IO power only</t>
  </si>
  <si>
    <t>LFC/HFC/RCOSC</t>
  </si>
  <si>
    <t>DPHY, CPHY, 10G, 16G</t>
  </si>
  <si>
    <t>LVDS, SDIO</t>
  </si>
  <si>
    <t>POK/PGD/POR/POKSA etc.</t>
  </si>
  <si>
    <t>FRAC2/FRACF/SKEWC</t>
  </si>
  <si>
    <t>eFuse blocks</t>
  </si>
  <si>
    <t>LS/VDC</t>
  </si>
  <si>
    <t>ODC/Temp Diode etc.</t>
  </si>
  <si>
    <t>PCIe/USB/Hyperlink/GPMC</t>
  </si>
  <si>
    <t>CPSW</t>
  </si>
  <si>
    <t>Video encode/decode</t>
  </si>
  <si>
    <t>LVCMOS cell static power</t>
  </si>
  <si>
    <t>Power Domain Status (polls all subchips in a PD and determines if it can be turned off)</t>
  </si>
  <si>
    <t>SI</t>
  </si>
  <si>
    <t>Subchip routed mm2</t>
  </si>
  <si>
    <t>Subchip Type</t>
  </si>
  <si>
    <t>First_SoC</t>
  </si>
  <si>
    <t>Subchip SRAM Array Supply Leakage</t>
  </si>
  <si>
    <t>Subchip max dynamic power (tracker corner)</t>
  </si>
  <si>
    <t>vdd_dyn_max</t>
  </si>
  <si>
    <t>vdd_dyn_idle</t>
  </si>
  <si>
    <t>number of macros in subchip</t>
  </si>
  <si>
    <t>timing closure frequency</t>
  </si>
  <si>
    <t>freq_trk</t>
  </si>
  <si>
    <t>Scaling will show greater than 100% if leakage margining is added or if Temperature and Voltage conditions drive values abor 0.88V/125C.</t>
  </si>
  <si>
    <t>This table reports the status of the power domains for the use case.  The tool polls the subchips, and if all have 0% utilization, the PD is automatically turned off.</t>
  </si>
  <si>
    <t>mA</t>
  </si>
  <si>
    <t>ulvt16_pct</t>
  </si>
  <si>
    <t>ulvt20_pct</t>
  </si>
  <si>
    <t>lvt16_pct</t>
  </si>
  <si>
    <t>lvt20_pct</t>
  </si>
  <si>
    <t>svt16_pct</t>
  </si>
  <si>
    <t>svt20_pct</t>
  </si>
  <si>
    <t>Leakage</t>
  </si>
  <si>
    <t>Dynamic</t>
  </si>
  <si>
    <t>Slope Intercept Calculation (idle + util%*(max-idle)</t>
  </si>
  <si>
    <t>Cadence blocked the usage of ULVT in the 1600 version, and only used 16 ch leng.</t>
  </si>
  <si>
    <t>rough estimate - cadence did not give us final #s</t>
  </si>
  <si>
    <t>VDD_CORE_Voltage</t>
  </si>
  <si>
    <t>VDD_CORE_SRAM_Voltage</t>
  </si>
  <si>
    <t>VDDA</t>
  </si>
  <si>
    <t>VDDR</t>
  </si>
  <si>
    <t>VDDH</t>
  </si>
  <si>
    <t>pd</t>
  </si>
  <si>
    <t>vdd</t>
  </si>
  <si>
    <t>vdda</t>
  </si>
  <si>
    <t>vddh1</t>
  </si>
  <si>
    <t>vddh2</t>
  </si>
  <si>
    <t>scan_partition</t>
  </si>
  <si>
    <t>Power Domain Status</t>
  </si>
  <si>
    <t>GP_Core_Ctl</t>
  </si>
  <si>
    <t>LVCMOS pinmux pool output modes are not in the SoCDB.  They are assigned in the UC sheets.  Therefore, all power pin mapping is hard coded into these rows.</t>
  </si>
  <si>
    <t>VDDSHV3P3</t>
  </si>
  <si>
    <t>VDDSHV1P8</t>
  </si>
  <si>
    <t>VPP</t>
  </si>
  <si>
    <t>Supply Pin</t>
  </si>
  <si>
    <t>DDR IOs only.  Multiply the utilization by the average power of write and read.  Add the unutilized amount multiplied by the idle power.</t>
  </si>
  <si>
    <t>All core subchips use SI mode.  Add the idle power to the utilization multiplied by (max-idle).  If Power Domain is Off or freq is zero, zero it.</t>
  </si>
  <si>
    <t>Always On</t>
  </si>
  <si>
    <t>Always on, so the formula is a straight lookup.  Most of these cells are zero power or have a fixed leakage (no dynamic component).</t>
  </si>
  <si>
    <t>Calculation Label</t>
  </si>
  <si>
    <t>Subchip Vdd dynamic idle power as a percent of Vdd tracker dyn power.</t>
  </si>
  <si>
    <t>Subchip Vdd dynamic max power as a percent of Vdd tracker dyn power.</t>
  </si>
  <si>
    <t>vdd_dyn_trk</t>
  </si>
  <si>
    <t>Subchip Vdd dynamic power as provided by tracker (stdcell + SRAM perif 12.5% toggle)</t>
  </si>
  <si>
    <t>vdd_dyn_peak</t>
  </si>
  <si>
    <t>Subchip Vdd dynamic power peak as a % of tracker dyn power.  Max +20% for most, Joules value if simulated.</t>
  </si>
  <si>
    <t>Model Database (MDB)</t>
  </si>
  <si>
    <t>Glitch detector lists this as an analog supply, but it's mapped to core supply</t>
  </si>
  <si>
    <t>Drop Down Menus</t>
  </si>
  <si>
    <t>SoC is powered up but the DRAMs are in self refresh.  This is the lowest powered state for this PHY (since it does not have a power domain).</t>
  </si>
  <si>
    <t>Used for LVCMOS IO only.  These rows do not pull data from the SoCDB.  They pull only from the UC sheet.  Pull utilization.  Multiply looked up value for 100% utilization by the utilization.  No leakage is calculated, because leakage is associated with the cells, whereas the LVCMOS IO power is not associated with specific cells (it comes from the overall pinmux pool of cells).  So we calculate the cell specific power in the cell rows for the LVCMOS ring, and then these LVCMOS IO power rows calculate the pinmux pool total dynamic power (board Cload and cell dynamic power combined).</t>
  </si>
  <si>
    <t>Used for SDIO cells on the eMMC IOs.  The method is the same as for LVCMOS IOs, except they ARE associated with specific SDIO cells.  So leakage and dynamic power are calculated here.  These are the same power calculation formulas used in the LUUA rows, except the quantity is pulled from the SoCDB (vs. a formula that sets the qty to 1 if the term "absent" is not read in the mode column).</t>
  </si>
  <si>
    <t>On Device?</t>
  </si>
  <si>
    <t>If&gt;0, need to QC.</t>
  </si>
  <si>
    <t>The following table includes all known power pin names on all defined devices.  It checks all the power supply columns and reports total mW and mA.</t>
  </si>
  <si>
    <t>It is primarily used for PDN planning, but when you are doing that, please ensure that you are using a peak power use case.</t>
  </si>
  <si>
    <t>Detailed Power Supply Pin Report</t>
  </si>
  <si>
    <t>LVCMOS dynamic power (pinmux mode dependent)</t>
  </si>
  <si>
    <t>Blazer (M4F w/256KB)</t>
  </si>
  <si>
    <t>See LVCMOS estimation tool for parameters (Cload etc.)</t>
  </si>
  <si>
    <t>LPDDR4/DDR4 PHY (IO part)  used on AM64 and AM62.  Lower power and 1600 MTS max</t>
  </si>
  <si>
    <t>High speed divider used on all devices for generating clocks just outside subchips</t>
  </si>
  <si>
    <t>See LVCMOS estimation tool for parameters (Cload etc.).  DPI = Display Port &amp; is higher power.</t>
  </si>
  <si>
    <t>See LVCMOS estimation tool for parameters (Cload etc.).  eCAP is low power</t>
  </si>
  <si>
    <t>See LVCMOS estimation tool for parameters (Cload etc.).  ePWM is low power</t>
  </si>
  <si>
    <t>See LVCMOS estimation tool for parameters (Cload etc.).  eQEP is low power</t>
  </si>
  <si>
    <t>See LVCMOS estimation tool for parameters (Cload etc.).  Ethernet is a higher power peripheral</t>
  </si>
  <si>
    <t>See LVCMOS estimation tool for parameters (Cload etc.).  Models OSPI/QSPI only</t>
  </si>
  <si>
    <t>See LVCMOS estimation tool for parameters (Cload etc.).  Kind of impossible to accuraely model GPIO, since we don't know what they do by definition.</t>
  </si>
  <si>
    <t>See LVCMOS estimation tool for parameters (Cload etc.).  GPMC is a higher power LVCMOS peripheral</t>
  </si>
  <si>
    <t>See LVCMOS estimation tool for parameters (Cload etc.).  I2C is a very low power peripheral</t>
  </si>
  <si>
    <t>See LVCMOS estimation tool for parameters (Cload etc.).  I2C open drain goes up to 3.4 mts but is still very low power</t>
  </si>
  <si>
    <t>See LVCMOS estimation tool for parameters (Cload etc.).  ICSSM is medium power and has many modes</t>
  </si>
  <si>
    <t>See LVCMOS estimation tool for parameters (Cload etc.).  McASP is medium power since it can have many IOs at modest frequency.</t>
  </si>
  <si>
    <t>LVCMOS Open drain transceiver cell</t>
  </si>
  <si>
    <t>Passive cell used in IO ring construction (no power)</t>
  </si>
  <si>
    <t>LVCMOS GPIO IO input/output.  This is the workhorse IO we use everywhere for 3.3V/1.8V dual mode operation.</t>
  </si>
  <si>
    <t>SDIO IO buffer.  This is used to construct eMMC4 IOs or in Sitara, eMMC8 instead of the Arasan PHY.</t>
  </si>
  <si>
    <t>LVCMOS support cell for power distribution.  It's power is loaded into the SD cell for the group, but area is loaded on the cell.</t>
  </si>
  <si>
    <t>DPHY RX 4L PHY used primarily for CSI-RX.  It is also used for DSI RX on DLPC8430.</t>
  </si>
  <si>
    <t>USB2 PHY from Cadence.  Used with every USB2 or USB3 controller and usually grouped into the subchip with the controller.  For power reasons we split it out and subtract the PHY area from the subchip, since Voltus cannot model it's power.</t>
  </si>
  <si>
    <t>See LVCMOS estimation tool for parameters (Cload etc.).  SPI has the potential to be a medium powered IO if used at 40 mbs.</t>
  </si>
  <si>
    <t>eFuse cell - single block.  Mainly this is used to model area (the datasheet is a little sparse on power from the TSMC cell)</t>
  </si>
  <si>
    <t>On Die Process parameter from TSMC.  It's mainly here for area and IO calculation, since we won't use it in mission mode and it does not carry much leakage.</t>
  </si>
  <si>
    <t>See LVCMOS estimation tool for parameters (Cload etc.).  UARTs don't have a lot of IOs or high speed, so they are low power</t>
  </si>
  <si>
    <t>See LVCMOS estimation tool for parameters (Cload etc.).  One UART in Jacinto and Sitara is bonded out as a Modem type and has more IOs, but it's still low power.</t>
  </si>
  <si>
    <t>LUUAD</t>
  </si>
  <si>
    <t>See LVCMOS IO calculation tool for parameters used to calculate this mode power.  SDIO VDDS power estimation - bundle power converted into average power per bit - it requires a slightly different calculation row than most LVCMOS IO so we label this as type LUUB</t>
  </si>
  <si>
    <t>Note that we do not assigne a pinmux attribute to SDIO because it is tied to unique SDIO buffers (not part of the mux pool)</t>
  </si>
  <si>
    <t>LP/DDR4-16 PHY 1600 sub-chip - data pulled from tracker using the tag contained in the tag row</t>
  </si>
  <si>
    <t>A53 Quad Cluster 1.4 GHz 512KB AM62 sub-chip - data pulled from tracker using the tag contained in the tag row</t>
  </si>
  <si>
    <t>A53 CPU 1.4 GHz AM62 sub-chip - data pulled from tracker using the tag contained in the tag row</t>
  </si>
  <si>
    <t>AM62X Top sub-chip - data pulled from tracker using the tag contained in the tag row</t>
  </si>
  <si>
    <t>CPSW3x eAVB AM62 sub-chip - data pulled from tracker using the tag contained in the tag row</t>
  </si>
  <si>
    <t>CSI_RX sub-chip - data pulled from tracker using the tag contained in the tag row</t>
  </si>
  <si>
    <t>LP/DDR4-16 EMIF AM62 sub-chip - data pulled from tracker using the tag contained in the tag row</t>
  </si>
  <si>
    <t>Debug SS AM62 sub-chip - data pulled from tracker using the tag contained in the tag row</t>
  </si>
  <si>
    <t>Pulsar UL (DM) AM62 sub-chip - data pulled from tracker using the tag contained in the tag row</t>
  </si>
  <si>
    <t>DSS7UL AM62 sub-chip - data pulled from tracker using the tag contained in the tag row</t>
  </si>
  <si>
    <t>eFuse Controller AM62 sub-chip - data pulled from tracker using the tag contained in the tag row</t>
  </si>
  <si>
    <t>EMMC 4 AM62 sub-chip - data pulled from tracker using the tag contained in the tag row</t>
  </si>
  <si>
    <t>EMMC 8 AM62 sub-chip - data pulled from tracker using the tag contained in the tag row</t>
  </si>
  <si>
    <t>GPMC_ELM AM62 sub-chip - data pulled from tracker using the tag contained in the tag row</t>
  </si>
  <si>
    <t>ICSSM sub-chip - data pulled from tracker using the tag contained in the tag row</t>
  </si>
  <si>
    <t>GPU AXE1-16C sub-chip - data pulled from tracker using the tag contained in the tag row</t>
  </si>
  <si>
    <t>Blazer (M4F w/256KB) sub-chip - data pulled from tracker using the tag contained in the tag row</t>
  </si>
  <si>
    <t>Main_infra AM62 sub-chip - data pulled from tracker using the tag contained in the tag row</t>
  </si>
  <si>
    <t>Main_IP AM62 sub-chip - data pulled from tracker using the tag contained in the tag row</t>
  </si>
  <si>
    <t>MCASP AM62 sub-chip - data pulled from tracker using the tag contained in the tag row</t>
  </si>
  <si>
    <t>MCU_INFRA_WAKEUP AM62 sub-chip - data pulled from tracker using the tag contained in the tag row</t>
  </si>
  <si>
    <t>MCUSS AM62 sub-chip - data pulled from tracker using the tag contained in the tag row</t>
  </si>
  <si>
    <t>ODP Controller AM62 sub-chip - data pulled from tracker using the tag contained in the tag row</t>
  </si>
  <si>
    <t>PLL Controller AM62 sub-chip - data pulled from tracker using the tag contained in the tag row</t>
  </si>
  <si>
    <t>HSM AM62 sub-chip - data pulled from tracker using the tag contained in the tag row</t>
  </si>
  <si>
    <t>USB2 Controller sub-chip - data pulled from tracker using the tag contained in the tag row</t>
  </si>
  <si>
    <t>Long name to check for match with SoCDB</t>
  </si>
  <si>
    <t>Backplane hard IP - most was first used on J7ES, but a few were added later.</t>
  </si>
  <si>
    <t>Target Power =</t>
  </si>
  <si>
    <t>Previous Value</t>
  </si>
  <si>
    <t>Date when initial MDB was loaded</t>
  </si>
  <si>
    <t>Enter UC Name</t>
  </si>
  <si>
    <t>8mbs_1p8v</t>
  </si>
  <si>
    <t>8mbs_3p3v</t>
  </si>
  <si>
    <t>1mbs_8p8v</t>
  </si>
  <si>
    <t>type</t>
  </si>
  <si>
    <t>function</t>
  </si>
  <si>
    <t>qty</t>
  </si>
  <si>
    <t>description</t>
  </si>
  <si>
    <t>uc_source</t>
  </si>
  <si>
    <t>_port_0</t>
  </si>
  <si>
    <t>_port_1</t>
  </si>
  <si>
    <t>sam62_pg10_20211102</t>
  </si>
  <si>
    <t>Final PG1 top cell stats sent by Yusuf on 11/4/21 (PG metal release date)</t>
  </si>
  <si>
    <t>most nets will be vbus at top - and that 250 mhz for wide busses</t>
  </si>
  <si>
    <t>top level cts, hold buffers, and repeaters for AM62 PG1</t>
  </si>
  <si>
    <t>Rows below this line are for tool parameters such as the drop down menu options.</t>
  </si>
  <si>
    <t>Qced PG 1.0 release of full statistics and power tool for AM62.  Contains PG1 data.  MDB trimmed to just the records needed for AM62.  Qced against master for all Ucs.</t>
  </si>
  <si>
    <t>AM62 Power and Area Tool</t>
  </si>
  <si>
    <t>&lt;-Select Use case with Drop Down menu</t>
  </si>
  <si>
    <t>AM62 Power Estimation Tool</t>
  </si>
  <si>
    <t xml:space="preserve">Key: </t>
  </si>
  <si>
    <t>Modifiable fields</t>
  </si>
  <si>
    <t>Static Fields</t>
  </si>
  <si>
    <t>Calculated Power Outputs</t>
  </si>
  <si>
    <t>Operating Performance Point (OPP)</t>
  </si>
  <si>
    <t>Processor Core Utilization (%)</t>
  </si>
  <si>
    <t>MPU A530/1/2/3 Frequency (MHz)</t>
  </si>
  <si>
    <t>MPU-A530</t>
  </si>
  <si>
    <t>GPU Frequency (MHz)</t>
  </si>
  <si>
    <t>MPU-A531</t>
  </si>
  <si>
    <t>MCU M4F Frequency (MHz)</t>
  </si>
  <si>
    <t>MPU-A532</t>
  </si>
  <si>
    <t>PRU-SS Frequency (MHz)</t>
  </si>
  <si>
    <t>MPU-A533</t>
  </si>
  <si>
    <t>HSM Frequency (MHz)</t>
  </si>
  <si>
    <t>MCU-M4F</t>
  </si>
  <si>
    <t>PRU-SS</t>
  </si>
  <si>
    <t>HSM</t>
  </si>
  <si>
    <t>Security Accelerator</t>
  </si>
  <si>
    <t>Mode</t>
  </si>
  <si>
    <t>IO Utilization (%)</t>
  </si>
  <si>
    <t>Peripherals</t>
  </si>
  <si>
    <t>Utilization (%)</t>
  </si>
  <si>
    <t>MCU UART</t>
  </si>
  <si>
    <t>DDR Type/Rate</t>
  </si>
  <si>
    <t>Note: If sleep or retension modes selected, Utilization field is ignored and interpreted 0%</t>
  </si>
  <si>
    <t>DDR WR %</t>
  </si>
  <si>
    <t>-</t>
  </si>
  <si>
    <t>USB2 Port 0</t>
  </si>
  <si>
    <t>Note: If Off, utilization field is ignored and interpreted as 0%</t>
  </si>
  <si>
    <t>USB2 Port 1</t>
  </si>
  <si>
    <t>OSPI</t>
  </si>
  <si>
    <t>MMC/SD0 (8b)</t>
  </si>
  <si>
    <t>MMC/SD1 (4b)</t>
  </si>
  <si>
    <t>VOUT</t>
  </si>
  <si>
    <t>MMC/SD2 (4b)</t>
  </si>
  <si>
    <t>Ethernet (CPSW) Port 0</t>
  </si>
  <si>
    <t>OLDI</t>
  </si>
  <si>
    <t>Ethernet (CPSW) Port 1</t>
  </si>
  <si>
    <t>CSI</t>
  </si>
  <si>
    <t>McASP0</t>
  </si>
  <si>
    <t>Estimated Power</t>
  </si>
  <si>
    <t>General</t>
  </si>
  <si>
    <t>Power Supply</t>
  </si>
  <si>
    <t>Voltage (V)</t>
  </si>
  <si>
    <r>
      <t>Junction Temperature (</t>
    </r>
    <r>
      <rPr>
        <sz val="11"/>
        <color theme="1"/>
        <rFont val="Calibri"/>
        <family val="2"/>
      </rPr>
      <t>°C)</t>
    </r>
  </si>
  <si>
    <t>Power Estimation Mode</t>
  </si>
  <si>
    <t>Max</t>
  </si>
  <si>
    <t>VDDAR_CORE</t>
  </si>
  <si>
    <t>Note: only core subchips have 0p85 VDDAR_CORE scaling</t>
  </si>
  <si>
    <t>Auto Clock Gating</t>
  </si>
  <si>
    <t>VDDA_1V8</t>
  </si>
  <si>
    <t>SOC_DVDD1V8</t>
  </si>
  <si>
    <t>SOC_DVDD3V3</t>
  </si>
  <si>
    <t xml:space="preserve">Total </t>
  </si>
  <si>
    <t>Public PET UC</t>
  </si>
  <si>
    <t>C Callaghan</t>
  </si>
  <si>
    <t>New use case submitted 2 Dec 2021.  C. Callaghan</t>
  </si>
  <si>
    <t xml:space="preserve">R5F </t>
  </si>
  <si>
    <t>R5F  Frequency (MHz)</t>
  </si>
  <si>
    <t>should be ethernet_port_modes?</t>
  </si>
  <si>
    <t>should be "=emmc4_modes"?</t>
  </si>
  <si>
    <t>vdd_core_modes</t>
  </si>
  <si>
    <t>MCU SPI_0</t>
  </si>
  <si>
    <t>g</t>
  </si>
  <si>
    <t>McASP1</t>
  </si>
  <si>
    <t>WKUP UART</t>
  </si>
  <si>
    <t>MAIN UART</t>
  </si>
  <si>
    <t>Slush</t>
  </si>
  <si>
    <t>&lt;-multiplier</t>
  </si>
  <si>
    <t>3.6.3</t>
  </si>
  <si>
    <t>Added slush factor in the Power Summary sheet, starting at G58, to help with the bench correlation effort in lieu of the short time we have before the early PET release to select customers
Also adjusted the leakage_margin on the Control Panel, at B9, from 75% down to 20%. It is unclear how this was set to 75% at any point.</t>
  </si>
  <si>
    <t>Power (mW)</t>
  </si>
  <si>
    <t>MAIN SPI_0</t>
  </si>
  <si>
    <t>MAIN SPI_1</t>
  </si>
  <si>
    <t>Current at 0.75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</si>
</sst>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0.00_);_(* \(#,##0.00\);_(* &quot;-&quot;??_);_(@_)"/>
    <numFmt numFmtId="165" formatCode="0.0"/>
    <numFmt numFmtId="166" formatCode="0.000"/>
    <numFmt numFmtId="167" formatCode="##%;[Red]##%;\-;"/>
    <numFmt numFmtId="168" formatCode="m/d/yy;@"/>
    <numFmt numFmtId="169" formatCode="##;[Red]##%;\-;"/>
    <numFmt numFmtId="170" formatCode="[$-409]d\-mmm\-yy;@"/>
    <numFmt numFmtId="171" formatCode="0%;\(0%\);\-"/>
    <numFmt numFmtId="172" formatCode="0.0;\(0.0\);\-"/>
    <numFmt numFmtId="173" formatCode="0.00;\(0.00\);\-"/>
    <numFmt numFmtId="174" formatCode="0;\(0\);\-"/>
    <numFmt numFmtId="175" formatCode="&quot;$&quot;0.00;\-&quot;$&quot;0.00;\-"/>
    <numFmt numFmtId="176" formatCode="0.0%"/>
  </numFmts>
  <fonts count="4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color indexed="81"/>
      <name val="Tahoma"/>
      <family val="2"/>
    </font>
    <font>
      <b/>
      <sz val="9"/>
      <color indexed="81"/>
      <name val="Tahoma"/>
      <family val="2"/>
    </font>
    <font>
      <sz val="10"/>
      <color theme="1"/>
      <name val="Calibri"/>
      <family val="2"/>
      <scheme val="minor"/>
    </font>
    <font>
      <sz val="10"/>
      <color theme="0"/>
      <name val="Calibri"/>
      <family val="2"/>
      <scheme val="minor"/>
    </font>
    <font>
      <sz val="10"/>
      <name val="Calibri"/>
      <family val="2"/>
      <scheme val="minor"/>
    </font>
    <font>
      <sz val="10"/>
      <color theme="0"/>
      <name val="Calibri"/>
      <family val="2"/>
    </font>
    <font>
      <sz val="9"/>
      <name val="Calibri"/>
      <family val="2"/>
      <scheme val="minor"/>
    </font>
    <font>
      <sz val="9"/>
      <color theme="0"/>
      <name val="Calibri"/>
      <family val="2"/>
      <scheme val="minor"/>
    </font>
    <font>
      <sz val="9"/>
      <color theme="1"/>
      <name val="Calibri"/>
      <family val="2"/>
      <scheme val="minor"/>
    </font>
    <font>
      <b/>
      <sz val="9"/>
      <color rgb="FFFF0000"/>
      <name val="Calibri"/>
      <family val="2"/>
      <scheme val="minor"/>
    </font>
    <font>
      <b/>
      <sz val="9"/>
      <color theme="3"/>
      <name val="Calibri"/>
      <family val="2"/>
      <scheme val="minor"/>
    </font>
    <font>
      <sz val="8"/>
      <color theme="1"/>
      <name val="Calibri"/>
      <family val="2"/>
      <scheme val="minor"/>
    </font>
    <font>
      <b/>
      <sz val="10"/>
      <color theme="1"/>
      <name val="Calibri"/>
      <family val="2"/>
      <scheme val="minor"/>
    </font>
    <font>
      <b/>
      <sz val="10"/>
      <color theme="0"/>
      <name val="Calibri"/>
      <family val="2"/>
      <scheme val="minor"/>
    </font>
    <font>
      <b/>
      <sz val="12"/>
      <color theme="0"/>
      <name val="Calibri"/>
      <family val="2"/>
      <scheme val="minor"/>
    </font>
    <font>
      <sz val="8"/>
      <color theme="1"/>
      <name val="Calibri"/>
      <family val="2"/>
    </font>
    <font>
      <sz val="8"/>
      <color rgb="FF3F3F76"/>
      <name val="Calibri"/>
      <family val="2"/>
      <scheme val="minor"/>
    </font>
    <font>
      <i/>
      <sz val="8"/>
      <color theme="1"/>
      <name val="Calibri"/>
      <family val="2"/>
      <scheme val="minor"/>
    </font>
    <font>
      <i/>
      <sz val="11"/>
      <color theme="1"/>
      <name val="Calibri"/>
      <family val="2"/>
      <scheme val="minor"/>
    </font>
    <font>
      <b/>
      <sz val="11"/>
      <color rgb="FFFF0000"/>
      <name val="Calibri"/>
      <family val="2"/>
      <scheme val="minor"/>
    </font>
    <font>
      <b/>
      <sz val="8"/>
      <color theme="0"/>
      <name val="Calibri"/>
      <family val="2"/>
      <scheme val="minor"/>
    </font>
    <font>
      <b/>
      <i/>
      <sz val="8"/>
      <color theme="0"/>
      <name val="Calibri"/>
      <family val="2"/>
      <scheme val="minor"/>
    </font>
    <font>
      <b/>
      <u/>
      <sz val="10"/>
      <color theme="0"/>
      <name val="Calibri"/>
      <family val="2"/>
      <scheme val="minor"/>
    </font>
    <font>
      <b/>
      <sz val="9"/>
      <color theme="1"/>
      <name val="Calibri"/>
      <family val="2"/>
      <scheme val="minor"/>
    </font>
    <font>
      <b/>
      <sz val="11"/>
      <color rgb="FF3F3F76"/>
      <name val="Calibri"/>
      <family val="2"/>
      <scheme val="minor"/>
    </font>
    <font>
      <sz val="11"/>
      <color theme="1"/>
      <name val="Calibri"/>
      <family val="2"/>
    </font>
    <font>
      <sz val="11"/>
      <name val="Calibri"/>
      <family val="2"/>
      <scheme val="minor"/>
    </font>
  </fonts>
  <fills count="5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1"/>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5" tint="0.79998168889431442"/>
        <bgColor indexed="64"/>
      </patternFill>
    </fill>
    <fill>
      <patternFill patternType="solid">
        <fgColor theme="3" tint="0.39997558519241921"/>
        <bgColor indexed="64"/>
      </patternFill>
    </fill>
    <fill>
      <patternFill patternType="solid">
        <fgColor theme="4"/>
        <bgColor indexed="64"/>
      </patternFill>
    </fill>
    <fill>
      <patternFill patternType="solid">
        <fgColor rgb="FFFFFFCC"/>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5" tint="-0.249977111117893"/>
        <bgColor indexed="64"/>
      </patternFill>
    </fill>
    <fill>
      <patternFill patternType="solid">
        <fgColor theme="3"/>
        <bgColor indexed="64"/>
      </patternFill>
    </fill>
    <fill>
      <patternFill patternType="solid">
        <fgColor theme="3" tint="0.79998168889431442"/>
        <bgColor indexed="64"/>
      </patternFill>
    </fill>
    <fill>
      <patternFill patternType="lightDown">
        <fgColor theme="1"/>
      </patternFill>
    </fill>
    <fill>
      <patternFill patternType="solid">
        <fgColor theme="3" tint="0.59999389629810485"/>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2"/>
        <bgColor indexed="64"/>
      </patternFill>
    </fill>
    <fill>
      <patternFill patternType="solid">
        <fgColor rgb="FFFFFF00"/>
        <bgColor indexed="64"/>
      </patternFill>
    </fill>
    <fill>
      <patternFill patternType="solid">
        <fgColor rgb="FF0099FF"/>
        <bgColor indexed="64"/>
      </patternFill>
    </fill>
    <fill>
      <patternFill patternType="solid">
        <fgColor theme="0"/>
        <bgColor indexed="64"/>
      </patternFill>
    </fill>
    <fill>
      <patternFill patternType="solid">
        <fgColor rgb="FF00B0F0"/>
        <bgColor indexed="64"/>
      </patternFill>
    </fill>
  </fills>
  <borders count="3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medium">
        <color auto="1"/>
      </left>
      <right/>
      <top/>
      <bottom/>
      <diagonal/>
    </border>
    <border>
      <left style="thin">
        <color indexed="64"/>
      </left>
      <right/>
      <top style="thin">
        <color auto="1"/>
      </top>
      <bottom style="thin">
        <color auto="1"/>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theme="4" tint="0.39997558519241921"/>
      </bottom>
      <diagonal/>
    </border>
    <border>
      <left style="thin">
        <color indexed="64"/>
      </left>
      <right/>
      <top/>
      <bottom style="thin">
        <color theme="4" tint="0.39997558519241921"/>
      </bottom>
      <diagonal/>
    </border>
    <border>
      <left/>
      <right/>
      <top style="thin">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59">
    <xf numFmtId="0" fontId="0" fillId="0" borderId="0"/>
    <xf numFmtId="170" fontId="2" fillId="0" borderId="0" applyNumberFormat="0" applyFill="0" applyBorder="0" applyAlignment="0" applyProtection="0"/>
    <xf numFmtId="170" fontId="3" fillId="0" borderId="1" applyNumberFormat="0" applyFill="0" applyAlignment="0" applyProtection="0"/>
    <xf numFmtId="170" fontId="4" fillId="0" borderId="2" applyNumberFormat="0" applyFill="0" applyAlignment="0" applyProtection="0"/>
    <xf numFmtId="170" fontId="5" fillId="0" borderId="3" applyNumberFormat="0" applyFill="0" applyAlignment="0" applyProtection="0"/>
    <xf numFmtId="170" fontId="5" fillId="0" borderId="0" applyNumberFormat="0" applyFill="0" applyBorder="0" applyAlignment="0" applyProtection="0"/>
    <xf numFmtId="170" fontId="6" fillId="2" borderId="0" applyNumberFormat="0" applyBorder="0" applyAlignment="0" applyProtection="0"/>
    <xf numFmtId="170" fontId="7" fillId="3" borderId="0" applyNumberFormat="0" applyBorder="0" applyAlignment="0" applyProtection="0"/>
    <xf numFmtId="170" fontId="8" fillId="4" borderId="0" applyNumberFormat="0" applyBorder="0" applyAlignment="0" applyProtection="0"/>
    <xf numFmtId="170" fontId="33" fillId="5" borderId="4" applyNumberFormat="0" applyProtection="0"/>
    <xf numFmtId="170" fontId="9" fillId="6" borderId="5" applyNumberFormat="0" applyAlignment="0" applyProtection="0"/>
    <xf numFmtId="170" fontId="10" fillId="6" borderId="4" applyNumberFormat="0" applyAlignment="0" applyProtection="0"/>
    <xf numFmtId="170" fontId="11" fillId="0" borderId="6" applyNumberFormat="0" applyFill="0" applyAlignment="0" applyProtection="0"/>
    <xf numFmtId="170" fontId="12" fillId="7" borderId="7" applyNumberFormat="0" applyAlignment="0" applyProtection="0"/>
    <xf numFmtId="170" fontId="13" fillId="0" borderId="0" applyNumberFormat="0" applyFill="0" applyBorder="0" applyAlignment="0" applyProtection="0"/>
    <xf numFmtId="170" fontId="1" fillId="8" borderId="8" applyNumberFormat="0" applyFont="0" applyAlignment="0" applyProtection="0"/>
    <xf numFmtId="170" fontId="14" fillId="0" borderId="0" applyNumberFormat="0" applyFill="0" applyBorder="0" applyAlignment="0" applyProtection="0"/>
    <xf numFmtId="170" fontId="15" fillId="0" borderId="9" applyNumberFormat="0" applyFill="0" applyAlignment="0" applyProtection="0"/>
    <xf numFmtId="170" fontId="16" fillId="9" borderId="0" applyNumberFormat="0" applyBorder="0" applyAlignment="0" applyProtection="0"/>
    <xf numFmtId="170" fontId="1" fillId="10" borderId="0" applyNumberFormat="0" applyBorder="0" applyAlignment="0" applyProtection="0"/>
    <xf numFmtId="170" fontId="1" fillId="11" borderId="0" applyNumberFormat="0" applyBorder="0" applyAlignment="0" applyProtection="0"/>
    <xf numFmtId="170" fontId="16" fillId="12" borderId="0" applyNumberFormat="0" applyBorder="0" applyAlignment="0" applyProtection="0"/>
    <xf numFmtId="170" fontId="16" fillId="13" borderId="0" applyNumberFormat="0" applyBorder="0" applyAlignment="0" applyProtection="0"/>
    <xf numFmtId="170" fontId="1" fillId="14" borderId="0" applyNumberFormat="0" applyBorder="0" applyAlignment="0" applyProtection="0"/>
    <xf numFmtId="170" fontId="1" fillId="15" borderId="0" applyNumberFormat="0" applyBorder="0" applyAlignment="0" applyProtection="0"/>
    <xf numFmtId="170" fontId="16" fillId="16" borderId="0" applyNumberFormat="0" applyBorder="0" applyAlignment="0" applyProtection="0"/>
    <xf numFmtId="170" fontId="16" fillId="17" borderId="0" applyNumberFormat="0" applyBorder="0" applyAlignment="0" applyProtection="0"/>
    <xf numFmtId="170" fontId="1" fillId="18" borderId="0" applyNumberFormat="0" applyBorder="0" applyAlignment="0" applyProtection="0"/>
    <xf numFmtId="170" fontId="1" fillId="19" borderId="0" applyNumberFormat="0" applyBorder="0" applyAlignment="0" applyProtection="0"/>
    <xf numFmtId="170" fontId="16" fillId="20" borderId="0" applyNumberFormat="0" applyBorder="0" applyAlignment="0" applyProtection="0"/>
    <xf numFmtId="170" fontId="16" fillId="21" borderId="0" applyNumberFormat="0" applyBorder="0" applyAlignment="0" applyProtection="0"/>
    <xf numFmtId="170" fontId="1" fillId="22" borderId="0" applyNumberFormat="0" applyBorder="0" applyAlignment="0" applyProtection="0"/>
    <xf numFmtId="170" fontId="1" fillId="23" borderId="0" applyNumberFormat="0" applyBorder="0" applyAlignment="0" applyProtection="0"/>
    <xf numFmtId="170" fontId="16" fillId="24" borderId="0" applyNumberFormat="0" applyBorder="0" applyAlignment="0" applyProtection="0"/>
    <xf numFmtId="170" fontId="16" fillId="25" borderId="0" applyNumberFormat="0" applyBorder="0" applyAlignment="0" applyProtection="0"/>
    <xf numFmtId="170" fontId="1" fillId="26" borderId="0" applyNumberFormat="0" applyBorder="0" applyAlignment="0" applyProtection="0"/>
    <xf numFmtId="170" fontId="1" fillId="27" borderId="0" applyNumberFormat="0" applyBorder="0" applyAlignment="0" applyProtection="0"/>
    <xf numFmtId="170" fontId="16" fillId="28" borderId="0" applyNumberFormat="0" applyBorder="0" applyAlignment="0" applyProtection="0"/>
    <xf numFmtId="170" fontId="16" fillId="29" borderId="0" applyNumberFormat="0" applyBorder="0" applyAlignment="0" applyProtection="0"/>
    <xf numFmtId="170" fontId="1" fillId="30" borderId="0" applyNumberFormat="0" applyBorder="0" applyAlignment="0" applyProtection="0"/>
    <xf numFmtId="170" fontId="1" fillId="31" borderId="0" applyNumberFormat="0" applyBorder="0" applyAlignment="0" applyProtection="0"/>
    <xf numFmtId="170" fontId="16" fillId="32" borderId="0" applyNumberFormat="0" applyBorder="0" applyAlignment="0" applyProtection="0"/>
    <xf numFmtId="164" fontId="1" fillId="0" borderId="0" applyFont="0" applyFill="0" applyBorder="0" applyAlignment="0" applyProtection="0"/>
    <xf numFmtId="9" fontId="1" fillId="0" borderId="0" applyFont="0" applyFill="0" applyBorder="0" applyAlignment="0" applyProtection="0"/>
    <xf numFmtId="174" fontId="28" fillId="0" borderId="10">
      <alignment horizontal="center" vertical="center"/>
    </xf>
    <xf numFmtId="167" fontId="28" fillId="0" borderId="15">
      <alignment horizontal="center"/>
    </xf>
    <xf numFmtId="170" fontId="22" fillId="9" borderId="0" applyNumberFormat="0" applyBorder="0" applyAlignment="0" applyProtection="0"/>
    <xf numFmtId="172" fontId="28" fillId="0" borderId="10">
      <alignment horizontal="center" vertical="center"/>
    </xf>
    <xf numFmtId="173" fontId="28" fillId="0" borderId="10">
      <alignment horizontal="center" vertical="center"/>
    </xf>
    <xf numFmtId="0" fontId="28" fillId="0" borderId="10"/>
    <xf numFmtId="170" fontId="16" fillId="12" borderId="0" applyNumberFormat="0" applyBorder="0" applyAlignment="0" applyProtection="0"/>
    <xf numFmtId="170" fontId="32" fillId="8" borderId="8" applyNumberFormat="0" applyAlignment="0" applyProtection="0"/>
    <xf numFmtId="171" fontId="28" fillId="0" borderId="10">
      <alignment horizontal="center" vertical="center"/>
    </xf>
    <xf numFmtId="167" fontId="28" fillId="8" borderId="15">
      <alignment horizontal="center"/>
    </xf>
    <xf numFmtId="168" fontId="28" fillId="0" borderId="10">
      <alignment horizontal="center" vertical="center"/>
    </xf>
    <xf numFmtId="0" fontId="6" fillId="2" borderId="0" applyNumberFormat="0" applyBorder="0" applyAlignment="0" applyProtection="0"/>
    <xf numFmtId="0" fontId="16" fillId="21" borderId="0" applyNumberFormat="0" applyBorder="0" applyAlignment="0" applyProtection="0"/>
    <xf numFmtId="0" fontId="16" fillId="13" borderId="0" applyNumberFormat="0" applyBorder="0" applyAlignment="0" applyProtection="0"/>
    <xf numFmtId="175" fontId="28" fillId="0" borderId="10">
      <alignment horizontal="center" vertical="center"/>
    </xf>
  </cellStyleXfs>
  <cellXfs count="191">
    <xf numFmtId="0" fontId="0" fillId="0" borderId="0" xfId="0"/>
    <xf numFmtId="173" fontId="28" fillId="0" borderId="10" xfId="48">
      <alignment horizontal="center" vertical="center"/>
    </xf>
    <xf numFmtId="0" fontId="28" fillId="0" borderId="10" xfId="49"/>
    <xf numFmtId="0" fontId="19" fillId="0" borderId="0" xfId="0" applyFont="1"/>
    <xf numFmtId="0" fontId="15" fillId="0" borderId="0" xfId="0" applyFont="1"/>
    <xf numFmtId="0" fontId="19" fillId="0" borderId="10" xfId="0" applyFont="1" applyBorder="1"/>
    <xf numFmtId="0" fontId="16" fillId="33" borderId="0" xfId="0" applyFont="1" applyFill="1"/>
    <xf numFmtId="0" fontId="0" fillId="0" borderId="0" xfId="0" applyAlignment="1">
      <alignment horizontal="left" wrapText="1"/>
    </xf>
    <xf numFmtId="0" fontId="16" fillId="33" borderId="0" xfId="0" applyFont="1" applyFill="1" applyAlignment="1">
      <alignment horizontal="left" wrapText="1"/>
    </xf>
    <xf numFmtId="9" fontId="25" fillId="0" borderId="10" xfId="43" applyFont="1" applyBorder="1" applyAlignment="1">
      <alignment horizontal="center" vertical="center"/>
    </xf>
    <xf numFmtId="14" fontId="25" fillId="0" borderId="12" xfId="0" applyNumberFormat="1" applyFont="1" applyBorder="1" applyAlignment="1">
      <alignment horizontal="center"/>
    </xf>
    <xf numFmtId="0" fontId="25" fillId="0" borderId="0" xfId="0" applyFont="1"/>
    <xf numFmtId="0" fontId="24" fillId="33" borderId="10" xfId="0" applyFont="1" applyFill="1" applyBorder="1"/>
    <xf numFmtId="0" fontId="25" fillId="0" borderId="10" xfId="0" applyFont="1" applyBorder="1"/>
    <xf numFmtId="0" fontId="25" fillId="0" borderId="0" xfId="0" applyFont="1" applyAlignment="1">
      <alignment horizontal="center"/>
    </xf>
    <xf numFmtId="0" fontId="3" fillId="0" borderId="1" xfId="2" applyNumberFormat="1" applyAlignment="1">
      <alignment horizontal="left"/>
    </xf>
    <xf numFmtId="0" fontId="27" fillId="0" borderId="1" xfId="2" applyNumberFormat="1" applyFont="1"/>
    <xf numFmtId="0" fontId="24" fillId="33" borderId="13" xfId="22" applyNumberFormat="1" applyFont="1" applyFill="1" applyBorder="1" applyAlignment="1">
      <alignment horizontal="left"/>
    </xf>
    <xf numFmtId="0" fontId="25" fillId="0" borderId="14" xfId="0" applyFont="1" applyBorder="1" applyAlignment="1">
      <alignment horizontal="left" vertical="top"/>
    </xf>
    <xf numFmtId="0" fontId="25" fillId="0" borderId="0" xfId="0" applyFont="1" applyAlignment="1">
      <alignment horizontal="left"/>
    </xf>
    <xf numFmtId="0" fontId="24" fillId="33" borderId="10" xfId="0" applyFont="1" applyFill="1" applyBorder="1" applyAlignment="1">
      <alignment horizontal="center" vertical="center"/>
    </xf>
    <xf numFmtId="0" fontId="24" fillId="33" borderId="10" xfId="0" applyFont="1" applyFill="1" applyBorder="1" applyAlignment="1">
      <alignment horizontal="left" vertical="center"/>
    </xf>
    <xf numFmtId="0" fontId="25" fillId="0" borderId="10" xfId="0" applyFont="1" applyBorder="1" applyAlignment="1">
      <alignment horizontal="center"/>
    </xf>
    <xf numFmtId="165" fontId="25" fillId="0" borderId="0" xfId="0" applyNumberFormat="1" applyFont="1"/>
    <xf numFmtId="0" fontId="25" fillId="0" borderId="21" xfId="0" applyFont="1" applyBorder="1" applyAlignment="1">
      <alignment horizontal="left" vertical="center"/>
    </xf>
    <xf numFmtId="0" fontId="25" fillId="0" borderId="21" xfId="0" applyFont="1" applyBorder="1" applyAlignment="1">
      <alignment horizontal="left"/>
    </xf>
    <xf numFmtId="0" fontId="4" fillId="0" borderId="2" xfId="3" applyNumberFormat="1"/>
    <xf numFmtId="0" fontId="28" fillId="0" borderId="0" xfId="0" applyFont="1"/>
    <xf numFmtId="0" fontId="0" fillId="0" borderId="0" xfId="0" quotePrefix="1"/>
    <xf numFmtId="166" fontId="0" fillId="0" borderId="0" xfId="0" applyNumberFormat="1"/>
    <xf numFmtId="2" fontId="0" fillId="0" borderId="0" xfId="0" applyNumberFormat="1"/>
    <xf numFmtId="0" fontId="15" fillId="40" borderId="0" xfId="0" applyFont="1" applyFill="1"/>
    <xf numFmtId="0" fontId="0" fillId="39" borderId="10" xfId="0" applyFill="1" applyBorder="1"/>
    <xf numFmtId="0" fontId="20" fillId="33" borderId="10" xfId="0" applyFont="1" applyFill="1" applyBorder="1"/>
    <xf numFmtId="0" fontId="20" fillId="33" borderId="10" xfId="49" applyFont="1" applyFill="1"/>
    <xf numFmtId="0" fontId="19" fillId="42" borderId="10" xfId="0" applyFont="1" applyFill="1" applyBorder="1"/>
    <xf numFmtId="0" fontId="0" fillId="0" borderId="0" xfId="0" applyAlignment="1">
      <alignment horizontal="left" indent="1"/>
    </xf>
    <xf numFmtId="0" fontId="31" fillId="38" borderId="0" xfId="0" applyFont="1" applyFill="1"/>
    <xf numFmtId="0" fontId="31" fillId="38" borderId="0" xfId="0" applyFont="1" applyFill="1" applyAlignment="1">
      <alignment horizontal="center"/>
    </xf>
    <xf numFmtId="9" fontId="0" fillId="0" borderId="0" xfId="43" applyFont="1" applyAlignment="1">
      <alignment horizontal="center"/>
    </xf>
    <xf numFmtId="0" fontId="31" fillId="38" borderId="11" xfId="0" applyFont="1" applyFill="1" applyBorder="1" applyAlignment="1">
      <alignment horizontal="center"/>
    </xf>
    <xf numFmtId="0" fontId="15" fillId="42" borderId="22" xfId="0" applyFont="1" applyFill="1" applyBorder="1" applyAlignment="1">
      <alignment horizontal="left"/>
    </xf>
    <xf numFmtId="9" fontId="15" fillId="42" borderId="22" xfId="43" applyFont="1" applyFill="1" applyBorder="1" applyAlignment="1">
      <alignment horizontal="center"/>
    </xf>
    <xf numFmtId="0" fontId="35" fillId="0" borderId="0" xfId="0" applyFont="1" applyAlignment="1">
      <alignment horizontal="left" indent="1"/>
    </xf>
    <xf numFmtId="169" fontId="15" fillId="42" borderId="23" xfId="42" applyNumberFormat="1" applyFont="1" applyFill="1" applyBorder="1" applyAlignment="1">
      <alignment horizontal="center"/>
    </xf>
    <xf numFmtId="169" fontId="0" fillId="0" borderId="11" xfId="42" applyNumberFormat="1" applyFont="1" applyBorder="1" applyAlignment="1">
      <alignment horizontal="center"/>
    </xf>
    <xf numFmtId="169" fontId="31" fillId="38" borderId="0" xfId="42" applyNumberFormat="1" applyFont="1" applyFill="1" applyAlignment="1">
      <alignment horizontal="center"/>
    </xf>
    <xf numFmtId="9" fontId="15" fillId="42" borderId="0" xfId="43" applyFont="1" applyFill="1" applyBorder="1" applyAlignment="1">
      <alignment horizontal="center"/>
    </xf>
    <xf numFmtId="0" fontId="31" fillId="38" borderId="11" xfId="0" applyFont="1" applyFill="1" applyBorder="1" applyAlignment="1">
      <alignment horizontal="left"/>
    </xf>
    <xf numFmtId="0" fontId="0" fillId="39" borderId="10" xfId="0" applyFill="1" applyBorder="1" applyAlignment="1">
      <alignment horizontal="left"/>
    </xf>
    <xf numFmtId="0" fontId="0" fillId="39" borderId="0" xfId="0" applyFill="1" applyAlignment="1">
      <alignment horizontal="left"/>
    </xf>
    <xf numFmtId="0" fontId="28" fillId="0" borderId="20" xfId="49" applyBorder="1"/>
    <xf numFmtId="171" fontId="28" fillId="0" borderId="16" xfId="52" applyBorder="1">
      <alignment horizontal="center" vertical="center"/>
    </xf>
    <xf numFmtId="0" fontId="28" fillId="0" borderId="17" xfId="52" applyNumberFormat="1" applyBorder="1">
      <alignment horizontal="center" vertical="center"/>
    </xf>
    <xf numFmtId="0" fontId="36" fillId="0" borderId="0" xfId="0" applyFont="1"/>
    <xf numFmtId="0" fontId="37" fillId="33" borderId="10" xfId="49" applyFont="1" applyFill="1"/>
    <xf numFmtId="0" fontId="37" fillId="33" borderId="20" xfId="49" applyFont="1" applyFill="1" applyBorder="1"/>
    <xf numFmtId="171" fontId="37" fillId="33" borderId="16" xfId="52" applyFont="1" applyFill="1" applyBorder="1">
      <alignment horizontal="center" vertical="center"/>
    </xf>
    <xf numFmtId="0" fontId="37" fillId="33" borderId="17" xfId="52" applyNumberFormat="1" applyFont="1" applyFill="1" applyBorder="1">
      <alignment horizontal="center" vertical="center"/>
    </xf>
    <xf numFmtId="170" fontId="23" fillId="41" borderId="17" xfId="43" applyNumberFormat="1" applyFont="1" applyFill="1" applyBorder="1" applyAlignment="1">
      <alignment horizontal="center"/>
    </xf>
    <xf numFmtId="0" fontId="28" fillId="35" borderId="10" xfId="49" applyFill="1"/>
    <xf numFmtId="0" fontId="28" fillId="35" borderId="20" xfId="49" applyFill="1" applyBorder="1"/>
    <xf numFmtId="171" fontId="28" fillId="35" borderId="16" xfId="52" applyFill="1" applyBorder="1">
      <alignment horizontal="center" vertical="center"/>
    </xf>
    <xf numFmtId="170" fontId="23" fillId="35" borderId="17" xfId="43" applyNumberFormat="1" applyFont="1" applyFill="1" applyBorder="1" applyAlignment="1">
      <alignment horizontal="center"/>
    </xf>
    <xf numFmtId="0" fontId="28" fillId="41" borderId="17" xfId="44" applyNumberFormat="1" applyFill="1" applyBorder="1">
      <alignment horizontal="center" vertical="center"/>
    </xf>
    <xf numFmtId="174" fontId="28" fillId="41" borderId="17" xfId="44" applyFill="1" applyBorder="1">
      <alignment horizontal="center" vertical="center"/>
    </xf>
    <xf numFmtId="0" fontId="38" fillId="33" borderId="10" xfId="49" applyFont="1" applyFill="1"/>
    <xf numFmtId="0" fontId="29" fillId="34" borderId="10" xfId="49" applyFont="1" applyFill="1" applyAlignment="1">
      <alignment horizontal="center" vertical="center" wrapText="1"/>
    </xf>
    <xf numFmtId="0" fontId="30" fillId="43" borderId="20" xfId="49" applyFont="1" applyFill="1" applyBorder="1" applyAlignment="1">
      <alignment horizontal="center" vertical="center" wrapText="1"/>
    </xf>
    <xf numFmtId="0" fontId="30" fillId="44" borderId="18" xfId="49" quotePrefix="1" applyFont="1" applyFill="1" applyBorder="1" applyAlignment="1">
      <alignment horizontal="center" vertical="center" wrapText="1"/>
    </xf>
    <xf numFmtId="0" fontId="29" fillId="45" borderId="19" xfId="49" quotePrefix="1" applyFont="1" applyFill="1" applyBorder="1" applyAlignment="1">
      <alignment horizontal="center" vertical="center" wrapText="1"/>
    </xf>
    <xf numFmtId="0" fontId="34" fillId="39" borderId="17" xfId="52" applyNumberFormat="1" applyFont="1" applyFill="1" applyBorder="1">
      <alignment horizontal="center" vertical="center"/>
    </xf>
    <xf numFmtId="0" fontId="34" fillId="39" borderId="17" xfId="52" applyNumberFormat="1" applyFont="1" applyFill="1" applyBorder="1" applyAlignment="1">
      <alignment horizontal="left" vertical="center"/>
    </xf>
    <xf numFmtId="0" fontId="28" fillId="39" borderId="10" xfId="49" applyFill="1"/>
    <xf numFmtId="0" fontId="28" fillId="39" borderId="20" xfId="49" applyFill="1" applyBorder="1"/>
    <xf numFmtId="174" fontId="28" fillId="39" borderId="16" xfId="44" applyFill="1" applyBorder="1">
      <alignment horizontal="center" vertical="center"/>
    </xf>
    <xf numFmtId="14" fontId="34" fillId="39" borderId="17" xfId="52" applyNumberFormat="1" applyFont="1" applyFill="1" applyBorder="1">
      <alignment horizontal="center" vertical="center"/>
    </xf>
    <xf numFmtId="173" fontId="28" fillId="39" borderId="16" xfId="48" applyFill="1" applyBorder="1">
      <alignment horizontal="center" vertical="center"/>
    </xf>
    <xf numFmtId="172" fontId="28" fillId="39" borderId="16" xfId="47" applyFill="1" applyBorder="1">
      <alignment horizontal="center" vertical="center"/>
    </xf>
    <xf numFmtId="171" fontId="28" fillId="39" borderId="16" xfId="52" applyFill="1" applyBorder="1">
      <alignment horizontal="center" vertical="center"/>
    </xf>
    <xf numFmtId="0" fontId="28" fillId="39" borderId="16" xfId="49" applyFill="1" applyBorder="1" applyAlignment="1">
      <alignment horizontal="center"/>
    </xf>
    <xf numFmtId="168" fontId="28" fillId="39" borderId="16" xfId="54" applyFill="1" applyBorder="1">
      <alignment horizontal="center" vertical="center"/>
    </xf>
    <xf numFmtId="0" fontId="28" fillId="39" borderId="10" xfId="49" applyFill="1" applyAlignment="1">
      <alignment horizontal="left"/>
    </xf>
    <xf numFmtId="172" fontId="28" fillId="39" borderId="16" xfId="47" applyFill="1" applyBorder="1" applyAlignment="1">
      <alignment horizontal="left" vertical="center"/>
    </xf>
    <xf numFmtId="0" fontId="4" fillId="0" borderId="2" xfId="3" applyNumberFormat="1" applyFill="1" applyAlignment="1">
      <alignment horizontal="left"/>
    </xf>
    <xf numFmtId="9" fontId="0" fillId="0" borderId="0" xfId="43" applyFont="1" applyFill="1" applyBorder="1" applyAlignment="1"/>
    <xf numFmtId="9" fontId="0" fillId="0" borderId="0" xfId="43" applyFont="1" applyBorder="1" applyAlignment="1"/>
    <xf numFmtId="9" fontId="15" fillId="42" borderId="0" xfId="43" applyFont="1" applyFill="1" applyBorder="1" applyAlignment="1"/>
    <xf numFmtId="0" fontId="24" fillId="33" borderId="0" xfId="22" applyNumberFormat="1" applyFont="1" applyFill="1" applyBorder="1" applyAlignment="1">
      <alignment horizontal="center"/>
    </xf>
    <xf numFmtId="0" fontId="0" fillId="0" borderId="0" xfId="0" applyAlignment="1">
      <alignment horizontal="center"/>
    </xf>
    <xf numFmtId="0" fontId="4" fillId="0" borderId="2" xfId="3" applyNumberFormat="1" applyAlignment="1">
      <alignment horizontal="center"/>
    </xf>
    <xf numFmtId="0" fontId="24" fillId="33" borderId="10" xfId="0" applyFont="1" applyFill="1" applyBorder="1" applyAlignment="1">
      <alignment horizontal="center"/>
    </xf>
    <xf numFmtId="9" fontId="25" fillId="0" borderId="21" xfId="43" applyFont="1" applyFill="1" applyBorder="1" applyAlignment="1">
      <alignment horizontal="center"/>
    </xf>
    <xf numFmtId="0" fontId="24" fillId="37" borderId="21" xfId="43" applyNumberFormat="1" applyFont="1" applyFill="1" applyBorder="1" applyAlignment="1" applyProtection="1">
      <alignment horizontal="center" vertical="center" wrapText="1"/>
      <protection locked="0"/>
    </xf>
    <xf numFmtId="14" fontId="25" fillId="0" borderId="21" xfId="43" applyNumberFormat="1" applyFont="1" applyFill="1" applyBorder="1" applyAlignment="1">
      <alignment horizontal="center"/>
    </xf>
    <xf numFmtId="165" fontId="25" fillId="0" borderId="12" xfId="42" applyNumberFormat="1" applyFont="1" applyFill="1" applyBorder="1" applyAlignment="1">
      <alignment horizontal="center" vertical="center"/>
    </xf>
    <xf numFmtId="0" fontId="30" fillId="38" borderId="0" xfId="0" applyFont="1" applyFill="1"/>
    <xf numFmtId="0" fontId="21" fillId="0" borderId="10" xfId="0" applyFont="1" applyBorder="1"/>
    <xf numFmtId="0" fontId="21" fillId="0" borderId="10" xfId="49" applyFont="1"/>
    <xf numFmtId="173" fontId="21" fillId="0" borderId="10" xfId="51" applyNumberFormat="1" applyFont="1" applyFill="1" applyBorder="1" applyAlignment="1">
      <alignment horizontal="center" vertical="center"/>
    </xf>
    <xf numFmtId="0" fontId="19" fillId="42" borderId="0" xfId="0" applyFont="1" applyFill="1"/>
    <xf numFmtId="0" fontId="19" fillId="36" borderId="0" xfId="0" applyFont="1" applyFill="1"/>
    <xf numFmtId="0" fontId="19" fillId="0" borderId="20" xfId="0" applyFont="1" applyBorder="1"/>
    <xf numFmtId="0" fontId="19" fillId="0" borderId="21" xfId="0" applyFont="1" applyBorder="1"/>
    <xf numFmtId="0" fontId="21" fillId="0" borderId="0" xfId="0" applyFont="1"/>
    <xf numFmtId="173" fontId="21" fillId="0" borderId="10" xfId="48" applyFont="1">
      <alignment horizontal="center" vertical="center"/>
    </xf>
    <xf numFmtId="11" fontId="21" fillId="0" borderId="10" xfId="0" applyNumberFormat="1" applyFont="1" applyBorder="1"/>
    <xf numFmtId="0" fontId="21" fillId="0" borderId="10" xfId="0" applyFont="1" applyBorder="1" applyAlignment="1">
      <alignment horizontal="left"/>
    </xf>
    <xf numFmtId="9" fontId="21" fillId="0" borderId="10" xfId="43" applyFont="1" applyFill="1" applyBorder="1"/>
    <xf numFmtId="173" fontId="19" fillId="0" borderId="10" xfId="48" applyFont="1">
      <alignment horizontal="center" vertical="center"/>
    </xf>
    <xf numFmtId="171" fontId="19" fillId="0" borderId="10" xfId="52" applyFont="1">
      <alignment horizontal="center" vertical="center"/>
    </xf>
    <xf numFmtId="174" fontId="19" fillId="0" borderId="10" xfId="44" applyFont="1">
      <alignment horizontal="center" vertical="center"/>
    </xf>
    <xf numFmtId="172" fontId="28" fillId="0" borderId="10" xfId="47">
      <alignment horizontal="center" vertical="center"/>
    </xf>
    <xf numFmtId="169" fontId="0" fillId="0" borderId="0" xfId="0" applyNumberFormat="1"/>
    <xf numFmtId="176" fontId="21" fillId="0" borderId="10" xfId="43" applyNumberFormat="1" applyFont="1" applyFill="1" applyBorder="1"/>
    <xf numFmtId="0" fontId="3" fillId="0" borderId="1" xfId="2" applyNumberFormat="1"/>
    <xf numFmtId="9" fontId="19" fillId="0" borderId="10" xfId="43" applyFont="1" applyBorder="1"/>
    <xf numFmtId="174" fontId="0" fillId="0" borderId="0" xfId="0" applyNumberFormat="1"/>
    <xf numFmtId="173" fontId="0" fillId="0" borderId="0" xfId="0" applyNumberFormat="1"/>
    <xf numFmtId="0" fontId="12" fillId="38" borderId="0" xfId="0" applyFont="1" applyFill="1"/>
    <xf numFmtId="0" fontId="12" fillId="38" borderId="0" xfId="0" applyFont="1" applyFill="1" applyAlignment="1">
      <alignment horizontal="center"/>
    </xf>
    <xf numFmtId="0" fontId="12" fillId="38" borderId="11" xfId="0" applyFont="1" applyFill="1" applyBorder="1" applyAlignment="1">
      <alignment horizontal="center"/>
    </xf>
    <xf numFmtId="174" fontId="0" fillId="0" borderId="10" xfId="44" applyFont="1">
      <alignment horizontal="center" vertical="center"/>
    </xf>
    <xf numFmtId="174" fontId="12" fillId="38" borderId="0" xfId="0" applyNumberFormat="1" applyFont="1" applyFill="1" applyAlignment="1">
      <alignment horizontal="center"/>
    </xf>
    <xf numFmtId="0" fontId="0" fillId="0" borderId="10" xfId="0" applyBorder="1" applyAlignment="1">
      <alignment horizontal="left" indent="1"/>
    </xf>
    <xf numFmtId="9" fontId="31" fillId="38" borderId="0" xfId="43" applyFont="1" applyFill="1" applyAlignment="1">
      <alignment horizontal="center"/>
    </xf>
    <xf numFmtId="0" fontId="20" fillId="35" borderId="10" xfId="0" applyFont="1" applyFill="1" applyBorder="1" applyAlignment="1">
      <alignment horizontal="center" vertical="center" textRotation="90" wrapText="1"/>
    </xf>
    <xf numFmtId="0" fontId="20" fillId="33" borderId="10" xfId="0" applyFont="1" applyFill="1" applyBorder="1" applyAlignment="1">
      <alignment horizontal="center" vertical="center" textRotation="90" wrapText="1"/>
    </xf>
    <xf numFmtId="173" fontId="19" fillId="0" borderId="10" xfId="48" applyFont="1" applyAlignment="1">
      <alignment horizontal="left" vertical="center"/>
    </xf>
    <xf numFmtId="174" fontId="19" fillId="46" borderId="10" xfId="44" applyFont="1" applyFill="1">
      <alignment horizontal="center" vertical="center"/>
    </xf>
    <xf numFmtId="0" fontId="19" fillId="0" borderId="10" xfId="49" applyFont="1"/>
    <xf numFmtId="173" fontId="19" fillId="46" borderId="10" xfId="48" applyFont="1" applyFill="1">
      <alignment horizontal="center" vertical="center"/>
    </xf>
    <xf numFmtId="172" fontId="0" fillId="0" borderId="10" xfId="44" applyNumberFormat="1" applyFont="1">
      <alignment horizontal="center" vertical="center"/>
    </xf>
    <xf numFmtId="173" fontId="0" fillId="0" borderId="10" xfId="44" applyNumberFormat="1" applyFont="1">
      <alignment horizontal="center" vertical="center"/>
    </xf>
    <xf numFmtId="171" fontId="1" fillId="0" borderId="0" xfId="52" applyFont="1" applyBorder="1">
      <alignment horizontal="center" vertical="center"/>
    </xf>
    <xf numFmtId="174" fontId="28" fillId="0" borderId="10" xfId="44">
      <alignment horizontal="center" vertical="center"/>
    </xf>
    <xf numFmtId="14" fontId="19" fillId="0" borderId="10" xfId="0" applyNumberFormat="1" applyFont="1" applyBorder="1"/>
    <xf numFmtId="173" fontId="19" fillId="0" borderId="10" xfId="47" applyNumberFormat="1" applyFont="1">
      <alignment horizontal="center" vertical="center"/>
    </xf>
    <xf numFmtId="0" fontId="40" fillId="0" borderId="24" xfId="0" applyFont="1" applyBorder="1" applyAlignment="1">
      <alignment horizontal="left"/>
    </xf>
    <xf numFmtId="0" fontId="40" fillId="0" borderId="24" xfId="0" applyFont="1" applyBorder="1" applyAlignment="1">
      <alignment horizontal="center"/>
    </xf>
    <xf numFmtId="0" fontId="40" fillId="0" borderId="24" xfId="0" applyFont="1" applyBorder="1"/>
    <xf numFmtId="0" fontId="16" fillId="9" borderId="10" xfId="18" applyNumberFormat="1" applyBorder="1" applyAlignment="1">
      <alignment horizontal="center" vertical="center" textRotation="90" wrapText="1"/>
    </xf>
    <xf numFmtId="0" fontId="20" fillId="43" borderId="10" xfId="0" applyFont="1" applyFill="1" applyBorder="1" applyAlignment="1">
      <alignment horizontal="center" vertical="center" textRotation="90" wrapText="1"/>
    </xf>
    <xf numFmtId="0" fontId="19" fillId="0" borderId="10" xfId="44" applyNumberFormat="1" applyFont="1">
      <alignment horizontal="center" vertical="center"/>
    </xf>
    <xf numFmtId="0" fontId="41" fillId="5" borderId="10" xfId="9" applyNumberFormat="1" applyFont="1" applyBorder="1" applyAlignment="1">
      <alignment horizontal="center" vertical="center" textRotation="90"/>
    </xf>
    <xf numFmtId="0" fontId="20" fillId="35" borderId="10" xfId="0" applyFont="1" applyFill="1" applyBorder="1" applyAlignment="1">
      <alignment horizontal="center" vertical="center" textRotation="90" wrapText="1" readingOrder="1"/>
    </xf>
    <xf numFmtId="168" fontId="19" fillId="0" borderId="10" xfId="54" applyFont="1">
      <alignment horizontal="center" vertical="center"/>
    </xf>
    <xf numFmtId="9" fontId="19" fillId="0" borderId="10" xfId="43" applyFont="1" applyFill="1" applyBorder="1" applyAlignment="1">
      <alignment horizontal="center" vertical="center"/>
    </xf>
    <xf numFmtId="0" fontId="0" fillId="47" borderId="0" xfId="0" applyFill="1"/>
    <xf numFmtId="0" fontId="0" fillId="48" borderId="0" xfId="0" applyFill="1"/>
    <xf numFmtId="0" fontId="0" fillId="49" borderId="0" xfId="0" applyFill="1"/>
    <xf numFmtId="0" fontId="15" fillId="50" borderId="25" xfId="0" applyFont="1" applyFill="1" applyBorder="1"/>
    <xf numFmtId="0" fontId="0" fillId="50" borderId="26" xfId="0" applyFill="1" applyBorder="1"/>
    <xf numFmtId="0" fontId="15" fillId="50" borderId="26" xfId="0" applyFont="1" applyFill="1" applyBorder="1"/>
    <xf numFmtId="0" fontId="0" fillId="50" borderId="27" xfId="0" applyFill="1" applyBorder="1"/>
    <xf numFmtId="0" fontId="0" fillId="0" borderId="11" xfId="0" applyBorder="1"/>
    <xf numFmtId="0" fontId="0" fillId="50" borderId="10" xfId="0" applyFill="1" applyBorder="1"/>
    <xf numFmtId="0" fontId="0" fillId="47" borderId="10" xfId="0" applyFill="1" applyBorder="1" applyProtection="1">
      <protection locked="0"/>
    </xf>
    <xf numFmtId="9" fontId="0" fillId="47" borderId="10" xfId="43" applyFont="1" applyFill="1" applyBorder="1" applyProtection="1">
      <protection locked="0"/>
    </xf>
    <xf numFmtId="0" fontId="0" fillId="0" borderId="28" xfId="0" applyBorder="1"/>
    <xf numFmtId="9" fontId="0" fillId="0" borderId="0" xfId="43" applyFont="1"/>
    <xf numFmtId="0" fontId="15" fillId="50" borderId="10" xfId="0" applyFont="1" applyFill="1" applyBorder="1"/>
    <xf numFmtId="0" fontId="0" fillId="47" borderId="10" xfId="0" applyFill="1" applyBorder="1"/>
    <xf numFmtId="9" fontId="0" fillId="47" borderId="10" xfId="43" applyFont="1" applyFill="1" applyBorder="1"/>
    <xf numFmtId="0" fontId="0" fillId="48" borderId="10" xfId="0" applyFill="1" applyBorder="1" applyAlignment="1" applyProtection="1">
      <alignment horizontal="center"/>
      <protection locked="0"/>
    </xf>
    <xf numFmtId="0" fontId="0" fillId="0" borderId="29" xfId="0" applyBorder="1"/>
    <xf numFmtId="0" fontId="0" fillId="0" borderId="0" xfId="0" applyProtection="1">
      <protection locked="0"/>
    </xf>
    <xf numFmtId="9" fontId="0" fillId="0" borderId="0" xfId="43" applyFont="1" applyFill="1" applyBorder="1" applyProtection="1">
      <protection locked="0"/>
    </xf>
    <xf numFmtId="0" fontId="0" fillId="50" borderId="30" xfId="0" applyFill="1" applyBorder="1"/>
    <xf numFmtId="0" fontId="15" fillId="0" borderId="31" xfId="0" applyFont="1" applyBorder="1"/>
    <xf numFmtId="166" fontId="0" fillId="49" borderId="10" xfId="0" applyNumberFormat="1" applyFill="1" applyBorder="1" applyProtection="1">
      <protection hidden="1"/>
    </xf>
    <xf numFmtId="0" fontId="0" fillId="48" borderId="10" xfId="0" applyFill="1" applyBorder="1"/>
    <xf numFmtId="0" fontId="0" fillId="0" borderId="12" xfId="0" applyBorder="1"/>
    <xf numFmtId="14" fontId="0" fillId="0" borderId="0" xfId="0" applyNumberFormat="1"/>
    <xf numFmtId="0" fontId="0" fillId="47" borderId="10" xfId="0" quotePrefix="1" applyFill="1" applyBorder="1" applyAlignment="1">
      <alignment horizontal="right"/>
    </xf>
    <xf numFmtId="0" fontId="0" fillId="51" borderId="0" xfId="0" applyFill="1"/>
    <xf numFmtId="0" fontId="25" fillId="51" borderId="0" xfId="0" applyFont="1" applyFill="1"/>
    <xf numFmtId="0" fontId="0" fillId="52" borderId="10" xfId="0" quotePrefix="1" applyFill="1" applyBorder="1" applyAlignment="1">
      <alignment horizontal="right"/>
    </xf>
    <xf numFmtId="0" fontId="28" fillId="53" borderId="20" xfId="49" applyFill="1" applyBorder="1"/>
    <xf numFmtId="0" fontId="28" fillId="53" borderId="10" xfId="49" applyFill="1"/>
    <xf numFmtId="171" fontId="28" fillId="53" borderId="16" xfId="52" applyFill="1" applyBorder="1">
      <alignment horizontal="center" vertical="center"/>
    </xf>
    <xf numFmtId="0" fontId="28" fillId="53" borderId="17" xfId="44" applyNumberFormat="1" applyFill="1" applyBorder="1">
      <alignment horizontal="center" vertical="center"/>
    </xf>
    <xf numFmtId="0" fontId="0" fillId="53" borderId="0" xfId="0" applyFill="1"/>
    <xf numFmtId="171" fontId="28" fillId="51" borderId="16" xfId="52" applyFill="1" applyBorder="1">
      <alignment horizontal="center" vertical="center"/>
    </xf>
    <xf numFmtId="0" fontId="28" fillId="51" borderId="17" xfId="52" applyNumberFormat="1" applyFill="1" applyBorder="1">
      <alignment horizontal="center" vertical="center"/>
    </xf>
    <xf numFmtId="0" fontId="0" fillId="50" borderId="32" xfId="0" applyFill="1" applyBorder="1"/>
    <xf numFmtId="0" fontId="43" fillId="50" borderId="10" xfId="0" applyFont="1" applyFill="1" applyBorder="1"/>
    <xf numFmtId="173" fontId="19" fillId="0" borderId="0" xfId="0" applyNumberFormat="1" applyFont="1"/>
    <xf numFmtId="0" fontId="21" fillId="51" borderId="10" xfId="0" applyFont="1" applyFill="1" applyBorder="1"/>
    <xf numFmtId="0" fontId="0" fillId="0" borderId="0" xfId="0" applyAlignment="1">
      <alignment wrapText="1"/>
    </xf>
    <xf numFmtId="0" fontId="0" fillId="54" borderId="0" xfId="0" applyFill="1"/>
  </cellXfs>
  <cellStyles count="59">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1 3" xfId="50" xr:uid="{00000000-0005-0000-0000-00000D000000}"/>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1 2" xfId="46" xr:uid="{00000000-0005-0000-0000-000014000000}"/>
    <cellStyle name="Accent2" xfId="22" builtinId="33" customBuiltin="1"/>
    <cellStyle name="Accent2 2" xfId="57" xr:uid="{144AEB0E-9749-4525-AA33-77436DD4DC32}"/>
    <cellStyle name="Accent3" xfId="26" builtinId="37" customBuiltin="1"/>
    <cellStyle name="Accent4" xfId="30" builtinId="41" customBuiltin="1"/>
    <cellStyle name="Accent4 2" xfId="56" xr:uid="{3C3C6751-5726-46FB-B7A4-25444CFB3D0C}"/>
    <cellStyle name="Accent5" xfId="34" builtinId="45" customBuiltin="1"/>
    <cellStyle name="Accent6" xfId="38" builtinId="49" customBuiltin="1"/>
    <cellStyle name="Bad" xfId="7" builtinId="27" hidden="1" customBuiltin="1"/>
    <cellStyle name="Boxed #" xfId="44" xr:uid="{00000000-0005-0000-0000-00001C000000}"/>
    <cellStyle name="Boxed #.#" xfId="47" xr:uid="{00000000-0005-0000-0000-00001D000000}"/>
    <cellStyle name="Boxed #.##" xfId="48" xr:uid="{00000000-0005-0000-0000-00001E000000}"/>
    <cellStyle name="Boxed $" xfId="58" xr:uid="{5ACC1EEF-1BAC-49CA-AB3C-094E24F2F3AE}"/>
    <cellStyle name="Boxed %" xfId="52" xr:uid="{00000000-0005-0000-0000-00001F000000}"/>
    <cellStyle name="Boxed Date" xfId="54" xr:uid="{00000000-0005-0000-0000-000020000000}"/>
    <cellStyle name="Boxed Txt" xfId="49" xr:uid="{00000000-0005-0000-0000-000021000000}"/>
    <cellStyle name="Calculation" xfId="11" builtinId="22" hidden="1" customBuiltin="1"/>
    <cellStyle name="Check Cell" xfId="13" builtinId="23" customBuiltin="1"/>
    <cellStyle name="Comma" xfId="42" builtinId="3"/>
    <cellStyle name="Explanatory Text" xfId="16" builtinId="53" customBuiltin="1"/>
    <cellStyle name="Good" xfId="6" builtinId="26" customBuiltin="1"/>
    <cellStyle name="Good 2" xfId="55" xr:uid="{00000000-0005-0000-0000-000028000000}"/>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hidden="1" customBuiltin="1"/>
    <cellStyle name="Neutral" xfId="8" builtinId="28" customBuiltin="1"/>
    <cellStyle name="Normal" xfId="0" builtinId="0" customBuiltin="1"/>
    <cellStyle name="Note" xfId="15" builtinId="10" customBuiltin="1"/>
    <cellStyle name="Note 2 2" xfId="51" xr:uid="{00000000-0005-0000-0000-000033000000}"/>
    <cellStyle name="Output" xfId="10" builtinId="21" customBuiltin="1"/>
    <cellStyle name="Percent" xfId="43" builtinId="5"/>
    <cellStyle name="Title" xfId="1" builtinId="15" customBuiltin="1"/>
    <cellStyle name="Total" xfId="17" builtinId="25" customBuiltin="1"/>
    <cellStyle name="UC %" xfId="45" xr:uid="{00000000-0005-0000-0000-000038000000}"/>
    <cellStyle name="UC Formula%" xfId="53" xr:uid="{00000000-0005-0000-0000-000039000000}"/>
    <cellStyle name="Warning Text" xfId="14" builtinId="11" hidden="1" customBuiltin="1"/>
  </cellStyles>
  <dxfs count="0"/>
  <tableStyles count="0" defaultTableStyle="TableStyleMedium2" defaultPivotStyle="PivotStyleLight16"/>
  <colors>
    <mruColors>
      <color rgb="FF0099FF"/>
      <color rgb="FFFFFF99"/>
      <color rgb="FFFFFFCC"/>
      <color rgb="FFFFFF66"/>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0273958\Desktop\Sitara\AM62%20PET\AM62_PET_0.01_k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B277"/>
  <sheetViews>
    <sheetView workbookViewId="0">
      <selection activeCell="B6" sqref="B6"/>
    </sheetView>
  </sheetViews>
  <sheetFormatPr defaultColWidth="8.85546875" defaultRowHeight="15" outlineLevelRow="1" x14ac:dyDescent="0.25"/>
  <cols>
    <col min="2" max="2" width="121" customWidth="1"/>
    <col min="4" max="4" width="17" bestFit="1" customWidth="1"/>
  </cols>
  <sheetData>
    <row r="1" spans="1:2" x14ac:dyDescent="0.25">
      <c r="B1" s="7" t="s">
        <v>114</v>
      </c>
    </row>
    <row r="2" spans="1:2" x14ac:dyDescent="0.25">
      <c r="A2" s="4" t="s">
        <v>113</v>
      </c>
      <c r="B2" s="7"/>
    </row>
    <row r="3" spans="1:2" x14ac:dyDescent="0.25">
      <c r="A3" s="6" t="s">
        <v>32</v>
      </c>
      <c r="B3" s="8" t="s">
        <v>67</v>
      </c>
    </row>
    <row r="4" spans="1:2" outlineLevel="1" x14ac:dyDescent="0.25">
      <c r="A4" s="112">
        <v>1</v>
      </c>
      <c r="B4" s="2" t="s">
        <v>1216</v>
      </c>
    </row>
    <row r="5" spans="1:2" ht="60" outlineLevel="1" x14ac:dyDescent="0.25">
      <c r="A5" t="s">
        <v>1290</v>
      </c>
      <c r="B5" s="189" t="s">
        <v>1291</v>
      </c>
    </row>
    <row r="6" spans="1:2" outlineLevel="1" x14ac:dyDescent="0.25"/>
    <row r="7" spans="1:2" outlineLevel="1" x14ac:dyDescent="0.25"/>
    <row r="8" spans="1:2" outlineLevel="1" x14ac:dyDescent="0.25"/>
    <row r="9" spans="1:2" outlineLevel="1" x14ac:dyDescent="0.25"/>
    <row r="10" spans="1:2" outlineLevel="1" x14ac:dyDescent="0.25"/>
    <row r="11" spans="1:2" outlineLevel="1" x14ac:dyDescent="0.25"/>
    <row r="12" spans="1:2" outlineLevel="1" x14ac:dyDescent="0.25"/>
    <row r="13" spans="1:2" outlineLevel="1" x14ac:dyDescent="0.25"/>
    <row r="14" spans="1:2" outlineLevel="1" x14ac:dyDescent="0.25"/>
    <row r="15" spans="1:2" outlineLevel="1" x14ac:dyDescent="0.25"/>
    <row r="16" spans="1:2" outlineLevel="1" x14ac:dyDescent="0.25"/>
    <row r="17" outlineLevel="1" x14ac:dyDescent="0.25"/>
    <row r="18" outlineLevel="1" x14ac:dyDescent="0.25"/>
    <row r="19" outlineLevel="1" x14ac:dyDescent="0.25"/>
    <row r="20" outlineLevel="1" x14ac:dyDescent="0.25"/>
    <row r="21" outlineLevel="1" x14ac:dyDescent="0.25"/>
    <row r="22" outlineLevel="1" x14ac:dyDescent="0.25"/>
    <row r="23" outlineLevel="1" x14ac:dyDescent="0.25"/>
    <row r="24" outlineLevel="1" x14ac:dyDescent="0.25"/>
    <row r="25" outlineLevel="1" x14ac:dyDescent="0.25"/>
    <row r="26" outlineLevel="1" x14ac:dyDescent="0.25"/>
    <row r="27" outlineLevel="1" x14ac:dyDescent="0.25"/>
    <row r="28" outlineLevel="1" x14ac:dyDescent="0.25"/>
    <row r="29" outlineLevel="1" x14ac:dyDescent="0.25"/>
    <row r="30" outlineLevel="1" x14ac:dyDescent="0.25"/>
    <row r="31" outlineLevel="1" x14ac:dyDescent="0.25"/>
    <row r="32" outlineLevel="1" x14ac:dyDescent="0.25"/>
    <row r="33" outlineLevel="1" x14ac:dyDescent="0.25"/>
    <row r="34" outlineLevel="1" x14ac:dyDescent="0.25"/>
    <row r="35" outlineLevel="1" x14ac:dyDescent="0.25"/>
    <row r="36" outlineLevel="1" x14ac:dyDescent="0.25"/>
    <row r="37" outlineLevel="1" x14ac:dyDescent="0.25"/>
    <row r="38" outlineLevel="1" x14ac:dyDescent="0.25"/>
    <row r="39" outlineLevel="1" x14ac:dyDescent="0.25"/>
    <row r="40" outlineLevel="1" x14ac:dyDescent="0.25"/>
    <row r="41" outlineLevel="1" x14ac:dyDescent="0.25"/>
    <row r="42" outlineLevel="1" x14ac:dyDescent="0.25"/>
    <row r="43" outlineLevel="1" x14ac:dyDescent="0.25"/>
    <row r="44" outlineLevel="1" x14ac:dyDescent="0.25"/>
    <row r="45" outlineLevel="1" x14ac:dyDescent="0.25"/>
    <row r="46" outlineLevel="1" x14ac:dyDescent="0.25"/>
    <row r="47" outlineLevel="1" x14ac:dyDescent="0.25"/>
    <row r="48" outlineLevel="1" x14ac:dyDescent="0.25"/>
    <row r="49" outlineLevel="1" x14ac:dyDescent="0.25"/>
    <row r="50" outlineLevel="1" x14ac:dyDescent="0.25"/>
    <row r="51" outlineLevel="1" x14ac:dyDescent="0.25"/>
    <row r="52" outlineLevel="1" x14ac:dyDescent="0.25"/>
    <row r="53" outlineLevel="1" x14ac:dyDescent="0.25"/>
    <row r="54" outlineLevel="1" x14ac:dyDescent="0.25"/>
    <row r="55" outlineLevel="1" x14ac:dyDescent="0.25"/>
    <row r="56" outlineLevel="1" x14ac:dyDescent="0.25"/>
    <row r="57" outlineLevel="1" x14ac:dyDescent="0.25"/>
    <row r="58" outlineLevel="1" x14ac:dyDescent="0.25"/>
    <row r="59" outlineLevel="1" x14ac:dyDescent="0.25"/>
    <row r="60" outlineLevel="1" x14ac:dyDescent="0.25"/>
    <row r="61" outlineLevel="1" x14ac:dyDescent="0.25"/>
    <row r="62" outlineLevel="1" x14ac:dyDescent="0.25"/>
    <row r="63" outlineLevel="1" x14ac:dyDescent="0.25"/>
    <row r="64" outlineLevel="1" x14ac:dyDescent="0.25"/>
    <row r="65" outlineLevel="1" x14ac:dyDescent="0.25"/>
    <row r="66" outlineLevel="1" x14ac:dyDescent="0.25"/>
    <row r="67" outlineLevel="1" x14ac:dyDescent="0.25"/>
    <row r="68" outlineLevel="1" x14ac:dyDescent="0.25"/>
    <row r="69" outlineLevel="1" x14ac:dyDescent="0.25"/>
    <row r="70" outlineLevel="1" x14ac:dyDescent="0.25"/>
    <row r="71" outlineLevel="1" x14ac:dyDescent="0.25"/>
    <row r="72" outlineLevel="1" x14ac:dyDescent="0.25"/>
    <row r="73" outlineLevel="1" x14ac:dyDescent="0.25"/>
    <row r="74" outlineLevel="1" x14ac:dyDescent="0.25"/>
    <row r="75" outlineLevel="1" x14ac:dyDescent="0.25"/>
    <row r="76" outlineLevel="1" x14ac:dyDescent="0.25"/>
    <row r="77" outlineLevel="1" x14ac:dyDescent="0.25"/>
    <row r="78" outlineLevel="1" x14ac:dyDescent="0.25"/>
    <row r="79" outlineLevel="1" x14ac:dyDescent="0.25"/>
    <row r="80" outlineLevel="1" x14ac:dyDescent="0.25"/>
    <row r="81" outlineLevel="1" x14ac:dyDescent="0.25"/>
    <row r="82" outlineLevel="1" x14ac:dyDescent="0.25"/>
    <row r="83" outlineLevel="1" x14ac:dyDescent="0.25"/>
    <row r="84" outlineLevel="1" x14ac:dyDescent="0.25"/>
    <row r="85" outlineLevel="1" x14ac:dyDescent="0.25"/>
    <row r="86" outlineLevel="1" x14ac:dyDescent="0.25"/>
    <row r="87" outlineLevel="1" x14ac:dyDescent="0.25"/>
    <row r="88" outlineLevel="1" x14ac:dyDescent="0.25"/>
    <row r="89" outlineLevel="1" x14ac:dyDescent="0.25"/>
    <row r="90" outlineLevel="1" x14ac:dyDescent="0.25"/>
    <row r="91" outlineLevel="1" x14ac:dyDescent="0.25"/>
    <row r="92" outlineLevel="1" x14ac:dyDescent="0.25"/>
    <row r="93" outlineLevel="1" x14ac:dyDescent="0.25"/>
    <row r="94" outlineLevel="1" x14ac:dyDescent="0.25"/>
    <row r="95" outlineLevel="1" x14ac:dyDescent="0.25"/>
    <row r="96" outlineLevel="1" x14ac:dyDescent="0.25"/>
    <row r="97" outlineLevel="1" x14ac:dyDescent="0.25"/>
    <row r="98" outlineLevel="1" x14ac:dyDescent="0.25"/>
    <row r="99" outlineLevel="1" x14ac:dyDescent="0.25"/>
    <row r="100" outlineLevel="1" x14ac:dyDescent="0.25"/>
    <row r="101" outlineLevel="1" x14ac:dyDescent="0.25"/>
    <row r="102" outlineLevel="1" x14ac:dyDescent="0.25"/>
    <row r="103" outlineLevel="1" x14ac:dyDescent="0.25"/>
    <row r="104" outlineLevel="1" x14ac:dyDescent="0.25"/>
    <row r="105" outlineLevel="1" x14ac:dyDescent="0.25"/>
    <row r="106" outlineLevel="1" x14ac:dyDescent="0.25"/>
    <row r="107" outlineLevel="1" x14ac:dyDescent="0.25"/>
    <row r="108" outlineLevel="1" x14ac:dyDescent="0.25"/>
    <row r="109" outlineLevel="1" x14ac:dyDescent="0.25"/>
    <row r="110" outlineLevel="1" x14ac:dyDescent="0.25"/>
    <row r="111" outlineLevel="1" x14ac:dyDescent="0.25"/>
    <row r="112" outlineLevel="1" x14ac:dyDescent="0.25"/>
    <row r="113" outlineLevel="1" x14ac:dyDescent="0.25"/>
    <row r="114" outlineLevel="1" x14ac:dyDescent="0.25"/>
    <row r="115" outlineLevel="1" x14ac:dyDescent="0.25"/>
    <row r="116" outlineLevel="1" x14ac:dyDescent="0.25"/>
    <row r="117" outlineLevel="1" x14ac:dyDescent="0.25"/>
    <row r="118" outlineLevel="1" x14ac:dyDescent="0.25"/>
    <row r="119" outlineLevel="1" x14ac:dyDescent="0.25"/>
    <row r="120" outlineLevel="1" x14ac:dyDescent="0.25"/>
    <row r="121" outlineLevel="1" x14ac:dyDescent="0.25"/>
    <row r="122" outlineLevel="1" x14ac:dyDescent="0.25"/>
    <row r="123" outlineLevel="1" x14ac:dyDescent="0.25"/>
    <row r="124" outlineLevel="1" x14ac:dyDescent="0.25"/>
    <row r="125" outlineLevel="1" x14ac:dyDescent="0.25"/>
    <row r="126" outlineLevel="1" x14ac:dyDescent="0.25"/>
    <row r="127" outlineLevel="1" x14ac:dyDescent="0.25"/>
    <row r="128" outlineLevel="1" x14ac:dyDescent="0.25"/>
    <row r="129" outlineLevel="1" x14ac:dyDescent="0.25"/>
    <row r="130" outlineLevel="1" x14ac:dyDescent="0.25"/>
    <row r="131" outlineLevel="1" x14ac:dyDescent="0.25"/>
    <row r="132" outlineLevel="1" x14ac:dyDescent="0.25"/>
    <row r="133" outlineLevel="1" x14ac:dyDescent="0.25"/>
    <row r="134" outlineLevel="1" x14ac:dyDescent="0.25"/>
    <row r="135" outlineLevel="1" x14ac:dyDescent="0.25"/>
    <row r="136" outlineLevel="1" x14ac:dyDescent="0.25"/>
    <row r="137" outlineLevel="1" x14ac:dyDescent="0.25"/>
    <row r="138" outlineLevel="1" x14ac:dyDescent="0.25"/>
    <row r="139" outlineLevel="1" x14ac:dyDescent="0.25"/>
    <row r="140" outlineLevel="1" x14ac:dyDescent="0.25"/>
    <row r="141" outlineLevel="1" x14ac:dyDescent="0.25"/>
    <row r="142" outlineLevel="1" x14ac:dyDescent="0.25"/>
    <row r="143" outlineLevel="1" x14ac:dyDescent="0.25"/>
    <row r="144" outlineLevel="1" x14ac:dyDescent="0.25"/>
    <row r="145" outlineLevel="1" x14ac:dyDescent="0.25"/>
    <row r="146" outlineLevel="1" x14ac:dyDescent="0.25"/>
    <row r="147" outlineLevel="1" x14ac:dyDescent="0.25"/>
    <row r="148" outlineLevel="1" x14ac:dyDescent="0.25"/>
    <row r="149" outlineLevel="1" x14ac:dyDescent="0.25"/>
    <row r="153" ht="14.85" customHeight="1" outlineLevel="1" x14ac:dyDescent="0.25"/>
    <row r="154" ht="14.85" customHeight="1" outlineLevel="1" x14ac:dyDescent="0.25"/>
    <row r="155" ht="14.85" customHeight="1" outlineLevel="1" x14ac:dyDescent="0.25"/>
    <row r="156" ht="14.85" customHeight="1" outlineLevel="1" x14ac:dyDescent="0.25"/>
    <row r="157" ht="14.85" customHeight="1" outlineLevel="1" x14ac:dyDescent="0.25"/>
    <row r="158" ht="14.85" customHeight="1" outlineLevel="1" x14ac:dyDescent="0.25"/>
    <row r="159" ht="14.85" customHeight="1" outlineLevel="1" x14ac:dyDescent="0.25"/>
    <row r="160" ht="14.85" customHeight="1" outlineLevel="1" x14ac:dyDescent="0.25"/>
    <row r="161" ht="14.85" customHeight="1" outlineLevel="1" x14ac:dyDescent="0.25"/>
    <row r="162" ht="14.85" customHeight="1" outlineLevel="1" x14ac:dyDescent="0.25"/>
    <row r="163" ht="14.85" customHeight="1" outlineLevel="1" x14ac:dyDescent="0.25"/>
    <row r="164" ht="14.85" customHeight="1" outlineLevel="1" x14ac:dyDescent="0.25"/>
    <row r="165" ht="14.85" customHeight="1" outlineLevel="1" x14ac:dyDescent="0.25"/>
    <row r="166" ht="14.85" customHeight="1" outlineLevel="1" x14ac:dyDescent="0.25"/>
    <row r="167" ht="14.85" customHeight="1" outlineLevel="1" x14ac:dyDescent="0.25"/>
    <row r="168" ht="14.85" customHeight="1" outlineLevel="1" x14ac:dyDescent="0.25"/>
    <row r="169" ht="14.85" customHeight="1" outlineLevel="1" x14ac:dyDescent="0.25"/>
    <row r="170" ht="14.85" customHeight="1" outlineLevel="1" x14ac:dyDescent="0.25"/>
    <row r="171" ht="14.85" customHeight="1" outlineLevel="1" x14ac:dyDescent="0.25"/>
    <row r="172" ht="14.85" customHeight="1" outlineLevel="1" x14ac:dyDescent="0.25"/>
    <row r="173" ht="14.85" customHeight="1" outlineLevel="1" x14ac:dyDescent="0.25"/>
    <row r="174" ht="14.85" customHeight="1" outlineLevel="1" x14ac:dyDescent="0.25"/>
    <row r="175" ht="14.85" customHeight="1" outlineLevel="1" x14ac:dyDescent="0.25"/>
    <row r="176" ht="14.85" customHeight="1" outlineLevel="1" x14ac:dyDescent="0.25"/>
    <row r="177" outlineLevel="1" x14ac:dyDescent="0.25"/>
    <row r="178" ht="14.85" customHeight="1" outlineLevel="1" x14ac:dyDescent="0.25"/>
    <row r="179" ht="14.85" customHeight="1" outlineLevel="1" x14ac:dyDescent="0.25"/>
    <row r="180" ht="14.85" customHeight="1" outlineLevel="1" x14ac:dyDescent="0.25"/>
    <row r="181" ht="14.85" customHeight="1" outlineLevel="1" x14ac:dyDescent="0.25"/>
    <row r="182" ht="14.85" customHeight="1" outlineLevel="1" x14ac:dyDescent="0.25"/>
    <row r="183" ht="14.85" customHeight="1" outlineLevel="1" x14ac:dyDescent="0.25"/>
    <row r="184" ht="14.85" customHeight="1" outlineLevel="1" x14ac:dyDescent="0.25"/>
    <row r="185" ht="14.85" customHeight="1" outlineLevel="1" x14ac:dyDescent="0.25"/>
    <row r="186" ht="14.85" customHeight="1" outlineLevel="1" x14ac:dyDescent="0.25"/>
    <row r="187" ht="14.85" customHeight="1" outlineLevel="1" x14ac:dyDescent="0.25"/>
    <row r="188" ht="14.85" customHeight="1" outlineLevel="1" x14ac:dyDescent="0.25"/>
    <row r="189" ht="14.85" customHeight="1" outlineLevel="1" x14ac:dyDescent="0.25"/>
    <row r="190" ht="14.85" customHeight="1" outlineLevel="1" x14ac:dyDescent="0.25"/>
    <row r="191" ht="14.85" customHeight="1" outlineLevel="1" x14ac:dyDescent="0.25"/>
    <row r="192" ht="14.85" customHeight="1" outlineLevel="1" x14ac:dyDescent="0.25"/>
    <row r="193" ht="14.85" customHeight="1" outlineLevel="1" x14ac:dyDescent="0.25"/>
    <row r="194" ht="14.85" customHeight="1" outlineLevel="1" x14ac:dyDescent="0.25"/>
    <row r="195" ht="14.85" customHeight="1" outlineLevel="1" x14ac:dyDescent="0.25"/>
    <row r="196" ht="14.85" customHeight="1" outlineLevel="1" x14ac:dyDescent="0.25"/>
    <row r="197" ht="14.85" customHeight="1" outlineLevel="1" x14ac:dyDescent="0.25"/>
    <row r="198" ht="14.85" customHeight="1" outlineLevel="1" x14ac:dyDescent="0.25"/>
    <row r="199" ht="14.85" customHeight="1" outlineLevel="1" x14ac:dyDescent="0.25"/>
    <row r="200" ht="14.85" customHeight="1" outlineLevel="1" x14ac:dyDescent="0.25"/>
    <row r="201" ht="14.85" customHeight="1" outlineLevel="1" x14ac:dyDescent="0.25"/>
    <row r="202" ht="14.85" customHeight="1" outlineLevel="1" x14ac:dyDescent="0.25"/>
    <row r="203" ht="14.85" customHeight="1" outlineLevel="1" x14ac:dyDescent="0.25"/>
    <row r="204" ht="14.85" customHeight="1" outlineLevel="1" x14ac:dyDescent="0.25"/>
    <row r="205" ht="14.85" customHeight="1" outlineLevel="1" x14ac:dyDescent="0.25"/>
    <row r="206" ht="14.85" customHeight="1" outlineLevel="1" x14ac:dyDescent="0.25"/>
    <row r="207" ht="14.85" customHeight="1" outlineLevel="1" x14ac:dyDescent="0.25"/>
    <row r="208" ht="14.85" customHeight="1" outlineLevel="1" x14ac:dyDescent="0.25"/>
    <row r="209" ht="14.85" customHeight="1" outlineLevel="1" x14ac:dyDescent="0.25"/>
    <row r="210" ht="14.85" customHeight="1" outlineLevel="1" x14ac:dyDescent="0.25"/>
    <row r="211" ht="14.85" customHeight="1" outlineLevel="1" x14ac:dyDescent="0.25"/>
    <row r="212" ht="14.85" customHeight="1" outlineLevel="1" x14ac:dyDescent="0.25"/>
    <row r="213" ht="14.85" customHeight="1" outlineLevel="1" x14ac:dyDescent="0.25"/>
    <row r="214" ht="28.35" customHeight="1" outlineLevel="1" x14ac:dyDescent="0.25"/>
    <row r="215" ht="14.85" customHeight="1" outlineLevel="1" x14ac:dyDescent="0.25"/>
    <row r="216" ht="14.85" customHeight="1" outlineLevel="1" x14ac:dyDescent="0.25"/>
    <row r="217" ht="14.85" customHeight="1" outlineLevel="1" x14ac:dyDescent="0.25"/>
    <row r="218" ht="14.85" customHeight="1" outlineLevel="1" x14ac:dyDescent="0.25"/>
    <row r="219" ht="14.85" customHeight="1" outlineLevel="1" x14ac:dyDescent="0.25"/>
    <row r="220" ht="14.85" customHeight="1" outlineLevel="1" x14ac:dyDescent="0.25"/>
    <row r="221" ht="14.85" customHeight="1" outlineLevel="1" x14ac:dyDescent="0.25"/>
    <row r="222" ht="14.85" customHeight="1" outlineLevel="1" x14ac:dyDescent="0.25"/>
    <row r="223" ht="14.85" customHeight="1" outlineLevel="1" x14ac:dyDescent="0.25"/>
    <row r="224" ht="14.85" customHeight="1" outlineLevel="1" x14ac:dyDescent="0.25"/>
    <row r="225" ht="14.85" customHeight="1" outlineLevel="1" x14ac:dyDescent="0.25"/>
    <row r="226" ht="14.85" customHeight="1" outlineLevel="1" x14ac:dyDescent="0.25"/>
    <row r="227" ht="14.85" customHeight="1" outlineLevel="1" x14ac:dyDescent="0.25"/>
    <row r="228" ht="14.85" customHeight="1" outlineLevel="1" x14ac:dyDescent="0.25"/>
    <row r="229" ht="14.85" customHeight="1" outlineLevel="1" x14ac:dyDescent="0.25"/>
    <row r="230" ht="14.85" customHeight="1" outlineLevel="1" x14ac:dyDescent="0.25"/>
    <row r="231" ht="14.85" customHeight="1" outlineLevel="1" x14ac:dyDescent="0.25"/>
    <row r="232" outlineLevel="1" x14ac:dyDescent="0.25"/>
    <row r="233" ht="14.85" customHeight="1" outlineLevel="1" x14ac:dyDescent="0.25"/>
    <row r="234" outlineLevel="1" x14ac:dyDescent="0.25"/>
    <row r="235" ht="14.85" customHeight="1" outlineLevel="1" x14ac:dyDescent="0.25"/>
    <row r="236" ht="14.85" customHeight="1" outlineLevel="1" x14ac:dyDescent="0.25"/>
    <row r="237" ht="14.85" customHeight="1" outlineLevel="1" x14ac:dyDescent="0.25"/>
    <row r="238" ht="14.85" customHeight="1" outlineLevel="1" x14ac:dyDescent="0.25"/>
    <row r="239" ht="14.85" customHeight="1" outlineLevel="1" x14ac:dyDescent="0.25"/>
    <row r="240" outlineLevel="1" x14ac:dyDescent="0.25"/>
    <row r="241" outlineLevel="1" x14ac:dyDescent="0.25"/>
    <row r="242" outlineLevel="1" x14ac:dyDescent="0.25"/>
    <row r="243" outlineLevel="1" x14ac:dyDescent="0.25"/>
    <row r="244" outlineLevel="1" x14ac:dyDescent="0.25"/>
    <row r="245" outlineLevel="1" x14ac:dyDescent="0.25"/>
    <row r="246" outlineLevel="1" x14ac:dyDescent="0.25"/>
    <row r="247" outlineLevel="1" x14ac:dyDescent="0.25"/>
    <row r="248" outlineLevel="1" x14ac:dyDescent="0.25"/>
    <row r="249" outlineLevel="1" x14ac:dyDescent="0.25"/>
    <row r="250" ht="14.85" customHeight="1" outlineLevel="1" x14ac:dyDescent="0.25"/>
    <row r="251" ht="14.85" customHeight="1" outlineLevel="1" x14ac:dyDescent="0.25"/>
    <row r="252" outlineLevel="1" x14ac:dyDescent="0.25"/>
    <row r="253" ht="14.85" customHeight="1" outlineLevel="1" x14ac:dyDescent="0.25"/>
    <row r="254" ht="14.85" customHeight="1" outlineLevel="1" x14ac:dyDescent="0.25"/>
    <row r="255" ht="14.85" customHeight="1" outlineLevel="1" x14ac:dyDescent="0.25"/>
    <row r="256" outlineLevel="1" x14ac:dyDescent="0.25"/>
    <row r="257" outlineLevel="1" x14ac:dyDescent="0.25"/>
    <row r="258" outlineLevel="1" x14ac:dyDescent="0.25"/>
    <row r="259" outlineLevel="1" x14ac:dyDescent="0.25"/>
    <row r="260" outlineLevel="1" x14ac:dyDescent="0.25"/>
    <row r="261" outlineLevel="1" x14ac:dyDescent="0.25"/>
    <row r="262" outlineLevel="1" x14ac:dyDescent="0.25"/>
    <row r="263" outlineLevel="1" x14ac:dyDescent="0.25"/>
    <row r="264" outlineLevel="1" x14ac:dyDescent="0.25"/>
    <row r="265" outlineLevel="1" x14ac:dyDescent="0.25"/>
    <row r="266" outlineLevel="1" x14ac:dyDescent="0.25"/>
    <row r="267" outlineLevel="1" x14ac:dyDescent="0.25"/>
    <row r="268" outlineLevel="1" x14ac:dyDescent="0.25"/>
    <row r="269" outlineLevel="1" x14ac:dyDescent="0.25"/>
    <row r="270" outlineLevel="1" x14ac:dyDescent="0.25"/>
    <row r="271" outlineLevel="1" x14ac:dyDescent="0.25"/>
    <row r="272" outlineLevel="1" x14ac:dyDescent="0.25"/>
    <row r="273" outlineLevel="1" x14ac:dyDescent="0.25"/>
    <row r="274" outlineLevel="1" x14ac:dyDescent="0.25"/>
    <row r="275" outlineLevel="1" x14ac:dyDescent="0.25"/>
    <row r="276" outlineLevel="1" x14ac:dyDescent="0.25"/>
    <row r="277" ht="14.85" customHeight="1" outlineLevel="1" x14ac:dyDescent="0.25"/>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58FF9-7AC3-42D0-83D7-28FD592D7646}">
  <sheetPr codeName="Sheet1"/>
  <dimension ref="A1:H47"/>
  <sheetViews>
    <sheetView tabSelected="1" topLeftCell="A31" zoomScale="70" zoomScaleNormal="70" workbookViewId="0">
      <selection activeCell="C51" sqref="C51"/>
    </sheetView>
  </sheetViews>
  <sheetFormatPr defaultColWidth="8.7109375" defaultRowHeight="15" x14ac:dyDescent="0.25"/>
  <cols>
    <col min="1" max="1" width="21.28515625" customWidth="1"/>
    <col min="2" max="2" width="30.85546875" customWidth="1"/>
    <col min="3" max="3" width="14.5703125" customWidth="1"/>
    <col min="4" max="4" width="27.85546875" bestFit="1" customWidth="1"/>
    <col min="5" max="5" width="18.42578125" customWidth="1"/>
    <col min="6" max="6" width="26.42578125" customWidth="1"/>
    <col min="7" max="7" width="13.85546875" bestFit="1" customWidth="1"/>
  </cols>
  <sheetData>
    <row r="1" spans="1:7" x14ac:dyDescent="0.25">
      <c r="C1" s="4" t="s">
        <v>1219</v>
      </c>
      <c r="G1">
        <v>5</v>
      </c>
    </row>
    <row r="2" spans="1:7" x14ac:dyDescent="0.25">
      <c r="A2" t="s">
        <v>1220</v>
      </c>
    </row>
    <row r="3" spans="1:7" x14ac:dyDescent="0.25">
      <c r="A3" s="148"/>
      <c r="B3" t="s">
        <v>1221</v>
      </c>
    </row>
    <row r="4" spans="1:7" x14ac:dyDescent="0.25">
      <c r="A4" s="149"/>
      <c r="B4" t="s">
        <v>1222</v>
      </c>
    </row>
    <row r="5" spans="1:7" x14ac:dyDescent="0.25">
      <c r="A5" s="150"/>
      <c r="B5" t="s">
        <v>1223</v>
      </c>
    </row>
    <row r="7" spans="1:7" x14ac:dyDescent="0.25">
      <c r="A7" s="151" t="s">
        <v>1224</v>
      </c>
      <c r="B7" s="152"/>
      <c r="C7" s="152"/>
      <c r="D7" s="153" t="s">
        <v>1225</v>
      </c>
      <c r="E7" s="152"/>
      <c r="F7" s="154"/>
    </row>
    <row r="8" spans="1:7" x14ac:dyDescent="0.25">
      <c r="A8" s="155"/>
      <c r="B8" s="156" t="s">
        <v>1226</v>
      </c>
      <c r="C8" s="157">
        <v>1400</v>
      </c>
      <c r="E8" s="156" t="s">
        <v>1227</v>
      </c>
      <c r="F8" s="158">
        <v>1</v>
      </c>
    </row>
    <row r="9" spans="1:7" x14ac:dyDescent="0.25">
      <c r="A9" s="155"/>
      <c r="B9" s="156" t="s">
        <v>1228</v>
      </c>
      <c r="C9" s="157">
        <v>500</v>
      </c>
      <c r="E9" s="156" t="s">
        <v>1229</v>
      </c>
      <c r="F9" s="158">
        <v>1</v>
      </c>
    </row>
    <row r="10" spans="1:7" x14ac:dyDescent="0.25">
      <c r="A10" s="155"/>
      <c r="B10" s="156" t="s">
        <v>1230</v>
      </c>
      <c r="C10" s="157">
        <v>400</v>
      </c>
      <c r="E10" s="156" t="s">
        <v>1231</v>
      </c>
      <c r="F10" s="158">
        <v>1</v>
      </c>
    </row>
    <row r="11" spans="1:7" x14ac:dyDescent="0.25">
      <c r="A11" s="155"/>
      <c r="B11" s="156" t="s">
        <v>1232</v>
      </c>
      <c r="C11" s="157">
        <v>333</v>
      </c>
      <c r="E11" s="156" t="s">
        <v>1233</v>
      </c>
      <c r="F11" s="158">
        <v>1</v>
      </c>
    </row>
    <row r="12" spans="1:7" x14ac:dyDescent="0.25">
      <c r="A12" s="155"/>
      <c r="B12" s="156" t="s">
        <v>1234</v>
      </c>
      <c r="C12" s="157">
        <v>400</v>
      </c>
      <c r="E12" s="156" t="s">
        <v>251</v>
      </c>
      <c r="F12" s="158">
        <v>1</v>
      </c>
    </row>
    <row r="13" spans="1:7" x14ac:dyDescent="0.25">
      <c r="A13" s="155"/>
      <c r="B13" s="156" t="s">
        <v>1279</v>
      </c>
      <c r="C13" s="157">
        <v>400</v>
      </c>
      <c r="E13" s="156" t="s">
        <v>1278</v>
      </c>
      <c r="F13" s="158">
        <v>1</v>
      </c>
    </row>
    <row r="14" spans="1:7" x14ac:dyDescent="0.25">
      <c r="A14" s="155"/>
      <c r="E14" s="156" t="s">
        <v>1235</v>
      </c>
      <c r="F14" s="158">
        <v>1</v>
      </c>
    </row>
    <row r="15" spans="1:7" x14ac:dyDescent="0.25">
      <c r="A15" s="155"/>
      <c r="E15" s="156" t="s">
        <v>1236</v>
      </c>
      <c r="F15" s="158">
        <v>1</v>
      </c>
    </row>
    <row r="16" spans="1:7" x14ac:dyDescent="0.25">
      <c r="A16" s="155"/>
      <c r="E16" s="156" t="s">
        <v>1237</v>
      </c>
      <c r="F16" s="158">
        <v>1</v>
      </c>
    </row>
    <row r="17" spans="1:8" x14ac:dyDescent="0.25">
      <c r="A17" s="155"/>
      <c r="E17" s="156" t="s">
        <v>1238</v>
      </c>
      <c r="F17" s="171">
        <v>0</v>
      </c>
    </row>
    <row r="19" spans="1:8" x14ac:dyDescent="0.25">
      <c r="F19" s="160"/>
    </row>
    <row r="20" spans="1:8" x14ac:dyDescent="0.25">
      <c r="A20" s="161" t="s">
        <v>65</v>
      </c>
      <c r="B20" s="161" t="s">
        <v>1239</v>
      </c>
      <c r="C20" s="161" t="s">
        <v>1240</v>
      </c>
      <c r="D20" s="152"/>
      <c r="E20" s="161" t="s">
        <v>1241</v>
      </c>
      <c r="F20" s="161" t="s">
        <v>1239</v>
      </c>
      <c r="G20" s="161" t="s">
        <v>1242</v>
      </c>
    </row>
    <row r="21" spans="1:8" x14ac:dyDescent="0.25">
      <c r="A21" s="156" t="s">
        <v>1243</v>
      </c>
      <c r="B21" s="162" t="s">
        <v>921</v>
      </c>
      <c r="C21" s="163">
        <v>1</v>
      </c>
      <c r="E21" s="156" t="s">
        <v>1244</v>
      </c>
      <c r="F21" s="163" t="s">
        <v>505</v>
      </c>
      <c r="G21" s="158">
        <v>1</v>
      </c>
      <c r="H21" t="s">
        <v>1245</v>
      </c>
    </row>
    <row r="22" spans="1:8" x14ac:dyDescent="0.25">
      <c r="A22" s="186" t="s">
        <v>1286</v>
      </c>
      <c r="B22" s="162" t="s">
        <v>921</v>
      </c>
      <c r="C22" s="163">
        <v>1</v>
      </c>
      <c r="E22" s="156" t="s">
        <v>1246</v>
      </c>
      <c r="F22" s="163">
        <v>1</v>
      </c>
      <c r="G22" s="164" t="s">
        <v>1247</v>
      </c>
    </row>
    <row r="23" spans="1:8" x14ac:dyDescent="0.25">
      <c r="A23" s="186" t="s">
        <v>1287</v>
      </c>
      <c r="B23" s="162" t="s">
        <v>921</v>
      </c>
      <c r="C23" s="163">
        <v>1</v>
      </c>
      <c r="E23" s="156" t="s">
        <v>1248</v>
      </c>
      <c r="F23" s="163" t="s">
        <v>465</v>
      </c>
      <c r="G23" s="158">
        <v>1</v>
      </c>
      <c r="H23" t="s">
        <v>1249</v>
      </c>
    </row>
    <row r="24" spans="1:8" x14ac:dyDescent="0.25">
      <c r="A24" s="156" t="s">
        <v>1293</v>
      </c>
      <c r="B24" s="162" t="s">
        <v>887</v>
      </c>
      <c r="C24" s="163">
        <v>1</v>
      </c>
      <c r="E24" s="156" t="s">
        <v>1250</v>
      </c>
      <c r="F24" s="163" t="s">
        <v>467</v>
      </c>
      <c r="G24" s="158">
        <v>1</v>
      </c>
    </row>
    <row r="25" spans="1:8" x14ac:dyDescent="0.25">
      <c r="A25" s="156" t="s">
        <v>1294</v>
      </c>
      <c r="B25" s="162" t="s">
        <v>877</v>
      </c>
      <c r="C25" s="163">
        <v>1</v>
      </c>
      <c r="E25" s="156" t="s">
        <v>1252</v>
      </c>
      <c r="F25" s="163" t="s">
        <v>623</v>
      </c>
      <c r="G25" s="158">
        <v>1</v>
      </c>
    </row>
    <row r="26" spans="1:8" x14ac:dyDescent="0.25">
      <c r="A26" s="156" t="s">
        <v>1283</v>
      </c>
      <c r="B26" s="162" t="s">
        <v>877</v>
      </c>
      <c r="C26" s="163">
        <v>1</v>
      </c>
      <c r="E26" s="156" t="s">
        <v>1253</v>
      </c>
      <c r="F26" s="163" t="s">
        <v>1015</v>
      </c>
      <c r="G26" s="158">
        <v>1</v>
      </c>
    </row>
    <row r="27" spans="1:8" x14ac:dyDescent="0.25">
      <c r="A27" s="156" t="s">
        <v>1251</v>
      </c>
      <c r="B27" s="162" t="s">
        <v>681</v>
      </c>
      <c r="C27" s="163">
        <v>1</v>
      </c>
      <c r="E27" s="156" t="s">
        <v>1255</v>
      </c>
      <c r="F27" s="163" t="s">
        <v>1015</v>
      </c>
      <c r="G27" s="158">
        <v>1</v>
      </c>
    </row>
    <row r="28" spans="1:8" x14ac:dyDescent="0.25">
      <c r="A28" s="156" t="s">
        <v>246</v>
      </c>
      <c r="B28" s="162" t="s">
        <v>678</v>
      </c>
      <c r="C28" s="163">
        <v>1</v>
      </c>
      <c r="E28" s="156" t="s">
        <v>1257</v>
      </c>
      <c r="F28" s="163" t="s">
        <v>443</v>
      </c>
      <c r="G28" s="158">
        <v>1</v>
      </c>
    </row>
    <row r="29" spans="1:8" x14ac:dyDescent="0.25">
      <c r="A29" s="156" t="s">
        <v>1254</v>
      </c>
      <c r="B29" s="163" t="s">
        <v>775</v>
      </c>
      <c r="C29" s="163">
        <v>1</v>
      </c>
      <c r="D29" s="155"/>
      <c r="E29" s="156" t="s">
        <v>1259</v>
      </c>
      <c r="F29" s="163" t="s">
        <v>416</v>
      </c>
      <c r="G29" s="158">
        <v>1</v>
      </c>
    </row>
    <row r="30" spans="1:8" x14ac:dyDescent="0.25">
      <c r="A30" s="156" t="s">
        <v>1256</v>
      </c>
      <c r="B30" s="163" t="s">
        <v>674</v>
      </c>
      <c r="C30" s="163">
        <v>1</v>
      </c>
      <c r="F30" s="166"/>
      <c r="G30" s="167"/>
    </row>
    <row r="31" spans="1:8" x14ac:dyDescent="0.25">
      <c r="A31" s="156" t="s">
        <v>1258</v>
      </c>
      <c r="B31" s="163" t="s">
        <v>674</v>
      </c>
      <c r="C31" s="163">
        <v>1</v>
      </c>
      <c r="F31" s="166"/>
      <c r="G31" s="167"/>
    </row>
    <row r="32" spans="1:8" x14ac:dyDescent="0.25">
      <c r="A32" s="156" t="s">
        <v>1260</v>
      </c>
      <c r="B32" s="162" t="s">
        <v>848</v>
      </c>
      <c r="C32" s="163">
        <v>1</v>
      </c>
    </row>
    <row r="33" spans="1:7" x14ac:dyDescent="0.25">
      <c r="A33" s="185" t="s">
        <v>1285</v>
      </c>
      <c r="B33" s="162" t="s">
        <v>848</v>
      </c>
      <c r="C33" s="163">
        <v>1</v>
      </c>
    </row>
    <row r="34" spans="1:7" x14ac:dyDescent="0.25">
      <c r="A34" s="156" t="s">
        <v>1236</v>
      </c>
      <c r="B34" s="162" t="s">
        <v>631</v>
      </c>
      <c r="C34" s="163">
        <v>1</v>
      </c>
    </row>
    <row r="36" spans="1:7" x14ac:dyDescent="0.25">
      <c r="A36" s="151" t="s">
        <v>1261</v>
      </c>
      <c r="B36" s="152"/>
      <c r="C36" s="152"/>
      <c r="D36" s="154"/>
      <c r="E36" s="151" t="s">
        <v>1262</v>
      </c>
      <c r="F36" s="152"/>
      <c r="G36" s="168"/>
    </row>
    <row r="37" spans="1:7" x14ac:dyDescent="0.25">
      <c r="A37" s="169"/>
      <c r="B37" s="161" t="s">
        <v>1263</v>
      </c>
      <c r="C37" s="161" t="s">
        <v>1264</v>
      </c>
      <c r="D37" s="161" t="s">
        <v>1292</v>
      </c>
      <c r="E37" s="155"/>
      <c r="F37" s="156" t="s">
        <v>1265</v>
      </c>
      <c r="G37" s="157">
        <v>125</v>
      </c>
    </row>
    <row r="38" spans="1:7" x14ac:dyDescent="0.25">
      <c r="A38" s="155"/>
      <c r="B38" s="156" t="s">
        <v>116</v>
      </c>
      <c r="C38" s="157">
        <v>0.75</v>
      </c>
      <c r="D38" s="170">
        <f>'Power Summary'!G58+'Power Summary'!C72</f>
        <v>2068.854677998745</v>
      </c>
      <c r="F38" s="156" t="s">
        <v>1266</v>
      </c>
      <c r="G38" s="174" t="s">
        <v>1267</v>
      </c>
    </row>
    <row r="39" spans="1:7" x14ac:dyDescent="0.25">
      <c r="A39" s="155"/>
      <c r="B39" s="156" t="s">
        <v>1268</v>
      </c>
      <c r="C39" s="157">
        <v>0.85</v>
      </c>
      <c r="D39" s="170">
        <f>'Power Summary'!C76</f>
        <v>121.1502384336442</v>
      </c>
      <c r="E39" t="s">
        <v>1269</v>
      </c>
      <c r="F39" s="156" t="s">
        <v>1270</v>
      </c>
      <c r="G39" s="177" t="s">
        <v>115</v>
      </c>
    </row>
    <row r="40" spans="1:7" x14ac:dyDescent="0.25">
      <c r="A40" s="155"/>
      <c r="B40" s="156" t="s">
        <v>1271</v>
      </c>
      <c r="C40" s="171">
        <v>1.8</v>
      </c>
      <c r="D40" s="170">
        <f>'Power Summary'!C61+'Power Summary'!C63+'Power Summary'!C64+'Power Summary'!C66+'Power Summary'!C67+'Power Summary'!C69+'Power Summary'!C70+'Power Summary'!C71+'Power Summary'!C73+'Power Summary'!C74</f>
        <v>176.47013968091969</v>
      </c>
    </row>
    <row r="41" spans="1:7" x14ac:dyDescent="0.25">
      <c r="A41" s="155"/>
      <c r="B41" s="156" t="s">
        <v>119</v>
      </c>
      <c r="C41" s="171">
        <v>1.1000000000000001</v>
      </c>
      <c r="D41" s="170">
        <f>'Power Summary'!G59+'Power Summary'!C75</f>
        <v>192.08052718057962</v>
      </c>
    </row>
    <row r="42" spans="1:7" x14ac:dyDescent="0.25">
      <c r="A42" s="155"/>
      <c r="B42" s="156" t="s">
        <v>1272</v>
      </c>
      <c r="C42" s="171">
        <v>1.8</v>
      </c>
      <c r="D42" s="170">
        <f>'Power Summary'!C62</f>
        <v>20.308931698847498</v>
      </c>
    </row>
    <row r="43" spans="1:7" x14ac:dyDescent="0.25">
      <c r="A43" s="172"/>
      <c r="B43" s="156" t="s">
        <v>1273</v>
      </c>
      <c r="C43" s="171">
        <v>3.3</v>
      </c>
      <c r="D43" s="170">
        <f>'Power Summary'!C68+'Power Summary'!C60</f>
        <v>279.96795435286674</v>
      </c>
    </row>
    <row r="44" spans="1:7" x14ac:dyDescent="0.25">
      <c r="A44" s="165"/>
      <c r="B44" s="156" t="s">
        <v>1274</v>
      </c>
      <c r="C44" s="159"/>
      <c r="D44" s="170">
        <f>SUM(D38:D43)</f>
        <v>2858.8324693456029</v>
      </c>
    </row>
    <row r="47" spans="1:7" x14ac:dyDescent="0.25">
      <c r="D47" s="190" t="s">
        <v>1295</v>
      </c>
      <c r="E47" s="190">
        <f>D38/C38</f>
        <v>2758.4729039983267</v>
      </c>
    </row>
  </sheetData>
  <dataValidations count="19">
    <dataValidation type="list" allowBlank="1" showInputMessage="1" showErrorMessage="1" error="Please enter a value between HFOSC Frequency-800MHz" sqref="C9" xr:uid="{BF47B7FD-7B19-4F84-AA21-A498DD23B00B}">
      <formula1>"500,0"</formula1>
    </dataValidation>
    <dataValidation type="list" allowBlank="1" showInputMessage="1" showErrorMessage="1" error="Please enter a value between HFOSC Frequency-1000MHz" sqref="C8" xr:uid="{046C599C-C761-45E5-9271-3CF4A31A35AD}">
      <formula1>"1400, 1250, 1000, 500, 250, 125"</formula1>
    </dataValidation>
    <dataValidation type="list" allowBlank="1" showInputMessage="1" showErrorMessage="1" sqref="B21:B23" xr:uid="{AC7F166D-DE06-4A89-98FB-C5E781CB2E07}">
      <formula1>uart_modes</formula1>
    </dataValidation>
    <dataValidation type="list" allowBlank="1" showInputMessage="1" showErrorMessage="1" sqref="G39" xr:uid="{A7286CD5-E340-4EFD-9816-D043502F6DC5}">
      <formula1>"TBD"</formula1>
    </dataValidation>
    <dataValidation type="list" allowBlank="1" showInputMessage="1" showErrorMessage="1" sqref="B24:B26" xr:uid="{7AA98537-4EE1-4554-9D82-F9126602F7A9}">
      <formula1>spi_modes</formula1>
    </dataValidation>
    <dataValidation type="list" allowBlank="1" showInputMessage="1" showErrorMessage="1" sqref="B29" xr:uid="{A285EEC8-2634-41A2-9794-713BBF40625B}">
      <formula1>dpi_modes</formula1>
    </dataValidation>
    <dataValidation type="list" allowBlank="1" showInputMessage="1" showErrorMessage="1" sqref="B30:B31" xr:uid="{DE5B31DF-E713-478A-AFC9-77F727EFB74F}">
      <formula1>ethernet_port_modes</formula1>
    </dataValidation>
    <dataValidation type="list" allowBlank="1" showInputMessage="1" showErrorMessage="1" sqref="F21" xr:uid="{74335256-FC6C-44B1-8418-F1993C3BA4D9}">
      <formula1>LPDDR4_DDR4_16_1600_Modes</formula1>
    </dataValidation>
    <dataValidation type="list" allowBlank="1" showInputMessage="1" showErrorMessage="1" sqref="F23:F24" xr:uid="{E0DB65C8-8F92-4864-AD75-1CEFA1038365}">
      <formula1>usb2_modes</formula1>
    </dataValidation>
    <dataValidation type="list" allowBlank="1" showInputMessage="1" showErrorMessage="1" sqref="F26:F27" xr:uid="{0A96286F-909E-401D-BD14-CBADB71A7F02}">
      <formula1>emmc4_modes</formula1>
    </dataValidation>
    <dataValidation type="list" allowBlank="1" showInputMessage="1" showErrorMessage="1" sqref="F28" xr:uid="{00979AE3-7FA0-4951-AB0F-3B374DFD730A}">
      <formula1>LVDS_Modes</formula1>
    </dataValidation>
    <dataValidation type="list" allowBlank="1" showInputMessage="1" showErrorMessage="1" sqref="C10" xr:uid="{A0B682EC-7A07-445A-83AE-DCBFCD58A6D0}">
      <formula1>"400, 200, 0"</formula1>
    </dataValidation>
    <dataValidation type="list" allowBlank="1" showInputMessage="1" showErrorMessage="1" sqref="C11" xr:uid="{2CBB685F-8CBD-402D-9721-66D9AAAE49DA}">
      <formula1>"333, 250, 200"</formula1>
    </dataValidation>
    <dataValidation type="list" allowBlank="1" showInputMessage="1" showErrorMessage="1" sqref="C12:C13" xr:uid="{E12949BC-66E0-48E4-8549-94D2AB727BF5}">
      <formula1>"400, 133, 0"</formula1>
    </dataValidation>
    <dataValidation type="list" allowBlank="1" showInputMessage="1" showErrorMessage="1" sqref="F29" xr:uid="{057DDE49-96F8-4671-AEED-4DFD95464BA2}">
      <formula1>dphy_rx_modes</formula1>
    </dataValidation>
    <dataValidation type="list" allowBlank="1" showInputMessage="1" showErrorMessage="1" sqref="G38" xr:uid="{39974561-3D43-407D-AA6C-CD6F3243E2DB}">
      <formula1>"Max, Nominal"</formula1>
    </dataValidation>
    <dataValidation type="list" allowBlank="1" showInputMessage="1" showErrorMessage="1" sqref="F25" xr:uid="{A8180132-4F54-4AEF-8DCD-A503C14553C2}">
      <formula1>emmc8_hs400_modes</formula1>
    </dataValidation>
    <dataValidation type="list" allowBlank="1" showInputMessage="1" showErrorMessage="1" sqref="C38" xr:uid="{63A61DAA-70F8-4EE3-B41A-CA55DF811A39}">
      <formula1>vdd_core_modes</formula1>
    </dataValidation>
    <dataValidation type="list" allowBlank="1" showInputMessage="1" showErrorMessage="1" sqref="B33" xr:uid="{22753368-8EAF-4204-A6B9-C140D4833806}">
      <formula1>mcasp_modes</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B6449AEE-468C-44C7-BCB2-AFEE09EFFAE4}">
          <x14:formula1>
            <xm:f>'Control Panel'!$A$309:$A$318</xm:f>
          </x14:formula1>
          <xm:sqref>B27</xm:sqref>
        </x14:dataValidation>
        <x14:dataValidation type="list" allowBlank="1" showInputMessage="1" showErrorMessage="1" xr:uid="{23C6188A-769B-456D-9264-D61A58020393}">
          <x14:formula1>
            <xm:f>'Control Panel'!$A$275:$A$282</xm:f>
          </x14:formula1>
          <xm:sqref>B28</xm:sqref>
        </x14:dataValidation>
        <x14:dataValidation type="list" allowBlank="1" showInputMessage="1" showErrorMessage="1" xr:uid="{51112A70-BC3C-48FA-9D18-5D4F6B75E3ED}">
          <x14:formula1>
            <xm:f>'Control Panel'!$A$485:$A$512</xm:f>
          </x14:formula1>
          <xm:sqref>B32</xm:sqref>
        </x14:dataValidation>
        <x14:dataValidation type="list" allowBlank="1" showInputMessage="1" showErrorMessage="1" xr:uid="{0324F8FE-FD2A-40A0-BC02-5AC420CE12DC}">
          <x14:formula1>
            <xm:f>'C:\Users\a0273958\Desktop\Sitara\AM62 PET\[AM62_PET_0.01_ks.xlsm]Lists'!#REF!</xm:f>
          </x14:formula1>
          <xm:sqref>F30:F31</xm:sqref>
        </x14:dataValidation>
        <x14:dataValidation type="list" allowBlank="1" showInputMessage="1" showErrorMessage="1" xr:uid="{13ACE948-07EC-4489-8546-41796B5C9352}">
          <x14:formula1>
            <xm:f>'Control Panel'!$A$245:$A$258</xm:f>
          </x14:formula1>
          <xm:sqref>B34 C37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theme="5" tint="-0.249977111117893"/>
  </sheetPr>
  <dimension ref="A1:AX662"/>
  <sheetViews>
    <sheetView zoomScale="175" zoomScaleNormal="175" workbookViewId="0">
      <selection activeCell="B13" sqref="B13"/>
    </sheetView>
  </sheetViews>
  <sheetFormatPr defaultColWidth="8.5703125" defaultRowHeight="12.6" customHeight="1" x14ac:dyDescent="0.2"/>
  <cols>
    <col min="1" max="1" width="23.5703125" style="19" customWidth="1"/>
    <col min="2" max="2" width="28.5703125" style="14" customWidth="1"/>
    <col min="3" max="4" width="12.5703125" style="11" customWidth="1"/>
    <col min="5" max="5" width="10.5703125" style="11" customWidth="1"/>
    <col min="6" max="6" width="11.42578125" style="11" customWidth="1"/>
    <col min="7" max="10" width="9.5703125" style="11" customWidth="1"/>
    <col min="11" max="12" width="7.5703125" style="11" customWidth="1"/>
    <col min="13" max="13" width="11.85546875" style="11" customWidth="1"/>
    <col min="14" max="15" width="7.5703125" style="11" customWidth="1"/>
    <col min="16" max="46" width="8.5703125" style="11" customWidth="1"/>
    <col min="47" max="47" width="14.5703125" style="11" bestFit="1" customWidth="1"/>
    <col min="48" max="50" width="15" style="11" customWidth="1"/>
    <col min="51" max="104" width="8.5703125" style="11" customWidth="1"/>
    <col min="105" max="16384" width="8.5703125" style="11"/>
  </cols>
  <sheetData>
    <row r="1" spans="1:46" ht="20.25" thickBot="1" x14ac:dyDescent="0.35">
      <c r="A1" s="15" t="s">
        <v>1217</v>
      </c>
      <c r="B1" s="15"/>
      <c r="C1" s="15"/>
      <c r="D1" s="16"/>
      <c r="E1" s="16"/>
      <c r="F1" s="15"/>
      <c r="G1" s="15"/>
      <c r="I1"/>
      <c r="J1" s="30"/>
      <c r="K1" s="29"/>
      <c r="L1"/>
      <c r="M1"/>
      <c r="N1"/>
      <c r="O1"/>
      <c r="P1"/>
      <c r="Q1"/>
      <c r="R1"/>
      <c r="S1"/>
      <c r="T1"/>
    </row>
    <row r="2" spans="1:46" ht="12.6" customHeight="1" thickTop="1" x14ac:dyDescent="0.25">
      <c r="A2" s="11"/>
      <c r="I2" s="28"/>
      <c r="J2"/>
      <c r="K2"/>
      <c r="L2"/>
      <c r="M2"/>
      <c r="N2"/>
      <c r="O2"/>
      <c r="P2"/>
      <c r="Q2"/>
      <c r="R2"/>
      <c r="S2"/>
      <c r="T2"/>
    </row>
    <row r="3" spans="1:46" ht="12.6" customHeight="1" x14ac:dyDescent="0.25">
      <c r="A3" s="11" t="s">
        <v>156</v>
      </c>
      <c r="I3"/>
      <c r="J3"/>
      <c r="K3"/>
      <c r="L3"/>
      <c r="M3"/>
      <c r="N3"/>
      <c r="O3"/>
      <c r="P3"/>
      <c r="Q3"/>
      <c r="R3"/>
      <c r="S3"/>
      <c r="T3"/>
    </row>
    <row r="4" spans="1:46" ht="12.6" customHeight="1" x14ac:dyDescent="0.25">
      <c r="A4" s="11" t="s">
        <v>155</v>
      </c>
      <c r="I4"/>
      <c r="J4"/>
      <c r="K4"/>
      <c r="L4"/>
      <c r="M4"/>
      <c r="N4"/>
      <c r="O4"/>
      <c r="P4"/>
      <c r="Q4"/>
      <c r="R4"/>
      <c r="S4"/>
      <c r="T4"/>
    </row>
    <row r="5" spans="1:46" ht="12.6" customHeight="1" x14ac:dyDescent="0.25">
      <c r="A5" s="11"/>
      <c r="C5"/>
      <c r="D5"/>
      <c r="E5"/>
      <c r="F5"/>
      <c r="G5"/>
      <c r="H5"/>
      <c r="I5"/>
      <c r="J5"/>
      <c r="K5"/>
      <c r="L5"/>
      <c r="M5"/>
      <c r="N5"/>
      <c r="O5"/>
      <c r="P5"/>
      <c r="Q5"/>
      <c r="R5" s="27"/>
      <c r="S5"/>
      <c r="T5"/>
      <c r="U5"/>
      <c r="V5"/>
      <c r="W5"/>
    </row>
    <row r="6" spans="1:46" ht="15" x14ac:dyDescent="0.25">
      <c r="A6" s="24" t="s">
        <v>35</v>
      </c>
      <c r="B6" s="93" t="s">
        <v>1275</v>
      </c>
      <c r="C6" t="s">
        <v>1218</v>
      </c>
      <c r="D6"/>
      <c r="E6"/>
      <c r="F6"/>
      <c r="G6"/>
      <c r="H6"/>
      <c r="I6"/>
      <c r="J6" s="28"/>
      <c r="K6" s="28"/>
      <c r="L6" s="28"/>
      <c r="M6"/>
      <c r="N6"/>
      <c r="O6"/>
      <c r="P6"/>
      <c r="Q6"/>
      <c r="R6"/>
      <c r="S6"/>
      <c r="T6"/>
      <c r="U6"/>
      <c r="V6"/>
      <c r="W6"/>
    </row>
    <row r="7" spans="1:46" ht="15" x14ac:dyDescent="0.25">
      <c r="A7" s="24" t="s">
        <v>615</v>
      </c>
      <c r="B7" s="92" t="str">
        <f>INDEX('Use Cases'!$A$3:$CZ$400,MATCH($A7,'Use Cases'!$A$3:$A$400,0),MATCH(Use_Case,'Use Cases'!$A$3:$CZ$3,0))</f>
        <v>New use case submitted 2 Dec 2021.  C. Callaghan</v>
      </c>
      <c r="C7"/>
      <c r="D7"/>
      <c r="E7"/>
      <c r="F7"/>
      <c r="G7"/>
      <c r="H7"/>
      <c r="I7"/>
      <c r="J7" s="28"/>
      <c r="K7" s="28"/>
      <c r="L7" s="28"/>
      <c r="M7"/>
      <c r="N7"/>
      <c r="O7"/>
      <c r="P7"/>
      <c r="Q7"/>
      <c r="R7"/>
      <c r="S7"/>
      <c r="T7"/>
      <c r="U7"/>
      <c r="V7"/>
      <c r="W7"/>
    </row>
    <row r="8" spans="1:46" ht="12.6" customHeight="1" x14ac:dyDescent="0.25">
      <c r="A8" s="25" t="s">
        <v>617</v>
      </c>
      <c r="B8" s="92" t="str">
        <f>INDEX('Use Cases'!$A$3:$CZ$400,MATCH($A8,'Use Cases'!$A$3:$A$400,0),MATCH(Use_Case,'Use Cases'!$A$3:$CZ$3,0))</f>
        <v>Strong</v>
      </c>
      <c r="C8"/>
      <c r="D8"/>
      <c r="E8"/>
      <c r="F8"/>
      <c r="G8"/>
      <c r="H8"/>
      <c r="I8"/>
      <c r="J8"/>
      <c r="K8"/>
      <c r="L8"/>
      <c r="M8"/>
      <c r="N8"/>
      <c r="O8"/>
      <c r="P8"/>
      <c r="Q8"/>
      <c r="R8"/>
      <c r="S8"/>
      <c r="T8"/>
      <c r="AH8"/>
      <c r="AI8"/>
      <c r="AJ8"/>
      <c r="AK8"/>
      <c r="AL8"/>
      <c r="AM8"/>
      <c r="AN8"/>
      <c r="AO8"/>
      <c r="AP8"/>
      <c r="AQ8"/>
      <c r="AR8"/>
      <c r="AS8"/>
      <c r="AT8"/>
    </row>
    <row r="9" spans="1:46" ht="12.6" customHeight="1" x14ac:dyDescent="0.25">
      <c r="A9" s="25" t="s">
        <v>616</v>
      </c>
      <c r="B9" s="92">
        <v>0.2</v>
      </c>
      <c r="C9"/>
      <c r="D9"/>
      <c r="E9"/>
      <c r="F9"/>
      <c r="G9"/>
      <c r="H9"/>
      <c r="I9"/>
      <c r="J9"/>
      <c r="K9"/>
      <c r="L9"/>
      <c r="M9"/>
      <c r="N9"/>
      <c r="O9"/>
      <c r="P9"/>
      <c r="Q9"/>
      <c r="R9"/>
      <c r="S9"/>
      <c r="T9"/>
      <c r="AH9"/>
      <c r="AI9"/>
      <c r="AJ9"/>
      <c r="AK9"/>
      <c r="AL9"/>
      <c r="AM9"/>
      <c r="AN9"/>
      <c r="AO9"/>
      <c r="AP9"/>
      <c r="AQ9"/>
      <c r="AR9"/>
      <c r="AS9"/>
      <c r="AT9"/>
    </row>
    <row r="10" spans="1:46" ht="12.6" customHeight="1" x14ac:dyDescent="0.25">
      <c r="A10" s="25" t="s">
        <v>1208</v>
      </c>
      <c r="B10" s="92" t="str">
        <f>INDEX('Use Cases'!$A$3:$CZ$400,MATCH($A10,'Use Cases'!$A$3:$A$400,0),MATCH(Use_Case,'Use Cases'!$A$3:$CZ$3,0))</f>
        <v>C Callaghan</v>
      </c>
      <c r="C10"/>
      <c r="D10"/>
      <c r="E10"/>
      <c r="F10"/>
      <c r="G10"/>
      <c r="H10"/>
      <c r="I10"/>
      <c r="J10"/>
      <c r="K10"/>
      <c r="L10"/>
      <c r="M10"/>
      <c r="N10"/>
      <c r="O10"/>
      <c r="P10"/>
      <c r="Q10"/>
      <c r="R10"/>
      <c r="S10"/>
      <c r="T10"/>
      <c r="AH10"/>
      <c r="AI10"/>
      <c r="AJ10"/>
      <c r="AK10"/>
      <c r="AL10"/>
      <c r="AM10"/>
      <c r="AN10"/>
      <c r="AO10"/>
      <c r="AP10"/>
      <c r="AQ10"/>
      <c r="AR10"/>
      <c r="AS10"/>
      <c r="AT10"/>
    </row>
    <row r="11" spans="1:46" ht="12.6" customHeight="1" x14ac:dyDescent="0.25">
      <c r="A11" s="25" t="s">
        <v>618</v>
      </c>
      <c r="B11" s="94">
        <f>INDEX('Use Cases'!$A$3:$CZ$400,MATCH($A11,'Use Cases'!$A$3:$A$400,0),MATCH(Use_Case,'Use Cases'!$A$3:$CZ$3,0))</f>
        <v>44532</v>
      </c>
      <c r="C11"/>
      <c r="D11"/>
      <c r="E11"/>
      <c r="F11"/>
      <c r="G11"/>
      <c r="H11"/>
      <c r="I11"/>
      <c r="J11"/>
      <c r="K11"/>
      <c r="L11"/>
      <c r="M11"/>
      <c r="N11"/>
      <c r="O11"/>
      <c r="P11"/>
      <c r="Q11"/>
      <c r="R11"/>
      <c r="S11"/>
      <c r="T11"/>
      <c r="AH11"/>
      <c r="AI11"/>
      <c r="AJ11"/>
      <c r="AK11"/>
      <c r="AL11"/>
      <c r="AM11"/>
      <c r="AN11"/>
      <c r="AO11"/>
      <c r="AP11"/>
      <c r="AQ11"/>
      <c r="AR11"/>
      <c r="AS11"/>
      <c r="AT11"/>
    </row>
    <row r="12" spans="1:46" ht="12.6" customHeight="1" x14ac:dyDescent="0.25">
      <c r="A12" s="25" t="s">
        <v>619</v>
      </c>
      <c r="B12" s="92" t="str">
        <f>INDEX('Use Cases'!$A$3:$CZ$400,MATCH($A12,'Use Cases'!$A$3:$A$400,0),MATCH(Use_Case,'Use Cases'!$A$3:$CZ$3,0))</f>
        <v>N/A</v>
      </c>
      <c r="C12"/>
      <c r="D12"/>
      <c r="E12"/>
      <c r="F12"/>
      <c r="G12"/>
      <c r="H12"/>
      <c r="I12"/>
      <c r="J12"/>
      <c r="K12"/>
      <c r="L12"/>
      <c r="M12"/>
      <c r="N12"/>
      <c r="O12"/>
      <c r="P12"/>
      <c r="Q12"/>
      <c r="R12"/>
      <c r="S12"/>
      <c r="T12"/>
      <c r="AH12"/>
      <c r="AI12"/>
      <c r="AJ12"/>
      <c r="AK12"/>
      <c r="AL12"/>
      <c r="AM12"/>
      <c r="AN12"/>
      <c r="AO12"/>
      <c r="AP12"/>
      <c r="AQ12"/>
      <c r="AR12"/>
      <c r="AS12"/>
      <c r="AT12"/>
    </row>
    <row r="13" spans="1:46" ht="12.6" customHeight="1" x14ac:dyDescent="0.25">
      <c r="A13" s="25" t="s">
        <v>171</v>
      </c>
      <c r="B13" s="92">
        <f>INDEX('Use Cases'!$A$3:$CZ$400,MATCH($A13,'Use Cases'!$A$3:$A$400,0),MATCH(Use_Case,'Use Cases'!$A$3:$CZ$3,0))</f>
        <v>125</v>
      </c>
      <c r="C13"/>
      <c r="D13"/>
      <c r="E13"/>
      <c r="F13"/>
      <c r="G13"/>
      <c r="H13"/>
      <c r="I13"/>
      <c r="J13"/>
      <c r="K13"/>
      <c r="L13"/>
      <c r="M13"/>
      <c r="N13"/>
      <c r="O13"/>
      <c r="P13"/>
      <c r="Q13"/>
      <c r="R13"/>
      <c r="S13"/>
      <c r="T13"/>
      <c r="AH13"/>
      <c r="AI13"/>
      <c r="AJ13"/>
      <c r="AK13"/>
      <c r="AL13"/>
      <c r="AM13"/>
      <c r="AN13"/>
      <c r="AO13"/>
      <c r="AP13"/>
      <c r="AQ13"/>
      <c r="AR13"/>
      <c r="AS13"/>
      <c r="AT13"/>
    </row>
    <row r="14" spans="1:46" ht="12.6" customHeight="1" x14ac:dyDescent="0.25">
      <c r="A14" s="25" t="s">
        <v>1097</v>
      </c>
      <c r="B14" s="92">
        <f>INDEX('Use Cases'!$A$3:$CZ$400,MATCH($A14,'Use Cases'!$A$3:$A$400,0),MATCH(Use_Case,'Use Cases'!$A$3:$CZ$3,0))</f>
        <v>0.75</v>
      </c>
      <c r="C14"/>
      <c r="D14"/>
      <c r="E14"/>
      <c r="F14"/>
      <c r="G14"/>
      <c r="H14"/>
      <c r="I14"/>
      <c r="J14"/>
      <c r="K14"/>
      <c r="L14"/>
      <c r="M14"/>
      <c r="N14"/>
      <c r="O14"/>
      <c r="P14"/>
      <c r="Q14"/>
      <c r="R14"/>
      <c r="S14"/>
      <c r="T14"/>
      <c r="AH14"/>
      <c r="AI14"/>
      <c r="AJ14"/>
      <c r="AK14"/>
      <c r="AL14"/>
      <c r="AM14"/>
      <c r="AN14"/>
      <c r="AO14"/>
      <c r="AP14"/>
      <c r="AQ14"/>
      <c r="AR14"/>
      <c r="AS14"/>
      <c r="AT14"/>
    </row>
    <row r="15" spans="1:46" ht="12.6" customHeight="1" x14ac:dyDescent="0.25">
      <c r="A15" s="25" t="s">
        <v>1098</v>
      </c>
      <c r="B15" s="92">
        <f>INDEX('Use Cases'!$A$3:$CZ$400,MATCH($A15,'Use Cases'!$A$3:$A$400,0),MATCH(Use_Case,'Use Cases'!$A$3:$CZ$3,0))</f>
        <v>0.85</v>
      </c>
      <c r="C15"/>
      <c r="D15"/>
      <c r="E15"/>
      <c r="F15"/>
      <c r="G15"/>
      <c r="H15"/>
      <c r="I15"/>
      <c r="J15"/>
      <c r="K15"/>
      <c r="L15"/>
      <c r="M15"/>
      <c r="N15"/>
      <c r="O15"/>
      <c r="P15"/>
      <c r="Q15"/>
      <c r="R15"/>
      <c r="S15"/>
      <c r="T15"/>
      <c r="AH15"/>
      <c r="AI15"/>
      <c r="AJ15"/>
      <c r="AK15"/>
      <c r="AL15"/>
      <c r="AM15"/>
      <c r="AN15"/>
      <c r="AO15"/>
      <c r="AP15"/>
      <c r="AQ15"/>
      <c r="AR15"/>
      <c r="AS15"/>
      <c r="AT15"/>
    </row>
    <row r="16" spans="1:46" ht="12.6" customHeight="1" x14ac:dyDescent="0.25">
      <c r="A16" s="17" t="s">
        <v>159</v>
      </c>
      <c r="B16" s="88"/>
      <c r="C16"/>
      <c r="D16"/>
      <c r="E16"/>
      <c r="F16"/>
      <c r="G16"/>
      <c r="H16"/>
      <c r="I16"/>
      <c r="J16"/>
      <c r="K16"/>
      <c r="L16"/>
      <c r="M16"/>
      <c r="O16"/>
      <c r="P16"/>
      <c r="Q16"/>
      <c r="R16"/>
      <c r="T16" s="23"/>
      <c r="V16" s="23"/>
    </row>
    <row r="17" spans="1:50" ht="12.6" customHeight="1" x14ac:dyDescent="0.25">
      <c r="A17" s="18" t="s">
        <v>154</v>
      </c>
      <c r="B17" s="10">
        <v>44509</v>
      </c>
      <c r="C17"/>
      <c r="D17"/>
      <c r="E17"/>
      <c r="F17"/>
      <c r="G17"/>
      <c r="H17"/>
      <c r="I17"/>
      <c r="J17"/>
      <c r="K17"/>
      <c r="L17"/>
      <c r="M17"/>
      <c r="O17"/>
      <c r="P17"/>
      <c r="Q17"/>
      <c r="R17"/>
      <c r="T17" s="23"/>
      <c r="V17" s="23"/>
    </row>
    <row r="18" spans="1:50" ht="12.6" customHeight="1" x14ac:dyDescent="0.25">
      <c r="A18" s="18" t="s">
        <v>92</v>
      </c>
      <c r="B18" s="95">
        <v>1</v>
      </c>
      <c r="C18"/>
      <c r="D18"/>
      <c r="E18"/>
      <c r="F18"/>
      <c r="G18"/>
      <c r="H18"/>
      <c r="I18"/>
      <c r="J18"/>
      <c r="K18"/>
      <c r="L18"/>
      <c r="M18"/>
      <c r="N18"/>
      <c r="O18"/>
      <c r="P18"/>
      <c r="Q18"/>
      <c r="R18"/>
      <c r="T18" s="23"/>
      <c r="V18" s="23"/>
    </row>
    <row r="19" spans="1:50" ht="12.6" customHeight="1" x14ac:dyDescent="0.25">
      <c r="A19" s="18" t="s">
        <v>153</v>
      </c>
      <c r="B19" s="10">
        <f ca="1">TODAY()</f>
        <v>45562</v>
      </c>
      <c r="C19"/>
      <c r="D19"/>
      <c r="E19"/>
      <c r="F19"/>
      <c r="G19"/>
      <c r="H19"/>
      <c r="I19"/>
      <c r="J19"/>
      <c r="K19"/>
      <c r="L19"/>
      <c r="M19"/>
      <c r="N19"/>
      <c r="O19"/>
      <c r="P19"/>
      <c r="Q19"/>
      <c r="R19"/>
      <c r="T19" s="23"/>
      <c r="V19" s="23"/>
    </row>
    <row r="20" spans="1:50" ht="12.6" customHeight="1" x14ac:dyDescent="0.25">
      <c r="C20" s="19"/>
      <c r="D20"/>
      <c r="E20"/>
      <c r="F20"/>
      <c r="J20"/>
      <c r="K20"/>
      <c r="L20"/>
      <c r="M20"/>
      <c r="N20"/>
      <c r="O20"/>
      <c r="P20"/>
      <c r="Q20"/>
      <c r="R20"/>
      <c r="S20"/>
      <c r="T20"/>
      <c r="U20"/>
      <c r="V20"/>
    </row>
    <row r="21" spans="1:50" ht="12.6" customHeight="1" x14ac:dyDescent="0.25">
      <c r="A21" s="11"/>
      <c r="H21"/>
      <c r="I21"/>
      <c r="AH21"/>
      <c r="AI21"/>
      <c r="AJ21"/>
      <c r="AK21"/>
      <c r="AL21"/>
      <c r="AM21"/>
      <c r="AN21"/>
      <c r="AO21"/>
      <c r="AP21"/>
      <c r="AQ21"/>
      <c r="AR21"/>
      <c r="AS21"/>
      <c r="AT21"/>
    </row>
    <row r="22" spans="1:50" ht="12.6" customHeight="1" x14ac:dyDescent="0.25">
      <c r="A22" s="21" t="s">
        <v>36</v>
      </c>
      <c r="B22" s="20" t="s">
        <v>95</v>
      </c>
      <c r="C22" s="20"/>
      <c r="D22" s="20"/>
      <c r="E22"/>
      <c r="F22"/>
      <c r="H22"/>
      <c r="I22"/>
      <c r="AH22"/>
      <c r="AI22"/>
      <c r="AJ22"/>
      <c r="AK22"/>
      <c r="AL22"/>
      <c r="AM22"/>
      <c r="AN22"/>
      <c r="AO22"/>
      <c r="AP22"/>
      <c r="AQ22"/>
      <c r="AR22"/>
      <c r="AS22"/>
      <c r="AT22"/>
    </row>
    <row r="23" spans="1:50" customFormat="1" ht="12.6" customHeight="1" x14ac:dyDescent="0.25">
      <c r="B23" s="89"/>
    </row>
    <row r="24" spans="1:50" customFormat="1" ht="18" thickBot="1" x14ac:dyDescent="0.35">
      <c r="A24" s="84" t="s">
        <v>1054</v>
      </c>
      <c r="B24" s="90"/>
      <c r="C24" s="26"/>
      <c r="D24" s="26"/>
      <c r="E24" s="26"/>
      <c r="F24" s="26"/>
      <c r="G24" s="26"/>
    </row>
    <row r="25" spans="1:50" customFormat="1" ht="12.6" customHeight="1" thickTop="1" x14ac:dyDescent="0.25">
      <c r="A25" t="s">
        <v>1083</v>
      </c>
      <c r="B25" s="89"/>
    </row>
    <row r="26" spans="1:50" ht="12.6" customHeight="1" x14ac:dyDescent="0.25">
      <c r="A26" s="12" t="s">
        <v>6</v>
      </c>
      <c r="B26" s="91" t="s">
        <v>368</v>
      </c>
      <c r="C26" s="12" t="s">
        <v>1055</v>
      </c>
      <c r="D26" s="12" t="s">
        <v>369</v>
      </c>
      <c r="E26"/>
      <c r="F26"/>
      <c r="W26"/>
      <c r="X26"/>
      <c r="Y26"/>
      <c r="Z26"/>
      <c r="AA26"/>
      <c r="AB26"/>
      <c r="AH26"/>
      <c r="AI26"/>
      <c r="AJ26"/>
      <c r="AK26"/>
      <c r="AL26"/>
      <c r="AM26"/>
      <c r="AN26"/>
      <c r="AO26"/>
      <c r="AP26"/>
      <c r="AQ26"/>
      <c r="AR26"/>
      <c r="AS26"/>
      <c r="AT26"/>
      <c r="AU26"/>
      <c r="AV26"/>
      <c r="AW26"/>
      <c r="AX26"/>
    </row>
    <row r="27" spans="1:50" ht="12.6" customHeight="1" x14ac:dyDescent="0.25">
      <c r="A27" s="13" t="s">
        <v>116</v>
      </c>
      <c r="B27" s="9">
        <f>(7.486+72.1862*VDD_Core^2)*10^(0.0133*Tj-3.51)/0.90053*IF(VDD_Core=0,0,1)*IF(Process="Strong",1,1)*IF(Process="Nominal",0.5,1)*IF(Process="Weak",0.25,1)*(1+Margining)</f>
        <v>0.91042567746042602</v>
      </c>
      <c r="C27" s="9">
        <f>(7.486+72.1862*VDDAR_Core^2)*10^(0.0133*Tj-3.51)/0.90053*IF(VDDAR_Core=0,0,1)*IF(Process="strong",1,1)*IF(Process="Nominal",0.5,1)*IF(Process="Weak",0.25,1)*(1+Margining)</f>
        <v>1.1290795753368519</v>
      </c>
      <c r="D27" s="9">
        <f>(VDD_Core/0.88)^2</f>
        <v>0.72636880165289264</v>
      </c>
      <c r="E27"/>
      <c r="F27"/>
      <c r="K27"/>
      <c r="L27"/>
      <c r="M27"/>
      <c r="N27"/>
      <c r="O27"/>
      <c r="P27"/>
      <c r="T27"/>
      <c r="U27"/>
      <c r="V27"/>
      <c r="W27"/>
      <c r="X27"/>
      <c r="Y27"/>
      <c r="Z27"/>
      <c r="AA27"/>
      <c r="AB27"/>
    </row>
    <row r="28" spans="1:50" ht="12.6" customHeight="1" x14ac:dyDescent="0.25">
      <c r="A28" s="13" t="s">
        <v>364</v>
      </c>
      <c r="B28" s="9">
        <f>VDD_Core_Lkg_Scale</f>
        <v>0.91042567746042602</v>
      </c>
      <c r="C28" s="9">
        <f>VDDAR_Core_Lkg_Scale</f>
        <v>1.1290795753368519</v>
      </c>
      <c r="D28" s="9">
        <f>VDD_Core_Dyn_Scale</f>
        <v>0.72636880165289264</v>
      </c>
      <c r="E28"/>
      <c r="F28"/>
      <c r="H28"/>
      <c r="K28"/>
      <c r="L28"/>
      <c r="M28"/>
      <c r="N28"/>
      <c r="O28"/>
      <c r="P28"/>
      <c r="T28"/>
      <c r="U28"/>
      <c r="V28"/>
      <c r="W28"/>
      <c r="X28"/>
      <c r="Y28"/>
      <c r="Z28"/>
      <c r="AA28"/>
      <c r="AB28"/>
    </row>
    <row r="29" spans="1:50" ht="12.6" customHeight="1" x14ac:dyDescent="0.25">
      <c r="E29"/>
      <c r="F29"/>
      <c r="H29"/>
      <c r="K29"/>
      <c r="L29"/>
      <c r="M29"/>
      <c r="N29"/>
      <c r="O29"/>
      <c r="P29"/>
      <c r="T29"/>
      <c r="U29"/>
      <c r="V29"/>
      <c r="W29"/>
      <c r="X29"/>
      <c r="Y29"/>
      <c r="Z29"/>
      <c r="AA29"/>
      <c r="AB29"/>
    </row>
    <row r="30" spans="1:50" ht="12.6" customHeight="1" thickBot="1" x14ac:dyDescent="0.35">
      <c r="A30" s="84" t="s">
        <v>1071</v>
      </c>
      <c r="B30" s="90"/>
      <c r="C30" s="26"/>
      <c r="D30" s="26"/>
      <c r="E30" s="26"/>
      <c r="F30" s="26"/>
      <c r="G30" s="26"/>
    </row>
    <row r="31" spans="1:50" ht="12.6" customHeight="1" thickTop="1" x14ac:dyDescent="0.2">
      <c r="A31" s="19" t="s">
        <v>1084</v>
      </c>
    </row>
    <row r="32" spans="1:50" ht="12.6" customHeight="1" x14ac:dyDescent="0.2">
      <c r="A32" s="12" t="s">
        <v>21</v>
      </c>
      <c r="B32" s="91" t="s">
        <v>101</v>
      </c>
    </row>
    <row r="33" spans="1:2" ht="12.6" customHeight="1" x14ac:dyDescent="0.2">
      <c r="A33" s="13" t="s">
        <v>9</v>
      </c>
      <c r="B33" s="22" t="s">
        <v>72</v>
      </c>
    </row>
    <row r="34" spans="1:2" ht="12.6" customHeight="1" x14ac:dyDescent="0.2">
      <c r="A34" s="13" t="s">
        <v>45</v>
      </c>
      <c r="B34" s="22" t="s">
        <v>72</v>
      </c>
    </row>
    <row r="35" spans="1:2" ht="12.6" customHeight="1" x14ac:dyDescent="0.2">
      <c r="A35" s="13" t="s">
        <v>44</v>
      </c>
      <c r="B35" s="22" t="s">
        <v>72</v>
      </c>
    </row>
    <row r="36" spans="1:2" ht="12.6" customHeight="1" x14ac:dyDescent="0.2">
      <c r="A36" s="13" t="s">
        <v>234</v>
      </c>
      <c r="B36" s="22" t="s">
        <v>72</v>
      </c>
    </row>
    <row r="37" spans="1:2" ht="12.6" customHeight="1" x14ac:dyDescent="0.2">
      <c r="A37" s="13" t="s">
        <v>147</v>
      </c>
      <c r="B37" s="22" t="s">
        <v>72</v>
      </c>
    </row>
    <row r="38" spans="1:2" ht="12.6" customHeight="1" x14ac:dyDescent="0.2">
      <c r="A38" s="13" t="s">
        <v>311</v>
      </c>
      <c r="B38" s="22" t="s">
        <v>72</v>
      </c>
    </row>
    <row r="39" spans="1:2" ht="12.6" customHeight="1" x14ac:dyDescent="0.2">
      <c r="A39" s="13" t="s">
        <v>310</v>
      </c>
      <c r="B39" s="22" t="s">
        <v>72</v>
      </c>
    </row>
    <row r="40" spans="1:2" ht="12.6" customHeight="1" x14ac:dyDescent="0.2">
      <c r="A40" s="13" t="s">
        <v>182</v>
      </c>
      <c r="B40" s="22" t="str">
        <f>IF(SUMIF(PWRCALC!$X$1:$X$126,A40,PWRCALC!$L$1:$L$126)=0,"OFF","ON")</f>
        <v>OFF</v>
      </c>
    </row>
    <row r="41" spans="1:2" ht="12.6" customHeight="1" x14ac:dyDescent="0.2">
      <c r="A41" s="13" t="s">
        <v>96</v>
      </c>
      <c r="B41" s="22" t="str">
        <f>IF(SUMIF(PWRCALC!$X$1:$X$126,A41,PWRCALC!$L$1:$L$126)=0,"OFF","ON")</f>
        <v>OFF</v>
      </c>
    </row>
    <row r="42" spans="1:2" ht="12.6" customHeight="1" x14ac:dyDescent="0.2">
      <c r="A42" s="13" t="s">
        <v>97</v>
      </c>
      <c r="B42" s="22" t="str">
        <f>IF(SUMIF(PWRCALC!$X$1:$X$126,A42,PWRCALC!$L$1:$L$126)=0,"OFF","ON")</f>
        <v>OFF</v>
      </c>
    </row>
    <row r="43" spans="1:2" ht="12.6" customHeight="1" x14ac:dyDescent="0.2">
      <c r="A43" s="13" t="s">
        <v>323</v>
      </c>
      <c r="B43" s="22" t="str">
        <f>IF(SUMIF(PWRCALC!$X$1:$X$126,A43,PWRCALC!$L$1:$L$126)=0,"OFF","ON")</f>
        <v>OFF</v>
      </c>
    </row>
    <row r="44" spans="1:2" ht="12.6" customHeight="1" x14ac:dyDescent="0.2">
      <c r="A44" s="13" t="s">
        <v>324</v>
      </c>
      <c r="B44" s="22" t="str">
        <f>IF(SUMIF(PWRCALC!$X$1:$X$126,A44,PWRCALC!$L$1:$L$126)=0,"OFF","ON")</f>
        <v>OFF</v>
      </c>
    </row>
    <row r="45" spans="1:2" ht="12.6" customHeight="1" x14ac:dyDescent="0.2">
      <c r="A45" s="13" t="s">
        <v>98</v>
      </c>
      <c r="B45" s="22" t="str">
        <f>IF(SUMIF(PWRCALC!$X$1:$X$126,A45,PWRCALC!$L$1:$L$126)=0,"OFF","ON")</f>
        <v>OFF</v>
      </c>
    </row>
    <row r="46" spans="1:2" ht="12.6" customHeight="1" x14ac:dyDescent="0.2">
      <c r="A46" s="13" t="s">
        <v>99</v>
      </c>
      <c r="B46" s="22" t="str">
        <f>IF(SUMIF(PWRCALC!$X$1:$X$126,A46,PWRCALC!$L$1:$L$126)=0,"OFF","ON")</f>
        <v>OFF</v>
      </c>
    </row>
    <row r="47" spans="1:2" ht="12.6" customHeight="1" x14ac:dyDescent="0.2">
      <c r="A47" s="13" t="s">
        <v>152</v>
      </c>
      <c r="B47" s="22" t="str">
        <f>IF(SUMIF(PWRCALC!$X$1:$X$126,A47,PWRCALC!$L$1:$L$126)=0,"OFF","ON")</f>
        <v>OFF</v>
      </c>
    </row>
    <row r="48" spans="1:2" ht="12.6" customHeight="1" x14ac:dyDescent="0.2">
      <c r="A48" s="13" t="s">
        <v>164</v>
      </c>
      <c r="B48" s="22" t="str">
        <f>IF(SUMIF(PWRCALC!$X$1:$X$126,A48,PWRCALC!$L$1:$L$126)=0,"OFF","ON")</f>
        <v>OFF</v>
      </c>
    </row>
    <row r="49" spans="1:2" ht="12.6" customHeight="1" x14ac:dyDescent="0.2">
      <c r="A49" s="13" t="s">
        <v>317</v>
      </c>
      <c r="B49" s="22" t="str">
        <f>IF(SUMIF(PWRCALC!$X$1:$X$126,A49,PWRCALC!$L$1:$L$126)=0,"OFF","ON")</f>
        <v>OFF</v>
      </c>
    </row>
    <row r="50" spans="1:2" ht="12.6" customHeight="1" x14ac:dyDescent="0.2">
      <c r="A50" s="13" t="s">
        <v>206</v>
      </c>
      <c r="B50" s="22" t="str">
        <f>IF(SUMIF(PWRCALC!$X$1:$X$126,A50,PWRCALC!$L$1:$L$126)=0,"OFF","ON")</f>
        <v>OFF</v>
      </c>
    </row>
    <row r="51" spans="1:2" ht="12.6" customHeight="1" x14ac:dyDescent="0.2">
      <c r="A51" s="13" t="s">
        <v>201</v>
      </c>
      <c r="B51" s="22" t="str">
        <f>IF(SUMIF(PWRCALC!$X$1:$X$126,A51,PWRCALC!$L$1:$L$126)=0,"OFF","ON")</f>
        <v>ON</v>
      </c>
    </row>
    <row r="52" spans="1:2" ht="12.6" customHeight="1" x14ac:dyDescent="0.2">
      <c r="A52" s="13" t="s">
        <v>339</v>
      </c>
      <c r="B52" s="22" t="str">
        <f>IF(SUMIF(PWRCALC!$X$1:$X$126,A52,PWRCALC!$L$1:$L$126)=0,"OFF","ON")</f>
        <v>OFF</v>
      </c>
    </row>
    <row r="53" spans="1:2" ht="12.6" customHeight="1" x14ac:dyDescent="0.2">
      <c r="A53" s="13" t="s">
        <v>200</v>
      </c>
      <c r="B53" s="22" t="str">
        <f>IF(SUMIF(PWRCALC!$X$1:$X$126,A53,PWRCALC!$L$1:$L$126)=0,"OFF","ON")</f>
        <v>ON</v>
      </c>
    </row>
    <row r="54" spans="1:2" ht="12.6" customHeight="1" x14ac:dyDescent="0.2">
      <c r="A54" s="13" t="s">
        <v>204</v>
      </c>
      <c r="B54" s="22" t="str">
        <f>IF(SUMIF(PWRCALC!$X$1:$X$126,A54,PWRCALC!$L$1:$L$126)=0,"OFF","ON")</f>
        <v>OFF</v>
      </c>
    </row>
    <row r="55" spans="1:2" ht="12.6" customHeight="1" x14ac:dyDescent="0.2">
      <c r="A55" s="13" t="s">
        <v>199</v>
      </c>
      <c r="B55" s="22" t="str">
        <f>IF(SUMIF(PWRCALC!$X$1:$X$126,A55,PWRCALC!$L$1:$L$126)=0,"OFF","ON")</f>
        <v>OFF</v>
      </c>
    </row>
    <row r="56" spans="1:2" ht="12.6" customHeight="1" x14ac:dyDescent="0.2">
      <c r="A56" s="13" t="s">
        <v>205</v>
      </c>
      <c r="B56" s="22" t="str">
        <f>IF(SUMIF(PWRCALC!$X$1:$X$126,A56,PWRCALC!$L$1:$L$126)=0,"OFF","ON")</f>
        <v>OFF</v>
      </c>
    </row>
    <row r="57" spans="1:2" ht="12.6" customHeight="1" x14ac:dyDescent="0.2">
      <c r="A57" s="13" t="s">
        <v>206</v>
      </c>
      <c r="B57" s="22" t="str">
        <f>IF(SUMIF(PWRCALC!$X$1:$X$126,A57,PWRCALC!$L$1:$L$126)=0,"OFF","ON")</f>
        <v>OFF</v>
      </c>
    </row>
    <row r="58" spans="1:2" ht="12.6" customHeight="1" x14ac:dyDescent="0.2">
      <c r="A58" s="13" t="s">
        <v>203</v>
      </c>
      <c r="B58" s="22" t="str">
        <f>IF(SUMIF(PWRCALC!$X$1:$X$126,A58,PWRCALC!$L$1:$L$126)=0,"OFF","ON")</f>
        <v>ON</v>
      </c>
    </row>
    <row r="59" spans="1:2" ht="12.6" customHeight="1" x14ac:dyDescent="0.2">
      <c r="A59" s="13" t="s">
        <v>198</v>
      </c>
      <c r="B59" s="22" t="str">
        <f>IF(SUMIF(PWRCALC!$X$1:$X$126,A59,PWRCALC!$L$1:$L$126)=0,"OFF","ON")</f>
        <v>ON</v>
      </c>
    </row>
    <row r="60" spans="1:2" ht="12.6" customHeight="1" x14ac:dyDescent="0.2">
      <c r="A60" s="13" t="s">
        <v>210</v>
      </c>
      <c r="B60" s="22" t="str">
        <f>IF(SUMIF(PWRCALC!$X$1:$X$126,A60,PWRCALC!$L$1:$L$126)=0,"OFF","ON")</f>
        <v>OFF</v>
      </c>
    </row>
    <row r="61" spans="1:2" ht="12.6" customHeight="1" x14ac:dyDescent="0.2">
      <c r="A61" s="13" t="s">
        <v>344</v>
      </c>
      <c r="B61" s="22" t="str">
        <f>IF(SUMIF(PWRCALC!$X$1:$X$126,A61,PWRCALC!$L$1:$L$126)=0,"OFF","ON")</f>
        <v>ON</v>
      </c>
    </row>
    <row r="62" spans="1:2" ht="12.6" customHeight="1" x14ac:dyDescent="0.2">
      <c r="A62" s="13" t="s">
        <v>346</v>
      </c>
      <c r="B62" s="22" t="str">
        <f>IF(SUMIF(PWRCALC!$X$1:$X$126,A62,PWRCALC!$L$1:$L$126)=0,"OFF","ON")</f>
        <v>OFF</v>
      </c>
    </row>
    <row r="63" spans="1:2" ht="12.6" customHeight="1" x14ac:dyDescent="0.2">
      <c r="A63" s="13" t="s">
        <v>197</v>
      </c>
      <c r="B63" s="22" t="str">
        <f>IF(SUMIF(PWRCALC!$X$1:$X$126,A63,PWRCALC!$L$1:$L$126)=0,"OFF","ON")</f>
        <v>OFF</v>
      </c>
    </row>
    <row r="64" spans="1:2" ht="12.6" customHeight="1" x14ac:dyDescent="0.2">
      <c r="A64" s="13" t="s">
        <v>218</v>
      </c>
      <c r="B64" s="22" t="str">
        <f>IF(SUMIF(PWRCALC!$X$1:$X$126,A64,PWRCALC!$L$1:$L$126)=0,"OFF","ON")</f>
        <v>OFF</v>
      </c>
    </row>
    <row r="65" spans="1:2" ht="12.6" customHeight="1" x14ac:dyDescent="0.2">
      <c r="A65" s="13" t="s">
        <v>202</v>
      </c>
      <c r="B65" s="22" t="str">
        <f>IF(SUMIF(PWRCALC!$X$1:$X$126,A65,PWRCALC!$L$1:$L$126)=0,"OFF","ON")</f>
        <v>ON</v>
      </c>
    </row>
    <row r="66" spans="1:2" ht="12.6" customHeight="1" x14ac:dyDescent="0.2">
      <c r="A66" s="13" t="s">
        <v>33</v>
      </c>
      <c r="B66" s="22" t="str">
        <f>IF(SUMIF(PWRCALC!$X$1:$X$126,A66,PWRCALC!$L$1:$L$126)=0,"OFF","ON")</f>
        <v>OFF</v>
      </c>
    </row>
    <row r="67" spans="1:2" ht="12.6" customHeight="1" x14ac:dyDescent="0.2">
      <c r="A67" s="13" t="s">
        <v>34</v>
      </c>
      <c r="B67" s="22" t="str">
        <f>IF(SUMIF(PWRCALC!$X$1:$X$126,A67,PWRCALC!$L$1:$L$126)=0,"OFF","ON")</f>
        <v>OFF</v>
      </c>
    </row>
    <row r="68" spans="1:2" ht="12.6" customHeight="1" x14ac:dyDescent="0.2">
      <c r="A68" s="13" t="s">
        <v>151</v>
      </c>
      <c r="B68" s="22" t="str">
        <f>IF(SUMIF(PWRCALC!$X$1:$X$126,A68,PWRCALC!$L$1:$L$126)=0,"OFF","ON")</f>
        <v>OFF</v>
      </c>
    </row>
    <row r="69" spans="1:2" ht="12.6" customHeight="1" x14ac:dyDescent="0.2">
      <c r="A69" s="13" t="s">
        <v>165</v>
      </c>
      <c r="B69" s="22" t="str">
        <f>IF(SUMIF(PWRCALC!$X$1:$X$126,A69,PWRCALC!$L$1:$L$126)=0,"OFF","ON")</f>
        <v>OFF</v>
      </c>
    </row>
    <row r="70" spans="1:2" ht="12.6" customHeight="1" x14ac:dyDescent="0.2">
      <c r="A70" s="13" t="s">
        <v>326</v>
      </c>
      <c r="B70" s="22" t="str">
        <f>IF(SUMIF(PWRCALC!$X$1:$X$126,A70,PWRCALC!$L$1:$L$126)=0,"OFF","ON")</f>
        <v>OFF</v>
      </c>
    </row>
    <row r="71" spans="1:2" ht="12.6" customHeight="1" x14ac:dyDescent="0.2">
      <c r="A71" s="13" t="s">
        <v>325</v>
      </c>
      <c r="B71" s="22" t="str">
        <f>IF(SUMIF(PWRCALC!$X$1:$X$126,A71,PWRCALC!$L$1:$L$126)=0,"OFF","ON")</f>
        <v>OFF</v>
      </c>
    </row>
    <row r="72" spans="1:2" ht="12.6" customHeight="1" x14ac:dyDescent="0.2">
      <c r="A72" s="13" t="s">
        <v>327</v>
      </c>
      <c r="B72" s="22" t="str">
        <f>IF(SUMIF(PWRCALC!$X$1:$X$126,A72,PWRCALC!$L$1:$L$126)=0,"OFF","ON")</f>
        <v>OFF</v>
      </c>
    </row>
    <row r="73" spans="1:2" ht="12.6" customHeight="1" x14ac:dyDescent="0.2">
      <c r="A73" s="13" t="s">
        <v>328</v>
      </c>
      <c r="B73" s="22" t="str">
        <f>IF(SUMIF(PWRCALC!$X$1:$X$126,A73,PWRCALC!$L$1:$L$126)=0,"OFF","ON")</f>
        <v>OFF</v>
      </c>
    </row>
    <row r="74" spans="1:2" ht="12.6" customHeight="1" x14ac:dyDescent="0.2">
      <c r="A74" s="13" t="s">
        <v>329</v>
      </c>
      <c r="B74" s="22" t="str">
        <f>IF(SUMIF(PWRCALC!$X$1:$X$126,A74,PWRCALC!$L$1:$L$126)=0,"OFF","ON")</f>
        <v>OFF</v>
      </c>
    </row>
    <row r="75" spans="1:2" ht="12.6" customHeight="1" x14ac:dyDescent="0.2">
      <c r="A75" s="13" t="s">
        <v>330</v>
      </c>
      <c r="B75" s="22" t="str">
        <f>IF(SUMIF(PWRCALC!$X$1:$X$126,A75,PWRCALC!$L$1:$L$126)=0,"OFF","ON")</f>
        <v>OFF</v>
      </c>
    </row>
    <row r="76" spans="1:2" ht="12.6" customHeight="1" x14ac:dyDescent="0.2">
      <c r="A76" s="13" t="s">
        <v>331</v>
      </c>
      <c r="B76" s="22" t="str">
        <f>IF(SUMIF(PWRCALC!$X$1:$X$126,A76,PWRCALC!$L$1:$L$126)=0,"OFF","ON")</f>
        <v>OFF</v>
      </c>
    </row>
    <row r="77" spans="1:2" ht="12.6" customHeight="1" x14ac:dyDescent="0.2">
      <c r="A77" s="13" t="s">
        <v>332</v>
      </c>
      <c r="B77" s="22" t="str">
        <f>IF(SUMIF(PWRCALC!$X$1:$X$126,A77,PWRCALC!$L$1:$L$126)=0,"OFF","ON")</f>
        <v>OFF</v>
      </c>
    </row>
    <row r="78" spans="1:2" ht="12.6" customHeight="1" x14ac:dyDescent="0.2">
      <c r="A78" s="13" t="s">
        <v>318</v>
      </c>
      <c r="B78" s="22" t="str">
        <f>IF(SUMIF(PWRCALC!$X$1:$X$126,A78,PWRCALC!$L$1:$L$126)=0,"OFF","ON")</f>
        <v>OFF</v>
      </c>
    </row>
    <row r="79" spans="1:2" ht="12.6" customHeight="1" x14ac:dyDescent="0.2">
      <c r="A79" s="13" t="s">
        <v>134</v>
      </c>
      <c r="B79" s="22" t="str">
        <f>IF(SUMIF(PWRCALC!$X$1:$X$126,A79,PWRCALC!$L$1:$L$126)=0,"OFF","ON")</f>
        <v>OFF</v>
      </c>
    </row>
    <row r="80" spans="1:2" ht="12.6" customHeight="1" x14ac:dyDescent="0.2">
      <c r="A80" s="13" t="s">
        <v>135</v>
      </c>
      <c r="B80" s="22" t="str">
        <f>IF(SUMIF(PWRCALC!$X$1:$X$126,A80,PWRCALC!$L$1:$L$126)=0,"OFF","ON")</f>
        <v>OFF</v>
      </c>
    </row>
    <row r="81" spans="1:2" ht="12.6" customHeight="1" x14ac:dyDescent="0.2">
      <c r="A81" s="13" t="s">
        <v>136</v>
      </c>
      <c r="B81" s="22" t="str">
        <f>IF(SUMIF(PWRCALC!$X$1:$X$126,A81,PWRCALC!$L$1:$L$126)=0,"OFF","ON")</f>
        <v>OFF</v>
      </c>
    </row>
    <row r="82" spans="1:2" ht="12.6" customHeight="1" x14ac:dyDescent="0.2">
      <c r="A82" s="13" t="s">
        <v>137</v>
      </c>
      <c r="B82" s="22" t="str">
        <f>IF(SUMIF(PWRCALC!$X$1:$X$126,A82,PWRCALC!$L$1:$L$126)=0,"OFF","ON")</f>
        <v>OFF</v>
      </c>
    </row>
    <row r="83" spans="1:2" ht="12.6" customHeight="1" x14ac:dyDescent="0.2">
      <c r="A83" s="13" t="s">
        <v>160</v>
      </c>
      <c r="B83" s="22" t="str">
        <f>IF(SUMIF(PWRCALC!$X$1:$X$126,A83,PWRCALC!$L$1:$L$126)=0,"OFF","ON")</f>
        <v>OFF</v>
      </c>
    </row>
    <row r="84" spans="1:2" ht="12.6" customHeight="1" x14ac:dyDescent="0.2">
      <c r="A84" s="13" t="s">
        <v>161</v>
      </c>
      <c r="B84" s="22" t="str">
        <f>IF(SUMIF(PWRCALC!$X$1:$X$126,A84,PWRCALC!$L$1:$L$126)=0,"OFF","ON")</f>
        <v>OFF</v>
      </c>
    </row>
    <row r="85" spans="1:2" ht="12.6" customHeight="1" x14ac:dyDescent="0.2">
      <c r="A85" s="13" t="s">
        <v>162</v>
      </c>
      <c r="B85" s="22" t="str">
        <f>IF(SUMIF(PWRCALC!$X$1:$X$126,A85,PWRCALC!$L$1:$L$126)=0,"OFF","ON")</f>
        <v>OFF</v>
      </c>
    </row>
    <row r="86" spans="1:2" ht="12.6" customHeight="1" x14ac:dyDescent="0.2">
      <c r="A86" s="13" t="s">
        <v>163</v>
      </c>
      <c r="B86" s="22" t="str">
        <f>IF(SUMIF(PWRCALC!$X$1:$X$126,A86,PWRCALC!$L$1:$L$126)=0,"OFF","ON")</f>
        <v>OFF</v>
      </c>
    </row>
    <row r="87" spans="1:2" ht="12.6" customHeight="1" x14ac:dyDescent="0.2">
      <c r="A87" s="13" t="s">
        <v>129</v>
      </c>
      <c r="B87" s="22" t="str">
        <f>IF(SUMIF(PWRCALC!$X$1:$X$126,A87,PWRCALC!$L$1:$L$126)=0,"OFF","ON")</f>
        <v>ON</v>
      </c>
    </row>
    <row r="88" spans="1:2" ht="12.6" customHeight="1" x14ac:dyDescent="0.2">
      <c r="A88" s="13" t="s">
        <v>130</v>
      </c>
      <c r="B88" s="22" t="str">
        <f>IF(SUMIF(PWRCALC!$X$1:$X$126,A88,PWRCALC!$L$1:$L$126)=0,"OFF","ON")</f>
        <v>ON</v>
      </c>
    </row>
    <row r="89" spans="1:2" ht="12.6" customHeight="1" x14ac:dyDescent="0.2">
      <c r="A89" s="13" t="s">
        <v>177</v>
      </c>
      <c r="B89" s="22" t="str">
        <f>IF(SUMIF(PWRCALC!$X$1:$X$126,A89,PWRCALC!$L$1:$L$126)=0,"OFF","ON")</f>
        <v>ON</v>
      </c>
    </row>
    <row r="90" spans="1:2" ht="12.6" customHeight="1" x14ac:dyDescent="0.2">
      <c r="A90" s="13" t="s">
        <v>178</v>
      </c>
      <c r="B90" s="22" t="str">
        <f>IF(SUMIF(PWRCALC!$X$1:$X$126,A90,PWRCALC!$L$1:$L$126)=0,"OFF","ON")</f>
        <v>ON</v>
      </c>
    </row>
    <row r="91" spans="1:2" ht="12.6" customHeight="1" x14ac:dyDescent="0.2">
      <c r="A91" s="13" t="s">
        <v>146</v>
      </c>
      <c r="B91" s="22" t="str">
        <f>IF(SUMIF(PWRCALC!$X$1:$X$126,A91,PWRCALC!$L$1:$L$126)=0,"OFF","ON")</f>
        <v>OFF</v>
      </c>
    </row>
    <row r="92" spans="1:2" ht="12.6" customHeight="1" x14ac:dyDescent="0.2">
      <c r="A92" s="13" t="s">
        <v>138</v>
      </c>
      <c r="B92" s="22" t="str">
        <f>IF(SUMIF(PWRCALC!$X$1:$X$126,A92,PWRCALC!$L$1:$L$126)=0,"OFF","ON")</f>
        <v>OFF</v>
      </c>
    </row>
    <row r="93" spans="1:2" ht="12.6" customHeight="1" x14ac:dyDescent="0.2">
      <c r="A93" s="13" t="s">
        <v>139</v>
      </c>
      <c r="B93" s="22" t="str">
        <f>IF(SUMIF(PWRCALC!$X$1:$X$126,A93,PWRCALC!$L$1:$L$126)=0,"OFF","ON")</f>
        <v>OFF</v>
      </c>
    </row>
    <row r="94" spans="1:2" ht="12.6" customHeight="1" x14ac:dyDescent="0.2">
      <c r="A94" s="13" t="s">
        <v>42</v>
      </c>
      <c r="B94" s="22" t="str">
        <f>IF(SUMIF(PWRCALC!$X$1:$X$126,A94,PWRCALC!$L$1:$L$126)=0,"OFF","ON")</f>
        <v>OFF</v>
      </c>
    </row>
    <row r="95" spans="1:2" ht="12.6" customHeight="1" x14ac:dyDescent="0.2">
      <c r="A95" s="13" t="s">
        <v>31</v>
      </c>
      <c r="B95" s="22" t="str">
        <f>IF(SUMIF(PWRCALC!$X$1:$X$126,A95,PWRCALC!$L$1:$L$126)=0,"OFF","ON")</f>
        <v>OFF</v>
      </c>
    </row>
    <row r="96" spans="1:2" ht="12.6" customHeight="1" x14ac:dyDescent="0.2">
      <c r="A96" s="13" t="s">
        <v>43</v>
      </c>
      <c r="B96" s="22" t="str">
        <f>IF(SUMIF(PWRCALC!$X$1:$X$126,A96,PWRCALC!$L$1:$L$126)=0,"OFF","ON")</f>
        <v>OFF</v>
      </c>
    </row>
    <row r="97" spans="1:2" ht="12.6" customHeight="1" x14ac:dyDescent="0.2">
      <c r="A97" s="13" t="s">
        <v>235</v>
      </c>
      <c r="B97" s="22" t="str">
        <f>IF(SUMIF(PWRCALC!$X$1:$X$126,A97,PWRCALC!$L$1:$L$126)=0,"OFF","ON")</f>
        <v>OFF</v>
      </c>
    </row>
    <row r="98" spans="1:2" ht="12.6" customHeight="1" x14ac:dyDescent="0.2">
      <c r="A98" s="13" t="s">
        <v>39</v>
      </c>
      <c r="B98" s="22" t="str">
        <f>IF(SUMIF(PWRCALC!$X$1:$X$126,A98,PWRCALC!$L$1:$L$126)=0,"OFF","ON")</f>
        <v>OFF</v>
      </c>
    </row>
    <row r="99" spans="1:2" ht="12.6" customHeight="1" x14ac:dyDescent="0.2">
      <c r="A99" s="13" t="s">
        <v>33</v>
      </c>
      <c r="B99" s="22" t="str">
        <f>IF(SUMIF(PWRCALC!$X$1:$X$126,A99,PWRCALC!$L$1:$L$126)=0,"OFF","ON")</f>
        <v>OFF</v>
      </c>
    </row>
    <row r="100" spans="1:2" ht="12.6" customHeight="1" x14ac:dyDescent="0.2">
      <c r="A100" s="13" t="s">
        <v>34</v>
      </c>
      <c r="B100" s="22" t="str">
        <f>IF(SUMIF(PWRCALC!$X$1:$X$126,A100,PWRCALC!$L$1:$L$126)=0,"OFF","ON")</f>
        <v>OFF</v>
      </c>
    </row>
    <row r="101" spans="1:2" ht="12.6" customHeight="1" x14ac:dyDescent="0.2">
      <c r="A101" s="13" t="s">
        <v>151</v>
      </c>
      <c r="B101" s="22" t="str">
        <f>IF(SUMIF(PWRCALC!$X$1:$X$126,A101,PWRCALC!$L$1:$L$126)=0,"OFF","ON")</f>
        <v>OFF</v>
      </c>
    </row>
    <row r="102" spans="1:2" ht="12.6" customHeight="1" x14ac:dyDescent="0.2">
      <c r="A102" s="13" t="s">
        <v>140</v>
      </c>
      <c r="B102" s="22" t="str">
        <f>IF(SUMIF(PWRCALC!$X$1:$X$126,A102,PWRCALC!$L$1:$L$126)=0,"OFF","ON")</f>
        <v>OFF</v>
      </c>
    </row>
    <row r="103" spans="1:2" ht="12.6" customHeight="1" x14ac:dyDescent="0.2">
      <c r="A103" s="13" t="s">
        <v>141</v>
      </c>
      <c r="B103" s="22" t="str">
        <f>IF(SUMIF(PWRCALC!$X$1:$X$126,A103,PWRCALC!$L$1:$L$126)=0,"OFF","ON")</f>
        <v>OFF</v>
      </c>
    </row>
    <row r="104" spans="1:2" ht="12.6" customHeight="1" x14ac:dyDescent="0.2">
      <c r="A104" s="13" t="s">
        <v>128</v>
      </c>
      <c r="B104" s="22" t="str">
        <f>IF(SUMIF(PWRCALC!$X$1:$X$126,A104,PWRCALC!$L$1:$L$126)=0,"OFF","ON")</f>
        <v>ON</v>
      </c>
    </row>
    <row r="105" spans="1:2" ht="12.6" customHeight="1" x14ac:dyDescent="0.2">
      <c r="A105" s="13" t="s">
        <v>142</v>
      </c>
      <c r="B105" s="22" t="str">
        <f>IF(SUMIF(PWRCALC!$X$1:$X$126,A105,PWRCALC!$L$1:$L$126)=0,"OFF","ON")</f>
        <v>OFF</v>
      </c>
    </row>
    <row r="106" spans="1:2" ht="12.6" customHeight="1" x14ac:dyDescent="0.2">
      <c r="A106" s="13" t="s">
        <v>150</v>
      </c>
      <c r="B106" s="22" t="str">
        <f>IF(SUMIF(PWRCALC!$X$1:$X$126,A106,PWRCALC!$L$1:$L$126)=0,"OFF","ON")</f>
        <v>OFF</v>
      </c>
    </row>
    <row r="107" spans="1:2" ht="12.6" customHeight="1" x14ac:dyDescent="0.2">
      <c r="A107" s="13" t="s">
        <v>131</v>
      </c>
      <c r="B107" s="22" t="str">
        <f>IF(SUMIF(PWRCALC!$X$1:$X$126,A107,PWRCALC!$L$1:$L$126)=0,"OFF","ON")</f>
        <v>OFF</v>
      </c>
    </row>
    <row r="108" spans="1:2" ht="12.6" customHeight="1" x14ac:dyDescent="0.2">
      <c r="A108" s="13" t="s">
        <v>132</v>
      </c>
      <c r="B108" s="22" t="str">
        <f>IF(SUMIF(PWRCALC!$X$1:$X$126,A108,PWRCALC!$L$1:$L$126)=0,"OFF","ON")</f>
        <v>OFF</v>
      </c>
    </row>
    <row r="109" spans="1:2" ht="12.6" customHeight="1" x14ac:dyDescent="0.2">
      <c r="A109" s="13" t="s">
        <v>40</v>
      </c>
      <c r="B109" s="22" t="str">
        <f>IF(SUMIF(PWRCALC!$X$1:$X$126,A109,PWRCALC!$L$1:$L$126)=0,"OFF","ON")</f>
        <v>OFF</v>
      </c>
    </row>
    <row r="110" spans="1:2" ht="12.6" customHeight="1" x14ac:dyDescent="0.2">
      <c r="A110" s="13" t="s">
        <v>41</v>
      </c>
      <c r="B110" s="22" t="str">
        <f>IF(SUMIF(PWRCALC!$X$1:$X$126,A110,PWRCALC!$L$1:$L$126)=0,"OFF","ON")</f>
        <v>OFF</v>
      </c>
    </row>
    <row r="111" spans="1:2" ht="12.6" customHeight="1" x14ac:dyDescent="0.2">
      <c r="A111" s="13" t="s">
        <v>179</v>
      </c>
      <c r="B111" s="22" t="str">
        <f>IF(SUMIF(PWRCALC!$X$1:$X$126,A111,PWRCALC!$L$1:$L$126)=0,"OFF","ON")</f>
        <v>OFF</v>
      </c>
    </row>
    <row r="112" spans="1:2" ht="12.6" customHeight="1" x14ac:dyDescent="0.2">
      <c r="A112" s="13" t="s">
        <v>334</v>
      </c>
      <c r="B112" s="22" t="str">
        <f>IF(SUMIF(PWRCALC!$X$1:$X$126,A112,PWRCALC!$L$1:$L$126)=0,"OFF","ON")</f>
        <v>OFF</v>
      </c>
    </row>
    <row r="113" spans="1:9" ht="12.6" customHeight="1" x14ac:dyDescent="0.2">
      <c r="A113" s="13" t="s">
        <v>133</v>
      </c>
      <c r="B113" s="22" t="str">
        <f>IF(SUMIF(PWRCALC!$X$1:$X$126,A113,PWRCALC!$L$1:$L$126)=0,"OFF","ON")</f>
        <v>OFF</v>
      </c>
    </row>
    <row r="114" spans="1:9" ht="12.6" customHeight="1" x14ac:dyDescent="0.2">
      <c r="A114" s="13" t="s">
        <v>100</v>
      </c>
      <c r="B114" s="22" t="str">
        <f>IF(SUMIF(PWRCALC!$X$1:$X$126,A114,PWRCALC!$L$1:$L$126)=0,"OFF","ON")</f>
        <v>OFF</v>
      </c>
    </row>
    <row r="115" spans="1:9" ht="12.6" customHeight="1" x14ac:dyDescent="0.2">
      <c r="A115" s="13" t="s">
        <v>315</v>
      </c>
      <c r="B115" s="22" t="str">
        <f>IF(SUMIF(PWRCALC!$X$1:$X$126,A115,PWRCALC!$L$1:$L$126)=0,"OFF","ON")</f>
        <v>OFF</v>
      </c>
    </row>
    <row r="116" spans="1:9" ht="12.6" customHeight="1" x14ac:dyDescent="0.2">
      <c r="A116" s="13" t="s">
        <v>305</v>
      </c>
      <c r="B116" s="22" t="str">
        <f>IF(SUMIF(PWRCALC!$X$1:$X$126,A116,PWRCALC!$L$1:$L$126)=0,"OFF","ON")</f>
        <v>OFF</v>
      </c>
    </row>
    <row r="117" spans="1:9" ht="12.6" customHeight="1" x14ac:dyDescent="0.2">
      <c r="A117" s="13" t="s">
        <v>306</v>
      </c>
      <c r="B117" s="22" t="str">
        <f>IF(SUMIF(PWRCALC!$X$1:$X$126,A117,PWRCALC!$L$1:$L$126)=0,"OFF","ON")</f>
        <v>OFF</v>
      </c>
    </row>
    <row r="118" spans="1:9" ht="12.6" customHeight="1" x14ac:dyDescent="0.2">
      <c r="A118" s="13" t="s">
        <v>272</v>
      </c>
      <c r="B118" s="22" t="str">
        <f>IF(SUMIF(PWRCALC!$X$1:$X$126,A118,PWRCALC!$L$1:$L$126)=0,"OFF","ON")</f>
        <v>OFF</v>
      </c>
    </row>
    <row r="119" spans="1:9" ht="12.6" customHeight="1" x14ac:dyDescent="0.2">
      <c r="A119" s="13" t="s">
        <v>30</v>
      </c>
      <c r="B119" s="22" t="str">
        <f>IF(SUMIF(PWRCALC!$X$1:$X$126,A119,PWRCALC!$L$1:$L$126)=0,"OFF","ON")</f>
        <v>OFF</v>
      </c>
    </row>
    <row r="123" spans="1:9" ht="12.6" customHeight="1" thickBot="1" x14ac:dyDescent="0.25">
      <c r="A123" s="138" t="s">
        <v>1215</v>
      </c>
      <c r="B123" s="139"/>
      <c r="C123" s="140"/>
      <c r="D123" s="140"/>
      <c r="E123" s="140"/>
      <c r="F123" s="140"/>
      <c r="G123" s="140"/>
      <c r="H123" s="140"/>
      <c r="I123" s="140"/>
    </row>
    <row r="124" spans="1:9" ht="12.6" customHeight="1" thickTop="1" x14ac:dyDescent="0.2"/>
    <row r="125" spans="1:9" ht="12.6" customHeight="1" thickBot="1" x14ac:dyDescent="0.35">
      <c r="A125" s="26" t="s">
        <v>1128</v>
      </c>
      <c r="B125" s="26" t="s">
        <v>1037</v>
      </c>
    </row>
    <row r="126" spans="1:9" ht="12.6" customHeight="1" thickTop="1" x14ac:dyDescent="0.25">
      <c r="A126"/>
      <c r="B126"/>
    </row>
    <row r="127" spans="1:9" ht="12.6" customHeight="1" x14ac:dyDescent="0.25">
      <c r="A127"/>
      <c r="B127"/>
    </row>
    <row r="128" spans="1:9" ht="12.6" customHeight="1" x14ac:dyDescent="0.25">
      <c r="A128" t="s">
        <v>401</v>
      </c>
      <c r="B128"/>
    </row>
    <row r="129" spans="1:2" ht="12.6" customHeight="1" x14ac:dyDescent="0.25">
      <c r="A129" t="s">
        <v>402</v>
      </c>
      <c r="B129"/>
    </row>
    <row r="130" spans="1:2" ht="12.6" customHeight="1" x14ac:dyDescent="0.25">
      <c r="A130" t="s">
        <v>403</v>
      </c>
      <c r="B130"/>
    </row>
    <row r="131" spans="1:2" ht="12.6" customHeight="1" x14ac:dyDescent="0.25">
      <c r="A131" t="s">
        <v>404</v>
      </c>
      <c r="B131"/>
    </row>
    <row r="132" spans="1:2" ht="12.6" customHeight="1" x14ac:dyDescent="0.25">
      <c r="A132" t="s">
        <v>405</v>
      </c>
      <c r="B132"/>
    </row>
    <row r="133" spans="1:2" ht="12.6" customHeight="1" x14ac:dyDescent="0.25">
      <c r="A133" t="s">
        <v>1035</v>
      </c>
      <c r="B133"/>
    </row>
    <row r="134" spans="1:2" ht="12.6" customHeight="1" x14ac:dyDescent="0.25">
      <c r="A134"/>
      <c r="B134"/>
    </row>
    <row r="135" spans="1:2" ht="12.6" customHeight="1" x14ac:dyDescent="0.25">
      <c r="A135" s="31" t="s">
        <v>515</v>
      </c>
      <c r="B135" s="31" t="s">
        <v>406</v>
      </c>
    </row>
    <row r="136" spans="1:2" ht="12.6" customHeight="1" x14ac:dyDescent="0.25">
      <c r="A136" s="32" t="s">
        <v>463</v>
      </c>
      <c r="B136" t="s">
        <v>1129</v>
      </c>
    </row>
    <row r="137" spans="1:2" ht="12.6" customHeight="1" x14ac:dyDescent="0.25">
      <c r="A137" s="32" t="s">
        <v>505</v>
      </c>
      <c r="B137" t="s">
        <v>431</v>
      </c>
    </row>
    <row r="138" spans="1:2" ht="12.6" customHeight="1" x14ac:dyDescent="0.25">
      <c r="A138" s="32" t="s">
        <v>511</v>
      </c>
      <c r="B138"/>
    </row>
    <row r="139" spans="1:2" ht="12.6" customHeight="1" x14ac:dyDescent="0.25">
      <c r="A139" s="32" t="s">
        <v>512</v>
      </c>
      <c r="B139"/>
    </row>
    <row r="140" spans="1:2" ht="12.6" customHeight="1" x14ac:dyDescent="0.25">
      <c r="A140" s="32" t="s">
        <v>513</v>
      </c>
      <c r="B140"/>
    </row>
    <row r="141" spans="1:2" ht="12.6" customHeight="1" x14ac:dyDescent="0.25">
      <c r="A141" s="32" t="s">
        <v>514</v>
      </c>
      <c r="B141"/>
    </row>
    <row r="142" spans="1:2" ht="12.6" customHeight="1" x14ac:dyDescent="0.25">
      <c r="A142" s="32" t="s">
        <v>516</v>
      </c>
      <c r="B142"/>
    </row>
    <row r="143" spans="1:2" ht="12.6" customHeight="1" x14ac:dyDescent="0.25">
      <c r="A143" s="32" t="s">
        <v>517</v>
      </c>
      <c r="B143"/>
    </row>
    <row r="144" spans="1:2" ht="12.6" customHeight="1" x14ac:dyDescent="0.25">
      <c r="A144" s="32" t="s">
        <v>506</v>
      </c>
      <c r="B144"/>
    </row>
    <row r="145" spans="1:2" ht="12.6" customHeight="1" x14ac:dyDescent="0.25">
      <c r="A145" s="32" t="s">
        <v>507</v>
      </c>
      <c r="B145"/>
    </row>
    <row r="146" spans="1:2" ht="12.6" customHeight="1" x14ac:dyDescent="0.25">
      <c r="A146" s="32" t="s">
        <v>510</v>
      </c>
      <c r="B146"/>
    </row>
    <row r="147" spans="1:2" ht="12.6" customHeight="1" x14ac:dyDescent="0.25">
      <c r="A147" s="32" t="s">
        <v>508</v>
      </c>
      <c r="B147"/>
    </row>
    <row r="148" spans="1:2" ht="12.6" customHeight="1" x14ac:dyDescent="0.25">
      <c r="A148" s="32" t="s">
        <v>509</v>
      </c>
      <c r="B148"/>
    </row>
    <row r="149" spans="1:2" ht="12.6" customHeight="1" x14ac:dyDescent="0.25">
      <c r="A149"/>
      <c r="B149"/>
    </row>
    <row r="150" spans="1:2" ht="12.6" customHeight="1" x14ac:dyDescent="0.25">
      <c r="A150" s="31" t="s">
        <v>409</v>
      </c>
      <c r="B150" s="31" t="s">
        <v>67</v>
      </c>
    </row>
    <row r="151" spans="1:2" ht="12.6" customHeight="1" x14ac:dyDescent="0.25">
      <c r="A151" s="32" t="s">
        <v>380</v>
      </c>
      <c r="B151" t="s">
        <v>423</v>
      </c>
    </row>
    <row r="152" spans="1:2" ht="12.6" customHeight="1" x14ac:dyDescent="0.25">
      <c r="A152" s="32" t="s">
        <v>384</v>
      </c>
      <c r="B152" t="s">
        <v>424</v>
      </c>
    </row>
    <row r="153" spans="1:2" ht="12.6" customHeight="1" x14ac:dyDescent="0.25">
      <c r="A153" s="32" t="s">
        <v>376</v>
      </c>
      <c r="B153" t="s">
        <v>421</v>
      </c>
    </row>
    <row r="154" spans="1:2" ht="12.6" customHeight="1" x14ac:dyDescent="0.25">
      <c r="A154" s="32" t="s">
        <v>381</v>
      </c>
      <c r="B154" t="s">
        <v>422</v>
      </c>
    </row>
    <row r="155" spans="1:2" ht="12.6" customHeight="1" x14ac:dyDescent="0.25">
      <c r="A155"/>
      <c r="B155"/>
    </row>
    <row r="156" spans="1:2" ht="12.6" customHeight="1" x14ac:dyDescent="0.25">
      <c r="A156" s="31" t="s">
        <v>408</v>
      </c>
      <c r="B156" s="31" t="s">
        <v>67</v>
      </c>
    </row>
    <row r="157" spans="1:2" ht="12.6" customHeight="1" x14ac:dyDescent="0.25">
      <c r="A157" s="32" t="s">
        <v>380</v>
      </c>
      <c r="B157" t="s">
        <v>425</v>
      </c>
    </row>
    <row r="158" spans="1:2" ht="12.6" customHeight="1" x14ac:dyDescent="0.25">
      <c r="A158" s="32" t="s">
        <v>382</v>
      </c>
      <c r="B158" t="s">
        <v>426</v>
      </c>
    </row>
    <row r="159" spans="1:2" ht="12.6" customHeight="1" x14ac:dyDescent="0.25">
      <c r="A159" s="32" t="s">
        <v>377</v>
      </c>
      <c r="B159" t="s">
        <v>427</v>
      </c>
    </row>
    <row r="160" spans="1:2" ht="12.6" customHeight="1" x14ac:dyDescent="0.25">
      <c r="A160" s="32" t="s">
        <v>378</v>
      </c>
      <c r="B160" t="s">
        <v>428</v>
      </c>
    </row>
    <row r="161" spans="1:2" ht="12.6" customHeight="1" x14ac:dyDescent="0.25">
      <c r="A161" s="32" t="s">
        <v>379</v>
      </c>
      <c r="B161" t="s">
        <v>429</v>
      </c>
    </row>
    <row r="162" spans="1:2" ht="12.6" customHeight="1" x14ac:dyDescent="0.25">
      <c r="A162" s="32" t="s">
        <v>407</v>
      </c>
      <c r="B162" t="s">
        <v>430</v>
      </c>
    </row>
    <row r="163" spans="1:2" ht="12.6" customHeight="1" x14ac:dyDescent="0.25">
      <c r="A163"/>
      <c r="B163"/>
    </row>
    <row r="164" spans="1:2" ht="12.6" customHeight="1" x14ac:dyDescent="0.25">
      <c r="A164" s="31" t="s">
        <v>410</v>
      </c>
      <c r="B164" s="31" t="s">
        <v>67</v>
      </c>
    </row>
    <row r="165" spans="1:2" ht="12.6" customHeight="1" x14ac:dyDescent="0.25">
      <c r="A165" s="32" t="s">
        <v>994</v>
      </c>
      <c r="B165" t="s">
        <v>420</v>
      </c>
    </row>
    <row r="166" spans="1:2" ht="12.6" customHeight="1" x14ac:dyDescent="0.25">
      <c r="A166" s="32" t="s">
        <v>374</v>
      </c>
      <c r="B166" t="s">
        <v>419</v>
      </c>
    </row>
    <row r="167" spans="1:2" ht="12.6" customHeight="1" x14ac:dyDescent="0.25">
      <c r="A167" s="32" t="s">
        <v>411</v>
      </c>
      <c r="B167" t="s">
        <v>418</v>
      </c>
    </row>
    <row r="168" spans="1:2" ht="12.6" customHeight="1" x14ac:dyDescent="0.25">
      <c r="A168" s="32" t="s">
        <v>373</v>
      </c>
      <c r="B168"/>
    </row>
    <row r="169" spans="1:2" ht="12.6" customHeight="1" x14ac:dyDescent="0.25">
      <c r="A169" s="32" t="s">
        <v>372</v>
      </c>
      <c r="B169"/>
    </row>
    <row r="170" spans="1:2" ht="12.6" customHeight="1" x14ac:dyDescent="0.25">
      <c r="A170" s="32" t="s">
        <v>415</v>
      </c>
      <c r="B170" t="s">
        <v>417</v>
      </c>
    </row>
    <row r="171" spans="1:2" ht="12.6" customHeight="1" x14ac:dyDescent="0.25">
      <c r="A171" s="32" t="s">
        <v>412</v>
      </c>
      <c r="B171" t="s">
        <v>417</v>
      </c>
    </row>
    <row r="172" spans="1:2" ht="12.6" customHeight="1" x14ac:dyDescent="0.25">
      <c r="A172" s="32" t="s">
        <v>413</v>
      </c>
      <c r="B172" t="s">
        <v>417</v>
      </c>
    </row>
    <row r="173" spans="1:2" ht="12.6" customHeight="1" x14ac:dyDescent="0.25">
      <c r="A173" s="32" t="s">
        <v>414</v>
      </c>
      <c r="B173" t="s">
        <v>417</v>
      </c>
    </row>
    <row r="174" spans="1:2" ht="12.6" customHeight="1" x14ac:dyDescent="0.25">
      <c r="A174" s="32" t="s">
        <v>416</v>
      </c>
      <c r="B174" t="s">
        <v>417</v>
      </c>
    </row>
    <row r="175" spans="1:2" ht="12.6" customHeight="1" x14ac:dyDescent="0.25">
      <c r="A175"/>
      <c r="B175"/>
    </row>
    <row r="176" spans="1:2" ht="12.6" customHeight="1" x14ac:dyDescent="0.25">
      <c r="A176" s="31" t="s">
        <v>432</v>
      </c>
      <c r="B176" s="31" t="s">
        <v>433</v>
      </c>
    </row>
    <row r="177" spans="1:4" ht="12.6" customHeight="1" x14ac:dyDescent="0.25">
      <c r="A177" s="49" t="s">
        <v>69</v>
      </c>
      <c r="B177" t="s">
        <v>434</v>
      </c>
      <c r="C177" s="175" t="s">
        <v>1281</v>
      </c>
      <c r="D177" s="176"/>
    </row>
    <row r="178" spans="1:4" ht="12.6" customHeight="1" x14ac:dyDescent="0.25">
      <c r="A178" s="49" t="s">
        <v>1017</v>
      </c>
      <c r="B178" t="s">
        <v>1021</v>
      </c>
    </row>
    <row r="179" spans="1:4" ht="12.6" customHeight="1" x14ac:dyDescent="0.25">
      <c r="A179" s="49" t="s">
        <v>1018</v>
      </c>
      <c r="B179" t="s">
        <v>1021</v>
      </c>
    </row>
    <row r="180" spans="1:4" ht="12.6" customHeight="1" x14ac:dyDescent="0.25">
      <c r="A180" s="49" t="s">
        <v>1014</v>
      </c>
      <c r="B180" t="s">
        <v>1021</v>
      </c>
    </row>
    <row r="181" spans="1:4" ht="12.6" customHeight="1" x14ac:dyDescent="0.25">
      <c r="A181" s="49" t="s">
        <v>1016</v>
      </c>
      <c r="B181" t="s">
        <v>1021</v>
      </c>
    </row>
    <row r="182" spans="1:4" ht="12.6" customHeight="1" x14ac:dyDescent="0.25">
      <c r="A182" s="49" t="s">
        <v>1015</v>
      </c>
      <c r="B182" t="s">
        <v>1021</v>
      </c>
    </row>
    <row r="183" spans="1:4" ht="12.6" customHeight="1" x14ac:dyDescent="0.25">
      <c r="A183" s="49" t="s">
        <v>622</v>
      </c>
      <c r="B183" t="s">
        <v>435</v>
      </c>
    </row>
    <row r="184" spans="1:4" ht="12.6" customHeight="1" x14ac:dyDescent="0.25">
      <c r="A184" s="49" t="s">
        <v>623</v>
      </c>
      <c r="B184" t="s">
        <v>436</v>
      </c>
    </row>
    <row r="185" spans="1:4" ht="12.6" customHeight="1" x14ac:dyDescent="0.25">
      <c r="A185"/>
      <c r="B185"/>
    </row>
    <row r="186" spans="1:4" ht="12.6" customHeight="1" x14ac:dyDescent="0.25">
      <c r="A186" s="31" t="s">
        <v>268</v>
      </c>
      <c r="B186" s="31"/>
    </row>
    <row r="187" spans="1:4" ht="12.6" customHeight="1" x14ac:dyDescent="0.25">
      <c r="A187" s="32" t="s">
        <v>481</v>
      </c>
      <c r="B187" t="s">
        <v>482</v>
      </c>
    </row>
    <row r="188" spans="1:4" ht="12.6" customHeight="1" x14ac:dyDescent="0.25">
      <c r="A188" s="32" t="s">
        <v>463</v>
      </c>
      <c r="B188" t="s">
        <v>483</v>
      </c>
    </row>
    <row r="189" spans="1:4" ht="12.6" customHeight="1" x14ac:dyDescent="0.25">
      <c r="A189" s="32" t="s">
        <v>468</v>
      </c>
      <c r="B189" t="s">
        <v>484</v>
      </c>
    </row>
    <row r="190" spans="1:4" ht="12.6" customHeight="1" x14ac:dyDescent="0.25">
      <c r="A190" s="32" t="s">
        <v>467</v>
      </c>
      <c r="B190" t="s">
        <v>484</v>
      </c>
    </row>
    <row r="191" spans="1:4" ht="12.6" customHeight="1" x14ac:dyDescent="0.25">
      <c r="A191" s="32" t="s">
        <v>469</v>
      </c>
      <c r="B191" t="s">
        <v>484</v>
      </c>
    </row>
    <row r="192" spans="1:4" ht="12.6" customHeight="1" x14ac:dyDescent="0.25">
      <c r="A192" s="32" t="s">
        <v>477</v>
      </c>
      <c r="B192" t="s">
        <v>486</v>
      </c>
    </row>
    <row r="193" spans="1:2" ht="12.6" customHeight="1" x14ac:dyDescent="0.25">
      <c r="A193" s="32" t="s">
        <v>478</v>
      </c>
      <c r="B193" t="s">
        <v>486</v>
      </c>
    </row>
    <row r="194" spans="1:2" ht="12.6" customHeight="1" x14ac:dyDescent="0.25">
      <c r="A194" s="32" t="s">
        <v>479</v>
      </c>
      <c r="B194" t="s">
        <v>486</v>
      </c>
    </row>
    <row r="195" spans="1:2" ht="12.6" customHeight="1" x14ac:dyDescent="0.25">
      <c r="A195" s="32" t="s">
        <v>465</v>
      </c>
      <c r="B195" t="s">
        <v>485</v>
      </c>
    </row>
    <row r="196" spans="1:2" ht="12.6" customHeight="1" x14ac:dyDescent="0.25">
      <c r="A196" s="32" t="s">
        <v>464</v>
      </c>
      <c r="B196" t="s">
        <v>485</v>
      </c>
    </row>
    <row r="197" spans="1:2" ht="12.6" customHeight="1" x14ac:dyDescent="0.25">
      <c r="A197" s="32" t="s">
        <v>466</v>
      </c>
      <c r="B197" t="s">
        <v>485</v>
      </c>
    </row>
    <row r="198" spans="1:2" ht="12.6" customHeight="1" x14ac:dyDescent="0.25">
      <c r="A198" s="32" t="s">
        <v>474</v>
      </c>
      <c r="B198" t="s">
        <v>486</v>
      </c>
    </row>
    <row r="199" spans="1:2" ht="12.6" customHeight="1" x14ac:dyDescent="0.25">
      <c r="A199" s="32" t="s">
        <v>475</v>
      </c>
      <c r="B199" t="s">
        <v>486</v>
      </c>
    </row>
    <row r="200" spans="1:2" ht="12.6" customHeight="1" x14ac:dyDescent="0.25">
      <c r="A200" s="32" t="s">
        <v>476</v>
      </c>
      <c r="B200" t="s">
        <v>486</v>
      </c>
    </row>
    <row r="201" spans="1:2" ht="12.6" customHeight="1" x14ac:dyDescent="0.25">
      <c r="A201"/>
      <c r="B201"/>
    </row>
    <row r="202" spans="1:2" ht="12.6" customHeight="1" x14ac:dyDescent="0.25">
      <c r="A202" s="31" t="s">
        <v>437</v>
      </c>
      <c r="B202" s="31" t="s">
        <v>438</v>
      </c>
    </row>
    <row r="203" spans="1:2" ht="12.6" customHeight="1" x14ac:dyDescent="0.25">
      <c r="A203" s="32" t="s">
        <v>439</v>
      </c>
      <c r="B203" t="s">
        <v>448</v>
      </c>
    </row>
    <row r="204" spans="1:2" ht="12.6" customHeight="1" x14ac:dyDescent="0.25">
      <c r="A204" s="32" t="s">
        <v>1036</v>
      </c>
      <c r="B204" t="s">
        <v>450</v>
      </c>
    </row>
    <row r="205" spans="1:2" ht="12.6" customHeight="1" x14ac:dyDescent="0.25">
      <c r="A205" s="32" t="s">
        <v>449</v>
      </c>
      <c r="B205" t="s">
        <v>450</v>
      </c>
    </row>
    <row r="206" spans="1:2" ht="12.6" customHeight="1" x14ac:dyDescent="0.25">
      <c r="A206" s="32" t="s">
        <v>440</v>
      </c>
      <c r="B206" t="s">
        <v>444</v>
      </c>
    </row>
    <row r="207" spans="1:2" ht="12.6" customHeight="1" x14ac:dyDescent="0.25">
      <c r="A207" s="32" t="s">
        <v>441</v>
      </c>
      <c r="B207" t="s">
        <v>445</v>
      </c>
    </row>
    <row r="208" spans="1:2" ht="12.6" customHeight="1" x14ac:dyDescent="0.25">
      <c r="A208" s="32" t="s">
        <v>442</v>
      </c>
      <c r="B208" t="s">
        <v>446</v>
      </c>
    </row>
    <row r="209" spans="1:2" ht="12.6" customHeight="1" x14ac:dyDescent="0.25">
      <c r="A209" s="32" t="s">
        <v>443</v>
      </c>
      <c r="B209" t="s">
        <v>447</v>
      </c>
    </row>
    <row r="210" spans="1:2" ht="12.6" customHeight="1" x14ac:dyDescent="0.25">
      <c r="A210"/>
      <c r="B210"/>
    </row>
    <row r="211" spans="1:2" ht="12.6" customHeight="1" x14ac:dyDescent="0.25">
      <c r="A211" s="31" t="s">
        <v>621</v>
      </c>
      <c r="B211" s="31"/>
    </row>
    <row r="212" spans="1:2" ht="12.6" customHeight="1" x14ac:dyDescent="0.25">
      <c r="A212" s="49">
        <v>0</v>
      </c>
      <c r="B212" t="s">
        <v>1022</v>
      </c>
    </row>
    <row r="213" spans="1:2" ht="12.6" customHeight="1" x14ac:dyDescent="0.25">
      <c r="A213" s="49">
        <v>250</v>
      </c>
      <c r="B213" t="s">
        <v>1023</v>
      </c>
    </row>
    <row r="214" spans="1:2" ht="12.6" customHeight="1" x14ac:dyDescent="0.25">
      <c r="A214" s="49">
        <v>500</v>
      </c>
      <c r="B214" t="s">
        <v>1024</v>
      </c>
    </row>
    <row r="215" spans="1:2" ht="12.6" customHeight="1" x14ac:dyDescent="0.25">
      <c r="A215" s="49">
        <v>750</v>
      </c>
      <c r="B215" t="s">
        <v>1025</v>
      </c>
    </row>
    <row r="216" spans="1:2" ht="12.6" customHeight="1" x14ac:dyDescent="0.25">
      <c r="A216" s="49">
        <v>1000</v>
      </c>
      <c r="B216" t="s">
        <v>1026</v>
      </c>
    </row>
    <row r="217" spans="1:2" ht="12.6" customHeight="1" x14ac:dyDescent="0.25">
      <c r="A217" s="49">
        <v>1250</v>
      </c>
      <c r="B217"/>
    </row>
    <row r="218" spans="1:2" ht="12.6" customHeight="1" x14ac:dyDescent="0.25">
      <c r="A218" s="49">
        <v>1500</v>
      </c>
      <c r="B218"/>
    </row>
    <row r="219" spans="1:2" ht="12.6" customHeight="1" x14ac:dyDescent="0.25">
      <c r="A219" s="49">
        <v>1750</v>
      </c>
      <c r="B219"/>
    </row>
    <row r="220" spans="1:2" ht="12.6" customHeight="1" x14ac:dyDescent="0.25">
      <c r="A220" s="49">
        <v>2000</v>
      </c>
      <c r="B220"/>
    </row>
    <row r="221" spans="1:2" ht="12.6" customHeight="1" x14ac:dyDescent="0.25">
      <c r="A221" s="49">
        <v>2250</v>
      </c>
      <c r="B221"/>
    </row>
    <row r="222" spans="1:2" ht="12.6" customHeight="1" x14ac:dyDescent="0.25">
      <c r="A222" s="49">
        <v>2500</v>
      </c>
      <c r="B222"/>
    </row>
    <row r="223" spans="1:2" ht="12.6" customHeight="1" x14ac:dyDescent="0.25">
      <c r="A223" s="49">
        <v>2750</v>
      </c>
      <c r="B223"/>
    </row>
    <row r="224" spans="1:2" ht="12.6" customHeight="1" x14ac:dyDescent="0.25">
      <c r="A224" s="49">
        <v>3000</v>
      </c>
      <c r="B224"/>
    </row>
    <row r="225" spans="1:2" ht="12.6" customHeight="1" x14ac:dyDescent="0.25">
      <c r="A225" s="49">
        <v>3250</v>
      </c>
      <c r="B225"/>
    </row>
    <row r="226" spans="1:2" ht="12.6" customHeight="1" x14ac:dyDescent="0.25">
      <c r="A226" s="49">
        <v>3500</v>
      </c>
      <c r="B226"/>
    </row>
    <row r="227" spans="1:2" ht="12.6" customHeight="1" x14ac:dyDescent="0.25">
      <c r="A227" s="49">
        <v>3750</v>
      </c>
      <c r="B227"/>
    </row>
    <row r="228" spans="1:2" ht="12.6" customHeight="1" x14ac:dyDescent="0.25">
      <c r="A228"/>
      <c r="B228"/>
    </row>
    <row r="229" spans="1:2" ht="12.6" customHeight="1" x14ac:dyDescent="0.25">
      <c r="A229" s="31" t="s">
        <v>628</v>
      </c>
      <c r="B229" s="31"/>
    </row>
    <row r="230" spans="1:2" ht="12.6" customHeight="1" x14ac:dyDescent="0.25">
      <c r="A230" s="49">
        <v>0</v>
      </c>
      <c r="B230" t="s">
        <v>1027</v>
      </c>
    </row>
    <row r="231" spans="1:2" ht="12.6" customHeight="1" x14ac:dyDescent="0.25">
      <c r="A231" s="49">
        <v>25</v>
      </c>
      <c r="B231" t="s">
        <v>1028</v>
      </c>
    </row>
    <row r="232" spans="1:2" ht="12.6" customHeight="1" x14ac:dyDescent="0.25">
      <c r="A232" s="49">
        <v>50</v>
      </c>
      <c r="B232" t="s">
        <v>1029</v>
      </c>
    </row>
    <row r="233" spans="1:2" ht="12.6" customHeight="1" x14ac:dyDescent="0.25">
      <c r="A233" s="49">
        <v>100</v>
      </c>
      <c r="B233" t="s">
        <v>1030</v>
      </c>
    </row>
    <row r="234" spans="1:2" ht="12.6" customHeight="1" x14ac:dyDescent="0.25">
      <c r="A234" s="49">
        <v>200</v>
      </c>
      <c r="B234" t="s">
        <v>1031</v>
      </c>
    </row>
    <row r="235" spans="1:2" ht="12.6" customHeight="1" x14ac:dyDescent="0.25">
      <c r="A235" s="49">
        <v>300</v>
      </c>
      <c r="B235" t="s">
        <v>1032</v>
      </c>
    </row>
    <row r="236" spans="1:2" ht="12.6" customHeight="1" x14ac:dyDescent="0.25">
      <c r="A236" s="49">
        <v>400</v>
      </c>
      <c r="B236"/>
    </row>
    <row r="237" spans="1:2" ht="12.6" customHeight="1" x14ac:dyDescent="0.25">
      <c r="A237" s="49">
        <v>500</v>
      </c>
      <c r="B237"/>
    </row>
    <row r="238" spans="1:2" ht="12.6" customHeight="1" x14ac:dyDescent="0.25">
      <c r="A238" s="49">
        <v>600</v>
      </c>
      <c r="B238"/>
    </row>
    <row r="239" spans="1:2" ht="12.6" customHeight="1" x14ac:dyDescent="0.25">
      <c r="A239" s="49">
        <v>700</v>
      </c>
      <c r="B239"/>
    </row>
    <row r="240" spans="1:2" ht="12.6" customHeight="1" x14ac:dyDescent="0.25">
      <c r="A240" s="49">
        <v>800</v>
      </c>
      <c r="B240"/>
    </row>
    <row r="241" spans="1:2" ht="12.6" customHeight="1" x14ac:dyDescent="0.25">
      <c r="A241" s="49">
        <v>900</v>
      </c>
      <c r="B241"/>
    </row>
    <row r="242" spans="1:2" ht="12.6" customHeight="1" x14ac:dyDescent="0.25">
      <c r="A242" s="49">
        <v>1000</v>
      </c>
      <c r="B242"/>
    </row>
    <row r="243" spans="1:2" ht="12.6" customHeight="1" x14ac:dyDescent="0.25">
      <c r="A243"/>
      <c r="B243"/>
    </row>
    <row r="244" spans="1:2" ht="12.6" customHeight="1" x14ac:dyDescent="0.25">
      <c r="A244" s="31" t="s">
        <v>630</v>
      </c>
      <c r="B244" s="31"/>
    </row>
    <row r="245" spans="1:2" ht="12.6" customHeight="1" x14ac:dyDescent="0.25">
      <c r="A245" s="49" t="s">
        <v>631</v>
      </c>
      <c r="B245" t="s">
        <v>1033</v>
      </c>
    </row>
    <row r="246" spans="1:2" ht="12.6" customHeight="1" x14ac:dyDescent="0.25">
      <c r="A246" s="49" t="s">
        <v>634</v>
      </c>
      <c r="B246" t="s">
        <v>1034</v>
      </c>
    </row>
    <row r="247" spans="1:2" ht="12.6" customHeight="1" x14ac:dyDescent="0.25">
      <c r="A247" s="49" t="s">
        <v>641</v>
      </c>
      <c r="B247"/>
    </row>
    <row r="248" spans="1:2" ht="12.6" customHeight="1" x14ac:dyDescent="0.25">
      <c r="A248" s="49" t="s">
        <v>635</v>
      </c>
      <c r="B248"/>
    </row>
    <row r="249" spans="1:2" ht="12.6" customHeight="1" x14ac:dyDescent="0.25">
      <c r="A249" s="49" t="s">
        <v>632</v>
      </c>
      <c r="B249"/>
    </row>
    <row r="250" spans="1:2" ht="12.6" customHeight="1" x14ac:dyDescent="0.25">
      <c r="A250" s="49" t="s">
        <v>633</v>
      </c>
      <c r="B250"/>
    </row>
    <row r="251" spans="1:2" ht="12.6" customHeight="1" x14ac:dyDescent="0.25">
      <c r="A251" s="49" t="s">
        <v>636</v>
      </c>
      <c r="B251"/>
    </row>
    <row r="252" spans="1:2" ht="12.6" customHeight="1" x14ac:dyDescent="0.25">
      <c r="A252" s="49" t="s">
        <v>637</v>
      </c>
      <c r="B252"/>
    </row>
    <row r="253" spans="1:2" ht="12.6" customHeight="1" x14ac:dyDescent="0.25">
      <c r="A253" s="49" t="s">
        <v>642</v>
      </c>
      <c r="B253"/>
    </row>
    <row r="254" spans="1:2" ht="12.6" customHeight="1" x14ac:dyDescent="0.25">
      <c r="A254" s="49" t="s">
        <v>638</v>
      </c>
      <c r="B254"/>
    </row>
    <row r="255" spans="1:2" ht="12.6" customHeight="1" x14ac:dyDescent="0.25">
      <c r="A255" s="49" t="s">
        <v>639</v>
      </c>
      <c r="B255"/>
    </row>
    <row r="256" spans="1:2" ht="12.6" customHeight="1" x14ac:dyDescent="0.25">
      <c r="A256" s="49" t="s">
        <v>640</v>
      </c>
      <c r="B256"/>
    </row>
    <row r="257" spans="1:2" ht="12.6" customHeight="1" x14ac:dyDescent="0.25">
      <c r="A257" s="49" t="s">
        <v>1052</v>
      </c>
      <c r="B257"/>
    </row>
    <row r="258" spans="1:2" ht="12.6" customHeight="1" x14ac:dyDescent="0.25">
      <c r="A258" s="49" t="s">
        <v>69</v>
      </c>
      <c r="B258"/>
    </row>
    <row r="259" spans="1:2" ht="12.6" customHeight="1" x14ac:dyDescent="0.25">
      <c r="A259"/>
      <c r="B259"/>
    </row>
    <row r="260" spans="1:2" ht="12.6" customHeight="1" x14ac:dyDescent="0.25">
      <c r="A260" s="31" t="s">
        <v>650</v>
      </c>
      <c r="B260" s="175" t="s">
        <v>1280</v>
      </c>
    </row>
    <row r="261" spans="1:2" ht="12.6" customHeight="1" x14ac:dyDescent="0.25">
      <c r="A261" s="49" t="s">
        <v>665</v>
      </c>
      <c r="B261"/>
    </row>
    <row r="262" spans="1:2" ht="12.6" customHeight="1" x14ac:dyDescent="0.25">
      <c r="A262" s="49" t="s">
        <v>666</v>
      </c>
      <c r="B262"/>
    </row>
    <row r="263" spans="1:2" ht="12.6" customHeight="1" x14ac:dyDescent="0.25">
      <c r="A263" s="49" t="s">
        <v>667</v>
      </c>
      <c r="B263"/>
    </row>
    <row r="264" spans="1:2" ht="12.6" customHeight="1" x14ac:dyDescent="0.25">
      <c r="A264" s="49" t="s">
        <v>668</v>
      </c>
      <c r="B264"/>
    </row>
    <row r="265" spans="1:2" ht="12.6" customHeight="1" x14ac:dyDescent="0.25">
      <c r="A265" s="49" t="s">
        <v>669</v>
      </c>
      <c r="B265"/>
    </row>
    <row r="266" spans="1:2" ht="12.6" customHeight="1" x14ac:dyDescent="0.25">
      <c r="A266" s="49" t="s">
        <v>673</v>
      </c>
      <c r="B266"/>
    </row>
    <row r="267" spans="1:2" ht="12.6" customHeight="1" x14ac:dyDescent="0.25">
      <c r="A267" s="49" t="s">
        <v>674</v>
      </c>
      <c r="B267"/>
    </row>
    <row r="268" spans="1:2" ht="12.6" customHeight="1" x14ac:dyDescent="0.25">
      <c r="A268" s="49" t="s">
        <v>675</v>
      </c>
      <c r="B268"/>
    </row>
    <row r="269" spans="1:2" ht="12.6" customHeight="1" x14ac:dyDescent="0.25">
      <c r="A269" s="49" t="s">
        <v>676</v>
      </c>
      <c r="B269"/>
    </row>
    <row r="270" spans="1:2" ht="12.6" customHeight="1" x14ac:dyDescent="0.25">
      <c r="A270" s="49" t="s">
        <v>677</v>
      </c>
      <c r="B270"/>
    </row>
    <row r="271" spans="1:2" ht="12.6" customHeight="1" x14ac:dyDescent="0.25">
      <c r="A271" s="49" t="s">
        <v>1052</v>
      </c>
      <c r="B271"/>
    </row>
    <row r="272" spans="1:2" ht="12.6" customHeight="1" x14ac:dyDescent="0.25">
      <c r="A272" s="49" t="s">
        <v>69</v>
      </c>
      <c r="B272"/>
    </row>
    <row r="273" spans="1:2" ht="12.6" customHeight="1" x14ac:dyDescent="0.25">
      <c r="A273"/>
      <c r="B273"/>
    </row>
    <row r="274" spans="1:2" ht="12.6" customHeight="1" x14ac:dyDescent="0.25">
      <c r="A274" s="31" t="s">
        <v>652</v>
      </c>
      <c r="B274"/>
    </row>
    <row r="275" spans="1:2" ht="12.6" customHeight="1" x14ac:dyDescent="0.25">
      <c r="A275" s="49" t="s">
        <v>678</v>
      </c>
      <c r="B275"/>
    </row>
    <row r="276" spans="1:2" ht="12.6" customHeight="1" x14ac:dyDescent="0.25">
      <c r="A276" s="49" t="s">
        <v>679</v>
      </c>
      <c r="B276"/>
    </row>
    <row r="277" spans="1:2" ht="12.6" customHeight="1" x14ac:dyDescent="0.25">
      <c r="A277" s="49" t="s">
        <v>680</v>
      </c>
      <c r="B277"/>
    </row>
    <row r="278" spans="1:2" ht="12.6" customHeight="1" x14ac:dyDescent="0.25">
      <c r="A278" s="49" t="s">
        <v>670</v>
      </c>
      <c r="B278"/>
    </row>
    <row r="279" spans="1:2" ht="12.6" customHeight="1" x14ac:dyDescent="0.25">
      <c r="A279" s="49" t="s">
        <v>671</v>
      </c>
      <c r="B279"/>
    </row>
    <row r="280" spans="1:2" ht="12.6" customHeight="1" x14ac:dyDescent="0.25">
      <c r="A280" s="49" t="s">
        <v>672</v>
      </c>
      <c r="B280"/>
    </row>
    <row r="281" spans="1:2" ht="12.6" customHeight="1" x14ac:dyDescent="0.25">
      <c r="A281" s="49" t="s">
        <v>1052</v>
      </c>
      <c r="B281"/>
    </row>
    <row r="282" spans="1:2" ht="12.6" customHeight="1" x14ac:dyDescent="0.25">
      <c r="A282" s="49" t="s">
        <v>69</v>
      </c>
      <c r="B282"/>
    </row>
    <row r="283" spans="1:2" ht="12.6" customHeight="1" x14ac:dyDescent="0.25">
      <c r="A283"/>
      <c r="B283"/>
    </row>
    <row r="284" spans="1:2" ht="12.6" customHeight="1" x14ac:dyDescent="0.25">
      <c r="A284"/>
      <c r="B284"/>
    </row>
    <row r="285" spans="1:2" ht="12.6" customHeight="1" x14ac:dyDescent="0.25">
      <c r="A285" s="31" t="s">
        <v>1019</v>
      </c>
      <c r="B285" t="s">
        <v>1020</v>
      </c>
    </row>
    <row r="286" spans="1:2" ht="12.6" customHeight="1" x14ac:dyDescent="0.25">
      <c r="A286" s="49" t="s">
        <v>1017</v>
      </c>
    </row>
    <row r="287" spans="1:2" ht="12.6" customHeight="1" x14ac:dyDescent="0.25">
      <c r="A287" s="49" t="s">
        <v>1018</v>
      </c>
      <c r="B287"/>
    </row>
    <row r="288" spans="1:2" ht="12.6" customHeight="1" x14ac:dyDescent="0.25">
      <c r="A288" s="49" t="s">
        <v>1014</v>
      </c>
      <c r="B288"/>
    </row>
    <row r="289" spans="1:2" ht="12.6" customHeight="1" x14ac:dyDescent="0.25">
      <c r="A289" s="49" t="s">
        <v>1016</v>
      </c>
      <c r="B289"/>
    </row>
    <row r="290" spans="1:2" ht="12.6" customHeight="1" x14ac:dyDescent="0.25">
      <c r="A290" s="49" t="s">
        <v>1015</v>
      </c>
      <c r="B290"/>
    </row>
    <row r="291" spans="1:2" ht="12.6" customHeight="1" x14ac:dyDescent="0.25">
      <c r="A291" s="49" t="s">
        <v>1052</v>
      </c>
      <c r="B291"/>
    </row>
    <row r="292" spans="1:2" ht="12.6" customHeight="1" x14ac:dyDescent="0.25">
      <c r="A292" s="49" t="s">
        <v>69</v>
      </c>
      <c r="B292"/>
    </row>
    <row r="293" spans="1:2" ht="12.6" customHeight="1" x14ac:dyDescent="0.25">
      <c r="A293"/>
      <c r="B293"/>
    </row>
    <row r="294" spans="1:2" ht="12.6" customHeight="1" x14ac:dyDescent="0.25">
      <c r="A294" s="31" t="s">
        <v>654</v>
      </c>
      <c r="B294"/>
    </row>
    <row r="295" spans="1:2" ht="12.6" customHeight="1" x14ac:dyDescent="0.25">
      <c r="A295" s="49" t="s">
        <v>656</v>
      </c>
      <c r="B295"/>
    </row>
    <row r="296" spans="1:2" ht="12.6" customHeight="1" x14ac:dyDescent="0.25">
      <c r="A296" s="49" t="s">
        <v>1202</v>
      </c>
      <c r="B296"/>
    </row>
    <row r="297" spans="1:2" ht="12.6" customHeight="1" x14ac:dyDescent="0.25">
      <c r="A297" s="49" t="s">
        <v>657</v>
      </c>
      <c r="B297"/>
    </row>
    <row r="298" spans="1:2" ht="12.6" customHeight="1" x14ac:dyDescent="0.25">
      <c r="A298" s="49" t="s">
        <v>658</v>
      </c>
      <c r="B298"/>
    </row>
    <row r="299" spans="1:2" ht="12.6" customHeight="1" x14ac:dyDescent="0.25">
      <c r="A299" s="49" t="s">
        <v>659</v>
      </c>
      <c r="B299"/>
    </row>
    <row r="300" spans="1:2" ht="12.6" customHeight="1" x14ac:dyDescent="0.25">
      <c r="A300" s="49" t="s">
        <v>660</v>
      </c>
      <c r="B300"/>
    </row>
    <row r="301" spans="1:2" ht="12.6" customHeight="1" x14ac:dyDescent="0.25">
      <c r="A301" s="49" t="s">
        <v>1201</v>
      </c>
      <c r="B301"/>
    </row>
    <row r="302" spans="1:2" ht="12.6" customHeight="1" x14ac:dyDescent="0.25">
      <c r="A302" s="49" t="s">
        <v>661</v>
      </c>
      <c r="B302"/>
    </row>
    <row r="303" spans="1:2" ht="12.6" customHeight="1" x14ac:dyDescent="0.25">
      <c r="A303" s="49" t="s">
        <v>662</v>
      </c>
      <c r="B303"/>
    </row>
    <row r="304" spans="1:2" ht="12.6" customHeight="1" x14ac:dyDescent="0.25">
      <c r="A304" s="49" t="s">
        <v>663</v>
      </c>
      <c r="B304"/>
    </row>
    <row r="305" spans="1:2" ht="12.6" customHeight="1" x14ac:dyDescent="0.25">
      <c r="A305" s="49" t="s">
        <v>1052</v>
      </c>
      <c r="B305"/>
    </row>
    <row r="306" spans="1:2" ht="12.6" customHeight="1" x14ac:dyDescent="0.25">
      <c r="A306" s="49" t="s">
        <v>69</v>
      </c>
      <c r="B306"/>
    </row>
    <row r="307" spans="1:2" ht="12.6" customHeight="1" x14ac:dyDescent="0.25">
      <c r="A307"/>
      <c r="B307"/>
    </row>
    <row r="308" spans="1:2" ht="12.6" customHeight="1" x14ac:dyDescent="0.25">
      <c r="A308" s="31" t="s">
        <v>664</v>
      </c>
      <c r="B308"/>
    </row>
    <row r="309" spans="1:2" ht="12.6" customHeight="1" x14ac:dyDescent="0.25">
      <c r="A309" s="49" t="s">
        <v>681</v>
      </c>
      <c r="B309"/>
    </row>
    <row r="310" spans="1:2" ht="12.6" customHeight="1" x14ac:dyDescent="0.25">
      <c r="A310" s="49" t="s">
        <v>682</v>
      </c>
      <c r="B310"/>
    </row>
    <row r="311" spans="1:2" ht="12.6" customHeight="1" x14ac:dyDescent="0.25">
      <c r="A311" s="49" t="s">
        <v>683</v>
      </c>
      <c r="B311"/>
    </row>
    <row r="312" spans="1:2" ht="12.6" customHeight="1" x14ac:dyDescent="0.25">
      <c r="A312" s="49" t="s">
        <v>684</v>
      </c>
      <c r="B312"/>
    </row>
    <row r="313" spans="1:2" ht="12.6" customHeight="1" x14ac:dyDescent="0.25">
      <c r="A313" s="49" t="s">
        <v>685</v>
      </c>
      <c r="B313"/>
    </row>
    <row r="314" spans="1:2" ht="12.6" customHeight="1" x14ac:dyDescent="0.25">
      <c r="A314" s="49" t="s">
        <v>686</v>
      </c>
      <c r="B314"/>
    </row>
    <row r="315" spans="1:2" ht="12.6" customHeight="1" x14ac:dyDescent="0.25">
      <c r="A315" s="49" t="s">
        <v>687</v>
      </c>
      <c r="B315"/>
    </row>
    <row r="316" spans="1:2" ht="12.6" customHeight="1" x14ac:dyDescent="0.25">
      <c r="A316" s="49" t="s">
        <v>688</v>
      </c>
      <c r="B316"/>
    </row>
    <row r="317" spans="1:2" ht="12.6" customHeight="1" x14ac:dyDescent="0.25">
      <c r="A317" s="49" t="s">
        <v>1052</v>
      </c>
      <c r="B317"/>
    </row>
    <row r="318" spans="1:2" ht="12.6" customHeight="1" x14ac:dyDescent="0.25">
      <c r="A318" s="49" t="s">
        <v>69</v>
      </c>
      <c r="B318"/>
    </row>
    <row r="319" spans="1:2" ht="12.6" customHeight="1" x14ac:dyDescent="0.25">
      <c r="A319"/>
      <c r="B319"/>
    </row>
    <row r="320" spans="1:2" ht="12.6" customHeight="1" x14ac:dyDescent="0.25">
      <c r="A320" s="31" t="s">
        <v>700</v>
      </c>
      <c r="B320"/>
    </row>
    <row r="321" spans="1:2" ht="12.6" customHeight="1" x14ac:dyDescent="0.25">
      <c r="A321" s="49" t="s">
        <v>776</v>
      </c>
      <c r="B321"/>
    </row>
    <row r="322" spans="1:2" ht="12.6" customHeight="1" x14ac:dyDescent="0.25">
      <c r="A322" s="49" t="s">
        <v>703</v>
      </c>
      <c r="B322"/>
    </row>
    <row r="323" spans="1:2" ht="12.6" customHeight="1" x14ac:dyDescent="0.25">
      <c r="A323" s="49" t="s">
        <v>777</v>
      </c>
      <c r="B323"/>
    </row>
    <row r="324" spans="1:2" ht="12.6" customHeight="1" x14ac:dyDescent="0.25">
      <c r="A324" s="49" t="s">
        <v>704</v>
      </c>
      <c r="B324"/>
    </row>
    <row r="325" spans="1:2" ht="12.6" customHeight="1" x14ac:dyDescent="0.25">
      <c r="A325" s="49" t="s">
        <v>778</v>
      </c>
      <c r="B325"/>
    </row>
    <row r="326" spans="1:2" ht="12.6" customHeight="1" x14ac:dyDescent="0.25">
      <c r="A326" s="49" t="s">
        <v>705</v>
      </c>
      <c r="B326"/>
    </row>
    <row r="327" spans="1:2" ht="12.6" customHeight="1" x14ac:dyDescent="0.25">
      <c r="A327" s="49" t="s">
        <v>778</v>
      </c>
      <c r="B327"/>
    </row>
    <row r="328" spans="1:2" ht="12.6" customHeight="1" x14ac:dyDescent="0.25">
      <c r="A328" s="49" t="s">
        <v>705</v>
      </c>
      <c r="B328"/>
    </row>
    <row r="329" spans="1:2" ht="12.6" customHeight="1" x14ac:dyDescent="0.25">
      <c r="A329" s="49" t="s">
        <v>779</v>
      </c>
      <c r="B329"/>
    </row>
    <row r="330" spans="1:2" ht="12.6" customHeight="1" x14ac:dyDescent="0.25">
      <c r="A330" s="49" t="s">
        <v>706</v>
      </c>
      <c r="B330"/>
    </row>
    <row r="331" spans="1:2" ht="12.6" customHeight="1" x14ac:dyDescent="0.25">
      <c r="A331" s="49" t="s">
        <v>780</v>
      </c>
      <c r="B331"/>
    </row>
    <row r="332" spans="1:2" ht="12.6" customHeight="1" x14ac:dyDescent="0.25">
      <c r="A332" s="49" t="s">
        <v>707</v>
      </c>
      <c r="B332"/>
    </row>
    <row r="333" spans="1:2" ht="12.6" customHeight="1" x14ac:dyDescent="0.25">
      <c r="A333" s="49" t="s">
        <v>781</v>
      </c>
      <c r="B333"/>
    </row>
    <row r="334" spans="1:2" ht="12.6" customHeight="1" x14ac:dyDescent="0.25">
      <c r="A334" s="49" t="s">
        <v>708</v>
      </c>
      <c r="B334"/>
    </row>
    <row r="335" spans="1:2" ht="12.6" customHeight="1" x14ac:dyDescent="0.25">
      <c r="A335" s="49" t="s">
        <v>781</v>
      </c>
      <c r="B335"/>
    </row>
    <row r="336" spans="1:2" ht="12.6" customHeight="1" x14ac:dyDescent="0.25">
      <c r="A336" s="49" t="s">
        <v>708</v>
      </c>
      <c r="B336"/>
    </row>
    <row r="337" spans="1:2" ht="12.6" customHeight="1" x14ac:dyDescent="0.25">
      <c r="A337" s="49" t="s">
        <v>782</v>
      </c>
      <c r="B337"/>
    </row>
    <row r="338" spans="1:2" ht="12.6" customHeight="1" x14ac:dyDescent="0.25">
      <c r="A338" s="49" t="s">
        <v>709</v>
      </c>
      <c r="B338"/>
    </row>
    <row r="339" spans="1:2" ht="12.6" customHeight="1" x14ac:dyDescent="0.25">
      <c r="A339" s="49" t="s">
        <v>783</v>
      </c>
      <c r="B339"/>
    </row>
    <row r="340" spans="1:2" ht="12.6" customHeight="1" x14ac:dyDescent="0.25">
      <c r="A340" s="49" t="s">
        <v>710</v>
      </c>
      <c r="B340"/>
    </row>
    <row r="341" spans="1:2" ht="12.6" customHeight="1" x14ac:dyDescent="0.25">
      <c r="A341" s="49" t="s">
        <v>784</v>
      </c>
      <c r="B341"/>
    </row>
    <row r="342" spans="1:2" ht="12.6" customHeight="1" x14ac:dyDescent="0.25">
      <c r="A342" s="49" t="s">
        <v>711</v>
      </c>
      <c r="B342"/>
    </row>
    <row r="343" spans="1:2" ht="12.6" customHeight="1" x14ac:dyDescent="0.25">
      <c r="A343" s="49" t="s">
        <v>784</v>
      </c>
      <c r="B343"/>
    </row>
    <row r="344" spans="1:2" ht="12.6" customHeight="1" x14ac:dyDescent="0.25">
      <c r="A344" s="49" t="s">
        <v>711</v>
      </c>
      <c r="B344"/>
    </row>
    <row r="345" spans="1:2" ht="12.6" customHeight="1" x14ac:dyDescent="0.25">
      <c r="A345" s="49" t="s">
        <v>785</v>
      </c>
      <c r="B345"/>
    </row>
    <row r="346" spans="1:2" ht="12.6" customHeight="1" x14ac:dyDescent="0.25">
      <c r="A346" s="49" t="s">
        <v>712</v>
      </c>
      <c r="B346"/>
    </row>
    <row r="347" spans="1:2" ht="12.6" customHeight="1" x14ac:dyDescent="0.25">
      <c r="A347" s="49" t="s">
        <v>786</v>
      </c>
      <c r="B347"/>
    </row>
    <row r="348" spans="1:2" ht="12.6" customHeight="1" x14ac:dyDescent="0.25">
      <c r="A348" s="49" t="s">
        <v>713</v>
      </c>
      <c r="B348"/>
    </row>
    <row r="349" spans="1:2" ht="12.6" customHeight="1" x14ac:dyDescent="0.25">
      <c r="A349" s="49" t="s">
        <v>787</v>
      </c>
      <c r="B349"/>
    </row>
    <row r="350" spans="1:2" ht="12.6" customHeight="1" x14ac:dyDescent="0.25">
      <c r="A350" s="49" t="s">
        <v>714</v>
      </c>
      <c r="B350"/>
    </row>
    <row r="351" spans="1:2" ht="12.6" customHeight="1" x14ac:dyDescent="0.25">
      <c r="A351" s="49" t="s">
        <v>787</v>
      </c>
      <c r="B351"/>
    </row>
    <row r="352" spans="1:2" ht="12.6" customHeight="1" x14ac:dyDescent="0.25">
      <c r="A352" s="49" t="s">
        <v>714</v>
      </c>
      <c r="B352"/>
    </row>
    <row r="353" spans="1:2" ht="12.6" customHeight="1" x14ac:dyDescent="0.25">
      <c r="A353" s="49" t="s">
        <v>788</v>
      </c>
      <c r="B353"/>
    </row>
    <row r="354" spans="1:2" ht="12.6" customHeight="1" x14ac:dyDescent="0.25">
      <c r="A354" s="49" t="s">
        <v>715</v>
      </c>
      <c r="B354"/>
    </row>
    <row r="355" spans="1:2" ht="12.6" customHeight="1" x14ac:dyDescent="0.25">
      <c r="A355" s="49" t="s">
        <v>789</v>
      </c>
      <c r="B355"/>
    </row>
    <row r="356" spans="1:2" ht="12.6" customHeight="1" x14ac:dyDescent="0.25">
      <c r="A356" s="49" t="s">
        <v>716</v>
      </c>
      <c r="B356"/>
    </row>
    <row r="357" spans="1:2" ht="12.6" customHeight="1" x14ac:dyDescent="0.25">
      <c r="A357" s="49" t="s">
        <v>790</v>
      </c>
      <c r="B357"/>
    </row>
    <row r="358" spans="1:2" ht="12.6" customHeight="1" x14ac:dyDescent="0.25">
      <c r="A358" s="49" t="s">
        <v>717</v>
      </c>
      <c r="B358"/>
    </row>
    <row r="359" spans="1:2" ht="12.6" customHeight="1" x14ac:dyDescent="0.25">
      <c r="A359" s="49" t="s">
        <v>790</v>
      </c>
      <c r="B359"/>
    </row>
    <row r="360" spans="1:2" ht="12.6" customHeight="1" x14ac:dyDescent="0.25">
      <c r="A360" s="49" t="s">
        <v>717</v>
      </c>
      <c r="B360"/>
    </row>
    <row r="361" spans="1:2" ht="12.6" customHeight="1" x14ac:dyDescent="0.25">
      <c r="A361" s="49" t="s">
        <v>791</v>
      </c>
      <c r="B361"/>
    </row>
    <row r="362" spans="1:2" ht="12.6" customHeight="1" x14ac:dyDescent="0.25">
      <c r="A362" s="49" t="s">
        <v>718</v>
      </c>
      <c r="B362"/>
    </row>
    <row r="363" spans="1:2" ht="12.6" customHeight="1" x14ac:dyDescent="0.25">
      <c r="A363" s="49" t="s">
        <v>792</v>
      </c>
      <c r="B363"/>
    </row>
    <row r="364" spans="1:2" ht="12.6" customHeight="1" x14ac:dyDescent="0.25">
      <c r="A364" s="49" t="s">
        <v>719</v>
      </c>
      <c r="B364"/>
    </row>
    <row r="365" spans="1:2" ht="12.6" customHeight="1" x14ac:dyDescent="0.25">
      <c r="A365" s="49" t="s">
        <v>793</v>
      </c>
      <c r="B365"/>
    </row>
    <row r="366" spans="1:2" ht="12.6" customHeight="1" x14ac:dyDescent="0.25">
      <c r="A366" s="49" t="s">
        <v>720</v>
      </c>
      <c r="B366"/>
    </row>
    <row r="367" spans="1:2" ht="12.6" customHeight="1" x14ac:dyDescent="0.25">
      <c r="A367" s="49" t="s">
        <v>793</v>
      </c>
      <c r="B367"/>
    </row>
    <row r="368" spans="1:2" ht="12.6" customHeight="1" x14ac:dyDescent="0.25">
      <c r="A368" s="49" t="s">
        <v>720</v>
      </c>
      <c r="B368"/>
    </row>
    <row r="369" spans="1:2" ht="12.6" customHeight="1" x14ac:dyDescent="0.25">
      <c r="A369" s="49" t="s">
        <v>794</v>
      </c>
      <c r="B369"/>
    </row>
    <row r="370" spans="1:2" ht="12.6" customHeight="1" x14ac:dyDescent="0.25">
      <c r="A370" s="49" t="s">
        <v>721</v>
      </c>
      <c r="B370"/>
    </row>
    <row r="371" spans="1:2" ht="12.6" customHeight="1" x14ac:dyDescent="0.25">
      <c r="A371" s="49" t="s">
        <v>795</v>
      </c>
      <c r="B371"/>
    </row>
    <row r="372" spans="1:2" ht="12.6" customHeight="1" x14ac:dyDescent="0.25">
      <c r="A372" s="49" t="s">
        <v>722</v>
      </c>
      <c r="B372"/>
    </row>
    <row r="373" spans="1:2" ht="12.6" customHeight="1" x14ac:dyDescent="0.25">
      <c r="A373" s="49" t="s">
        <v>796</v>
      </c>
      <c r="B373"/>
    </row>
    <row r="374" spans="1:2" ht="12.6" customHeight="1" x14ac:dyDescent="0.25">
      <c r="A374" s="49" t="s">
        <v>723</v>
      </c>
      <c r="B374"/>
    </row>
    <row r="375" spans="1:2" ht="12.6" customHeight="1" x14ac:dyDescent="0.25">
      <c r="A375" s="49" t="s">
        <v>796</v>
      </c>
      <c r="B375"/>
    </row>
    <row r="376" spans="1:2" ht="12.6" customHeight="1" x14ac:dyDescent="0.25">
      <c r="A376" s="49" t="s">
        <v>723</v>
      </c>
      <c r="B376"/>
    </row>
    <row r="377" spans="1:2" ht="12.6" customHeight="1" x14ac:dyDescent="0.25">
      <c r="A377" s="49" t="s">
        <v>797</v>
      </c>
      <c r="B377"/>
    </row>
    <row r="378" spans="1:2" ht="12.6" customHeight="1" x14ac:dyDescent="0.25">
      <c r="A378" s="49" t="s">
        <v>724</v>
      </c>
      <c r="B378"/>
    </row>
    <row r="379" spans="1:2" ht="12.6" customHeight="1" x14ac:dyDescent="0.25">
      <c r="A379" s="49" t="s">
        <v>798</v>
      </c>
      <c r="B379"/>
    </row>
    <row r="380" spans="1:2" ht="12.6" customHeight="1" x14ac:dyDescent="0.25">
      <c r="A380" s="49" t="s">
        <v>725</v>
      </c>
      <c r="B380"/>
    </row>
    <row r="381" spans="1:2" ht="12.6" customHeight="1" x14ac:dyDescent="0.25">
      <c r="A381" s="49" t="s">
        <v>799</v>
      </c>
      <c r="B381"/>
    </row>
    <row r="382" spans="1:2" ht="12.6" customHeight="1" x14ac:dyDescent="0.25">
      <c r="A382" s="49" t="s">
        <v>726</v>
      </c>
      <c r="B382"/>
    </row>
    <row r="383" spans="1:2" ht="12.6" customHeight="1" x14ac:dyDescent="0.25">
      <c r="A383" s="49" t="s">
        <v>800</v>
      </c>
      <c r="B383"/>
    </row>
    <row r="384" spans="1:2" ht="12.6" customHeight="1" x14ac:dyDescent="0.25">
      <c r="A384" s="49" t="s">
        <v>727</v>
      </c>
      <c r="B384"/>
    </row>
    <row r="385" spans="1:2" ht="12.6" customHeight="1" x14ac:dyDescent="0.25">
      <c r="A385" s="49" t="s">
        <v>801</v>
      </c>
      <c r="B385"/>
    </row>
    <row r="386" spans="1:2" ht="12.6" customHeight="1" x14ac:dyDescent="0.25">
      <c r="A386" s="49" t="s">
        <v>728</v>
      </c>
      <c r="B386"/>
    </row>
    <row r="387" spans="1:2" ht="12.6" customHeight="1" x14ac:dyDescent="0.25">
      <c r="A387" s="49" t="s">
        <v>802</v>
      </c>
      <c r="B387"/>
    </row>
    <row r="388" spans="1:2" ht="12.6" customHeight="1" x14ac:dyDescent="0.25">
      <c r="A388" s="49" t="s">
        <v>729</v>
      </c>
      <c r="B388"/>
    </row>
    <row r="389" spans="1:2" ht="12.6" customHeight="1" x14ac:dyDescent="0.25">
      <c r="A389" s="49" t="s">
        <v>803</v>
      </c>
      <c r="B389"/>
    </row>
    <row r="390" spans="1:2" ht="12.6" customHeight="1" x14ac:dyDescent="0.25">
      <c r="A390" s="49" t="s">
        <v>730</v>
      </c>
      <c r="B390"/>
    </row>
    <row r="391" spans="1:2" ht="12.6" customHeight="1" x14ac:dyDescent="0.25">
      <c r="A391" s="49" t="s">
        <v>804</v>
      </c>
      <c r="B391"/>
    </row>
    <row r="392" spans="1:2" ht="12.6" customHeight="1" x14ac:dyDescent="0.25">
      <c r="A392" s="49" t="s">
        <v>731</v>
      </c>
      <c r="B392"/>
    </row>
    <row r="393" spans="1:2" ht="12.6" customHeight="1" x14ac:dyDescent="0.25">
      <c r="A393" s="49" t="s">
        <v>805</v>
      </c>
      <c r="B393"/>
    </row>
    <row r="394" spans="1:2" ht="12.6" customHeight="1" x14ac:dyDescent="0.25">
      <c r="A394" s="49" t="s">
        <v>732</v>
      </c>
      <c r="B394"/>
    </row>
    <row r="395" spans="1:2" ht="12.6" customHeight="1" x14ac:dyDescent="0.25">
      <c r="A395" s="49" t="s">
        <v>806</v>
      </c>
      <c r="B395"/>
    </row>
    <row r="396" spans="1:2" ht="12.6" customHeight="1" x14ac:dyDescent="0.25">
      <c r="A396" s="49" t="s">
        <v>733</v>
      </c>
      <c r="B396"/>
    </row>
    <row r="397" spans="1:2" ht="12.6" customHeight="1" x14ac:dyDescent="0.25">
      <c r="A397" s="49" t="s">
        <v>807</v>
      </c>
      <c r="B397"/>
    </row>
    <row r="398" spans="1:2" ht="12.6" customHeight="1" x14ac:dyDescent="0.25">
      <c r="A398" s="49" t="s">
        <v>734</v>
      </c>
      <c r="B398"/>
    </row>
    <row r="399" spans="1:2" ht="12.6" customHeight="1" x14ac:dyDescent="0.25">
      <c r="A399" s="49" t="s">
        <v>808</v>
      </c>
      <c r="B399"/>
    </row>
    <row r="400" spans="1:2" ht="12.6" customHeight="1" x14ac:dyDescent="0.25">
      <c r="A400" s="49" t="s">
        <v>735</v>
      </c>
      <c r="B400"/>
    </row>
    <row r="401" spans="1:2" ht="12.6" customHeight="1" x14ac:dyDescent="0.25">
      <c r="A401" s="49" t="s">
        <v>809</v>
      </c>
      <c r="B401"/>
    </row>
    <row r="402" spans="1:2" ht="12.6" customHeight="1" x14ac:dyDescent="0.25">
      <c r="A402" s="49" t="s">
        <v>736</v>
      </c>
      <c r="B402"/>
    </row>
    <row r="403" spans="1:2" ht="12.6" customHeight="1" x14ac:dyDescent="0.25">
      <c r="A403" s="49" t="s">
        <v>810</v>
      </c>
      <c r="B403"/>
    </row>
    <row r="404" spans="1:2" ht="12.6" customHeight="1" x14ac:dyDescent="0.25">
      <c r="A404" s="49" t="s">
        <v>737</v>
      </c>
      <c r="B404"/>
    </row>
    <row r="405" spans="1:2" ht="12.6" customHeight="1" x14ac:dyDescent="0.25">
      <c r="A405" s="49" t="s">
        <v>811</v>
      </c>
      <c r="B405"/>
    </row>
    <row r="406" spans="1:2" ht="12.6" customHeight="1" x14ac:dyDescent="0.25">
      <c r="A406" s="49" t="s">
        <v>738</v>
      </c>
      <c r="B406"/>
    </row>
    <row r="407" spans="1:2" ht="12.6" customHeight="1" x14ac:dyDescent="0.25">
      <c r="A407" s="49" t="s">
        <v>812</v>
      </c>
      <c r="B407"/>
    </row>
    <row r="408" spans="1:2" ht="12.6" customHeight="1" x14ac:dyDescent="0.25">
      <c r="A408" s="49" t="s">
        <v>739</v>
      </c>
      <c r="B408"/>
    </row>
    <row r="409" spans="1:2" ht="12.6" customHeight="1" x14ac:dyDescent="0.25">
      <c r="A409" s="49" t="s">
        <v>813</v>
      </c>
      <c r="B409"/>
    </row>
    <row r="410" spans="1:2" ht="12.6" customHeight="1" x14ac:dyDescent="0.25">
      <c r="A410" s="49" t="s">
        <v>740</v>
      </c>
      <c r="B410"/>
    </row>
    <row r="411" spans="1:2" ht="12.6" customHeight="1" x14ac:dyDescent="0.25">
      <c r="A411" s="49" t="s">
        <v>814</v>
      </c>
      <c r="B411"/>
    </row>
    <row r="412" spans="1:2" ht="12.6" customHeight="1" x14ac:dyDescent="0.25">
      <c r="A412" s="49" t="s">
        <v>741</v>
      </c>
      <c r="B412"/>
    </row>
    <row r="413" spans="1:2" ht="12.6" customHeight="1" x14ac:dyDescent="0.25">
      <c r="A413" s="49" t="s">
        <v>815</v>
      </c>
      <c r="B413"/>
    </row>
    <row r="414" spans="1:2" ht="12.6" customHeight="1" x14ac:dyDescent="0.25">
      <c r="A414" s="49" t="s">
        <v>742</v>
      </c>
      <c r="B414"/>
    </row>
    <row r="415" spans="1:2" ht="12.6" customHeight="1" x14ac:dyDescent="0.25">
      <c r="A415" s="49" t="s">
        <v>816</v>
      </c>
      <c r="B415"/>
    </row>
    <row r="416" spans="1:2" ht="12.6" customHeight="1" x14ac:dyDescent="0.25">
      <c r="A416" s="49" t="s">
        <v>743</v>
      </c>
      <c r="B416"/>
    </row>
    <row r="417" spans="1:2" ht="12.6" customHeight="1" x14ac:dyDescent="0.25">
      <c r="A417" s="49" t="s">
        <v>817</v>
      </c>
      <c r="B417"/>
    </row>
    <row r="418" spans="1:2" ht="12.6" customHeight="1" x14ac:dyDescent="0.25">
      <c r="A418" s="49" t="s">
        <v>744</v>
      </c>
      <c r="B418"/>
    </row>
    <row r="419" spans="1:2" ht="12.6" customHeight="1" x14ac:dyDescent="0.25">
      <c r="A419" s="49" t="s">
        <v>818</v>
      </c>
      <c r="B419"/>
    </row>
    <row r="420" spans="1:2" ht="12.6" customHeight="1" x14ac:dyDescent="0.25">
      <c r="A420" s="49" t="s">
        <v>745</v>
      </c>
      <c r="B420"/>
    </row>
    <row r="421" spans="1:2" ht="12.6" customHeight="1" x14ac:dyDescent="0.25">
      <c r="A421" s="49" t="s">
        <v>702</v>
      </c>
      <c r="B421"/>
    </row>
    <row r="422" spans="1:2" ht="12.6" customHeight="1" x14ac:dyDescent="0.25">
      <c r="A422" s="49" t="s">
        <v>746</v>
      </c>
      <c r="B422"/>
    </row>
    <row r="423" spans="1:2" ht="12.6" customHeight="1" x14ac:dyDescent="0.25">
      <c r="A423" s="49" t="s">
        <v>702</v>
      </c>
      <c r="B423"/>
    </row>
    <row r="424" spans="1:2" ht="12.6" customHeight="1" x14ac:dyDescent="0.25">
      <c r="A424" s="49" t="s">
        <v>747</v>
      </c>
      <c r="B424"/>
    </row>
    <row r="425" spans="1:2" ht="12.6" customHeight="1" x14ac:dyDescent="0.25">
      <c r="A425" s="49" t="s">
        <v>819</v>
      </c>
      <c r="B425"/>
    </row>
    <row r="426" spans="1:2" ht="12.6" customHeight="1" x14ac:dyDescent="0.25">
      <c r="A426" s="49" t="s">
        <v>748</v>
      </c>
      <c r="B426"/>
    </row>
    <row r="427" spans="1:2" ht="12.6" customHeight="1" x14ac:dyDescent="0.25">
      <c r="A427" s="49" t="s">
        <v>820</v>
      </c>
      <c r="B427"/>
    </row>
    <row r="428" spans="1:2" ht="12.6" customHeight="1" x14ac:dyDescent="0.25">
      <c r="A428" s="49" t="s">
        <v>749</v>
      </c>
      <c r="B428"/>
    </row>
    <row r="429" spans="1:2" ht="12.6" customHeight="1" x14ac:dyDescent="0.25">
      <c r="A429" s="49" t="s">
        <v>821</v>
      </c>
      <c r="B429"/>
    </row>
    <row r="430" spans="1:2" ht="12.6" customHeight="1" x14ac:dyDescent="0.25">
      <c r="A430" s="49" t="s">
        <v>750</v>
      </c>
      <c r="B430"/>
    </row>
    <row r="431" spans="1:2" ht="12.6" customHeight="1" x14ac:dyDescent="0.25">
      <c r="A431" s="49" t="s">
        <v>822</v>
      </c>
      <c r="B431"/>
    </row>
    <row r="432" spans="1:2" ht="12.6" customHeight="1" x14ac:dyDescent="0.25">
      <c r="A432" s="49" t="s">
        <v>751</v>
      </c>
      <c r="B432"/>
    </row>
    <row r="433" spans="1:2" ht="12.6" customHeight="1" x14ac:dyDescent="0.25">
      <c r="A433" s="49" t="s">
        <v>823</v>
      </c>
      <c r="B433"/>
    </row>
    <row r="434" spans="1:2" ht="12.6" customHeight="1" x14ac:dyDescent="0.25">
      <c r="A434" s="49" t="s">
        <v>752</v>
      </c>
      <c r="B434"/>
    </row>
    <row r="435" spans="1:2" ht="12.6" customHeight="1" x14ac:dyDescent="0.25">
      <c r="A435" s="49" t="s">
        <v>824</v>
      </c>
      <c r="B435"/>
    </row>
    <row r="436" spans="1:2" ht="12.6" customHeight="1" x14ac:dyDescent="0.25">
      <c r="A436" s="49" t="s">
        <v>753</v>
      </c>
      <c r="B436"/>
    </row>
    <row r="437" spans="1:2" ht="12.6" customHeight="1" x14ac:dyDescent="0.25">
      <c r="A437" s="49" t="s">
        <v>825</v>
      </c>
      <c r="B437"/>
    </row>
    <row r="438" spans="1:2" ht="12.6" customHeight="1" x14ac:dyDescent="0.25">
      <c r="A438" s="49" t="s">
        <v>754</v>
      </c>
      <c r="B438"/>
    </row>
    <row r="439" spans="1:2" ht="12.6" customHeight="1" x14ac:dyDescent="0.25">
      <c r="A439" s="49" t="s">
        <v>826</v>
      </c>
      <c r="B439"/>
    </row>
    <row r="440" spans="1:2" ht="12.6" customHeight="1" x14ac:dyDescent="0.25">
      <c r="A440" s="49" t="s">
        <v>755</v>
      </c>
      <c r="B440"/>
    </row>
    <row r="441" spans="1:2" ht="12.6" customHeight="1" x14ac:dyDescent="0.25">
      <c r="A441" s="49" t="s">
        <v>827</v>
      </c>
      <c r="B441"/>
    </row>
    <row r="442" spans="1:2" ht="12.6" customHeight="1" x14ac:dyDescent="0.25">
      <c r="A442" s="49" t="s">
        <v>756</v>
      </c>
      <c r="B442"/>
    </row>
    <row r="443" spans="1:2" ht="12.6" customHeight="1" x14ac:dyDescent="0.25">
      <c r="A443" s="49" t="s">
        <v>828</v>
      </c>
      <c r="B443"/>
    </row>
    <row r="444" spans="1:2" ht="12.6" customHeight="1" x14ac:dyDescent="0.25">
      <c r="A444" s="49" t="s">
        <v>757</v>
      </c>
      <c r="B444"/>
    </row>
    <row r="445" spans="1:2" ht="12.6" customHeight="1" x14ac:dyDescent="0.25">
      <c r="A445" s="49" t="s">
        <v>829</v>
      </c>
      <c r="B445"/>
    </row>
    <row r="446" spans="1:2" ht="12.6" customHeight="1" x14ac:dyDescent="0.25">
      <c r="A446" s="49" t="s">
        <v>758</v>
      </c>
      <c r="B446"/>
    </row>
    <row r="447" spans="1:2" ht="12.6" customHeight="1" x14ac:dyDescent="0.25">
      <c r="A447" s="49" t="s">
        <v>830</v>
      </c>
      <c r="B447"/>
    </row>
    <row r="448" spans="1:2" ht="12.6" customHeight="1" x14ac:dyDescent="0.25">
      <c r="A448" s="49" t="s">
        <v>759</v>
      </c>
      <c r="B448"/>
    </row>
    <row r="449" spans="1:2" ht="12.6" customHeight="1" x14ac:dyDescent="0.25">
      <c r="A449" s="49" t="s">
        <v>831</v>
      </c>
      <c r="B449"/>
    </row>
    <row r="450" spans="1:2" ht="12.6" customHeight="1" x14ac:dyDescent="0.25">
      <c r="A450" s="49" t="s">
        <v>760</v>
      </c>
      <c r="B450"/>
    </row>
    <row r="451" spans="1:2" ht="12.6" customHeight="1" x14ac:dyDescent="0.25">
      <c r="A451" s="49" t="s">
        <v>832</v>
      </c>
      <c r="B451"/>
    </row>
    <row r="452" spans="1:2" ht="12.6" customHeight="1" x14ac:dyDescent="0.25">
      <c r="A452" s="49" t="s">
        <v>761</v>
      </c>
      <c r="B452"/>
    </row>
    <row r="453" spans="1:2" ht="12.6" customHeight="1" x14ac:dyDescent="0.25">
      <c r="A453" s="49" t="s">
        <v>833</v>
      </c>
      <c r="B453"/>
    </row>
    <row r="454" spans="1:2" ht="12.6" customHeight="1" x14ac:dyDescent="0.25">
      <c r="A454" s="49" t="s">
        <v>762</v>
      </c>
      <c r="B454"/>
    </row>
    <row r="455" spans="1:2" ht="12.6" customHeight="1" x14ac:dyDescent="0.25">
      <c r="A455" s="49" t="s">
        <v>834</v>
      </c>
      <c r="B455"/>
    </row>
    <row r="456" spans="1:2" ht="12.6" customHeight="1" x14ac:dyDescent="0.25">
      <c r="A456" s="49" t="s">
        <v>763</v>
      </c>
      <c r="B456"/>
    </row>
    <row r="457" spans="1:2" ht="12.6" customHeight="1" x14ac:dyDescent="0.25">
      <c r="A457" s="49" t="s">
        <v>835</v>
      </c>
      <c r="B457"/>
    </row>
    <row r="458" spans="1:2" ht="12.6" customHeight="1" x14ac:dyDescent="0.25">
      <c r="A458" s="49" t="s">
        <v>764</v>
      </c>
      <c r="B458"/>
    </row>
    <row r="459" spans="1:2" ht="12.6" customHeight="1" x14ac:dyDescent="0.25">
      <c r="A459" s="49" t="s">
        <v>836</v>
      </c>
      <c r="B459"/>
    </row>
    <row r="460" spans="1:2" ht="12.6" customHeight="1" x14ac:dyDescent="0.25">
      <c r="A460" s="49" t="s">
        <v>765</v>
      </c>
      <c r="B460"/>
    </row>
    <row r="461" spans="1:2" ht="12.6" customHeight="1" x14ac:dyDescent="0.25">
      <c r="A461" s="49" t="s">
        <v>837</v>
      </c>
      <c r="B461"/>
    </row>
    <row r="462" spans="1:2" ht="12.6" customHeight="1" x14ac:dyDescent="0.25">
      <c r="A462" s="49" t="s">
        <v>766</v>
      </c>
      <c r="B462"/>
    </row>
    <row r="463" spans="1:2" ht="12.6" customHeight="1" x14ac:dyDescent="0.25">
      <c r="A463" s="49" t="s">
        <v>838</v>
      </c>
      <c r="B463"/>
    </row>
    <row r="464" spans="1:2" ht="12.6" customHeight="1" x14ac:dyDescent="0.25">
      <c r="A464" s="49" t="s">
        <v>767</v>
      </c>
      <c r="B464"/>
    </row>
    <row r="465" spans="1:2" ht="12.6" customHeight="1" x14ac:dyDescent="0.25">
      <c r="A465" s="49" t="s">
        <v>839</v>
      </c>
      <c r="B465"/>
    </row>
    <row r="466" spans="1:2" ht="12.6" customHeight="1" x14ac:dyDescent="0.25">
      <c r="A466" s="49" t="s">
        <v>768</v>
      </c>
      <c r="B466"/>
    </row>
    <row r="467" spans="1:2" ht="12.6" customHeight="1" x14ac:dyDescent="0.25">
      <c r="A467" s="49" t="s">
        <v>840</v>
      </c>
      <c r="B467"/>
    </row>
    <row r="468" spans="1:2" ht="12.6" customHeight="1" x14ac:dyDescent="0.25">
      <c r="A468" s="49" t="s">
        <v>769</v>
      </c>
      <c r="B468"/>
    </row>
    <row r="469" spans="1:2" ht="12.6" customHeight="1" x14ac:dyDescent="0.25">
      <c r="A469" s="49" t="s">
        <v>841</v>
      </c>
      <c r="B469"/>
    </row>
    <row r="470" spans="1:2" ht="12.6" customHeight="1" x14ac:dyDescent="0.25">
      <c r="A470" s="49" t="s">
        <v>770</v>
      </c>
      <c r="B470"/>
    </row>
    <row r="471" spans="1:2" ht="12.6" customHeight="1" x14ac:dyDescent="0.25">
      <c r="A471" s="49" t="s">
        <v>842</v>
      </c>
      <c r="B471"/>
    </row>
    <row r="472" spans="1:2" ht="12.6" customHeight="1" x14ac:dyDescent="0.25">
      <c r="A472" s="49" t="s">
        <v>771</v>
      </c>
      <c r="B472"/>
    </row>
    <row r="473" spans="1:2" ht="12.6" customHeight="1" x14ac:dyDescent="0.25">
      <c r="A473" s="49" t="s">
        <v>843</v>
      </c>
      <c r="B473"/>
    </row>
    <row r="474" spans="1:2" ht="12.6" customHeight="1" x14ac:dyDescent="0.25">
      <c r="A474" s="49" t="s">
        <v>772</v>
      </c>
      <c r="B474"/>
    </row>
    <row r="475" spans="1:2" ht="12.6" customHeight="1" x14ac:dyDescent="0.25">
      <c r="A475" s="49" t="s">
        <v>844</v>
      </c>
      <c r="B475"/>
    </row>
    <row r="476" spans="1:2" ht="12.6" customHeight="1" x14ac:dyDescent="0.25">
      <c r="A476" s="49" t="s">
        <v>773</v>
      </c>
      <c r="B476"/>
    </row>
    <row r="477" spans="1:2" ht="12.6" customHeight="1" x14ac:dyDescent="0.25">
      <c r="A477" s="49" t="s">
        <v>845</v>
      </c>
      <c r="B477"/>
    </row>
    <row r="478" spans="1:2" ht="12.6" customHeight="1" x14ac:dyDescent="0.25">
      <c r="A478" s="49" t="s">
        <v>774</v>
      </c>
      <c r="B478"/>
    </row>
    <row r="479" spans="1:2" ht="12.6" customHeight="1" x14ac:dyDescent="0.25">
      <c r="A479" s="49" t="s">
        <v>846</v>
      </c>
      <c r="B479"/>
    </row>
    <row r="480" spans="1:2" ht="12.6" customHeight="1" x14ac:dyDescent="0.25">
      <c r="A480" s="49" t="s">
        <v>775</v>
      </c>
      <c r="B480"/>
    </row>
    <row r="481" spans="1:2" ht="12.6" customHeight="1" x14ac:dyDescent="0.25">
      <c r="A481" s="49" t="s">
        <v>1052</v>
      </c>
      <c r="B481"/>
    </row>
    <row r="482" spans="1:2" ht="12.6" customHeight="1" x14ac:dyDescent="0.25">
      <c r="A482" s="49" t="s">
        <v>69</v>
      </c>
      <c r="B482"/>
    </row>
    <row r="483" spans="1:2" ht="12.6" customHeight="1" x14ac:dyDescent="0.25">
      <c r="A483"/>
      <c r="B483"/>
    </row>
    <row r="484" spans="1:2" ht="12.6" customHeight="1" x14ac:dyDescent="0.25">
      <c r="A484" s="31" t="s">
        <v>847</v>
      </c>
      <c r="B484"/>
    </row>
    <row r="485" spans="1:2" ht="12.6" customHeight="1" x14ac:dyDescent="0.25">
      <c r="A485" s="49" t="s">
        <v>848</v>
      </c>
      <c r="B485"/>
    </row>
    <row r="486" spans="1:2" ht="12.6" customHeight="1" x14ac:dyDescent="0.25">
      <c r="A486" s="49" t="s">
        <v>849</v>
      </c>
      <c r="B486"/>
    </row>
    <row r="487" spans="1:2" ht="12.6" customHeight="1" x14ac:dyDescent="0.25">
      <c r="A487" s="49" t="s">
        <v>850</v>
      </c>
      <c r="B487"/>
    </row>
    <row r="488" spans="1:2" ht="12.6" customHeight="1" x14ac:dyDescent="0.25">
      <c r="A488" s="49" t="s">
        <v>851</v>
      </c>
      <c r="B488"/>
    </row>
    <row r="489" spans="1:2" ht="12.6" customHeight="1" x14ac:dyDescent="0.25">
      <c r="A489" s="49" t="s">
        <v>852</v>
      </c>
      <c r="B489"/>
    </row>
    <row r="490" spans="1:2" ht="12.6" customHeight="1" x14ac:dyDescent="0.25">
      <c r="A490" s="49" t="s">
        <v>853</v>
      </c>
      <c r="B490"/>
    </row>
    <row r="491" spans="1:2" ht="12.6" customHeight="1" x14ac:dyDescent="0.25">
      <c r="A491" s="49" t="s">
        <v>854</v>
      </c>
      <c r="B491"/>
    </row>
    <row r="492" spans="1:2" ht="12.6" customHeight="1" x14ac:dyDescent="0.25">
      <c r="A492" s="49" t="s">
        <v>855</v>
      </c>
      <c r="B492"/>
    </row>
    <row r="493" spans="1:2" ht="12.6" customHeight="1" x14ac:dyDescent="0.25">
      <c r="A493" s="49" t="s">
        <v>856</v>
      </c>
      <c r="B493"/>
    </row>
    <row r="494" spans="1:2" ht="12.6" customHeight="1" x14ac:dyDescent="0.25">
      <c r="A494" s="49" t="s">
        <v>857</v>
      </c>
      <c r="B494"/>
    </row>
    <row r="495" spans="1:2" ht="12.6" customHeight="1" x14ac:dyDescent="0.25">
      <c r="A495" s="49" t="s">
        <v>858</v>
      </c>
      <c r="B495"/>
    </row>
    <row r="496" spans="1:2" ht="12.6" customHeight="1" x14ac:dyDescent="0.25">
      <c r="A496" s="49" t="s">
        <v>859</v>
      </c>
      <c r="B496"/>
    </row>
    <row r="497" spans="1:2" ht="12.6" customHeight="1" x14ac:dyDescent="0.25">
      <c r="A497" s="49" t="s">
        <v>860</v>
      </c>
      <c r="B497"/>
    </row>
    <row r="498" spans="1:2" ht="12.6" customHeight="1" x14ac:dyDescent="0.25">
      <c r="A498" s="49" t="s">
        <v>861</v>
      </c>
      <c r="B498"/>
    </row>
    <row r="499" spans="1:2" ht="12.6" customHeight="1" x14ac:dyDescent="0.25">
      <c r="A499" s="49" t="s">
        <v>862</v>
      </c>
      <c r="B499"/>
    </row>
    <row r="500" spans="1:2" ht="12.6" customHeight="1" x14ac:dyDescent="0.25">
      <c r="A500" s="49" t="s">
        <v>863</v>
      </c>
      <c r="B500"/>
    </row>
    <row r="501" spans="1:2" ht="12.6" customHeight="1" x14ac:dyDescent="0.25">
      <c r="A501" s="49" t="s">
        <v>864</v>
      </c>
      <c r="B501"/>
    </row>
    <row r="502" spans="1:2" ht="12.6" customHeight="1" x14ac:dyDescent="0.25">
      <c r="A502" s="49" t="s">
        <v>865</v>
      </c>
      <c r="B502"/>
    </row>
    <row r="503" spans="1:2" ht="12.6" customHeight="1" x14ac:dyDescent="0.25">
      <c r="A503" s="49" t="s">
        <v>866</v>
      </c>
      <c r="B503"/>
    </row>
    <row r="504" spans="1:2" ht="12.6" customHeight="1" x14ac:dyDescent="0.25">
      <c r="A504" s="49" t="s">
        <v>867</v>
      </c>
      <c r="B504"/>
    </row>
    <row r="505" spans="1:2" ht="12.6" customHeight="1" x14ac:dyDescent="0.25">
      <c r="A505" s="49" t="s">
        <v>868</v>
      </c>
      <c r="B505"/>
    </row>
    <row r="506" spans="1:2" ht="12.6" customHeight="1" x14ac:dyDescent="0.25">
      <c r="A506" s="49" t="s">
        <v>869</v>
      </c>
      <c r="B506"/>
    </row>
    <row r="507" spans="1:2" ht="12.6" customHeight="1" x14ac:dyDescent="0.25">
      <c r="A507" s="49" t="s">
        <v>870</v>
      </c>
      <c r="B507"/>
    </row>
    <row r="508" spans="1:2" ht="12.6" customHeight="1" x14ac:dyDescent="0.25">
      <c r="A508" s="49" t="s">
        <v>871</v>
      </c>
      <c r="B508"/>
    </row>
    <row r="509" spans="1:2" ht="12.6" customHeight="1" x14ac:dyDescent="0.25">
      <c r="A509" s="49" t="s">
        <v>872</v>
      </c>
      <c r="B509"/>
    </row>
    <row r="510" spans="1:2" ht="12.6" customHeight="1" x14ac:dyDescent="0.25">
      <c r="A510" s="49" t="s">
        <v>873</v>
      </c>
      <c r="B510"/>
    </row>
    <row r="511" spans="1:2" ht="12.6" customHeight="1" x14ac:dyDescent="0.25">
      <c r="A511" s="49" t="s">
        <v>1052</v>
      </c>
      <c r="B511"/>
    </row>
    <row r="512" spans="1:2" ht="12.6" customHeight="1" x14ac:dyDescent="0.25">
      <c r="A512" s="49" t="s">
        <v>69</v>
      </c>
      <c r="B512"/>
    </row>
    <row r="513" spans="1:2" ht="12.6" customHeight="1" x14ac:dyDescent="0.25">
      <c r="A513"/>
      <c r="B513"/>
    </row>
    <row r="514" spans="1:2" ht="12.6" customHeight="1" x14ac:dyDescent="0.25">
      <c r="A514" s="31" t="s">
        <v>875</v>
      </c>
      <c r="B514"/>
    </row>
    <row r="515" spans="1:2" ht="12.6" customHeight="1" x14ac:dyDescent="0.25">
      <c r="A515" s="49" t="s">
        <v>887</v>
      </c>
      <c r="B515"/>
    </row>
    <row r="516" spans="1:2" ht="12.6" customHeight="1" x14ac:dyDescent="0.25">
      <c r="A516" s="49" t="s">
        <v>888</v>
      </c>
      <c r="B516"/>
    </row>
    <row r="517" spans="1:2" ht="12.6" customHeight="1" x14ac:dyDescent="0.25">
      <c r="A517" s="49" t="s">
        <v>889</v>
      </c>
      <c r="B517"/>
    </row>
    <row r="518" spans="1:2" ht="12.6" customHeight="1" x14ac:dyDescent="0.25">
      <c r="A518" s="49" t="s">
        <v>890</v>
      </c>
      <c r="B518"/>
    </row>
    <row r="519" spans="1:2" ht="12.6" customHeight="1" x14ac:dyDescent="0.25">
      <c r="A519" s="49" t="s">
        <v>891</v>
      </c>
      <c r="B519"/>
    </row>
    <row r="520" spans="1:2" ht="12.6" customHeight="1" x14ac:dyDescent="0.25">
      <c r="A520" s="49" t="s">
        <v>892</v>
      </c>
      <c r="B520"/>
    </row>
    <row r="521" spans="1:2" ht="12.6" customHeight="1" x14ac:dyDescent="0.25">
      <c r="A521" s="49" t="s">
        <v>893</v>
      </c>
      <c r="B521"/>
    </row>
    <row r="522" spans="1:2" ht="12.6" customHeight="1" x14ac:dyDescent="0.25">
      <c r="A522" s="49" t="s">
        <v>894</v>
      </c>
      <c r="B522"/>
    </row>
    <row r="523" spans="1:2" ht="12.6" customHeight="1" x14ac:dyDescent="0.25">
      <c r="A523" s="49" t="s">
        <v>895</v>
      </c>
      <c r="B523"/>
    </row>
    <row r="524" spans="1:2" ht="12.6" customHeight="1" x14ac:dyDescent="0.25">
      <c r="A524" s="49" t="s">
        <v>896</v>
      </c>
      <c r="B524"/>
    </row>
    <row r="525" spans="1:2" ht="12.6" customHeight="1" x14ac:dyDescent="0.25">
      <c r="A525" s="49" t="s">
        <v>897</v>
      </c>
      <c r="B525"/>
    </row>
    <row r="526" spans="1:2" ht="12.6" customHeight="1" x14ac:dyDescent="0.25">
      <c r="A526" s="49" t="s">
        <v>897</v>
      </c>
      <c r="B526"/>
    </row>
    <row r="527" spans="1:2" ht="12.6" customHeight="1" x14ac:dyDescent="0.25">
      <c r="A527" s="49" t="s">
        <v>876</v>
      </c>
      <c r="B527"/>
    </row>
    <row r="528" spans="1:2" ht="12.6" customHeight="1" x14ac:dyDescent="0.25">
      <c r="A528" s="49" t="s">
        <v>877</v>
      </c>
      <c r="B528"/>
    </row>
    <row r="529" spans="1:2" ht="12.6" customHeight="1" x14ac:dyDescent="0.25">
      <c r="A529" s="49" t="s">
        <v>878</v>
      </c>
      <c r="B529"/>
    </row>
    <row r="530" spans="1:2" ht="12.6" customHeight="1" x14ac:dyDescent="0.25">
      <c r="A530" s="49" t="s">
        <v>879</v>
      </c>
      <c r="B530"/>
    </row>
    <row r="531" spans="1:2" ht="12.6" customHeight="1" x14ac:dyDescent="0.25">
      <c r="A531" s="49" t="s">
        <v>880</v>
      </c>
      <c r="B531"/>
    </row>
    <row r="532" spans="1:2" ht="12.6" customHeight="1" x14ac:dyDescent="0.25">
      <c r="A532" s="49" t="s">
        <v>881</v>
      </c>
      <c r="B532"/>
    </row>
    <row r="533" spans="1:2" ht="12.6" customHeight="1" x14ac:dyDescent="0.25">
      <c r="A533" s="49" t="s">
        <v>882</v>
      </c>
      <c r="B533"/>
    </row>
    <row r="534" spans="1:2" ht="12.6" customHeight="1" x14ac:dyDescent="0.25">
      <c r="A534" s="49" t="s">
        <v>883</v>
      </c>
      <c r="B534"/>
    </row>
    <row r="535" spans="1:2" ht="12.6" customHeight="1" x14ac:dyDescent="0.25">
      <c r="A535" s="49" t="s">
        <v>884</v>
      </c>
      <c r="B535"/>
    </row>
    <row r="536" spans="1:2" ht="12.6" customHeight="1" x14ac:dyDescent="0.25">
      <c r="A536" s="49" t="s">
        <v>885</v>
      </c>
      <c r="B536"/>
    </row>
    <row r="537" spans="1:2" ht="12.6" customHeight="1" x14ac:dyDescent="0.25">
      <c r="A537" s="49" t="s">
        <v>886</v>
      </c>
      <c r="B537"/>
    </row>
    <row r="538" spans="1:2" ht="12.6" customHeight="1" x14ac:dyDescent="0.25">
      <c r="A538" s="49" t="s">
        <v>886</v>
      </c>
      <c r="B538"/>
    </row>
    <row r="539" spans="1:2" ht="12.6" customHeight="1" x14ac:dyDescent="0.25">
      <c r="A539" s="49" t="s">
        <v>1052</v>
      </c>
      <c r="B539"/>
    </row>
    <row r="540" spans="1:2" ht="12.6" customHeight="1" x14ac:dyDescent="0.25">
      <c r="A540" s="49" t="s">
        <v>69</v>
      </c>
      <c r="B540"/>
    </row>
    <row r="541" spans="1:2" ht="12.6" customHeight="1" x14ac:dyDescent="0.25">
      <c r="A541"/>
      <c r="B541"/>
    </row>
    <row r="542" spans="1:2" ht="12.6" customHeight="1" x14ac:dyDescent="0.25">
      <c r="A542" s="31" t="s">
        <v>914</v>
      </c>
      <c r="B542"/>
    </row>
    <row r="543" spans="1:2" ht="12.6" customHeight="1" x14ac:dyDescent="0.25">
      <c r="A543" s="49" t="s">
        <v>911</v>
      </c>
      <c r="B543" t="s">
        <v>915</v>
      </c>
    </row>
    <row r="544" spans="1:2" ht="12.6" customHeight="1" x14ac:dyDescent="0.25">
      <c r="A544" s="49" t="s">
        <v>912</v>
      </c>
      <c r="B544"/>
    </row>
    <row r="545" spans="1:2" ht="12.6" customHeight="1" x14ac:dyDescent="0.25">
      <c r="A545" s="49" t="s">
        <v>903</v>
      </c>
      <c r="B545"/>
    </row>
    <row r="546" spans="1:2" ht="12.6" customHeight="1" x14ac:dyDescent="0.25">
      <c r="A546" s="49" t="s">
        <v>904</v>
      </c>
      <c r="B546"/>
    </row>
    <row r="547" spans="1:2" ht="12.6" customHeight="1" x14ac:dyDescent="0.25">
      <c r="A547" s="49" t="s">
        <v>901</v>
      </c>
      <c r="B547"/>
    </row>
    <row r="548" spans="1:2" ht="12.6" customHeight="1" x14ac:dyDescent="0.25">
      <c r="A548" s="49" t="s">
        <v>902</v>
      </c>
      <c r="B548"/>
    </row>
    <row r="549" spans="1:2" ht="12.6" customHeight="1" x14ac:dyDescent="0.25">
      <c r="A549" s="49" t="s">
        <v>69</v>
      </c>
      <c r="B549"/>
    </row>
    <row r="550" spans="1:2" ht="12.6" customHeight="1" x14ac:dyDescent="0.25">
      <c r="A550"/>
      <c r="B550"/>
    </row>
    <row r="551" spans="1:2" ht="12.6" customHeight="1" x14ac:dyDescent="0.25">
      <c r="A551" s="31" t="s">
        <v>916</v>
      </c>
      <c r="B551" t="s">
        <v>917</v>
      </c>
    </row>
    <row r="552" spans="1:2" ht="12.6" customHeight="1" x14ac:dyDescent="0.25">
      <c r="A552" s="49" t="s">
        <v>903</v>
      </c>
      <c r="B552"/>
    </row>
    <row r="553" spans="1:2" ht="12.6" customHeight="1" x14ac:dyDescent="0.25">
      <c r="A553" s="49" t="s">
        <v>904</v>
      </c>
      <c r="B553"/>
    </row>
    <row r="554" spans="1:2" ht="12.6" customHeight="1" x14ac:dyDescent="0.25">
      <c r="A554" s="49" t="s">
        <v>901</v>
      </c>
      <c r="B554"/>
    </row>
    <row r="555" spans="1:2" ht="12.6" customHeight="1" x14ac:dyDescent="0.25">
      <c r="A555" s="49" t="s">
        <v>902</v>
      </c>
      <c r="B555"/>
    </row>
    <row r="556" spans="1:2" ht="12.6" customHeight="1" x14ac:dyDescent="0.25">
      <c r="A556" s="49" t="s">
        <v>1052</v>
      </c>
      <c r="B556"/>
    </row>
    <row r="557" spans="1:2" ht="12.6" customHeight="1" x14ac:dyDescent="0.25">
      <c r="A557" s="49" t="s">
        <v>69</v>
      </c>
      <c r="B557"/>
    </row>
    <row r="558" spans="1:2" ht="12.6" customHeight="1" x14ac:dyDescent="0.25">
      <c r="A558"/>
      <c r="B558"/>
    </row>
    <row r="559" spans="1:2" ht="12.6" customHeight="1" x14ac:dyDescent="0.25">
      <c r="A559" s="31" t="s">
        <v>920</v>
      </c>
      <c r="B559" t="s">
        <v>927</v>
      </c>
    </row>
    <row r="560" spans="1:2" ht="12.6" customHeight="1" x14ac:dyDescent="0.25">
      <c r="A560" s="49" t="s">
        <v>921</v>
      </c>
      <c r="B560" t="s">
        <v>929</v>
      </c>
    </row>
    <row r="561" spans="1:2" ht="12.6" customHeight="1" x14ac:dyDescent="0.25">
      <c r="A561" s="49" t="s">
        <v>922</v>
      </c>
      <c r="B561" t="s">
        <v>930</v>
      </c>
    </row>
    <row r="562" spans="1:2" ht="12.6" customHeight="1" x14ac:dyDescent="0.25">
      <c r="A562" s="49" t="s">
        <v>923</v>
      </c>
      <c r="B562" t="s">
        <v>931</v>
      </c>
    </row>
    <row r="563" spans="1:2" ht="12.6" customHeight="1" x14ac:dyDescent="0.25">
      <c r="A563" s="49" t="s">
        <v>924</v>
      </c>
      <c r="B563" t="s">
        <v>932</v>
      </c>
    </row>
    <row r="564" spans="1:2" ht="12.6" customHeight="1" x14ac:dyDescent="0.25">
      <c r="A564" s="49" t="s">
        <v>925</v>
      </c>
      <c r="B564" t="s">
        <v>936</v>
      </c>
    </row>
    <row r="565" spans="1:2" ht="12.6" customHeight="1" x14ac:dyDescent="0.25">
      <c r="A565" s="49" t="s">
        <v>926</v>
      </c>
      <c r="B565"/>
    </row>
    <row r="566" spans="1:2" ht="12.6" customHeight="1" x14ac:dyDescent="0.25">
      <c r="A566" s="49" t="s">
        <v>1052</v>
      </c>
      <c r="B566"/>
    </row>
    <row r="567" spans="1:2" ht="12.6" customHeight="1" x14ac:dyDescent="0.25">
      <c r="A567" s="49" t="s">
        <v>69</v>
      </c>
      <c r="B567"/>
    </row>
    <row r="568" spans="1:2" ht="12.6" customHeight="1" x14ac:dyDescent="0.25">
      <c r="A568"/>
      <c r="B568"/>
    </row>
    <row r="569" spans="1:2" ht="12.6" customHeight="1" x14ac:dyDescent="0.25">
      <c r="A569" s="31" t="s">
        <v>941</v>
      </c>
      <c r="B569"/>
    </row>
    <row r="570" spans="1:2" ht="12.6" customHeight="1" x14ac:dyDescent="0.25">
      <c r="A570" s="50" t="s">
        <v>942</v>
      </c>
      <c r="B570" t="s">
        <v>950</v>
      </c>
    </row>
    <row r="571" spans="1:2" ht="12.6" customHeight="1" x14ac:dyDescent="0.25">
      <c r="A571" s="50" t="s">
        <v>943</v>
      </c>
      <c r="B571" t="s">
        <v>950</v>
      </c>
    </row>
    <row r="572" spans="1:2" ht="12.6" customHeight="1" x14ac:dyDescent="0.25">
      <c r="A572" s="50" t="s">
        <v>944</v>
      </c>
      <c r="B572" t="s">
        <v>950</v>
      </c>
    </row>
    <row r="573" spans="1:2" ht="12.6" customHeight="1" x14ac:dyDescent="0.25">
      <c r="A573" s="50" t="s">
        <v>945</v>
      </c>
      <c r="B573" t="s">
        <v>950</v>
      </c>
    </row>
    <row r="574" spans="1:2" ht="12.6" customHeight="1" x14ac:dyDescent="0.25">
      <c r="A574" s="50" t="s">
        <v>946</v>
      </c>
      <c r="B574" t="s">
        <v>951</v>
      </c>
    </row>
    <row r="575" spans="1:2" ht="12.6" customHeight="1" x14ac:dyDescent="0.25">
      <c r="A575" s="50" t="s">
        <v>947</v>
      </c>
      <c r="B575" t="s">
        <v>951</v>
      </c>
    </row>
    <row r="576" spans="1:2" ht="12.6" customHeight="1" x14ac:dyDescent="0.25">
      <c r="A576" s="50" t="s">
        <v>948</v>
      </c>
      <c r="B576" t="s">
        <v>951</v>
      </c>
    </row>
    <row r="577" spans="1:2" ht="12.6" customHeight="1" x14ac:dyDescent="0.25">
      <c r="A577" s="50" t="s">
        <v>949</v>
      </c>
      <c r="B577"/>
    </row>
    <row r="578" spans="1:2" ht="12.6" customHeight="1" x14ac:dyDescent="0.25">
      <c r="A578" s="50" t="s">
        <v>1052</v>
      </c>
      <c r="B578" t="s">
        <v>1053</v>
      </c>
    </row>
    <row r="579" spans="1:2" ht="12.6" customHeight="1" x14ac:dyDescent="0.25">
      <c r="A579" s="50" t="s">
        <v>69</v>
      </c>
      <c r="B579"/>
    </row>
    <row r="580" spans="1:2" ht="12.6" customHeight="1" x14ac:dyDescent="0.25">
      <c r="A580"/>
      <c r="B580"/>
    </row>
    <row r="581" spans="1:2" ht="12.6" customHeight="1" x14ac:dyDescent="0.25">
      <c r="A581" s="31" t="s">
        <v>960</v>
      </c>
      <c r="B581" t="s">
        <v>961</v>
      </c>
    </row>
    <row r="582" spans="1:2" ht="12.6" customHeight="1" x14ac:dyDescent="0.25">
      <c r="A582" s="50" t="s">
        <v>956</v>
      </c>
      <c r="B582"/>
    </row>
    <row r="583" spans="1:2" ht="12.6" customHeight="1" x14ac:dyDescent="0.25">
      <c r="A583" s="50" t="s">
        <v>957</v>
      </c>
      <c r="B583"/>
    </row>
    <row r="584" spans="1:2" ht="12.6" customHeight="1" x14ac:dyDescent="0.25">
      <c r="A584" s="50" t="s">
        <v>69</v>
      </c>
      <c r="B584"/>
    </row>
    <row r="585" spans="1:2" ht="12.6" customHeight="1" x14ac:dyDescent="0.25">
      <c r="A585"/>
      <c r="B585"/>
    </row>
    <row r="586" spans="1:2" ht="12.6" customHeight="1" x14ac:dyDescent="0.25">
      <c r="A586" s="31" t="s">
        <v>965</v>
      </c>
      <c r="B586" t="s">
        <v>966</v>
      </c>
    </row>
    <row r="587" spans="1:2" ht="12.6" customHeight="1" x14ac:dyDescent="0.25">
      <c r="A587" s="50" t="s">
        <v>956</v>
      </c>
      <c r="B587"/>
    </row>
    <row r="588" spans="1:2" ht="12.6" customHeight="1" x14ac:dyDescent="0.25">
      <c r="A588" s="50" t="s">
        <v>957</v>
      </c>
      <c r="B588"/>
    </row>
    <row r="589" spans="1:2" ht="12.6" customHeight="1" x14ac:dyDescent="0.25">
      <c r="A589" s="50" t="s">
        <v>1052</v>
      </c>
      <c r="B589"/>
    </row>
    <row r="590" spans="1:2" ht="12.6" customHeight="1" x14ac:dyDescent="0.25">
      <c r="A590" s="50" t="s">
        <v>69</v>
      </c>
      <c r="B590"/>
    </row>
    <row r="591" spans="1:2" ht="12.6" customHeight="1" x14ac:dyDescent="0.25">
      <c r="A591"/>
      <c r="B591"/>
    </row>
    <row r="592" spans="1:2" ht="12.6" customHeight="1" x14ac:dyDescent="0.25">
      <c r="A592" s="31" t="s">
        <v>970</v>
      </c>
      <c r="B592"/>
    </row>
    <row r="593" spans="1:2" ht="12.6" customHeight="1" x14ac:dyDescent="0.25">
      <c r="A593" s="50" t="s">
        <v>971</v>
      </c>
      <c r="B593" t="s">
        <v>973</v>
      </c>
    </row>
    <row r="594" spans="1:2" ht="12.6" customHeight="1" x14ac:dyDescent="0.25">
      <c r="A594" s="50" t="s">
        <v>972</v>
      </c>
      <c r="B594" t="s">
        <v>974</v>
      </c>
    </row>
    <row r="595" spans="1:2" ht="12.6" customHeight="1" x14ac:dyDescent="0.25">
      <c r="A595" s="50" t="s">
        <v>1052</v>
      </c>
      <c r="B595"/>
    </row>
    <row r="596" spans="1:2" ht="12.6" customHeight="1" x14ac:dyDescent="0.25">
      <c r="A596" s="50" t="s">
        <v>69</v>
      </c>
      <c r="B596" t="s">
        <v>974</v>
      </c>
    </row>
    <row r="597" spans="1:2" ht="12.6" customHeight="1" x14ac:dyDescent="0.25">
      <c r="A597"/>
      <c r="B597"/>
    </row>
    <row r="598" spans="1:2" ht="12.6" customHeight="1" x14ac:dyDescent="0.25">
      <c r="A598" s="31" t="s">
        <v>1282</v>
      </c>
      <c r="B598"/>
    </row>
    <row r="599" spans="1:2" ht="12.6" customHeight="1" x14ac:dyDescent="0.25">
      <c r="A599" s="50">
        <v>0.85</v>
      </c>
      <c r="B599"/>
    </row>
    <row r="600" spans="1:2" ht="12.6" customHeight="1" x14ac:dyDescent="0.25">
      <c r="A600" s="50">
        <v>0.75</v>
      </c>
      <c r="B600"/>
    </row>
    <row r="601" spans="1:2" ht="12.6" customHeight="1" x14ac:dyDescent="0.25">
      <c r="A601"/>
      <c r="B601"/>
    </row>
    <row r="602" spans="1:2" ht="12.6" customHeight="1" x14ac:dyDescent="0.25">
      <c r="A602"/>
      <c r="B602"/>
    </row>
    <row r="603" spans="1:2" ht="12.6" customHeight="1" x14ac:dyDescent="0.25">
      <c r="A603"/>
      <c r="B603"/>
    </row>
    <row r="604" spans="1:2" ht="12.6" customHeight="1" x14ac:dyDescent="0.25">
      <c r="A604"/>
      <c r="B604"/>
    </row>
    <row r="605" spans="1:2" ht="12.6" customHeight="1" x14ac:dyDescent="0.25">
      <c r="A605"/>
      <c r="B605"/>
    </row>
    <row r="606" spans="1:2" ht="12.6" customHeight="1" x14ac:dyDescent="0.25">
      <c r="A606"/>
      <c r="B606"/>
    </row>
    <row r="607" spans="1:2" ht="12.6" customHeight="1" x14ac:dyDescent="0.25">
      <c r="A607"/>
      <c r="B607"/>
    </row>
    <row r="608" spans="1:2" ht="12.6" customHeight="1" x14ac:dyDescent="0.25">
      <c r="A608"/>
      <c r="B608"/>
    </row>
    <row r="609" spans="1:2" ht="12.6" customHeight="1" x14ac:dyDescent="0.25">
      <c r="A609"/>
      <c r="B609"/>
    </row>
    <row r="610" spans="1:2" ht="12.6" customHeight="1" x14ac:dyDescent="0.25">
      <c r="A610"/>
      <c r="B610"/>
    </row>
    <row r="611" spans="1:2" ht="12.6" customHeight="1" x14ac:dyDescent="0.25">
      <c r="A611"/>
      <c r="B611"/>
    </row>
    <row r="612" spans="1:2" ht="12.6" customHeight="1" x14ac:dyDescent="0.25">
      <c r="A612"/>
      <c r="B612"/>
    </row>
    <row r="613" spans="1:2" ht="12.6" customHeight="1" x14ac:dyDescent="0.25">
      <c r="A613"/>
      <c r="B613"/>
    </row>
    <row r="614" spans="1:2" ht="12.6" customHeight="1" x14ac:dyDescent="0.25">
      <c r="A614"/>
      <c r="B614"/>
    </row>
    <row r="615" spans="1:2" ht="12.6" customHeight="1" x14ac:dyDescent="0.25">
      <c r="A615"/>
      <c r="B615"/>
    </row>
    <row r="616" spans="1:2" ht="12.6" customHeight="1" x14ac:dyDescent="0.25">
      <c r="A616"/>
      <c r="B616"/>
    </row>
    <row r="617" spans="1:2" ht="12.6" customHeight="1" x14ac:dyDescent="0.25">
      <c r="A617"/>
      <c r="B617"/>
    </row>
    <row r="618" spans="1:2" ht="12.6" customHeight="1" x14ac:dyDescent="0.25">
      <c r="A618"/>
      <c r="B618"/>
    </row>
    <row r="619" spans="1:2" ht="12.6" customHeight="1" x14ac:dyDescent="0.25">
      <c r="A619"/>
      <c r="B619"/>
    </row>
    <row r="620" spans="1:2" ht="12.6" customHeight="1" x14ac:dyDescent="0.25">
      <c r="A620"/>
      <c r="B620"/>
    </row>
    <row r="621" spans="1:2" ht="12.6" customHeight="1" x14ac:dyDescent="0.25">
      <c r="A621"/>
      <c r="B621"/>
    </row>
    <row r="622" spans="1:2" ht="12.6" customHeight="1" x14ac:dyDescent="0.25">
      <c r="A622"/>
      <c r="B622"/>
    </row>
    <row r="623" spans="1:2" ht="12.6" customHeight="1" x14ac:dyDescent="0.25">
      <c r="A623"/>
      <c r="B623"/>
    </row>
    <row r="624" spans="1:2" ht="12.6" customHeight="1" x14ac:dyDescent="0.25">
      <c r="A624"/>
      <c r="B624"/>
    </row>
    <row r="625" spans="1:2" ht="12.6" customHeight="1" x14ac:dyDescent="0.25">
      <c r="A625"/>
      <c r="B625"/>
    </row>
    <row r="626" spans="1:2" ht="12.6" customHeight="1" x14ac:dyDescent="0.25">
      <c r="A626"/>
      <c r="B626"/>
    </row>
    <row r="627" spans="1:2" ht="12.6" customHeight="1" x14ac:dyDescent="0.25">
      <c r="A627"/>
      <c r="B627"/>
    </row>
    <row r="628" spans="1:2" ht="12.6" customHeight="1" x14ac:dyDescent="0.25">
      <c r="A628"/>
      <c r="B628"/>
    </row>
    <row r="629" spans="1:2" ht="12.6" customHeight="1" x14ac:dyDescent="0.25">
      <c r="A629"/>
      <c r="B629"/>
    </row>
    <row r="630" spans="1:2" ht="12.6" customHeight="1" x14ac:dyDescent="0.25">
      <c r="A630"/>
      <c r="B630"/>
    </row>
    <row r="631" spans="1:2" ht="12.6" customHeight="1" x14ac:dyDescent="0.25">
      <c r="A631"/>
      <c r="B631"/>
    </row>
    <row r="632" spans="1:2" ht="12.6" customHeight="1" x14ac:dyDescent="0.25">
      <c r="A632"/>
      <c r="B632"/>
    </row>
    <row r="633" spans="1:2" ht="12.6" customHeight="1" x14ac:dyDescent="0.25">
      <c r="A633"/>
      <c r="B633"/>
    </row>
    <row r="634" spans="1:2" ht="12.6" customHeight="1" x14ac:dyDescent="0.25">
      <c r="A634"/>
      <c r="B634"/>
    </row>
    <row r="635" spans="1:2" ht="12.6" customHeight="1" x14ac:dyDescent="0.25">
      <c r="A635"/>
      <c r="B635"/>
    </row>
    <row r="636" spans="1:2" ht="12.6" customHeight="1" x14ac:dyDescent="0.25">
      <c r="A636"/>
      <c r="B636"/>
    </row>
    <row r="637" spans="1:2" ht="12.6" customHeight="1" x14ac:dyDescent="0.25">
      <c r="A637"/>
      <c r="B637"/>
    </row>
    <row r="638" spans="1:2" ht="12.6" customHeight="1" x14ac:dyDescent="0.25">
      <c r="A638"/>
      <c r="B638"/>
    </row>
    <row r="639" spans="1:2" ht="12.6" customHeight="1" x14ac:dyDescent="0.25">
      <c r="A639"/>
      <c r="B639"/>
    </row>
    <row r="640" spans="1:2" ht="12.6" customHeight="1" x14ac:dyDescent="0.25">
      <c r="A640"/>
      <c r="B640"/>
    </row>
    <row r="641" spans="1:2" ht="12.6" customHeight="1" x14ac:dyDescent="0.25">
      <c r="A641"/>
      <c r="B641"/>
    </row>
    <row r="642" spans="1:2" ht="12.6" customHeight="1" x14ac:dyDescent="0.25">
      <c r="A642"/>
      <c r="B642"/>
    </row>
    <row r="643" spans="1:2" ht="12.6" customHeight="1" x14ac:dyDescent="0.25">
      <c r="A643"/>
      <c r="B643"/>
    </row>
    <row r="644" spans="1:2" ht="12.6" customHeight="1" x14ac:dyDescent="0.25">
      <c r="A644"/>
      <c r="B644"/>
    </row>
    <row r="645" spans="1:2" ht="12.6" customHeight="1" x14ac:dyDescent="0.25">
      <c r="A645"/>
      <c r="B645"/>
    </row>
    <row r="646" spans="1:2" ht="12.6" customHeight="1" x14ac:dyDescent="0.25">
      <c r="A646"/>
      <c r="B646"/>
    </row>
    <row r="647" spans="1:2" ht="12.6" customHeight="1" x14ac:dyDescent="0.25">
      <c r="A647"/>
      <c r="B647"/>
    </row>
    <row r="648" spans="1:2" ht="12.6" customHeight="1" x14ac:dyDescent="0.25">
      <c r="A648"/>
      <c r="B648"/>
    </row>
    <row r="649" spans="1:2" ht="12.6" customHeight="1" x14ac:dyDescent="0.25">
      <c r="A649"/>
      <c r="B649"/>
    </row>
    <row r="650" spans="1:2" ht="12.6" customHeight="1" x14ac:dyDescent="0.25">
      <c r="A650"/>
      <c r="B650"/>
    </row>
    <row r="651" spans="1:2" ht="12.6" customHeight="1" x14ac:dyDescent="0.25">
      <c r="A651"/>
      <c r="B651"/>
    </row>
    <row r="652" spans="1:2" ht="12.6" customHeight="1" x14ac:dyDescent="0.25">
      <c r="A652"/>
      <c r="B652"/>
    </row>
    <row r="653" spans="1:2" ht="12.6" customHeight="1" x14ac:dyDescent="0.25">
      <c r="A653"/>
      <c r="B653"/>
    </row>
    <row r="654" spans="1:2" ht="12.6" customHeight="1" x14ac:dyDescent="0.25">
      <c r="A654"/>
      <c r="B654"/>
    </row>
    <row r="655" spans="1:2" ht="12.6" customHeight="1" x14ac:dyDescent="0.25">
      <c r="A655"/>
      <c r="B655"/>
    </row>
    <row r="656" spans="1:2" ht="12.6" customHeight="1" x14ac:dyDescent="0.25">
      <c r="A656"/>
      <c r="B656"/>
    </row>
    <row r="657" spans="1:2" ht="12.6" customHeight="1" x14ac:dyDescent="0.25">
      <c r="A657"/>
      <c r="B657"/>
    </row>
    <row r="658" spans="1:2" ht="12.6" customHeight="1" x14ac:dyDescent="0.25">
      <c r="A658"/>
      <c r="B658"/>
    </row>
    <row r="659" spans="1:2" ht="12.6" customHeight="1" x14ac:dyDescent="0.25">
      <c r="A659"/>
      <c r="B659"/>
    </row>
    <row r="660" spans="1:2" ht="12.6" customHeight="1" x14ac:dyDescent="0.25">
      <c r="A660"/>
      <c r="B660"/>
    </row>
    <row r="661" spans="1:2" ht="12.6" customHeight="1" x14ac:dyDescent="0.25">
      <c r="A661"/>
      <c r="B661"/>
    </row>
    <row r="662" spans="1:2" ht="12.6" customHeight="1" x14ac:dyDescent="0.25">
      <c r="A662"/>
      <c r="B662"/>
    </row>
  </sheetData>
  <dataValidations count="1">
    <dataValidation type="list" allowBlank="1" showInputMessage="1" showErrorMessage="1" sqref="B6" xr:uid="{00000000-0002-0000-0200-000003000000}">
      <formula1>uc_list</formula1>
    </dataValidation>
  </dataValidations>
  <pageMargins left="0.25" right="0.25" top="0.75" bottom="0.75" header="0.3" footer="0.3"/>
  <pageSetup orientation="landscape" r:id="rId1"/>
  <headerFooter>
    <oddHeader>&amp;L&amp;"-,Bold"Texas Instruments Confidential - NDA Restrictions
&amp;CInternal Use ONLY  &amp;D&amp;RPage &amp;P</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57E3F-0562-4DB9-A3A8-F4CCE5DB22F2}">
  <sheetPr codeName="Sheet14">
    <tabColor theme="4"/>
  </sheetPr>
  <dimension ref="A1:CZ152"/>
  <sheetViews>
    <sheetView topLeftCell="C1" zoomScale="115" zoomScaleNormal="115" workbookViewId="0">
      <selection activeCell="BM22" sqref="BM22"/>
    </sheetView>
  </sheetViews>
  <sheetFormatPr defaultColWidth="8.5703125" defaultRowHeight="15" outlineLevelCol="1" x14ac:dyDescent="0.25"/>
  <cols>
    <col min="1" max="1" width="24.42578125" customWidth="1" outlineLevel="1"/>
    <col min="2" max="2" width="28.140625" customWidth="1"/>
    <col min="3" max="3" width="10.42578125" customWidth="1"/>
    <col min="4" max="4" width="24.42578125" customWidth="1" outlineLevel="1"/>
    <col min="5" max="5" width="11" customWidth="1"/>
    <col min="6" max="6" width="12.42578125" customWidth="1"/>
    <col min="7" max="7" width="12.5703125" customWidth="1"/>
    <col min="8" max="8" width="13.42578125" customWidth="1"/>
    <col min="9" max="61" width="12.5703125" hidden="1" customWidth="1"/>
    <col min="62" max="62" width="5.7109375" customWidth="1"/>
    <col min="63" max="104" width="12.5703125" customWidth="1"/>
  </cols>
  <sheetData>
    <row r="1" spans="1:104" x14ac:dyDescent="0.25">
      <c r="B1" s="54" t="s">
        <v>989</v>
      </c>
    </row>
    <row r="2" spans="1:104" ht="15.75" thickBot="1" x14ac:dyDescent="0.3"/>
    <row r="3" spans="1:104" s="3" customFormat="1" ht="62.45" customHeight="1" x14ac:dyDescent="0.2">
      <c r="A3" s="68" t="s">
        <v>986</v>
      </c>
      <c r="B3" s="67" t="s">
        <v>67</v>
      </c>
      <c r="C3" s="67" t="s">
        <v>15</v>
      </c>
      <c r="D3" s="67" t="s">
        <v>16</v>
      </c>
      <c r="E3" s="67" t="s">
        <v>0</v>
      </c>
      <c r="F3" s="67" t="s">
        <v>367</v>
      </c>
      <c r="G3" s="69" t="s">
        <v>94</v>
      </c>
      <c r="H3" s="70" t="str">
        <f>G3&amp;" UC Mode or Frequency"</f>
        <v>100% UC Mode or Frequency</v>
      </c>
      <c r="I3" s="69" t="s">
        <v>52</v>
      </c>
      <c r="J3" s="70" t="str">
        <f>I3&amp;" UC Mode or Frequency"</f>
        <v>Idle UC Mode or Frequency</v>
      </c>
      <c r="K3" s="69" t="s">
        <v>102</v>
      </c>
      <c r="L3" s="70" t="str">
        <f>K3&amp;" UC Mode or Frequency"</f>
        <v>Burn In UC Mode or Frequency</v>
      </c>
      <c r="M3" s="69" t="s">
        <v>172</v>
      </c>
      <c r="N3" s="70" t="str">
        <f>M3&amp;" UC Mode or Frequency"</f>
        <v>Stuck At Test (Scan) UC Mode or Frequency</v>
      </c>
      <c r="O3" s="69" t="s">
        <v>276</v>
      </c>
      <c r="P3" s="70" t="str">
        <f>O3&amp;" UC Mode or Frequency"</f>
        <v>UC 1.1 Dual UC Mode or Frequency</v>
      </c>
      <c r="Q3" s="69" t="s">
        <v>335</v>
      </c>
      <c r="R3" s="70" t="str">
        <f>Q3&amp;" UC Mode or Frequency"</f>
        <v>UC 1.1b Dual UC Mode or Frequency</v>
      </c>
      <c r="S3" s="69" t="s">
        <v>277</v>
      </c>
      <c r="T3" s="70" t="str">
        <f>S3&amp;" UC Mode or Frequency"</f>
        <v>UC 1.1 Quad UC Mode or Frequency</v>
      </c>
      <c r="U3" s="69" t="s">
        <v>188</v>
      </c>
      <c r="V3" s="70" t="str">
        <f>U3&amp;" UC Mode or Frequency"</f>
        <v>UC 1.2 UC Mode or Frequency</v>
      </c>
      <c r="W3" s="69" t="s">
        <v>192</v>
      </c>
      <c r="X3" s="70" t="str">
        <f>W3&amp;" UC Mode or Frequency"</f>
        <v>UC 1.3 UC Mode or Frequency</v>
      </c>
      <c r="Y3" s="69" t="s">
        <v>193</v>
      </c>
      <c r="Z3" s="70" t="str">
        <f>Y3&amp;" UC Mode or Frequency"</f>
        <v>UC 1.4 UC Mode or Frequency</v>
      </c>
      <c r="AA3" s="69" t="s">
        <v>285</v>
      </c>
      <c r="AB3" s="70" t="str">
        <f>AA3&amp;" UC Mode or Frequency"</f>
        <v>UC1.5 Dual UC Mode or Frequency</v>
      </c>
      <c r="AC3" s="69" t="s">
        <v>284</v>
      </c>
      <c r="AD3" s="70" t="str">
        <f>AC3&amp;" UC Mode or Frequency"</f>
        <v>UC1.5 Quad UC Mode or Frequency</v>
      </c>
      <c r="AE3" s="69" t="s">
        <v>286</v>
      </c>
      <c r="AF3" s="70" t="str">
        <f>AE3&amp;" UC Mode or Frequency"</f>
        <v>UC 1.6 Dual UC Mode or Frequency</v>
      </c>
      <c r="AG3" s="69" t="s">
        <v>287</v>
      </c>
      <c r="AH3" s="70" t="str">
        <f>AG3&amp;" UC Mode or Frequency"</f>
        <v>UC 1.6 Quad UC Mode or Frequency</v>
      </c>
      <c r="AI3" s="69" t="s">
        <v>280</v>
      </c>
      <c r="AJ3" s="70" t="str">
        <f>AI3&amp;" UC Mode or Frequency"</f>
        <v>UC1.7.1.1 UC Mode or Frequency</v>
      </c>
      <c r="AK3" s="69" t="s">
        <v>281</v>
      </c>
      <c r="AL3" s="70" t="str">
        <f>AK3&amp;" UC Mode or Frequency"</f>
        <v>UC1.7.1.2 UC Mode or Frequency</v>
      </c>
      <c r="AM3" s="69" t="s">
        <v>282</v>
      </c>
      <c r="AN3" s="70" t="str">
        <f>AM3&amp;" UC Mode or Frequency"</f>
        <v>UC1.7.1.3 UC Mode or Frequency</v>
      </c>
      <c r="AO3" s="69" t="s">
        <v>292</v>
      </c>
      <c r="AP3" s="70" t="str">
        <f>AO3&amp;" UC Mode or Frequency"</f>
        <v>UC1.7.3.1 UC Mode or Frequency</v>
      </c>
      <c r="AQ3" s="69" t="s">
        <v>294</v>
      </c>
      <c r="AR3" s="70" t="str">
        <f>AQ3&amp;" UC Mode or Frequency"</f>
        <v>UC1.7.3.2 UC Mode or Frequency</v>
      </c>
      <c r="AS3" s="69" t="s">
        <v>293</v>
      </c>
      <c r="AT3" s="70" t="str">
        <f>AS3&amp;" UC Mode or Frequency"</f>
        <v>UC1.7.3.3 UC Mode or Frequency</v>
      </c>
      <c r="AU3" s="69" t="s">
        <v>303</v>
      </c>
      <c r="AV3" s="70" t="str">
        <f>AU3&amp;" UC Mode or Frequency"</f>
        <v>Max Current 105C UC Mode or Frequency</v>
      </c>
      <c r="AW3" s="69" t="s">
        <v>304</v>
      </c>
      <c r="AX3" s="70" t="str">
        <f>AW3&amp;" UC Mode or Frequency"</f>
        <v>Max Current 125C UC Mode or Frequency</v>
      </c>
      <c r="AY3" s="69" t="s">
        <v>283</v>
      </c>
      <c r="AZ3" s="70" t="str">
        <f>AY3&amp;" UC Mode or Frequency"</f>
        <v>UC1.7.1.4 UC Mode or Frequency</v>
      </c>
      <c r="BA3" s="69" t="s">
        <v>322</v>
      </c>
      <c r="BB3" s="70" t="str">
        <f>BA3&amp;" UC Mode or Frequency"</f>
        <v>Emeter OSPI UC Mode or Frequency</v>
      </c>
      <c r="BC3" s="69" t="s">
        <v>341</v>
      </c>
      <c r="BD3" s="70" t="str">
        <f>BC3&amp;" UC Mode or Frequency"</f>
        <v>Packaging Max Step Low UC Mode or Frequency</v>
      </c>
      <c r="BE3" s="69" t="s">
        <v>342</v>
      </c>
      <c r="BF3" s="70" t="str">
        <f>BE3&amp;" UC Mode or Frequency"</f>
        <v>Packaging Max Step High UC Mode or Frequency</v>
      </c>
      <c r="BG3" s="69" t="s">
        <v>345</v>
      </c>
      <c r="BH3" s="70" t="str">
        <f>BG3&amp;" UC Mode or Frequency"</f>
        <v>Scan Partition Study UC Mode or Frequency</v>
      </c>
      <c r="BI3" s="69" t="s">
        <v>348</v>
      </c>
      <c r="BJ3" s="70" t="str">
        <f>BI3&amp;" UC Mode or Frequency"</f>
        <v>Fourecia DMS Single Core UC Mode or Frequency</v>
      </c>
      <c r="BK3" s="69" t="s">
        <v>1275</v>
      </c>
      <c r="BL3" s="70" t="str">
        <f>BK3&amp;" UC Mode or Frequency"</f>
        <v>Public PET UC UC Mode or Frequency</v>
      </c>
      <c r="BM3" s="69" t="s">
        <v>1200</v>
      </c>
      <c r="BN3" s="70" t="str">
        <f>BM3&amp;" UC Mode or Frequency"</f>
        <v>Enter UC Name UC Mode or Frequency</v>
      </c>
      <c r="BO3" s="69" t="s">
        <v>1200</v>
      </c>
      <c r="BP3" s="70" t="str">
        <f>BO3&amp;" UC Mode or Frequency"</f>
        <v>Enter UC Name UC Mode or Frequency</v>
      </c>
      <c r="BQ3" s="69" t="s">
        <v>1200</v>
      </c>
      <c r="BR3" s="70" t="str">
        <f>BQ3&amp;" UC Mode or Frequency"</f>
        <v>Enter UC Name UC Mode or Frequency</v>
      </c>
      <c r="BS3" s="69" t="s">
        <v>1200</v>
      </c>
      <c r="BT3" s="70" t="str">
        <f>BS3&amp;" UC Mode or Frequency"</f>
        <v>Enter UC Name UC Mode or Frequency</v>
      </c>
      <c r="BU3" s="69" t="s">
        <v>1200</v>
      </c>
      <c r="BV3" s="70" t="str">
        <f>BU3&amp;" UC Mode or Frequency"</f>
        <v>Enter UC Name UC Mode or Frequency</v>
      </c>
      <c r="BW3" s="69" t="s">
        <v>1200</v>
      </c>
      <c r="BX3" s="70" t="str">
        <f>BW3&amp;" UC Mode or Frequency"</f>
        <v>Enter UC Name UC Mode or Frequency</v>
      </c>
      <c r="BY3" s="69" t="s">
        <v>1200</v>
      </c>
      <c r="BZ3" s="70" t="str">
        <f>BY3&amp;" UC Mode or Frequency"</f>
        <v>Enter UC Name UC Mode or Frequency</v>
      </c>
      <c r="CA3" s="69" t="s">
        <v>1200</v>
      </c>
      <c r="CB3" s="70" t="str">
        <f>CA3&amp;" UC Mode or Frequency"</f>
        <v>Enter UC Name UC Mode or Frequency</v>
      </c>
      <c r="CC3" s="69" t="s">
        <v>1200</v>
      </c>
      <c r="CD3" s="70" t="str">
        <f>CC3&amp;" UC Mode or Frequency"</f>
        <v>Enter UC Name UC Mode or Frequency</v>
      </c>
      <c r="CE3" s="69" t="s">
        <v>1200</v>
      </c>
      <c r="CF3" s="70" t="str">
        <f>CE3&amp;" UC Mode or Frequency"</f>
        <v>Enter UC Name UC Mode or Frequency</v>
      </c>
      <c r="CG3" s="69" t="s">
        <v>1200</v>
      </c>
      <c r="CH3" s="70" t="str">
        <f>CG3&amp;" UC Mode or Frequency"</f>
        <v>Enter UC Name UC Mode or Frequency</v>
      </c>
      <c r="CI3" s="69" t="s">
        <v>1200</v>
      </c>
      <c r="CJ3" s="70" t="str">
        <f>CI3&amp;" UC Mode or Frequency"</f>
        <v>Enter UC Name UC Mode or Frequency</v>
      </c>
      <c r="CK3" s="69" t="s">
        <v>1200</v>
      </c>
      <c r="CL3" s="70" t="str">
        <f>CK3&amp;" UC Mode or Frequency"</f>
        <v>Enter UC Name UC Mode or Frequency</v>
      </c>
      <c r="CM3" s="69" t="s">
        <v>1200</v>
      </c>
      <c r="CN3" s="70" t="str">
        <f>CM3&amp;" UC Mode or Frequency"</f>
        <v>Enter UC Name UC Mode or Frequency</v>
      </c>
      <c r="CO3" s="69" t="s">
        <v>1200</v>
      </c>
      <c r="CP3" s="70" t="str">
        <f>CO3&amp;" UC Mode or Frequency"</f>
        <v>Enter UC Name UC Mode or Frequency</v>
      </c>
      <c r="CQ3" s="69" t="s">
        <v>1200</v>
      </c>
      <c r="CR3" s="70" t="str">
        <f>CQ3&amp;" UC Mode or Frequency"</f>
        <v>Enter UC Name UC Mode or Frequency</v>
      </c>
      <c r="CS3" s="69" t="s">
        <v>1200</v>
      </c>
      <c r="CT3" s="70" t="str">
        <f>CS3&amp;" UC Mode or Frequency"</f>
        <v>Enter UC Name UC Mode or Frequency</v>
      </c>
      <c r="CU3" s="69" t="s">
        <v>1200</v>
      </c>
      <c r="CV3" s="70" t="str">
        <f>CU3&amp;" UC Mode or Frequency"</f>
        <v>Enter UC Name UC Mode or Frequency</v>
      </c>
      <c r="CW3" s="69" t="s">
        <v>1200</v>
      </c>
      <c r="CX3" s="70" t="str">
        <f>CW3&amp;" UC Mode or Frequency"</f>
        <v>Enter UC Name UC Mode or Frequency</v>
      </c>
      <c r="CY3" s="69" t="s">
        <v>1200</v>
      </c>
      <c r="CZ3" s="70" t="str">
        <f>CY3&amp;" UC Mode or Frequency"</f>
        <v>Enter UC Name UC Mode or Frequency</v>
      </c>
    </row>
    <row r="4" spans="1:104" x14ac:dyDescent="0.25">
      <c r="A4" s="74" t="str">
        <f t="shared" ref="A4:A45" si="0">D4&amp;C4</f>
        <v>Tj</v>
      </c>
      <c r="B4" s="73" t="str">
        <f t="shared" ref="B4:B12" si="1">D4</f>
        <v>Tj</v>
      </c>
      <c r="C4" s="73"/>
      <c r="D4" s="73" t="s">
        <v>171</v>
      </c>
      <c r="E4" s="73" t="s">
        <v>987</v>
      </c>
      <c r="F4" s="73" t="s">
        <v>5</v>
      </c>
      <c r="G4" s="75">
        <v>125</v>
      </c>
      <c r="H4" s="71"/>
      <c r="I4" s="75">
        <v>125</v>
      </c>
      <c r="J4" s="71"/>
      <c r="K4" s="75">
        <v>130</v>
      </c>
      <c r="L4" s="71"/>
      <c r="M4" s="75">
        <v>125</v>
      </c>
      <c r="N4" s="71"/>
      <c r="O4" s="75">
        <v>105</v>
      </c>
      <c r="P4" s="71"/>
      <c r="Q4" s="75">
        <v>105</v>
      </c>
      <c r="R4" s="71"/>
      <c r="S4" s="75">
        <v>105</v>
      </c>
      <c r="T4" s="71"/>
      <c r="U4" s="75">
        <v>125</v>
      </c>
      <c r="V4" s="71"/>
      <c r="W4" s="75">
        <v>105</v>
      </c>
      <c r="X4" s="71"/>
      <c r="Y4" s="75">
        <v>125</v>
      </c>
      <c r="Z4" s="71"/>
      <c r="AA4" s="75">
        <v>125</v>
      </c>
      <c r="AB4" s="71"/>
      <c r="AC4" s="75">
        <v>125</v>
      </c>
      <c r="AD4" s="71"/>
      <c r="AE4" s="75">
        <v>105</v>
      </c>
      <c r="AF4" s="71"/>
      <c r="AG4" s="75">
        <v>105</v>
      </c>
      <c r="AH4" s="71"/>
      <c r="AI4" s="75">
        <v>25</v>
      </c>
      <c r="AJ4" s="71"/>
      <c r="AK4" s="75">
        <v>25</v>
      </c>
      <c r="AL4" s="71"/>
      <c r="AM4" s="75">
        <v>25</v>
      </c>
      <c r="AN4" s="71"/>
      <c r="AO4" s="75">
        <v>25</v>
      </c>
      <c r="AP4" s="71"/>
      <c r="AQ4" s="75">
        <v>25</v>
      </c>
      <c r="AR4" s="71"/>
      <c r="AS4" s="75">
        <v>25</v>
      </c>
      <c r="AT4" s="71"/>
      <c r="AU4" s="75">
        <v>105</v>
      </c>
      <c r="AV4" s="71"/>
      <c r="AW4" s="75">
        <v>125</v>
      </c>
      <c r="AX4" s="71"/>
      <c r="AY4" s="75">
        <v>25</v>
      </c>
      <c r="AZ4" s="71"/>
      <c r="BA4" s="75">
        <v>25</v>
      </c>
      <c r="BB4" s="71"/>
      <c r="BC4" s="75">
        <v>105</v>
      </c>
      <c r="BD4" s="71"/>
      <c r="BE4" s="75">
        <v>105</v>
      </c>
      <c r="BF4" s="71"/>
      <c r="BG4" s="75">
        <v>125</v>
      </c>
      <c r="BH4" s="71"/>
      <c r="BI4">
        <v>125</v>
      </c>
      <c r="BK4">
        <f>Summary!G37</f>
        <v>125</v>
      </c>
      <c r="BM4">
        <v>125</v>
      </c>
      <c r="BO4">
        <v>125</v>
      </c>
      <c r="BQ4">
        <v>125</v>
      </c>
      <c r="BS4">
        <v>125</v>
      </c>
      <c r="BU4">
        <v>125</v>
      </c>
      <c r="BW4">
        <v>125</v>
      </c>
      <c r="BY4">
        <v>125</v>
      </c>
      <c r="CA4">
        <v>125</v>
      </c>
      <c r="CC4">
        <v>125</v>
      </c>
      <c r="CE4">
        <v>125</v>
      </c>
      <c r="CG4">
        <v>125</v>
      </c>
      <c r="CI4">
        <v>125</v>
      </c>
      <c r="CK4">
        <v>125</v>
      </c>
      <c r="CM4">
        <v>125</v>
      </c>
      <c r="CO4">
        <v>125</v>
      </c>
      <c r="CQ4">
        <v>125</v>
      </c>
      <c r="CS4">
        <v>125</v>
      </c>
      <c r="CU4">
        <v>125</v>
      </c>
      <c r="CW4">
        <v>125</v>
      </c>
      <c r="CY4">
        <v>125</v>
      </c>
    </row>
    <row r="5" spans="1:104" x14ac:dyDescent="0.25">
      <c r="A5" s="74" t="str">
        <f t="shared" si="0"/>
        <v>VDD_CORE_SRAM_Voltage</v>
      </c>
      <c r="B5" s="73" t="str">
        <f t="shared" si="1"/>
        <v>VDD_CORE_SRAM_Voltage</v>
      </c>
      <c r="C5" s="73"/>
      <c r="D5" s="73" t="s">
        <v>1098</v>
      </c>
      <c r="E5" s="73" t="s">
        <v>987</v>
      </c>
      <c r="F5" s="73" t="s">
        <v>126</v>
      </c>
      <c r="G5" s="77">
        <v>0.85</v>
      </c>
      <c r="H5" s="71"/>
      <c r="I5" s="77">
        <v>0.88</v>
      </c>
      <c r="J5" s="71"/>
      <c r="K5" s="77">
        <v>1.1499999999999999</v>
      </c>
      <c r="L5" s="71"/>
      <c r="M5" s="77">
        <v>0.88</v>
      </c>
      <c r="N5" s="71"/>
      <c r="O5" s="77">
        <v>0.85</v>
      </c>
      <c r="P5" s="71"/>
      <c r="Q5" s="77">
        <v>0.85</v>
      </c>
      <c r="R5" s="71"/>
      <c r="S5" s="77">
        <v>0.85</v>
      </c>
      <c r="T5" s="71"/>
      <c r="U5" s="77">
        <v>0.85</v>
      </c>
      <c r="V5" s="71"/>
      <c r="W5" s="77">
        <v>0.85</v>
      </c>
      <c r="X5" s="71"/>
      <c r="Y5" s="77">
        <v>0.85</v>
      </c>
      <c r="Z5" s="71"/>
      <c r="AA5" s="77">
        <v>0.85</v>
      </c>
      <c r="AB5" s="71"/>
      <c r="AC5" s="77">
        <v>0.85</v>
      </c>
      <c r="AD5" s="71"/>
      <c r="AE5" s="77">
        <v>0.85</v>
      </c>
      <c r="AF5" s="71"/>
      <c r="AG5" s="77">
        <v>0.85</v>
      </c>
      <c r="AH5" s="71"/>
      <c r="AI5" s="77">
        <v>0.85</v>
      </c>
      <c r="AJ5" s="71"/>
      <c r="AK5" s="77">
        <v>0.85</v>
      </c>
      <c r="AL5" s="71"/>
      <c r="AM5" s="77">
        <v>0.85</v>
      </c>
      <c r="AN5" s="71"/>
      <c r="AO5" s="77">
        <v>0.85</v>
      </c>
      <c r="AP5" s="71"/>
      <c r="AQ5" s="77">
        <v>0.85</v>
      </c>
      <c r="AR5" s="71"/>
      <c r="AS5" s="77">
        <v>0.85</v>
      </c>
      <c r="AT5" s="71"/>
      <c r="AU5" s="77">
        <v>0.85</v>
      </c>
      <c r="AV5" s="71"/>
      <c r="AW5" s="77">
        <v>0.85</v>
      </c>
      <c r="AX5" s="71"/>
      <c r="AY5" s="77">
        <v>0.85</v>
      </c>
      <c r="AZ5" s="71"/>
      <c r="BA5" s="77">
        <v>0.85</v>
      </c>
      <c r="BB5" s="71"/>
      <c r="BC5" s="77">
        <v>0.85</v>
      </c>
      <c r="BD5" s="71"/>
      <c r="BE5" s="77">
        <v>0.85</v>
      </c>
      <c r="BF5" s="71"/>
      <c r="BG5" s="77">
        <v>0.85</v>
      </c>
      <c r="BH5" s="71"/>
      <c r="BI5">
        <v>0.85</v>
      </c>
      <c r="BK5">
        <v>0.85</v>
      </c>
      <c r="BM5">
        <v>0.85</v>
      </c>
      <c r="BO5">
        <v>0.85</v>
      </c>
      <c r="BQ5">
        <v>0.85</v>
      </c>
      <c r="BS5">
        <v>0.85</v>
      </c>
      <c r="BU5">
        <v>0.85</v>
      </c>
      <c r="BW5">
        <v>0.85</v>
      </c>
      <c r="BY5">
        <v>0.85</v>
      </c>
      <c r="CA5">
        <v>0.85</v>
      </c>
      <c r="CC5">
        <v>0.85</v>
      </c>
      <c r="CE5">
        <v>0.85</v>
      </c>
      <c r="CG5">
        <v>0.85</v>
      </c>
      <c r="CI5">
        <v>0.85</v>
      </c>
      <c r="CK5">
        <v>0.85</v>
      </c>
      <c r="CM5">
        <v>0.85</v>
      </c>
      <c r="CO5">
        <v>0.85</v>
      </c>
      <c r="CQ5">
        <v>0.85</v>
      </c>
      <c r="CS5">
        <v>0.85</v>
      </c>
      <c r="CU5">
        <v>0.85</v>
      </c>
      <c r="CW5">
        <v>0.85</v>
      </c>
      <c r="CY5">
        <v>0.85</v>
      </c>
    </row>
    <row r="6" spans="1:104" x14ac:dyDescent="0.25">
      <c r="A6" s="74" t="str">
        <f t="shared" si="0"/>
        <v>VDD_CORE_Voltage</v>
      </c>
      <c r="B6" s="73" t="str">
        <f t="shared" si="1"/>
        <v>VDD_CORE_Voltage</v>
      </c>
      <c r="C6" s="73"/>
      <c r="D6" s="73" t="s">
        <v>1097</v>
      </c>
      <c r="E6" s="73" t="s">
        <v>987</v>
      </c>
      <c r="F6" s="73" t="s">
        <v>126</v>
      </c>
      <c r="G6" s="77">
        <v>0.75</v>
      </c>
      <c r="H6" s="71"/>
      <c r="I6" s="77">
        <v>0.88</v>
      </c>
      <c r="J6" s="71"/>
      <c r="K6" s="77">
        <v>1.1499999999999999</v>
      </c>
      <c r="L6" s="71"/>
      <c r="M6" s="77">
        <v>0.88</v>
      </c>
      <c r="N6" s="71"/>
      <c r="O6" s="77">
        <v>0.75</v>
      </c>
      <c r="P6" s="71"/>
      <c r="Q6" s="77">
        <v>0.75</v>
      </c>
      <c r="R6" s="71"/>
      <c r="S6" s="77">
        <v>0.75</v>
      </c>
      <c r="T6" s="71"/>
      <c r="U6" s="77">
        <v>0.75</v>
      </c>
      <c r="V6" s="71"/>
      <c r="W6" s="77">
        <v>0.75</v>
      </c>
      <c r="X6" s="71"/>
      <c r="Y6" s="77">
        <v>0.75</v>
      </c>
      <c r="Z6" s="71"/>
      <c r="AA6" s="77">
        <v>0.75</v>
      </c>
      <c r="AB6" s="71"/>
      <c r="AC6" s="77">
        <v>0.75</v>
      </c>
      <c r="AD6" s="71"/>
      <c r="AE6" s="77">
        <v>0.75</v>
      </c>
      <c r="AF6" s="71"/>
      <c r="AG6" s="77">
        <v>0.75</v>
      </c>
      <c r="AH6" s="71"/>
      <c r="AI6" s="77">
        <v>0.75</v>
      </c>
      <c r="AJ6" s="71"/>
      <c r="AK6" s="77">
        <v>0.75</v>
      </c>
      <c r="AL6" s="71"/>
      <c r="AM6" s="77">
        <v>0.75</v>
      </c>
      <c r="AN6" s="71"/>
      <c r="AO6" s="77">
        <v>0.75</v>
      </c>
      <c r="AP6" s="71"/>
      <c r="AQ6" s="77">
        <v>0.75</v>
      </c>
      <c r="AR6" s="71"/>
      <c r="AS6" s="77">
        <v>0.75</v>
      </c>
      <c r="AT6" s="71"/>
      <c r="AU6" s="77">
        <v>0.75</v>
      </c>
      <c r="AV6" s="71"/>
      <c r="AW6" s="77">
        <v>0.75</v>
      </c>
      <c r="AX6" s="71"/>
      <c r="AY6" s="77">
        <v>0.75</v>
      </c>
      <c r="AZ6" s="71"/>
      <c r="BA6" s="77">
        <v>0.75</v>
      </c>
      <c r="BB6" s="71"/>
      <c r="BC6" s="77">
        <v>0.75</v>
      </c>
      <c r="BD6" s="71"/>
      <c r="BE6" s="77">
        <v>0.75</v>
      </c>
      <c r="BF6" s="71"/>
      <c r="BG6" s="77">
        <v>0.88</v>
      </c>
      <c r="BH6" s="71"/>
      <c r="BI6">
        <v>0.75</v>
      </c>
      <c r="BK6">
        <f>Summary!C38</f>
        <v>0.75</v>
      </c>
      <c r="BM6">
        <v>0.75</v>
      </c>
      <c r="BO6">
        <v>0.75</v>
      </c>
      <c r="BQ6">
        <v>0.75</v>
      </c>
      <c r="BS6">
        <v>0.75</v>
      </c>
      <c r="BU6">
        <v>0.75</v>
      </c>
      <c r="BW6">
        <v>0.75</v>
      </c>
      <c r="BY6">
        <v>0.75</v>
      </c>
      <c r="CA6">
        <v>0.75</v>
      </c>
      <c r="CC6">
        <v>0.75</v>
      </c>
      <c r="CE6">
        <v>0.75</v>
      </c>
      <c r="CG6">
        <v>0.75</v>
      </c>
      <c r="CI6">
        <v>0.75</v>
      </c>
      <c r="CK6">
        <v>0.75</v>
      </c>
      <c r="CM6">
        <v>0.75</v>
      </c>
      <c r="CO6">
        <v>0.75</v>
      </c>
      <c r="CQ6">
        <v>0.75</v>
      </c>
      <c r="CS6">
        <v>0.75</v>
      </c>
      <c r="CU6">
        <v>0.75</v>
      </c>
      <c r="CW6">
        <v>0.75</v>
      </c>
      <c r="CY6">
        <v>0.75</v>
      </c>
    </row>
    <row r="7" spans="1:104" x14ac:dyDescent="0.25">
      <c r="A7" s="74" t="str">
        <f t="shared" si="0"/>
        <v>Leakage_Margin</v>
      </c>
      <c r="B7" s="73" t="str">
        <f t="shared" si="1"/>
        <v>Leakage_Margin</v>
      </c>
      <c r="C7" s="73"/>
      <c r="D7" s="73" t="s">
        <v>616</v>
      </c>
      <c r="E7" s="73" t="s">
        <v>987</v>
      </c>
      <c r="F7" s="73"/>
      <c r="G7" s="79">
        <v>0.2</v>
      </c>
      <c r="H7" s="71"/>
      <c r="I7" s="79">
        <v>0.2</v>
      </c>
      <c r="J7" s="71"/>
      <c r="K7" s="79">
        <v>0.2</v>
      </c>
      <c r="L7" s="71"/>
      <c r="M7" s="79">
        <v>0.2</v>
      </c>
      <c r="N7" s="71"/>
      <c r="O7" s="79">
        <v>0.2</v>
      </c>
      <c r="P7" s="71"/>
      <c r="Q7" s="79">
        <v>0.2</v>
      </c>
      <c r="R7" s="71"/>
      <c r="S7" s="79">
        <v>0.2</v>
      </c>
      <c r="T7" s="71"/>
      <c r="U7" s="79">
        <v>0.2</v>
      </c>
      <c r="V7" s="71"/>
      <c r="W7" s="79">
        <v>0.2</v>
      </c>
      <c r="X7" s="71"/>
      <c r="Y7" s="79">
        <v>0.2</v>
      </c>
      <c r="Z7" s="71"/>
      <c r="AA7" s="79">
        <v>0.2</v>
      </c>
      <c r="AB7" s="71"/>
      <c r="AC7" s="79">
        <v>0.2</v>
      </c>
      <c r="AD7" s="71"/>
      <c r="AE7" s="79">
        <v>0.2</v>
      </c>
      <c r="AF7" s="71"/>
      <c r="AG7" s="79">
        <v>0.2</v>
      </c>
      <c r="AH7" s="71"/>
      <c r="AI7" s="79">
        <v>0.2</v>
      </c>
      <c r="AJ7" s="71"/>
      <c r="AK7" s="79">
        <v>0.2</v>
      </c>
      <c r="AL7" s="71"/>
      <c r="AM7" s="79">
        <v>0.2</v>
      </c>
      <c r="AN7" s="71"/>
      <c r="AO7" s="79">
        <v>0.2</v>
      </c>
      <c r="AP7" s="71"/>
      <c r="AQ7" s="79">
        <v>0.2</v>
      </c>
      <c r="AR7" s="71"/>
      <c r="AS7" s="79">
        <v>0.2</v>
      </c>
      <c r="AT7" s="71"/>
      <c r="AU7" s="79">
        <v>0.2</v>
      </c>
      <c r="AV7" s="71"/>
      <c r="AW7" s="79">
        <v>0.2</v>
      </c>
      <c r="AX7" s="71"/>
      <c r="AY7" s="79">
        <v>0.2</v>
      </c>
      <c r="AZ7" s="71"/>
      <c r="BA7" s="79">
        <v>0.2</v>
      </c>
      <c r="BB7" s="71"/>
      <c r="BC7" s="79">
        <v>0.2</v>
      </c>
      <c r="BD7" s="71"/>
      <c r="BE7" s="79">
        <v>0.2</v>
      </c>
      <c r="BF7" s="71"/>
      <c r="BG7" s="79">
        <v>0.2</v>
      </c>
      <c r="BH7" s="71"/>
      <c r="BI7">
        <v>0.2</v>
      </c>
      <c r="BK7">
        <f>VDD_Core</f>
        <v>0.75</v>
      </c>
      <c r="BM7">
        <v>0.2</v>
      </c>
      <c r="BO7">
        <v>0.2</v>
      </c>
      <c r="BQ7">
        <v>0.2</v>
      </c>
      <c r="BS7">
        <v>0.2</v>
      </c>
      <c r="BU7">
        <v>0.2</v>
      </c>
      <c r="BW7">
        <v>0.2</v>
      </c>
      <c r="BY7">
        <v>0.2</v>
      </c>
      <c r="CA7">
        <v>0.2</v>
      </c>
      <c r="CC7">
        <v>0.2</v>
      </c>
      <c r="CE7">
        <v>0.2</v>
      </c>
      <c r="CG7">
        <v>0.2</v>
      </c>
      <c r="CI7">
        <v>0.2</v>
      </c>
      <c r="CK7">
        <v>0.2</v>
      </c>
      <c r="CM7">
        <v>0.2</v>
      </c>
      <c r="CO7">
        <v>0.2</v>
      </c>
      <c r="CQ7">
        <v>0.2</v>
      </c>
      <c r="CS7">
        <v>0.2</v>
      </c>
      <c r="CU7">
        <v>0.2</v>
      </c>
      <c r="CW7">
        <v>0.2</v>
      </c>
      <c r="CY7">
        <v>0.2</v>
      </c>
    </row>
    <row r="8" spans="1:104" x14ac:dyDescent="0.25">
      <c r="A8" s="74" t="str">
        <f t="shared" si="0"/>
        <v>Process_Corner</v>
      </c>
      <c r="B8" s="73" t="str">
        <f t="shared" si="1"/>
        <v>Process_Corner</v>
      </c>
      <c r="C8" s="73"/>
      <c r="D8" s="73" t="s">
        <v>617</v>
      </c>
      <c r="E8" s="73" t="s">
        <v>987</v>
      </c>
      <c r="F8" s="73"/>
      <c r="G8" s="80" t="s">
        <v>351</v>
      </c>
      <c r="H8" s="71"/>
      <c r="I8" s="80" t="s">
        <v>351</v>
      </c>
      <c r="J8" s="71"/>
      <c r="K8" s="80" t="s">
        <v>351</v>
      </c>
      <c r="L8" s="71"/>
      <c r="M8" s="80" t="s">
        <v>351</v>
      </c>
      <c r="N8" s="71"/>
      <c r="O8" s="80" t="s">
        <v>351</v>
      </c>
      <c r="P8" s="71"/>
      <c r="Q8" s="80" t="s">
        <v>351</v>
      </c>
      <c r="R8" s="71"/>
      <c r="S8" s="80" t="s">
        <v>351</v>
      </c>
      <c r="T8" s="71"/>
      <c r="U8" s="80" t="s">
        <v>351</v>
      </c>
      <c r="V8" s="71"/>
      <c r="W8" s="80" t="s">
        <v>351</v>
      </c>
      <c r="X8" s="71"/>
      <c r="Y8" s="80" t="s">
        <v>351</v>
      </c>
      <c r="Z8" s="71"/>
      <c r="AA8" s="80" t="s">
        <v>351</v>
      </c>
      <c r="AB8" s="71"/>
      <c r="AC8" s="80" t="s">
        <v>351</v>
      </c>
      <c r="AD8" s="71"/>
      <c r="AE8" s="80" t="s">
        <v>351</v>
      </c>
      <c r="AF8" s="71"/>
      <c r="AG8" s="80" t="s">
        <v>351</v>
      </c>
      <c r="AH8" s="71"/>
      <c r="AI8" s="80" t="s">
        <v>992</v>
      </c>
      <c r="AJ8" s="71"/>
      <c r="AK8" s="80" t="s">
        <v>992</v>
      </c>
      <c r="AL8" s="71"/>
      <c r="AM8" s="80" t="s">
        <v>992</v>
      </c>
      <c r="AN8" s="71"/>
      <c r="AO8" s="80" t="s">
        <v>992</v>
      </c>
      <c r="AP8" s="71"/>
      <c r="AQ8" s="80" t="s">
        <v>992</v>
      </c>
      <c r="AR8" s="71"/>
      <c r="AS8" s="80" t="s">
        <v>992</v>
      </c>
      <c r="AT8" s="71"/>
      <c r="AU8" s="80" t="s">
        <v>351</v>
      </c>
      <c r="AV8" s="71"/>
      <c r="AW8" s="80" t="s">
        <v>351</v>
      </c>
      <c r="AX8" s="71"/>
      <c r="AY8" s="80" t="s">
        <v>351</v>
      </c>
      <c r="AZ8" s="71"/>
      <c r="BA8" s="80" t="s">
        <v>351</v>
      </c>
      <c r="BB8" s="71"/>
      <c r="BC8" s="80" t="s">
        <v>351</v>
      </c>
      <c r="BD8" s="71"/>
      <c r="BE8" s="80" t="s">
        <v>351</v>
      </c>
      <c r="BF8" s="71"/>
      <c r="BG8" s="80" t="s">
        <v>351</v>
      </c>
      <c r="BH8" s="71"/>
      <c r="BI8" t="s">
        <v>351</v>
      </c>
      <c r="BK8" t="str">
        <f>IF(Summary!G38="Max", "Strong", "Nominal")</f>
        <v>Strong</v>
      </c>
      <c r="BM8" t="s">
        <v>351</v>
      </c>
      <c r="BO8" t="s">
        <v>351</v>
      </c>
      <c r="BQ8" t="s">
        <v>351</v>
      </c>
      <c r="BS8" t="s">
        <v>351</v>
      </c>
      <c r="BU8" t="s">
        <v>351</v>
      </c>
      <c r="BW8" t="s">
        <v>351</v>
      </c>
      <c r="BY8" t="s">
        <v>351</v>
      </c>
      <c r="CA8" t="s">
        <v>351</v>
      </c>
      <c r="CC8" t="s">
        <v>351</v>
      </c>
      <c r="CE8" t="s">
        <v>351</v>
      </c>
      <c r="CG8" t="s">
        <v>351</v>
      </c>
      <c r="CI8" t="s">
        <v>351</v>
      </c>
      <c r="CK8" t="s">
        <v>351</v>
      </c>
      <c r="CM8" t="s">
        <v>351</v>
      </c>
      <c r="CO8" t="s">
        <v>351</v>
      </c>
      <c r="CQ8" t="s">
        <v>351</v>
      </c>
      <c r="CS8" t="s">
        <v>351</v>
      </c>
      <c r="CU8" t="s">
        <v>351</v>
      </c>
      <c r="CW8" t="s">
        <v>351</v>
      </c>
      <c r="CY8" t="s">
        <v>351</v>
      </c>
    </row>
    <row r="9" spans="1:104" x14ac:dyDescent="0.25">
      <c r="A9" s="74" t="str">
        <f t="shared" si="0"/>
        <v>uc_source</v>
      </c>
      <c r="B9" s="73" t="str">
        <f t="shared" si="1"/>
        <v>uc_source</v>
      </c>
      <c r="C9" s="73"/>
      <c r="D9" s="73" t="s">
        <v>1208</v>
      </c>
      <c r="E9" s="73" t="s">
        <v>987</v>
      </c>
      <c r="F9" s="73"/>
      <c r="G9" s="78" t="s">
        <v>111</v>
      </c>
      <c r="H9" s="71"/>
      <c r="I9" s="78" t="s">
        <v>111</v>
      </c>
      <c r="J9" s="71"/>
      <c r="K9" s="78" t="s">
        <v>111</v>
      </c>
      <c r="L9" s="71"/>
      <c r="M9" s="78" t="s">
        <v>111</v>
      </c>
      <c r="N9" s="71"/>
      <c r="O9" s="78" t="s">
        <v>275</v>
      </c>
      <c r="P9" s="71"/>
      <c r="Q9" s="78" t="s">
        <v>275</v>
      </c>
      <c r="R9" s="71"/>
      <c r="S9" s="78" t="s">
        <v>275</v>
      </c>
      <c r="T9" s="71"/>
      <c r="U9" s="78" t="s">
        <v>275</v>
      </c>
      <c r="V9" s="71"/>
      <c r="W9" s="78" t="s">
        <v>275</v>
      </c>
      <c r="X9" s="71"/>
      <c r="Y9" s="78" t="s">
        <v>275</v>
      </c>
      <c r="Z9" s="71"/>
      <c r="AA9" s="78" t="s">
        <v>275</v>
      </c>
      <c r="AB9" s="71"/>
      <c r="AC9" s="78" t="s">
        <v>275</v>
      </c>
      <c r="AD9" s="71"/>
      <c r="AE9" s="78" t="s">
        <v>275</v>
      </c>
      <c r="AF9" s="71"/>
      <c r="AG9" s="78" t="s">
        <v>275</v>
      </c>
      <c r="AH9" s="71"/>
      <c r="AI9" s="78" t="s">
        <v>275</v>
      </c>
      <c r="AJ9" s="71"/>
      <c r="AK9" s="78" t="s">
        <v>275</v>
      </c>
      <c r="AL9" s="71"/>
      <c r="AM9" s="78" t="s">
        <v>275</v>
      </c>
      <c r="AN9" s="71"/>
      <c r="AO9" s="78" t="s">
        <v>275</v>
      </c>
      <c r="AP9" s="71"/>
      <c r="AQ9" s="78" t="s">
        <v>275</v>
      </c>
      <c r="AR9" s="71"/>
      <c r="AS9" s="78" t="s">
        <v>275</v>
      </c>
      <c r="AT9" s="71"/>
      <c r="AU9" s="78" t="s">
        <v>275</v>
      </c>
      <c r="AV9" s="71"/>
      <c r="AW9" s="78" t="s">
        <v>275</v>
      </c>
      <c r="AX9" s="71"/>
      <c r="AY9" s="78" t="s">
        <v>275</v>
      </c>
      <c r="AZ9" s="71"/>
      <c r="BA9" s="78" t="s">
        <v>321</v>
      </c>
      <c r="BB9" s="71"/>
      <c r="BC9" s="78" t="s">
        <v>111</v>
      </c>
      <c r="BD9" s="71"/>
      <c r="BE9" s="78" t="s">
        <v>111</v>
      </c>
      <c r="BF9" s="71"/>
      <c r="BG9" s="78" t="s">
        <v>111</v>
      </c>
      <c r="BH9" s="71"/>
      <c r="BI9" t="s">
        <v>350</v>
      </c>
      <c r="BK9" t="s">
        <v>1276</v>
      </c>
      <c r="BM9" t="s">
        <v>115</v>
      </c>
      <c r="BO9" t="s">
        <v>115</v>
      </c>
      <c r="BQ9" t="s">
        <v>115</v>
      </c>
      <c r="BS9" t="s">
        <v>115</v>
      </c>
      <c r="BU9" t="s">
        <v>115</v>
      </c>
      <c r="BW9" t="s">
        <v>115</v>
      </c>
      <c r="BY9" t="s">
        <v>115</v>
      </c>
      <c r="CA9" t="s">
        <v>115</v>
      </c>
      <c r="CC9" t="s">
        <v>115</v>
      </c>
      <c r="CE9" t="s">
        <v>115</v>
      </c>
      <c r="CG9" t="s">
        <v>115</v>
      </c>
      <c r="CI9" t="s">
        <v>115</v>
      </c>
      <c r="CK9" t="s">
        <v>115</v>
      </c>
      <c r="CM9" t="s">
        <v>115</v>
      </c>
      <c r="CO9" t="s">
        <v>115</v>
      </c>
      <c r="CQ9" t="s">
        <v>115</v>
      </c>
      <c r="CS9" t="s">
        <v>115</v>
      </c>
      <c r="CU9" t="s">
        <v>115</v>
      </c>
      <c r="CW9" t="s">
        <v>115</v>
      </c>
      <c r="CY9" t="s">
        <v>115</v>
      </c>
    </row>
    <row r="10" spans="1:104" x14ac:dyDescent="0.25">
      <c r="A10" s="74" t="str">
        <f t="shared" si="0"/>
        <v>UC_Target_mW</v>
      </c>
      <c r="B10" s="73" t="str">
        <f t="shared" si="1"/>
        <v>UC_Target_mW</v>
      </c>
      <c r="C10" s="73"/>
      <c r="D10" s="73" t="s">
        <v>619</v>
      </c>
      <c r="E10" s="73" t="s">
        <v>987</v>
      </c>
      <c r="F10" s="73"/>
      <c r="G10" s="75" t="s">
        <v>988</v>
      </c>
      <c r="H10" s="71"/>
      <c r="I10" s="75" t="s">
        <v>54</v>
      </c>
      <c r="J10" s="71"/>
      <c r="K10" s="75" t="s">
        <v>54</v>
      </c>
      <c r="L10" s="71"/>
      <c r="M10" s="75" t="s">
        <v>54</v>
      </c>
      <c r="N10" s="71"/>
      <c r="O10" s="75" t="s">
        <v>279</v>
      </c>
      <c r="P10" s="71"/>
      <c r="Q10" s="75" t="s">
        <v>279</v>
      </c>
      <c r="R10" s="71"/>
      <c r="S10" s="75" t="s">
        <v>278</v>
      </c>
      <c r="T10" s="71"/>
      <c r="U10" s="75" t="s">
        <v>278</v>
      </c>
      <c r="V10" s="71"/>
      <c r="W10" s="75" t="s">
        <v>288</v>
      </c>
      <c r="X10" s="71"/>
      <c r="Y10" s="75" t="s">
        <v>195</v>
      </c>
      <c r="Z10" s="71"/>
      <c r="AA10" s="75" t="s">
        <v>279</v>
      </c>
      <c r="AB10" s="71"/>
      <c r="AC10" s="75" t="s">
        <v>278</v>
      </c>
      <c r="AD10" s="71"/>
      <c r="AE10" s="75" t="s">
        <v>279</v>
      </c>
      <c r="AF10" s="71"/>
      <c r="AG10" s="75" t="s">
        <v>278</v>
      </c>
      <c r="AH10" s="71"/>
      <c r="AI10" s="75" t="s">
        <v>289</v>
      </c>
      <c r="AJ10" s="71"/>
      <c r="AK10" s="75" t="s">
        <v>290</v>
      </c>
      <c r="AL10" s="71"/>
      <c r="AM10" s="75" t="s">
        <v>290</v>
      </c>
      <c r="AN10" s="71"/>
      <c r="AO10" s="75" t="s">
        <v>297</v>
      </c>
      <c r="AP10" s="71"/>
      <c r="AQ10" s="75" t="s">
        <v>296</v>
      </c>
      <c r="AR10" s="71"/>
      <c r="AS10" s="75" t="s">
        <v>295</v>
      </c>
      <c r="AT10" s="71"/>
      <c r="AU10" s="75" t="s">
        <v>115</v>
      </c>
      <c r="AV10" s="71"/>
      <c r="AW10" s="75" t="s">
        <v>115</v>
      </c>
      <c r="AX10" s="71"/>
      <c r="AY10" s="75" t="s">
        <v>291</v>
      </c>
      <c r="AZ10" s="71"/>
      <c r="BA10" s="75" t="s">
        <v>320</v>
      </c>
      <c r="BB10" s="71"/>
      <c r="BC10" s="75" t="s">
        <v>115</v>
      </c>
      <c r="BD10" s="71"/>
      <c r="BE10" s="75" t="s">
        <v>115</v>
      </c>
      <c r="BF10" s="71"/>
      <c r="BG10" s="75" t="s">
        <v>54</v>
      </c>
      <c r="BH10" s="71"/>
      <c r="BI10" t="s">
        <v>127</v>
      </c>
      <c r="BK10" t="s">
        <v>54</v>
      </c>
      <c r="BM10" t="s">
        <v>115</v>
      </c>
      <c r="BO10" t="s">
        <v>115</v>
      </c>
      <c r="BQ10" t="s">
        <v>115</v>
      </c>
      <c r="BS10" t="s">
        <v>115</v>
      </c>
      <c r="BU10" t="s">
        <v>115</v>
      </c>
      <c r="BW10" t="s">
        <v>115</v>
      </c>
      <c r="BY10" t="s">
        <v>115</v>
      </c>
      <c r="CA10" t="s">
        <v>115</v>
      </c>
      <c r="CC10" t="s">
        <v>115</v>
      </c>
      <c r="CE10" t="s">
        <v>115</v>
      </c>
      <c r="CG10" t="s">
        <v>115</v>
      </c>
      <c r="CI10" t="s">
        <v>115</v>
      </c>
      <c r="CK10" t="s">
        <v>115</v>
      </c>
      <c r="CM10" t="s">
        <v>115</v>
      </c>
      <c r="CO10" t="s">
        <v>115</v>
      </c>
      <c r="CQ10" t="s">
        <v>115</v>
      </c>
      <c r="CS10" t="s">
        <v>115</v>
      </c>
      <c r="CU10" t="s">
        <v>115</v>
      </c>
      <c r="CW10" t="s">
        <v>115</v>
      </c>
      <c r="CY10" t="s">
        <v>115</v>
      </c>
    </row>
    <row r="11" spans="1:104" x14ac:dyDescent="0.25">
      <c r="A11" s="74" t="str">
        <f t="shared" si="0"/>
        <v>UC_Update</v>
      </c>
      <c r="B11" s="73" t="str">
        <f t="shared" si="1"/>
        <v>UC_Update</v>
      </c>
      <c r="C11" s="73"/>
      <c r="D11" s="73" t="s">
        <v>618</v>
      </c>
      <c r="E11" s="73" t="s">
        <v>987</v>
      </c>
      <c r="F11" s="73"/>
      <c r="G11" s="81">
        <v>44467</v>
      </c>
      <c r="H11" s="71"/>
      <c r="I11" s="81">
        <v>44467</v>
      </c>
      <c r="J11" s="71"/>
      <c r="K11" s="81">
        <v>44467</v>
      </c>
      <c r="L11" s="71"/>
      <c r="M11" s="81">
        <v>43955</v>
      </c>
      <c r="N11" s="71"/>
      <c r="O11" s="81">
        <v>44154</v>
      </c>
      <c r="P11" s="71"/>
      <c r="Q11" s="76">
        <v>44154</v>
      </c>
      <c r="R11" s="71"/>
      <c r="S11" s="76">
        <v>44154</v>
      </c>
      <c r="T11" s="71"/>
      <c r="U11" s="76">
        <v>44154</v>
      </c>
      <c r="V11" s="71"/>
      <c r="W11" s="76">
        <v>44154</v>
      </c>
      <c r="X11" s="71"/>
      <c r="Y11" s="76">
        <v>44154</v>
      </c>
      <c r="Z11" s="71"/>
      <c r="AA11" s="76">
        <v>44154</v>
      </c>
      <c r="AB11" s="71"/>
      <c r="AC11" s="76">
        <v>44154</v>
      </c>
      <c r="AD11" s="71"/>
      <c r="AE11" s="76">
        <v>44154</v>
      </c>
      <c r="AF11" s="71"/>
      <c r="AG11" s="76">
        <v>44154</v>
      </c>
      <c r="AH11" s="71"/>
      <c r="AI11" s="76">
        <v>44154</v>
      </c>
      <c r="AJ11" s="71"/>
      <c r="AK11" s="76">
        <v>44403</v>
      </c>
      <c r="AL11" s="71"/>
      <c r="AM11" s="76">
        <v>44154</v>
      </c>
      <c r="AN11" s="71"/>
      <c r="AO11" s="76">
        <v>44154</v>
      </c>
      <c r="AP11" s="71"/>
      <c r="AQ11" s="76">
        <v>44154</v>
      </c>
      <c r="AR11" s="71"/>
      <c r="AS11" s="76">
        <v>44154</v>
      </c>
      <c r="AT11" s="71"/>
      <c r="AU11" s="76">
        <v>44413</v>
      </c>
      <c r="AV11" s="71"/>
      <c r="AW11" s="76">
        <v>44413</v>
      </c>
      <c r="AX11" s="71"/>
      <c r="AY11" s="76">
        <v>44154</v>
      </c>
      <c r="AZ11" s="71"/>
      <c r="BA11" s="76">
        <v>44281</v>
      </c>
      <c r="BB11" s="71"/>
      <c r="BC11" s="76">
        <v>43980</v>
      </c>
      <c r="BD11" s="71"/>
      <c r="BE11" s="76">
        <v>43980</v>
      </c>
      <c r="BF11" s="71"/>
      <c r="BG11" s="76">
        <v>44291</v>
      </c>
      <c r="BH11" s="71"/>
      <c r="BI11">
        <v>44438</v>
      </c>
      <c r="BK11" s="173">
        <v>44532</v>
      </c>
      <c r="BM11" t="s">
        <v>115</v>
      </c>
      <c r="BO11" t="s">
        <v>115</v>
      </c>
      <c r="BQ11" t="s">
        <v>115</v>
      </c>
      <c r="BS11" t="s">
        <v>115</v>
      </c>
      <c r="BU11" t="s">
        <v>115</v>
      </c>
      <c r="BW11" t="s">
        <v>115</v>
      </c>
      <c r="BY11" t="s">
        <v>115</v>
      </c>
      <c r="CA11" t="s">
        <v>115</v>
      </c>
      <c r="CC11" t="s">
        <v>115</v>
      </c>
      <c r="CE11" t="s">
        <v>115</v>
      </c>
      <c r="CG11" t="s">
        <v>115</v>
      </c>
      <c r="CI11" t="s">
        <v>115</v>
      </c>
      <c r="CK11" t="s">
        <v>115</v>
      </c>
      <c r="CM11" t="s">
        <v>115</v>
      </c>
      <c r="CO11" t="s">
        <v>115</v>
      </c>
      <c r="CQ11" t="s">
        <v>115</v>
      </c>
      <c r="CS11" t="s">
        <v>115</v>
      </c>
      <c r="CU11" t="s">
        <v>115</v>
      </c>
      <c r="CW11" t="s">
        <v>115</v>
      </c>
      <c r="CY11" t="s">
        <v>115</v>
      </c>
    </row>
    <row r="12" spans="1:104" x14ac:dyDescent="0.25">
      <c r="A12" s="74" t="str">
        <f t="shared" si="0"/>
        <v>UC_Description</v>
      </c>
      <c r="B12" s="82" t="str">
        <f t="shared" si="1"/>
        <v>UC_Description</v>
      </c>
      <c r="C12" s="82"/>
      <c r="D12" s="82" t="s">
        <v>615</v>
      </c>
      <c r="E12" s="82" t="s">
        <v>987</v>
      </c>
      <c r="F12" s="82"/>
      <c r="G12" s="83" t="s">
        <v>985</v>
      </c>
      <c r="H12" s="72"/>
      <c r="I12" s="83"/>
      <c r="J12" s="72"/>
      <c r="K12" s="83"/>
      <c r="L12" s="72"/>
      <c r="M12" s="83"/>
      <c r="N12" s="72"/>
      <c r="O12" s="83" t="s">
        <v>336</v>
      </c>
      <c r="P12" s="72"/>
      <c r="Q12" s="83" t="s">
        <v>338</v>
      </c>
      <c r="R12" s="72"/>
      <c r="S12" s="83" t="s">
        <v>337</v>
      </c>
      <c r="T12" s="72"/>
      <c r="U12" s="83" t="s">
        <v>194</v>
      </c>
      <c r="V12" s="72"/>
      <c r="W12" s="83" t="s">
        <v>189</v>
      </c>
      <c r="X12" s="72"/>
      <c r="Y12" s="83" t="s">
        <v>190</v>
      </c>
      <c r="Z12" s="72"/>
      <c r="AA12" s="83" t="s">
        <v>191</v>
      </c>
      <c r="AB12" s="72"/>
      <c r="AC12" s="83" t="s">
        <v>191</v>
      </c>
      <c r="AD12" s="72"/>
      <c r="AE12" s="83" t="s">
        <v>196</v>
      </c>
      <c r="AF12" s="72"/>
      <c r="AG12" s="83" t="s">
        <v>196</v>
      </c>
      <c r="AH12" s="72"/>
      <c r="AI12" s="83" t="s">
        <v>148</v>
      </c>
      <c r="AJ12" s="72"/>
      <c r="AK12" s="83" t="s">
        <v>93</v>
      </c>
      <c r="AL12" s="72"/>
      <c r="AM12" s="83" t="s">
        <v>298</v>
      </c>
      <c r="AN12" s="72"/>
      <c r="AO12" s="83" t="s">
        <v>300</v>
      </c>
      <c r="AP12" s="72"/>
      <c r="AQ12" s="83" t="s">
        <v>301</v>
      </c>
      <c r="AR12" s="72"/>
      <c r="AS12" s="83" t="s">
        <v>302</v>
      </c>
      <c r="AT12" s="72"/>
      <c r="AU12" s="83" t="s">
        <v>303</v>
      </c>
      <c r="AV12" s="72"/>
      <c r="AW12" s="83" t="s">
        <v>304</v>
      </c>
      <c r="AX12" s="72"/>
      <c r="AY12" s="83" t="s">
        <v>299</v>
      </c>
      <c r="AZ12" s="72"/>
      <c r="BA12" s="83" t="s">
        <v>319</v>
      </c>
      <c r="BB12" s="72"/>
      <c r="BC12" s="83" t="s">
        <v>341</v>
      </c>
      <c r="BD12" s="72"/>
      <c r="BE12" s="83" t="s">
        <v>342</v>
      </c>
      <c r="BF12" s="72"/>
      <c r="BG12" s="83" t="s">
        <v>173</v>
      </c>
      <c r="BH12" s="72"/>
      <c r="BI12" t="s">
        <v>349</v>
      </c>
      <c r="BK12" t="s">
        <v>1277</v>
      </c>
      <c r="BM12" t="s">
        <v>349</v>
      </c>
      <c r="BO12" t="s">
        <v>349</v>
      </c>
      <c r="BQ12" t="s">
        <v>349</v>
      </c>
      <c r="BS12" t="s">
        <v>349</v>
      </c>
      <c r="BU12" t="s">
        <v>349</v>
      </c>
      <c r="BW12" t="s">
        <v>349</v>
      </c>
      <c r="BY12" t="s">
        <v>349</v>
      </c>
      <c r="CA12" t="s">
        <v>349</v>
      </c>
      <c r="CC12" t="s">
        <v>349</v>
      </c>
      <c r="CE12" t="s">
        <v>349</v>
      </c>
      <c r="CG12" t="s">
        <v>349</v>
      </c>
      <c r="CI12" t="s">
        <v>349</v>
      </c>
      <c r="CK12" t="s">
        <v>349</v>
      </c>
      <c r="CM12" t="s">
        <v>349</v>
      </c>
      <c r="CO12" t="s">
        <v>349</v>
      </c>
      <c r="CQ12" t="s">
        <v>349</v>
      </c>
      <c r="CS12" t="s">
        <v>349</v>
      </c>
      <c r="CU12" t="s">
        <v>349</v>
      </c>
      <c r="CW12" t="s">
        <v>349</v>
      </c>
      <c r="CY12" t="s">
        <v>349</v>
      </c>
    </row>
    <row r="13" spans="1:104" x14ac:dyDescent="0.25">
      <c r="A13" s="51" t="str">
        <f t="shared" si="0"/>
        <v>sam62_dm_wrap_0</v>
      </c>
      <c r="B13" s="2" t="str">
        <f t="shared" ref="B13:B45" si="2">VLOOKUP($D13&amp;"_"&amp;B$3,MDB,6,0)</f>
        <v>Pulsar UL (DM) AM62</v>
      </c>
      <c r="C13" s="2" t="s">
        <v>18</v>
      </c>
      <c r="D13" s="2" t="s">
        <v>237</v>
      </c>
      <c r="E13" s="2" t="str">
        <f t="shared" ref="E13:F45" si="3">VLOOKUP($D13&amp;"_"&amp;E$3,MDB,6,0)</f>
        <v>1 Processor</v>
      </c>
      <c r="F13" s="2" t="str">
        <f t="shared" si="3"/>
        <v>ARM_MCU</v>
      </c>
      <c r="G13" s="52">
        <v>1</v>
      </c>
      <c r="H13" s="53">
        <v>400</v>
      </c>
      <c r="I13" s="52">
        <v>0.01</v>
      </c>
      <c r="J13" s="53">
        <v>400</v>
      </c>
      <c r="K13" s="52">
        <v>0</v>
      </c>
      <c r="L13" s="53">
        <v>5</v>
      </c>
      <c r="M13" s="52">
        <v>0</v>
      </c>
      <c r="N13" s="53">
        <v>200</v>
      </c>
      <c r="O13" s="52">
        <v>2.5000000000000001E-2</v>
      </c>
      <c r="P13" s="53">
        <v>400</v>
      </c>
      <c r="Q13" s="52">
        <v>2.5000000000000001E-2</v>
      </c>
      <c r="R13" s="53">
        <v>400</v>
      </c>
      <c r="S13" s="52">
        <v>2.5000000000000001E-2</v>
      </c>
      <c r="T13" s="53">
        <v>400</v>
      </c>
      <c r="U13" s="52">
        <v>2.5000000000000001E-2</v>
      </c>
      <c r="V13" s="53">
        <v>400</v>
      </c>
      <c r="W13" s="52">
        <v>2.5000000000000001E-2</v>
      </c>
      <c r="X13" s="53">
        <v>400</v>
      </c>
      <c r="Y13" s="52">
        <v>2.5000000000000001E-2</v>
      </c>
      <c r="Z13" s="53">
        <v>400</v>
      </c>
      <c r="AA13" s="52">
        <v>2.5000000000000001E-2</v>
      </c>
      <c r="AB13" s="53">
        <v>400</v>
      </c>
      <c r="AC13" s="52">
        <v>2.5000000000000001E-2</v>
      </c>
      <c r="AD13" s="53">
        <v>400</v>
      </c>
      <c r="AE13" s="52">
        <v>2.5000000000000001E-2</v>
      </c>
      <c r="AF13" s="53">
        <v>400</v>
      </c>
      <c r="AG13" s="52">
        <v>2.5000000000000001E-2</v>
      </c>
      <c r="AH13" s="53">
        <v>400</v>
      </c>
      <c r="AI13" s="52">
        <v>0</v>
      </c>
      <c r="AJ13" s="53">
        <v>400</v>
      </c>
      <c r="AK13" s="52">
        <v>0.01</v>
      </c>
      <c r="AL13" s="53">
        <v>400</v>
      </c>
      <c r="AM13" s="52">
        <v>0.01</v>
      </c>
      <c r="AN13" s="53">
        <v>25</v>
      </c>
      <c r="AO13" s="52">
        <v>0.01</v>
      </c>
      <c r="AP13" s="53">
        <v>400</v>
      </c>
      <c r="AQ13" s="52">
        <v>0.01</v>
      </c>
      <c r="AR13" s="53">
        <v>400</v>
      </c>
      <c r="AS13" s="52">
        <v>0.01</v>
      </c>
      <c r="AT13" s="53">
        <v>400</v>
      </c>
      <c r="AU13" s="52">
        <v>0.8</v>
      </c>
      <c r="AV13" s="53">
        <v>400</v>
      </c>
      <c r="AW13" s="52">
        <v>0.8</v>
      </c>
      <c r="AX13" s="53">
        <v>400</v>
      </c>
      <c r="AY13" s="52">
        <v>2.5000000000000001E-2</v>
      </c>
      <c r="AZ13" s="53">
        <v>400</v>
      </c>
      <c r="BA13" s="52">
        <v>0.4</v>
      </c>
      <c r="BB13" s="53">
        <v>200</v>
      </c>
      <c r="BC13" s="52">
        <v>0.01</v>
      </c>
      <c r="BD13" s="53">
        <v>400</v>
      </c>
      <c r="BE13" s="52">
        <v>2.5000000000000001E-2</v>
      </c>
      <c r="BF13" s="53">
        <v>400</v>
      </c>
      <c r="BG13" s="52">
        <v>4</v>
      </c>
      <c r="BH13" s="53">
        <v>200</v>
      </c>
      <c r="BI13" s="52">
        <v>2.5000000000000001E-2</v>
      </c>
      <c r="BJ13" s="53">
        <v>400</v>
      </c>
      <c r="BK13" s="52">
        <f>_R5F_Util</f>
        <v>1</v>
      </c>
      <c r="BL13" s="53">
        <f>_R5F__Frequency</f>
        <v>400</v>
      </c>
      <c r="BM13" s="52">
        <v>0</v>
      </c>
      <c r="BN13" s="53"/>
      <c r="BO13" s="52">
        <v>0</v>
      </c>
      <c r="BP13" s="53"/>
      <c r="BQ13" s="52">
        <v>0</v>
      </c>
      <c r="BR13" s="53"/>
      <c r="BS13" s="52">
        <v>0</v>
      </c>
      <c r="BT13" s="53"/>
      <c r="BU13" s="52">
        <v>0</v>
      </c>
      <c r="BV13" s="53"/>
      <c r="BW13" s="52">
        <v>0</v>
      </c>
      <c r="BX13" s="53"/>
      <c r="BY13" s="52">
        <v>0</v>
      </c>
      <c r="BZ13" s="53"/>
      <c r="CA13" s="52">
        <v>0</v>
      </c>
      <c r="CB13" s="53"/>
      <c r="CC13" s="52">
        <v>0</v>
      </c>
      <c r="CD13" s="53"/>
      <c r="CE13" s="52">
        <v>0</v>
      </c>
      <c r="CF13" s="53"/>
      <c r="CG13" s="52">
        <v>0</v>
      </c>
      <c r="CH13" s="53"/>
      <c r="CI13" s="52">
        <v>0</v>
      </c>
      <c r="CJ13" s="53"/>
      <c r="CK13" s="52">
        <v>0</v>
      </c>
      <c r="CL13" s="53"/>
      <c r="CM13" s="52">
        <v>0</v>
      </c>
      <c r="CN13" s="53"/>
      <c r="CO13" s="52">
        <v>0</v>
      </c>
      <c r="CP13" s="53"/>
      <c r="CQ13" s="52">
        <v>0</v>
      </c>
      <c r="CR13" s="53"/>
      <c r="CS13" s="52">
        <v>0</v>
      </c>
      <c r="CT13" s="53"/>
      <c r="CU13" s="52">
        <v>0</v>
      </c>
      <c r="CV13" s="53"/>
      <c r="CW13" s="52">
        <v>0</v>
      </c>
      <c r="CX13" s="53"/>
      <c r="CY13" s="52">
        <v>0</v>
      </c>
      <c r="CZ13" s="53"/>
    </row>
    <row r="14" spans="1:104" x14ac:dyDescent="0.25">
      <c r="A14" s="51" t="str">
        <f t="shared" si="0"/>
        <v>sam62_m4ss_wrap_0</v>
      </c>
      <c r="B14" s="2" t="str">
        <f t="shared" si="2"/>
        <v>Blazer (M4F w/256KB)</v>
      </c>
      <c r="C14" s="2" t="s">
        <v>18</v>
      </c>
      <c r="D14" s="2" t="s">
        <v>219</v>
      </c>
      <c r="E14" s="2" t="str">
        <f t="shared" si="3"/>
        <v>1 Processor</v>
      </c>
      <c r="F14" s="2" t="str">
        <f t="shared" si="3"/>
        <v>ARM_MCU</v>
      </c>
      <c r="G14" s="52">
        <v>1</v>
      </c>
      <c r="H14" s="53">
        <v>400</v>
      </c>
      <c r="I14" s="52">
        <v>0.01</v>
      </c>
      <c r="J14" s="53">
        <v>400</v>
      </c>
      <c r="K14" s="52">
        <v>4</v>
      </c>
      <c r="L14" s="53">
        <v>5</v>
      </c>
      <c r="M14" s="52">
        <v>4</v>
      </c>
      <c r="N14" s="53">
        <v>200</v>
      </c>
      <c r="O14" s="52">
        <v>0.3</v>
      </c>
      <c r="P14" s="53">
        <v>400</v>
      </c>
      <c r="Q14" s="52">
        <v>0.3</v>
      </c>
      <c r="R14" s="53">
        <v>400</v>
      </c>
      <c r="S14" s="52">
        <v>0.3</v>
      </c>
      <c r="T14" s="53">
        <v>400</v>
      </c>
      <c r="U14" s="52">
        <v>0.8</v>
      </c>
      <c r="V14" s="53">
        <v>400</v>
      </c>
      <c r="W14" s="52">
        <v>0.3</v>
      </c>
      <c r="X14" s="53">
        <v>400</v>
      </c>
      <c r="Y14" s="52">
        <v>0.3</v>
      </c>
      <c r="Z14" s="53">
        <v>400</v>
      </c>
      <c r="AA14" s="52">
        <v>0.5</v>
      </c>
      <c r="AB14" s="53">
        <v>400</v>
      </c>
      <c r="AC14" s="52">
        <v>0.5</v>
      </c>
      <c r="AD14" s="53">
        <v>400</v>
      </c>
      <c r="AE14" s="52">
        <v>0.3</v>
      </c>
      <c r="AF14" s="53">
        <v>400</v>
      </c>
      <c r="AG14" s="52">
        <v>0.3</v>
      </c>
      <c r="AH14" s="53">
        <v>400</v>
      </c>
      <c r="AI14" s="52">
        <v>0</v>
      </c>
      <c r="AJ14" s="53">
        <v>400</v>
      </c>
      <c r="AK14" s="52">
        <v>0.01</v>
      </c>
      <c r="AL14" s="53">
        <v>400</v>
      </c>
      <c r="AM14" s="52">
        <v>0.01</v>
      </c>
      <c r="AN14" s="53">
        <v>25</v>
      </c>
      <c r="AO14" s="52">
        <v>0.01</v>
      </c>
      <c r="AP14" s="53">
        <v>400</v>
      </c>
      <c r="AQ14" s="52">
        <v>0.01</v>
      </c>
      <c r="AR14" s="53">
        <v>400</v>
      </c>
      <c r="AS14" s="52">
        <v>0.01</v>
      </c>
      <c r="AT14" s="53">
        <v>400</v>
      </c>
      <c r="AU14" s="52">
        <v>0.8</v>
      </c>
      <c r="AV14" s="53">
        <v>400</v>
      </c>
      <c r="AW14" s="52">
        <v>0.8</v>
      </c>
      <c r="AX14" s="53">
        <v>400</v>
      </c>
      <c r="AY14" s="52">
        <v>0</v>
      </c>
      <c r="AZ14" s="53">
        <v>400</v>
      </c>
      <c r="BA14" s="52">
        <v>0.01</v>
      </c>
      <c r="BB14" s="53">
        <v>200</v>
      </c>
      <c r="BC14" s="52">
        <v>0.01</v>
      </c>
      <c r="BD14" s="53">
        <v>400</v>
      </c>
      <c r="BE14" s="52">
        <v>0.9</v>
      </c>
      <c r="BF14" s="53">
        <v>400</v>
      </c>
      <c r="BG14" s="52">
        <v>4</v>
      </c>
      <c r="BH14" s="53">
        <v>200</v>
      </c>
      <c r="BI14" s="52">
        <v>0.5</v>
      </c>
      <c r="BJ14" s="53">
        <v>400</v>
      </c>
      <c r="BK14" s="52">
        <f>MCU_M4F_Util</f>
        <v>1</v>
      </c>
      <c r="BL14" s="53">
        <f>MCU_M4F_Frequency</f>
        <v>400</v>
      </c>
      <c r="BM14" s="52">
        <v>0</v>
      </c>
      <c r="BN14" s="53"/>
      <c r="BO14" s="52">
        <v>0</v>
      </c>
      <c r="BP14" s="53"/>
      <c r="BQ14" s="52">
        <v>0</v>
      </c>
      <c r="BR14" s="53"/>
      <c r="BS14" s="52">
        <v>0</v>
      </c>
      <c r="BT14" s="53"/>
      <c r="BU14" s="52">
        <v>0</v>
      </c>
      <c r="BV14" s="53"/>
      <c r="BW14" s="52">
        <v>0</v>
      </c>
      <c r="BX14" s="53"/>
      <c r="BY14" s="52">
        <v>0</v>
      </c>
      <c r="BZ14" s="53"/>
      <c r="CA14" s="52">
        <v>0</v>
      </c>
      <c r="CB14" s="53"/>
      <c r="CC14" s="52">
        <v>0</v>
      </c>
      <c r="CD14" s="53"/>
      <c r="CE14" s="52">
        <v>0</v>
      </c>
      <c r="CF14" s="53"/>
      <c r="CG14" s="52">
        <v>0</v>
      </c>
      <c r="CH14" s="53"/>
      <c r="CI14" s="52">
        <v>0</v>
      </c>
      <c r="CJ14" s="53"/>
      <c r="CK14" s="52">
        <v>0</v>
      </c>
      <c r="CL14" s="53"/>
      <c r="CM14" s="52">
        <v>0</v>
      </c>
      <c r="CN14" s="53"/>
      <c r="CO14" s="52">
        <v>0</v>
      </c>
      <c r="CP14" s="53"/>
      <c r="CQ14" s="52">
        <v>0</v>
      </c>
      <c r="CR14" s="53"/>
      <c r="CS14" s="52">
        <v>0</v>
      </c>
      <c r="CT14" s="53"/>
      <c r="CU14" s="52">
        <v>0</v>
      </c>
      <c r="CV14" s="53"/>
      <c r="CW14" s="52">
        <v>0</v>
      </c>
      <c r="CX14" s="53"/>
      <c r="CY14" s="52">
        <v>0</v>
      </c>
      <c r="CZ14" s="53"/>
    </row>
    <row r="15" spans="1:104" x14ac:dyDescent="0.25">
      <c r="A15" s="51" t="str">
        <f t="shared" si="0"/>
        <v>sam62_a53_512kb_wrap_0</v>
      </c>
      <c r="B15" s="2" t="str">
        <f t="shared" si="2"/>
        <v>A53 Quad Cluster 1.4 GHz 512KB AM62</v>
      </c>
      <c r="C15" s="2" t="s">
        <v>18</v>
      </c>
      <c r="D15" s="2" t="s">
        <v>270</v>
      </c>
      <c r="E15" s="2" t="str">
        <f t="shared" si="3"/>
        <v>1 Processor</v>
      </c>
      <c r="F15" s="2" t="str">
        <f t="shared" si="3"/>
        <v>ARM_MPU</v>
      </c>
      <c r="G15" s="52">
        <v>1</v>
      </c>
      <c r="H15" s="53">
        <v>1250</v>
      </c>
      <c r="I15" s="52">
        <v>0.01</v>
      </c>
      <c r="J15" s="53">
        <v>1250</v>
      </c>
      <c r="K15" s="52"/>
      <c r="L15" s="53">
        <v>5</v>
      </c>
      <c r="M15" s="52"/>
      <c r="N15" s="53">
        <v>200</v>
      </c>
      <c r="O15" s="52">
        <v>0.37454166666666666</v>
      </c>
      <c r="P15" s="53">
        <v>1250</v>
      </c>
      <c r="Q15" s="52">
        <v>0.37454166666666666</v>
      </c>
      <c r="R15" s="53">
        <v>1250</v>
      </c>
      <c r="S15" s="52">
        <v>0.56186868686868685</v>
      </c>
      <c r="T15" s="53">
        <v>1250</v>
      </c>
      <c r="U15" s="52">
        <v>0.37454166666666666</v>
      </c>
      <c r="V15" s="53">
        <v>1250</v>
      </c>
      <c r="W15" s="52">
        <v>0.18727083333333333</v>
      </c>
      <c r="X15" s="53">
        <v>1250</v>
      </c>
      <c r="Y15" s="52">
        <v>0.18727083333333333</v>
      </c>
      <c r="Z15" s="53">
        <v>1250</v>
      </c>
      <c r="AA15" s="52">
        <v>0.37454166666666666</v>
      </c>
      <c r="AB15" s="53">
        <v>1250</v>
      </c>
      <c r="AC15" s="52">
        <v>0.6742424242424242</v>
      </c>
      <c r="AD15" s="53">
        <v>1250</v>
      </c>
      <c r="AE15" s="52">
        <v>0.44949494949494956</v>
      </c>
      <c r="AF15" s="53">
        <v>1250</v>
      </c>
      <c r="AG15" s="52">
        <v>0.6742424242424242</v>
      </c>
      <c r="AH15" s="53">
        <v>1250</v>
      </c>
      <c r="AI15" s="52">
        <v>0</v>
      </c>
      <c r="AJ15" s="53">
        <v>1250</v>
      </c>
      <c r="AK15" s="52">
        <v>0</v>
      </c>
      <c r="AL15" s="53">
        <v>1250</v>
      </c>
      <c r="AM15" s="52">
        <v>0.01</v>
      </c>
      <c r="AN15" s="53">
        <v>25</v>
      </c>
      <c r="AO15" s="52">
        <v>0</v>
      </c>
      <c r="AP15" s="53">
        <v>1250</v>
      </c>
      <c r="AQ15" s="52">
        <v>0.01</v>
      </c>
      <c r="AR15" s="53">
        <v>1250</v>
      </c>
      <c r="AS15" s="52">
        <v>0.01</v>
      </c>
      <c r="AT15" s="53">
        <v>600</v>
      </c>
      <c r="AU15" s="52">
        <v>0.8</v>
      </c>
      <c r="AV15" s="53">
        <v>1250</v>
      </c>
      <c r="AW15" s="52">
        <v>0.8</v>
      </c>
      <c r="AX15" s="53">
        <v>1250</v>
      </c>
      <c r="AY15" s="52">
        <v>0</v>
      </c>
      <c r="AZ15" s="53">
        <v>1250</v>
      </c>
      <c r="BA15" s="52">
        <v>0</v>
      </c>
      <c r="BB15" s="53">
        <v>1250</v>
      </c>
      <c r="BC15" s="52">
        <v>0</v>
      </c>
      <c r="BD15" s="53">
        <v>1250</v>
      </c>
      <c r="BE15" s="52">
        <v>1</v>
      </c>
      <c r="BF15" s="53">
        <v>1250</v>
      </c>
      <c r="BG15" s="52">
        <v>4</v>
      </c>
      <c r="BH15" s="53">
        <v>200</v>
      </c>
      <c r="BI15" s="52">
        <v>0.18822601010101009</v>
      </c>
      <c r="BJ15" s="53">
        <v>1250</v>
      </c>
      <c r="BK15" s="52">
        <f>MPU_A530_Util</f>
        <v>1</v>
      </c>
      <c r="BL15" s="53"/>
      <c r="BM15" s="52">
        <v>0</v>
      </c>
      <c r="BN15" s="53"/>
      <c r="BO15" s="52">
        <v>0</v>
      </c>
      <c r="BP15" s="53"/>
      <c r="BQ15" s="52">
        <v>0</v>
      </c>
      <c r="BR15" s="53"/>
      <c r="BS15" s="52">
        <v>0</v>
      </c>
      <c r="BT15" s="53"/>
      <c r="BU15" s="52">
        <v>0</v>
      </c>
      <c r="BV15" s="53"/>
      <c r="BW15" s="52">
        <v>0</v>
      </c>
      <c r="BX15" s="53"/>
      <c r="BY15" s="52">
        <v>0</v>
      </c>
      <c r="BZ15" s="53"/>
      <c r="CA15" s="52">
        <v>0</v>
      </c>
      <c r="CB15" s="53"/>
      <c r="CC15" s="52">
        <v>0</v>
      </c>
      <c r="CD15" s="53"/>
      <c r="CE15" s="52">
        <v>0</v>
      </c>
      <c r="CF15" s="53"/>
      <c r="CG15" s="52">
        <v>0</v>
      </c>
      <c r="CH15" s="53"/>
      <c r="CI15" s="52">
        <v>0</v>
      </c>
      <c r="CJ15" s="53"/>
      <c r="CK15" s="52">
        <v>0</v>
      </c>
      <c r="CL15" s="53"/>
      <c r="CM15" s="52">
        <v>0</v>
      </c>
      <c r="CN15" s="53"/>
      <c r="CO15" s="52">
        <v>0</v>
      </c>
      <c r="CP15" s="53"/>
      <c r="CQ15" s="52">
        <v>0</v>
      </c>
      <c r="CR15" s="53"/>
      <c r="CS15" s="52">
        <v>0</v>
      </c>
      <c r="CT15" s="53"/>
      <c r="CU15" s="52">
        <v>0</v>
      </c>
      <c r="CV15" s="53"/>
      <c r="CW15" s="52">
        <v>0</v>
      </c>
      <c r="CX15" s="53"/>
      <c r="CY15" s="52">
        <v>0</v>
      </c>
      <c r="CZ15" s="53"/>
    </row>
    <row r="16" spans="1:104" x14ac:dyDescent="0.25">
      <c r="A16" s="51" t="str">
        <f t="shared" si="0"/>
        <v>sam62_a53_dual_wrap_cba_cpu_phys_0</v>
      </c>
      <c r="B16" s="2" t="str">
        <f t="shared" si="2"/>
        <v>A53 CPU 1.4 GHz AM62</v>
      </c>
      <c r="C16" s="2" t="s">
        <v>18</v>
      </c>
      <c r="D16" s="2" t="s">
        <v>274</v>
      </c>
      <c r="E16" s="2" t="str">
        <f t="shared" si="3"/>
        <v>1 Processor</v>
      </c>
      <c r="F16" s="2" t="str">
        <f t="shared" si="3"/>
        <v>ARM_MPU</v>
      </c>
      <c r="G16" s="52">
        <v>1</v>
      </c>
      <c r="H16" s="53">
        <v>1250</v>
      </c>
      <c r="I16" s="52">
        <v>0.01</v>
      </c>
      <c r="J16" s="53">
        <v>1250</v>
      </c>
      <c r="K16" s="52"/>
      <c r="L16" s="53">
        <v>5</v>
      </c>
      <c r="M16" s="52"/>
      <c r="N16" s="53">
        <v>200</v>
      </c>
      <c r="O16" s="52">
        <v>0.74908333333333332</v>
      </c>
      <c r="P16" s="53">
        <v>1250</v>
      </c>
      <c r="Q16" s="52">
        <v>0.74908333333333332</v>
      </c>
      <c r="R16" s="53">
        <v>1250</v>
      </c>
      <c r="S16" s="52">
        <v>0.56186868686868685</v>
      </c>
      <c r="T16" s="53">
        <v>1250</v>
      </c>
      <c r="U16" s="52">
        <v>0.9</v>
      </c>
      <c r="V16" s="53">
        <v>1250</v>
      </c>
      <c r="W16" s="52">
        <v>0.74908333333333332</v>
      </c>
      <c r="X16" s="53">
        <v>1250</v>
      </c>
      <c r="Y16" s="52">
        <v>0.74908333333333332</v>
      </c>
      <c r="Z16" s="53">
        <v>1250</v>
      </c>
      <c r="AA16" s="52">
        <v>0.9</v>
      </c>
      <c r="AB16" s="53">
        <v>1250</v>
      </c>
      <c r="AC16" s="52">
        <v>0.6742424242424242</v>
      </c>
      <c r="AD16" s="53">
        <v>1250</v>
      </c>
      <c r="AE16" s="52">
        <v>0.9</v>
      </c>
      <c r="AF16" s="53">
        <v>1250</v>
      </c>
      <c r="AG16" s="52">
        <v>0.6742424242424242</v>
      </c>
      <c r="AH16" s="53">
        <v>1250</v>
      </c>
      <c r="AI16" s="52">
        <v>0</v>
      </c>
      <c r="AJ16" s="53">
        <v>1250</v>
      </c>
      <c r="AK16" s="52">
        <v>0</v>
      </c>
      <c r="AL16" s="53">
        <v>1250</v>
      </c>
      <c r="AM16" s="52">
        <v>0.01</v>
      </c>
      <c r="AN16" s="53">
        <v>25</v>
      </c>
      <c r="AO16" s="52">
        <v>0</v>
      </c>
      <c r="AP16" s="53">
        <v>1250</v>
      </c>
      <c r="AQ16" s="52">
        <v>0.04</v>
      </c>
      <c r="AR16" s="53">
        <v>1250</v>
      </c>
      <c r="AS16" s="52">
        <v>0.04</v>
      </c>
      <c r="AT16" s="53">
        <v>600</v>
      </c>
      <c r="AU16" s="52">
        <v>0.8</v>
      </c>
      <c r="AV16" s="53">
        <v>1250</v>
      </c>
      <c r="AW16" s="52">
        <v>0.8</v>
      </c>
      <c r="AX16" s="53">
        <v>1250</v>
      </c>
      <c r="AY16" s="52">
        <v>0</v>
      </c>
      <c r="AZ16" s="53">
        <v>1250</v>
      </c>
      <c r="BA16" s="52">
        <v>0</v>
      </c>
      <c r="BB16" s="53">
        <v>1250</v>
      </c>
      <c r="BC16" s="52">
        <v>0</v>
      </c>
      <c r="BD16" s="53">
        <v>1250</v>
      </c>
      <c r="BE16" s="52">
        <v>1</v>
      </c>
      <c r="BF16" s="53">
        <v>1250</v>
      </c>
      <c r="BG16" s="52">
        <v>4</v>
      </c>
      <c r="BH16" s="53">
        <v>200</v>
      </c>
      <c r="BI16" s="52">
        <v>0.75290404040404035</v>
      </c>
      <c r="BJ16" s="53">
        <v>1250</v>
      </c>
      <c r="BK16" s="52">
        <f>MPU_A530_Util</f>
        <v>1</v>
      </c>
      <c r="BL16" s="53">
        <f>MPU_A530_1_2_3_Frequency</f>
        <v>1400</v>
      </c>
      <c r="BM16" s="52">
        <v>0</v>
      </c>
      <c r="BN16" s="53"/>
      <c r="BO16" s="52">
        <v>0</v>
      </c>
      <c r="BP16" s="53"/>
      <c r="BQ16" s="52">
        <v>0</v>
      </c>
      <c r="BR16" s="53"/>
      <c r="BS16" s="52">
        <v>0</v>
      </c>
      <c r="BT16" s="53"/>
      <c r="BU16" s="52">
        <v>0</v>
      </c>
      <c r="BV16" s="53"/>
      <c r="BW16" s="52">
        <v>0</v>
      </c>
      <c r="BX16" s="53"/>
      <c r="BY16" s="52">
        <v>0</v>
      </c>
      <c r="BZ16" s="53"/>
      <c r="CA16" s="52">
        <v>0</v>
      </c>
      <c r="CB16" s="53"/>
      <c r="CC16" s="52">
        <v>0</v>
      </c>
      <c r="CD16" s="53"/>
      <c r="CE16" s="52">
        <v>0</v>
      </c>
      <c r="CF16" s="53"/>
      <c r="CG16" s="52">
        <v>0</v>
      </c>
      <c r="CH16" s="53"/>
      <c r="CI16" s="52">
        <v>0</v>
      </c>
      <c r="CJ16" s="53"/>
      <c r="CK16" s="52">
        <v>0</v>
      </c>
      <c r="CL16" s="53"/>
      <c r="CM16" s="52">
        <v>0</v>
      </c>
      <c r="CN16" s="53"/>
      <c r="CO16" s="52">
        <v>0</v>
      </c>
      <c r="CP16" s="53"/>
      <c r="CQ16" s="52">
        <v>0</v>
      </c>
      <c r="CR16" s="53"/>
      <c r="CS16" s="52">
        <v>0</v>
      </c>
      <c r="CT16" s="53"/>
      <c r="CU16" s="52">
        <v>0</v>
      </c>
      <c r="CV16" s="53"/>
      <c r="CW16" s="52">
        <v>0</v>
      </c>
      <c r="CX16" s="53"/>
      <c r="CY16" s="52">
        <v>0</v>
      </c>
      <c r="CZ16" s="53"/>
    </row>
    <row r="17" spans="1:104" x14ac:dyDescent="0.25">
      <c r="A17" s="51" t="str">
        <f t="shared" si="0"/>
        <v>sam62_a53_dual_wrap_cba_cpu_phys_1</v>
      </c>
      <c r="B17" s="2" t="str">
        <f t="shared" si="2"/>
        <v>A53 CPU 1.4 GHz AM62</v>
      </c>
      <c r="C17" s="2" t="s">
        <v>19</v>
      </c>
      <c r="D17" s="2" t="s">
        <v>274</v>
      </c>
      <c r="E17" s="2" t="str">
        <f t="shared" si="3"/>
        <v>1 Processor</v>
      </c>
      <c r="F17" s="2" t="str">
        <f t="shared" si="3"/>
        <v>ARM_MPU</v>
      </c>
      <c r="G17" s="52">
        <v>1</v>
      </c>
      <c r="H17" s="53">
        <v>1250</v>
      </c>
      <c r="I17" s="52">
        <v>0.01</v>
      </c>
      <c r="J17" s="53">
        <v>1250</v>
      </c>
      <c r="K17" s="52"/>
      <c r="L17" s="53">
        <v>5</v>
      </c>
      <c r="M17" s="52"/>
      <c r="N17" s="53">
        <v>200</v>
      </c>
      <c r="O17" s="52">
        <v>0.74908333333333332</v>
      </c>
      <c r="P17" s="53">
        <v>1250</v>
      </c>
      <c r="Q17" s="52">
        <v>0.74908333333333332</v>
      </c>
      <c r="R17" s="53">
        <v>1250</v>
      </c>
      <c r="S17" s="52">
        <v>0.56186868686868685</v>
      </c>
      <c r="T17" s="53">
        <v>1250</v>
      </c>
      <c r="U17" s="52">
        <v>0.59816666666666662</v>
      </c>
      <c r="V17" s="53">
        <v>1250</v>
      </c>
      <c r="W17" s="52">
        <v>0</v>
      </c>
      <c r="X17" s="53">
        <v>1250</v>
      </c>
      <c r="Y17" s="52">
        <v>0</v>
      </c>
      <c r="Z17" s="53">
        <v>1250</v>
      </c>
      <c r="AA17" s="52">
        <v>0.59816666666666662</v>
      </c>
      <c r="AB17" s="53">
        <v>1250</v>
      </c>
      <c r="AC17" s="52">
        <v>0.6742424242424242</v>
      </c>
      <c r="AD17" s="53">
        <v>1250</v>
      </c>
      <c r="AE17" s="52">
        <v>0.89797979797979821</v>
      </c>
      <c r="AF17" s="53">
        <v>1250</v>
      </c>
      <c r="AG17" s="52">
        <v>0.6742424242424242</v>
      </c>
      <c r="AH17" s="53">
        <v>1250</v>
      </c>
      <c r="AI17" s="52">
        <v>0</v>
      </c>
      <c r="AJ17" s="53">
        <v>1250</v>
      </c>
      <c r="AK17" s="52">
        <v>0</v>
      </c>
      <c r="AL17" s="53">
        <v>1250</v>
      </c>
      <c r="AM17" s="52">
        <v>0.01</v>
      </c>
      <c r="AN17" s="53">
        <v>25</v>
      </c>
      <c r="AO17" s="52">
        <v>0</v>
      </c>
      <c r="AP17" s="53">
        <v>1250</v>
      </c>
      <c r="AQ17" s="52">
        <v>0</v>
      </c>
      <c r="AR17" s="53">
        <v>1250</v>
      </c>
      <c r="AS17" s="52">
        <v>0</v>
      </c>
      <c r="AT17" s="53">
        <v>600</v>
      </c>
      <c r="AU17" s="52">
        <v>0.8</v>
      </c>
      <c r="AV17" s="53">
        <v>1250</v>
      </c>
      <c r="AW17" s="52">
        <v>0.8</v>
      </c>
      <c r="AX17" s="53">
        <v>1250</v>
      </c>
      <c r="AY17" s="52">
        <v>0</v>
      </c>
      <c r="AZ17" s="53">
        <v>1250</v>
      </c>
      <c r="BA17" s="52">
        <v>0</v>
      </c>
      <c r="BB17" s="53">
        <v>1250</v>
      </c>
      <c r="BC17" s="52">
        <v>0</v>
      </c>
      <c r="BD17" s="53">
        <v>1250</v>
      </c>
      <c r="BE17" s="52">
        <v>1</v>
      </c>
      <c r="BF17" s="53">
        <v>1250</v>
      </c>
      <c r="BG17" s="52">
        <v>4</v>
      </c>
      <c r="BH17" s="53">
        <v>200</v>
      </c>
      <c r="BI17" s="52">
        <v>0</v>
      </c>
      <c r="BJ17" s="53">
        <v>1250</v>
      </c>
      <c r="BK17" s="52">
        <f>MPU_A531_Util</f>
        <v>1</v>
      </c>
      <c r="BL17" s="53">
        <f>MPU_A530_1_2_3_Frequency</f>
        <v>1400</v>
      </c>
      <c r="BM17" s="52">
        <v>0</v>
      </c>
      <c r="BN17" s="53"/>
      <c r="BO17" s="52">
        <v>0</v>
      </c>
      <c r="BP17" s="53"/>
      <c r="BQ17" s="52">
        <v>0</v>
      </c>
      <c r="BR17" s="53"/>
      <c r="BS17" s="52">
        <v>0</v>
      </c>
      <c r="BT17" s="53"/>
      <c r="BU17" s="52">
        <v>0</v>
      </c>
      <c r="BV17" s="53"/>
      <c r="BW17" s="52">
        <v>0</v>
      </c>
      <c r="BX17" s="53"/>
      <c r="BY17" s="52">
        <v>0</v>
      </c>
      <c r="BZ17" s="53"/>
      <c r="CA17" s="52">
        <v>0</v>
      </c>
      <c r="CB17" s="53"/>
      <c r="CC17" s="52">
        <v>0</v>
      </c>
      <c r="CD17" s="53"/>
      <c r="CE17" s="52">
        <v>0</v>
      </c>
      <c r="CF17" s="53"/>
      <c r="CG17" s="52">
        <v>0</v>
      </c>
      <c r="CH17" s="53"/>
      <c r="CI17" s="52">
        <v>0</v>
      </c>
      <c r="CJ17" s="53"/>
      <c r="CK17" s="52">
        <v>0</v>
      </c>
      <c r="CL17" s="53"/>
      <c r="CM17" s="52">
        <v>0</v>
      </c>
      <c r="CN17" s="53"/>
      <c r="CO17" s="52">
        <v>0</v>
      </c>
      <c r="CP17" s="53"/>
      <c r="CQ17" s="52">
        <v>0</v>
      </c>
      <c r="CR17" s="53"/>
      <c r="CS17" s="52">
        <v>0</v>
      </c>
      <c r="CT17" s="53"/>
      <c r="CU17" s="52">
        <v>0</v>
      </c>
      <c r="CV17" s="53"/>
      <c r="CW17" s="52">
        <v>0</v>
      </c>
      <c r="CX17" s="53"/>
      <c r="CY17" s="52">
        <v>0</v>
      </c>
      <c r="CZ17" s="53"/>
    </row>
    <row r="18" spans="1:104" x14ac:dyDescent="0.25">
      <c r="A18" s="51" t="str">
        <f t="shared" si="0"/>
        <v>sam62_a53_dual_wrap_cba_cpu_phys_2</v>
      </c>
      <c r="B18" s="2" t="str">
        <f t="shared" si="2"/>
        <v>A53 CPU 1.4 GHz AM62</v>
      </c>
      <c r="C18" s="2" t="s">
        <v>20</v>
      </c>
      <c r="D18" s="2" t="s">
        <v>274</v>
      </c>
      <c r="E18" s="2" t="str">
        <f t="shared" si="3"/>
        <v>1 Processor</v>
      </c>
      <c r="F18" s="2" t="str">
        <f t="shared" si="3"/>
        <v>ARM_MPU</v>
      </c>
      <c r="G18" s="52">
        <v>1</v>
      </c>
      <c r="H18" s="53">
        <v>1250</v>
      </c>
      <c r="I18" s="52">
        <v>0.01</v>
      </c>
      <c r="J18" s="53">
        <v>1250</v>
      </c>
      <c r="K18" s="52"/>
      <c r="L18" s="53">
        <v>5</v>
      </c>
      <c r="M18" s="52"/>
      <c r="N18" s="53">
        <v>200</v>
      </c>
      <c r="O18" s="52">
        <v>0</v>
      </c>
      <c r="P18" s="53">
        <v>1250</v>
      </c>
      <c r="Q18" s="52">
        <v>0</v>
      </c>
      <c r="R18" s="53">
        <v>1250</v>
      </c>
      <c r="S18" s="52">
        <v>0.56186868686868685</v>
      </c>
      <c r="T18" s="53">
        <v>1250</v>
      </c>
      <c r="U18" s="52">
        <v>0</v>
      </c>
      <c r="V18" s="53">
        <v>1250</v>
      </c>
      <c r="W18" s="52">
        <v>0</v>
      </c>
      <c r="X18" s="53">
        <v>1250</v>
      </c>
      <c r="Y18" s="52">
        <v>0</v>
      </c>
      <c r="Z18" s="53">
        <v>1250</v>
      </c>
      <c r="AA18" s="52">
        <v>0</v>
      </c>
      <c r="AB18" s="53">
        <v>1250</v>
      </c>
      <c r="AC18" s="52">
        <v>0.6742424242424242</v>
      </c>
      <c r="AD18" s="53">
        <v>1250</v>
      </c>
      <c r="AE18" s="52">
        <v>0</v>
      </c>
      <c r="AF18" s="53">
        <v>1250</v>
      </c>
      <c r="AG18" s="52">
        <v>0.6742424242424242</v>
      </c>
      <c r="AH18" s="53">
        <v>1250</v>
      </c>
      <c r="AI18" s="52">
        <v>0</v>
      </c>
      <c r="AJ18" s="53">
        <v>1250</v>
      </c>
      <c r="AK18" s="52">
        <v>0</v>
      </c>
      <c r="AL18" s="53">
        <v>1250</v>
      </c>
      <c r="AM18" s="52">
        <v>0.01</v>
      </c>
      <c r="AN18" s="53">
        <v>25</v>
      </c>
      <c r="AO18" s="52">
        <v>0</v>
      </c>
      <c r="AP18" s="53">
        <v>1250</v>
      </c>
      <c r="AQ18" s="52">
        <v>0</v>
      </c>
      <c r="AR18" s="53">
        <v>1250</v>
      </c>
      <c r="AS18" s="52">
        <v>0</v>
      </c>
      <c r="AT18" s="53">
        <v>600</v>
      </c>
      <c r="AU18" s="52">
        <v>0.8</v>
      </c>
      <c r="AV18" s="53">
        <v>1250</v>
      </c>
      <c r="AW18" s="52">
        <v>0.8</v>
      </c>
      <c r="AX18" s="53">
        <v>1250</v>
      </c>
      <c r="AY18" s="52">
        <v>0</v>
      </c>
      <c r="AZ18" s="53">
        <v>1250</v>
      </c>
      <c r="BA18" s="52">
        <v>0</v>
      </c>
      <c r="BB18" s="53">
        <v>1250</v>
      </c>
      <c r="BC18" s="52">
        <v>0</v>
      </c>
      <c r="BD18" s="53">
        <v>1250</v>
      </c>
      <c r="BE18" s="52">
        <v>1</v>
      </c>
      <c r="BF18" s="53">
        <v>1250</v>
      </c>
      <c r="BG18" s="52">
        <v>4</v>
      </c>
      <c r="BH18" s="53">
        <v>200</v>
      </c>
      <c r="BI18" s="52">
        <v>0</v>
      </c>
      <c r="BJ18" s="53">
        <v>1250</v>
      </c>
      <c r="BK18" s="52">
        <f>MPU_A532_Util</f>
        <v>1</v>
      </c>
      <c r="BL18" s="53">
        <f>MPU_A530_1_2_3_Frequency</f>
        <v>1400</v>
      </c>
      <c r="BM18" s="52">
        <v>0</v>
      </c>
      <c r="BN18" s="53"/>
      <c r="BO18" s="52">
        <v>0</v>
      </c>
      <c r="BP18" s="53"/>
      <c r="BQ18" s="52">
        <v>0</v>
      </c>
      <c r="BR18" s="53"/>
      <c r="BS18" s="52">
        <v>0</v>
      </c>
      <c r="BT18" s="53"/>
      <c r="BU18" s="52">
        <v>0</v>
      </c>
      <c r="BV18" s="53"/>
      <c r="BW18" s="52">
        <v>0</v>
      </c>
      <c r="BX18" s="53"/>
      <c r="BY18" s="52">
        <v>0</v>
      </c>
      <c r="BZ18" s="53"/>
      <c r="CA18" s="52">
        <v>0</v>
      </c>
      <c r="CB18" s="53"/>
      <c r="CC18" s="52">
        <v>0</v>
      </c>
      <c r="CD18" s="53"/>
      <c r="CE18" s="52">
        <v>0</v>
      </c>
      <c r="CF18" s="53"/>
      <c r="CG18" s="52">
        <v>0</v>
      </c>
      <c r="CH18" s="53"/>
      <c r="CI18" s="52">
        <v>0</v>
      </c>
      <c r="CJ18" s="53"/>
      <c r="CK18" s="52">
        <v>0</v>
      </c>
      <c r="CL18" s="53"/>
      <c r="CM18" s="52">
        <v>0</v>
      </c>
      <c r="CN18" s="53"/>
      <c r="CO18" s="52">
        <v>0</v>
      </c>
      <c r="CP18" s="53"/>
      <c r="CQ18" s="52">
        <v>0</v>
      </c>
      <c r="CR18" s="53"/>
      <c r="CS18" s="52">
        <v>0</v>
      </c>
      <c r="CT18" s="53"/>
      <c r="CU18" s="52">
        <v>0</v>
      </c>
      <c r="CV18" s="53"/>
      <c r="CW18" s="52">
        <v>0</v>
      </c>
      <c r="CX18" s="53"/>
      <c r="CY18" s="52">
        <v>0</v>
      </c>
      <c r="CZ18" s="53"/>
    </row>
    <row r="19" spans="1:104" x14ac:dyDescent="0.25">
      <c r="A19" s="51" t="str">
        <f t="shared" si="0"/>
        <v>sam62_a53_dual_wrap_cba_cpu_phys_3</v>
      </c>
      <c r="B19" s="2" t="str">
        <f t="shared" si="2"/>
        <v>A53 CPU 1.4 GHz AM62</v>
      </c>
      <c r="C19" s="2" t="s">
        <v>22</v>
      </c>
      <c r="D19" s="2" t="s">
        <v>274</v>
      </c>
      <c r="E19" s="2" t="str">
        <f t="shared" si="3"/>
        <v>1 Processor</v>
      </c>
      <c r="F19" s="2" t="str">
        <f t="shared" si="3"/>
        <v>ARM_MPU</v>
      </c>
      <c r="G19" s="52">
        <v>1</v>
      </c>
      <c r="H19" s="53">
        <v>1250</v>
      </c>
      <c r="I19" s="52">
        <v>0.01</v>
      </c>
      <c r="J19" s="53">
        <v>1250</v>
      </c>
      <c r="K19" s="52"/>
      <c r="L19" s="53">
        <v>5</v>
      </c>
      <c r="M19" s="52"/>
      <c r="N19" s="53">
        <v>200</v>
      </c>
      <c r="O19" s="52">
        <v>0</v>
      </c>
      <c r="P19" s="53">
        <v>1250</v>
      </c>
      <c r="Q19" s="52">
        <v>0</v>
      </c>
      <c r="R19" s="53">
        <v>1250</v>
      </c>
      <c r="S19" s="52">
        <v>0.56186868686868685</v>
      </c>
      <c r="T19" s="53">
        <v>1250</v>
      </c>
      <c r="U19" s="52">
        <v>0</v>
      </c>
      <c r="V19" s="53">
        <v>1250</v>
      </c>
      <c r="W19" s="52">
        <v>0</v>
      </c>
      <c r="X19" s="53">
        <v>1250</v>
      </c>
      <c r="Y19" s="52">
        <v>0</v>
      </c>
      <c r="Z19" s="53">
        <v>1250</v>
      </c>
      <c r="AA19" s="52">
        <v>0</v>
      </c>
      <c r="AB19" s="53">
        <v>1250</v>
      </c>
      <c r="AC19" s="52">
        <v>0.67424242424242398</v>
      </c>
      <c r="AD19" s="53">
        <v>1250</v>
      </c>
      <c r="AE19" s="52">
        <v>0</v>
      </c>
      <c r="AF19" s="53">
        <v>1250</v>
      </c>
      <c r="AG19" s="52">
        <v>0.67424242424242398</v>
      </c>
      <c r="AH19" s="53">
        <v>1250</v>
      </c>
      <c r="AI19" s="52">
        <v>0</v>
      </c>
      <c r="AJ19" s="53">
        <v>1250</v>
      </c>
      <c r="AK19" s="52">
        <v>0</v>
      </c>
      <c r="AL19" s="53">
        <v>1250</v>
      </c>
      <c r="AM19" s="52">
        <v>0.01</v>
      </c>
      <c r="AN19" s="53">
        <v>25</v>
      </c>
      <c r="AO19" s="52">
        <v>0</v>
      </c>
      <c r="AP19" s="53">
        <v>1250</v>
      </c>
      <c r="AQ19" s="52">
        <v>0</v>
      </c>
      <c r="AR19" s="53">
        <v>1250</v>
      </c>
      <c r="AS19" s="52">
        <v>0</v>
      </c>
      <c r="AT19" s="53">
        <v>600</v>
      </c>
      <c r="AU19" s="52">
        <v>0.8</v>
      </c>
      <c r="AV19" s="53">
        <v>1250</v>
      </c>
      <c r="AW19" s="52">
        <v>0.8</v>
      </c>
      <c r="AX19" s="53">
        <v>1250</v>
      </c>
      <c r="AY19" s="52">
        <v>0</v>
      </c>
      <c r="AZ19" s="53">
        <v>1250</v>
      </c>
      <c r="BA19" s="52">
        <v>0</v>
      </c>
      <c r="BB19" s="53">
        <v>1250</v>
      </c>
      <c r="BC19" s="52">
        <v>0</v>
      </c>
      <c r="BD19" s="53">
        <v>1250</v>
      </c>
      <c r="BE19" s="52">
        <v>1</v>
      </c>
      <c r="BF19" s="53">
        <v>1250</v>
      </c>
      <c r="BG19" s="52">
        <v>4</v>
      </c>
      <c r="BH19" s="53">
        <v>200</v>
      </c>
      <c r="BI19" s="52">
        <v>0</v>
      </c>
      <c r="BJ19" s="53">
        <v>1250</v>
      </c>
      <c r="BK19" s="52">
        <f>MPU_A533_Util</f>
        <v>1</v>
      </c>
      <c r="BL19" s="53">
        <f>MPU_A530_1_2_3_Frequency</f>
        <v>1400</v>
      </c>
      <c r="BM19" s="52">
        <v>0</v>
      </c>
      <c r="BN19" s="53"/>
      <c r="BO19" s="52">
        <v>0</v>
      </c>
      <c r="BP19" s="53"/>
      <c r="BQ19" s="52">
        <v>0</v>
      </c>
      <c r="BR19" s="53"/>
      <c r="BS19" s="52">
        <v>0</v>
      </c>
      <c r="BT19" s="53"/>
      <c r="BU19" s="52">
        <v>0</v>
      </c>
      <c r="BV19" s="53"/>
      <c r="BW19" s="52">
        <v>0</v>
      </c>
      <c r="BX19" s="53"/>
      <c r="BY19" s="52">
        <v>0</v>
      </c>
      <c r="BZ19" s="53"/>
      <c r="CA19" s="52">
        <v>0</v>
      </c>
      <c r="CB19" s="53"/>
      <c r="CC19" s="52">
        <v>0</v>
      </c>
      <c r="CD19" s="53"/>
      <c r="CE19" s="52">
        <v>0</v>
      </c>
      <c r="CF19" s="53"/>
      <c r="CG19" s="52">
        <v>0</v>
      </c>
      <c r="CH19" s="53"/>
      <c r="CI19" s="52">
        <v>0</v>
      </c>
      <c r="CJ19" s="53"/>
      <c r="CK19" s="52">
        <v>0</v>
      </c>
      <c r="CL19" s="53"/>
      <c r="CM19" s="52">
        <v>0</v>
      </c>
      <c r="CN19" s="53"/>
      <c r="CO19" s="52">
        <v>0</v>
      </c>
      <c r="CP19" s="53"/>
      <c r="CQ19" s="52">
        <v>0</v>
      </c>
      <c r="CR19" s="53"/>
      <c r="CS19" s="52">
        <v>0</v>
      </c>
      <c r="CT19" s="53"/>
      <c r="CU19" s="52">
        <v>0</v>
      </c>
      <c r="CV19" s="53"/>
      <c r="CW19" s="52">
        <v>0</v>
      </c>
      <c r="CX19" s="53"/>
      <c r="CY19" s="52">
        <v>0</v>
      </c>
      <c r="CZ19" s="53"/>
    </row>
    <row r="20" spans="1:104" x14ac:dyDescent="0.25">
      <c r="A20" s="51" t="str">
        <f t="shared" si="0"/>
        <v>sam62_k3_gpu_axe116m_wrap_0</v>
      </c>
      <c r="B20" s="2" t="str">
        <f t="shared" si="2"/>
        <v>GPU AXE1-16C</v>
      </c>
      <c r="C20" s="2" t="s">
        <v>18</v>
      </c>
      <c r="D20" s="2" t="s">
        <v>242</v>
      </c>
      <c r="E20" s="2" t="str">
        <f t="shared" si="3"/>
        <v>2 ASPE</v>
      </c>
      <c r="F20" s="2" t="str">
        <f t="shared" si="3"/>
        <v>GPU</v>
      </c>
      <c r="G20" s="52">
        <v>1</v>
      </c>
      <c r="H20" s="53">
        <v>500</v>
      </c>
      <c r="I20" s="52">
        <v>0.01</v>
      </c>
      <c r="J20" s="53">
        <v>500</v>
      </c>
      <c r="K20" s="52">
        <v>4</v>
      </c>
      <c r="L20" s="53">
        <v>5</v>
      </c>
      <c r="M20" s="52">
        <v>4</v>
      </c>
      <c r="N20" s="53">
        <v>200</v>
      </c>
      <c r="O20" s="52">
        <v>0.5</v>
      </c>
      <c r="P20" s="53">
        <v>500</v>
      </c>
      <c r="Q20" s="52">
        <v>0.5</v>
      </c>
      <c r="R20" s="53">
        <v>500</v>
      </c>
      <c r="S20" s="52">
        <v>0.5</v>
      </c>
      <c r="T20" s="53">
        <v>500</v>
      </c>
      <c r="U20" s="52">
        <v>0.8</v>
      </c>
      <c r="V20" s="53">
        <v>500</v>
      </c>
      <c r="W20" s="52">
        <v>0</v>
      </c>
      <c r="X20" s="53">
        <v>500</v>
      </c>
      <c r="Y20" s="52">
        <v>0</v>
      </c>
      <c r="Z20" s="53">
        <v>500</v>
      </c>
      <c r="AA20" s="52">
        <v>0</v>
      </c>
      <c r="AB20" s="53">
        <v>500</v>
      </c>
      <c r="AC20" s="52">
        <v>0</v>
      </c>
      <c r="AD20" s="53">
        <v>500</v>
      </c>
      <c r="AE20" s="52">
        <v>0.5</v>
      </c>
      <c r="AF20" s="53">
        <v>500</v>
      </c>
      <c r="AG20" s="52">
        <v>0.5</v>
      </c>
      <c r="AH20" s="53">
        <v>500</v>
      </c>
      <c r="AI20" s="52">
        <v>0</v>
      </c>
      <c r="AJ20" s="53">
        <v>500</v>
      </c>
      <c r="AK20" s="52">
        <v>0</v>
      </c>
      <c r="AL20" s="53">
        <v>500</v>
      </c>
      <c r="AM20" s="52">
        <v>0.01</v>
      </c>
      <c r="AN20" s="53">
        <v>0</v>
      </c>
      <c r="AO20" s="52">
        <v>0</v>
      </c>
      <c r="AP20" s="53">
        <v>500</v>
      </c>
      <c r="AQ20" s="52">
        <v>0</v>
      </c>
      <c r="AR20" s="53">
        <v>500</v>
      </c>
      <c r="AS20" s="52">
        <v>0</v>
      </c>
      <c r="AT20" s="53">
        <v>500</v>
      </c>
      <c r="AU20" s="52">
        <v>0.8</v>
      </c>
      <c r="AV20" s="53">
        <v>500</v>
      </c>
      <c r="AW20" s="52">
        <v>0.8</v>
      </c>
      <c r="AX20" s="53">
        <v>500</v>
      </c>
      <c r="AY20" s="52">
        <v>0</v>
      </c>
      <c r="AZ20" s="53">
        <v>0</v>
      </c>
      <c r="BA20" s="52">
        <v>0</v>
      </c>
      <c r="BB20" s="53">
        <v>0</v>
      </c>
      <c r="BC20" s="52">
        <v>0</v>
      </c>
      <c r="BD20" s="53">
        <v>500</v>
      </c>
      <c r="BE20" s="52">
        <v>1</v>
      </c>
      <c r="BF20" s="53">
        <v>500</v>
      </c>
      <c r="BG20" s="52">
        <v>4</v>
      </c>
      <c r="BH20" s="53">
        <v>200</v>
      </c>
      <c r="BI20" s="52">
        <v>0</v>
      </c>
      <c r="BJ20" s="53">
        <v>500</v>
      </c>
      <c r="BK20" s="52">
        <f>+GPU_Util</f>
        <v>1</v>
      </c>
      <c r="BL20" s="53">
        <f>GPU_Frequency</f>
        <v>500</v>
      </c>
      <c r="BM20" s="52">
        <v>0</v>
      </c>
      <c r="BN20" s="53"/>
      <c r="BO20" s="52">
        <v>0</v>
      </c>
      <c r="BP20" s="53"/>
      <c r="BQ20" s="52">
        <v>0</v>
      </c>
      <c r="BR20" s="53"/>
      <c r="BS20" s="52">
        <v>0</v>
      </c>
      <c r="BT20" s="53"/>
      <c r="BU20" s="52">
        <v>0</v>
      </c>
      <c r="BV20" s="53"/>
      <c r="BW20" s="52">
        <v>0</v>
      </c>
      <c r="BX20" s="53"/>
      <c r="BY20" s="52">
        <v>0</v>
      </c>
      <c r="BZ20" s="53"/>
      <c r="CA20" s="52">
        <v>0</v>
      </c>
      <c r="CB20" s="53"/>
      <c r="CC20" s="52">
        <v>0</v>
      </c>
      <c r="CD20" s="53"/>
      <c r="CE20" s="52">
        <v>0</v>
      </c>
      <c r="CF20" s="53"/>
      <c r="CG20" s="52">
        <v>0</v>
      </c>
      <c r="CH20" s="53"/>
      <c r="CI20" s="52">
        <v>0</v>
      </c>
      <c r="CJ20" s="53"/>
      <c r="CK20" s="52">
        <v>0</v>
      </c>
      <c r="CL20" s="53"/>
      <c r="CM20" s="52">
        <v>0</v>
      </c>
      <c r="CN20" s="53"/>
      <c r="CO20" s="52">
        <v>0</v>
      </c>
      <c r="CP20" s="53"/>
      <c r="CQ20" s="52">
        <v>0</v>
      </c>
      <c r="CR20" s="53"/>
      <c r="CS20" s="52">
        <v>0</v>
      </c>
      <c r="CT20" s="53"/>
      <c r="CU20" s="52">
        <v>0</v>
      </c>
      <c r="CV20" s="53"/>
      <c r="CW20" s="52">
        <v>0</v>
      </c>
      <c r="CX20" s="53"/>
      <c r="CY20" s="52">
        <v>0</v>
      </c>
      <c r="CZ20" s="53"/>
    </row>
    <row r="21" spans="1:104" x14ac:dyDescent="0.25">
      <c r="A21" s="51" t="str">
        <f t="shared" si="0"/>
        <v>sam62_cpsw3_wrap_0</v>
      </c>
      <c r="B21" s="2" t="str">
        <f t="shared" si="2"/>
        <v>CPSW3x eAVB AM62</v>
      </c>
      <c r="C21" s="2" t="s">
        <v>18</v>
      </c>
      <c r="D21" s="2" t="s">
        <v>216</v>
      </c>
      <c r="E21" s="2" t="str">
        <f t="shared" si="3"/>
        <v>2 ASPE</v>
      </c>
      <c r="F21" s="2" t="str">
        <f t="shared" si="3"/>
        <v>Networking</v>
      </c>
      <c r="G21" s="52">
        <v>1</v>
      </c>
      <c r="H21" s="53"/>
      <c r="I21" s="52">
        <v>0.01</v>
      </c>
      <c r="J21" s="53"/>
      <c r="K21" s="52"/>
      <c r="L21" s="53">
        <v>5</v>
      </c>
      <c r="M21" s="52"/>
      <c r="N21" s="53">
        <v>200</v>
      </c>
      <c r="O21" s="52">
        <v>0.5</v>
      </c>
      <c r="P21" s="53"/>
      <c r="Q21" s="52">
        <v>0.5</v>
      </c>
      <c r="R21" s="53"/>
      <c r="S21" s="52">
        <v>0.5</v>
      </c>
      <c r="T21" s="53"/>
      <c r="U21" s="52">
        <v>0.25</v>
      </c>
      <c r="V21" s="53"/>
      <c r="W21" s="52">
        <v>0.5</v>
      </c>
      <c r="X21" s="53"/>
      <c r="Y21" s="52">
        <v>0.5</v>
      </c>
      <c r="Z21" s="53"/>
      <c r="AA21" s="52">
        <v>0</v>
      </c>
      <c r="AB21" s="53"/>
      <c r="AC21" s="52">
        <v>0</v>
      </c>
      <c r="AD21" s="53"/>
      <c r="AE21" s="52">
        <v>0.5</v>
      </c>
      <c r="AF21" s="53"/>
      <c r="AG21" s="52">
        <v>0.5</v>
      </c>
      <c r="AH21" s="53"/>
      <c r="AI21" s="52">
        <v>0</v>
      </c>
      <c r="AJ21" s="53"/>
      <c r="AK21" s="52">
        <v>0</v>
      </c>
      <c r="AL21" s="53"/>
      <c r="AM21" s="52">
        <v>0.01</v>
      </c>
      <c r="AN21" s="53">
        <v>25</v>
      </c>
      <c r="AO21" s="52">
        <v>0</v>
      </c>
      <c r="AP21" s="53"/>
      <c r="AQ21" s="52">
        <v>0</v>
      </c>
      <c r="AR21" s="53"/>
      <c r="AS21" s="52">
        <v>0</v>
      </c>
      <c r="AT21" s="53"/>
      <c r="AU21" s="52">
        <v>0.8</v>
      </c>
      <c r="AV21" s="53"/>
      <c r="AW21" s="52">
        <v>0.8</v>
      </c>
      <c r="AX21" s="53"/>
      <c r="AY21" s="52">
        <v>0</v>
      </c>
      <c r="AZ21" s="53"/>
      <c r="BA21" s="52">
        <v>0</v>
      </c>
      <c r="BB21" s="53"/>
      <c r="BC21" s="52">
        <v>0</v>
      </c>
      <c r="BD21" s="53"/>
      <c r="BE21" s="52">
        <v>0.75</v>
      </c>
      <c r="BF21" s="53"/>
      <c r="BG21" s="52">
        <v>4</v>
      </c>
      <c r="BH21" s="53">
        <v>200</v>
      </c>
      <c r="BI21" s="52">
        <v>0</v>
      </c>
      <c r="BJ21" s="53"/>
      <c r="BK21" s="52">
        <f>+Ethernet_CPSW_Port0_Util</f>
        <v>1</v>
      </c>
      <c r="BL21" s="53"/>
      <c r="BM21" s="52">
        <v>0</v>
      </c>
      <c r="BN21" s="53"/>
      <c r="BO21" s="52">
        <v>0</v>
      </c>
      <c r="BP21" s="53"/>
      <c r="BQ21" s="52">
        <v>0</v>
      </c>
      <c r="BR21" s="53"/>
      <c r="BS21" s="52">
        <v>0</v>
      </c>
      <c r="BT21" s="53"/>
      <c r="BU21" s="52">
        <v>0</v>
      </c>
      <c r="BV21" s="53"/>
      <c r="BW21" s="52">
        <v>0</v>
      </c>
      <c r="BX21" s="53"/>
      <c r="BY21" s="52">
        <v>0</v>
      </c>
      <c r="BZ21" s="53"/>
      <c r="CA21" s="52">
        <v>0</v>
      </c>
      <c r="CB21" s="53"/>
      <c r="CC21" s="52">
        <v>0</v>
      </c>
      <c r="CD21" s="53"/>
      <c r="CE21" s="52">
        <v>0</v>
      </c>
      <c r="CF21" s="53"/>
      <c r="CG21" s="52">
        <v>0</v>
      </c>
      <c r="CH21" s="53"/>
      <c r="CI21" s="52">
        <v>0</v>
      </c>
      <c r="CJ21" s="53"/>
      <c r="CK21" s="52">
        <v>0</v>
      </c>
      <c r="CL21" s="53"/>
      <c r="CM21" s="52">
        <v>0</v>
      </c>
      <c r="CN21" s="53"/>
      <c r="CO21" s="52">
        <v>0</v>
      </c>
      <c r="CP21" s="53"/>
      <c r="CQ21" s="52">
        <v>0</v>
      </c>
      <c r="CR21" s="53"/>
      <c r="CS21" s="52">
        <v>0</v>
      </c>
      <c r="CT21" s="53"/>
      <c r="CU21" s="52">
        <v>0</v>
      </c>
      <c r="CV21" s="53"/>
      <c r="CW21" s="52">
        <v>0</v>
      </c>
      <c r="CX21" s="53"/>
      <c r="CY21" s="52">
        <v>0</v>
      </c>
      <c r="CZ21" s="53"/>
    </row>
    <row r="22" spans="1:104" x14ac:dyDescent="0.25">
      <c r="A22" s="51" t="str">
        <f t="shared" si="0"/>
        <v>sam62_icss_m_wrap_0</v>
      </c>
      <c r="B22" s="2" t="str">
        <f t="shared" si="2"/>
        <v>ICSSM</v>
      </c>
      <c r="C22" s="2" t="s">
        <v>18</v>
      </c>
      <c r="D22" s="2" t="s">
        <v>209</v>
      </c>
      <c r="E22" s="2" t="str">
        <f t="shared" si="3"/>
        <v>2 ASPE</v>
      </c>
      <c r="F22" s="2" t="str">
        <f t="shared" si="3"/>
        <v>Networking</v>
      </c>
      <c r="G22" s="52">
        <v>1</v>
      </c>
      <c r="H22" s="53"/>
      <c r="I22" s="52">
        <v>0.01</v>
      </c>
      <c r="J22" s="53"/>
      <c r="K22" s="52">
        <v>4</v>
      </c>
      <c r="L22" s="53">
        <v>5</v>
      </c>
      <c r="M22" s="52">
        <v>4</v>
      </c>
      <c r="N22" s="53">
        <v>200</v>
      </c>
      <c r="O22" s="52">
        <v>0.2</v>
      </c>
      <c r="P22" s="53"/>
      <c r="Q22" s="52">
        <v>0.2</v>
      </c>
      <c r="R22" s="53"/>
      <c r="S22" s="52">
        <v>0.2</v>
      </c>
      <c r="T22" s="53"/>
      <c r="U22" s="52">
        <v>0</v>
      </c>
      <c r="V22" s="53"/>
      <c r="W22" s="52">
        <v>0.2</v>
      </c>
      <c r="X22" s="53"/>
      <c r="Y22" s="52">
        <v>0</v>
      </c>
      <c r="Z22" s="53"/>
      <c r="AA22" s="52">
        <v>0</v>
      </c>
      <c r="AB22" s="53"/>
      <c r="AC22" s="52">
        <v>0</v>
      </c>
      <c r="AD22" s="53"/>
      <c r="AE22" s="52">
        <v>0.2</v>
      </c>
      <c r="AF22" s="53"/>
      <c r="AG22" s="52">
        <v>0.2</v>
      </c>
      <c r="AH22" s="53"/>
      <c r="AI22" s="52">
        <v>0</v>
      </c>
      <c r="AJ22" s="53"/>
      <c r="AK22" s="52">
        <v>0</v>
      </c>
      <c r="AL22" s="53"/>
      <c r="AM22" s="52">
        <v>0.01</v>
      </c>
      <c r="AN22" s="53">
        <v>0</v>
      </c>
      <c r="AO22" s="52">
        <v>0</v>
      </c>
      <c r="AP22" s="53"/>
      <c r="AQ22" s="52">
        <v>0</v>
      </c>
      <c r="AR22" s="53"/>
      <c r="AS22" s="52">
        <v>0</v>
      </c>
      <c r="AT22" s="53"/>
      <c r="AU22" s="52">
        <v>0.8</v>
      </c>
      <c r="AV22" s="53"/>
      <c r="AW22" s="52">
        <v>0.8</v>
      </c>
      <c r="AX22" s="53"/>
      <c r="AY22" s="52">
        <v>0</v>
      </c>
      <c r="AZ22" s="53">
        <v>0</v>
      </c>
      <c r="BA22" s="52">
        <v>0</v>
      </c>
      <c r="BB22" s="53">
        <v>0</v>
      </c>
      <c r="BC22" s="52">
        <v>0</v>
      </c>
      <c r="BD22" s="53"/>
      <c r="BE22" s="52">
        <v>0.75</v>
      </c>
      <c r="BF22" s="53"/>
      <c r="BG22" s="52">
        <v>4</v>
      </c>
      <c r="BH22" s="53">
        <v>200</v>
      </c>
      <c r="BI22" s="52">
        <v>0</v>
      </c>
      <c r="BJ22" s="53"/>
      <c r="BK22" s="52">
        <f>PRU_SS_Util</f>
        <v>1</v>
      </c>
      <c r="BL22" s="53"/>
      <c r="BM22" s="52">
        <v>0</v>
      </c>
      <c r="BN22" s="53"/>
      <c r="BO22" s="52">
        <v>0</v>
      </c>
      <c r="BP22" s="53"/>
      <c r="BQ22" s="52">
        <v>0</v>
      </c>
      <c r="BR22" s="53"/>
      <c r="BS22" s="52">
        <v>0</v>
      </c>
      <c r="BT22" s="53"/>
      <c r="BU22" s="52">
        <v>0</v>
      </c>
      <c r="BV22" s="53"/>
      <c r="BW22" s="52">
        <v>0</v>
      </c>
      <c r="BX22" s="53"/>
      <c r="BY22" s="52">
        <v>0</v>
      </c>
      <c r="BZ22" s="53"/>
      <c r="CA22" s="52">
        <v>0</v>
      </c>
      <c r="CB22" s="53"/>
      <c r="CC22" s="52">
        <v>0</v>
      </c>
      <c r="CD22" s="53"/>
      <c r="CE22" s="52">
        <v>0</v>
      </c>
      <c r="CF22" s="53"/>
      <c r="CG22" s="52">
        <v>0</v>
      </c>
      <c r="CH22" s="53"/>
      <c r="CI22" s="52">
        <v>0</v>
      </c>
      <c r="CJ22" s="53"/>
      <c r="CK22" s="52">
        <v>0</v>
      </c>
      <c r="CL22" s="53"/>
      <c r="CM22" s="52">
        <v>0</v>
      </c>
      <c r="CN22" s="53"/>
      <c r="CO22" s="52">
        <v>0</v>
      </c>
      <c r="CP22" s="53"/>
      <c r="CQ22" s="52">
        <v>0</v>
      </c>
      <c r="CR22" s="53"/>
      <c r="CS22" s="52">
        <v>0</v>
      </c>
      <c r="CT22" s="53"/>
      <c r="CU22" s="52">
        <v>0</v>
      </c>
      <c r="CV22" s="53"/>
      <c r="CW22" s="52">
        <v>0</v>
      </c>
      <c r="CX22" s="53"/>
      <c r="CY22" s="52">
        <v>0</v>
      </c>
      <c r="CZ22" s="53"/>
    </row>
    <row r="23" spans="1:104" x14ac:dyDescent="0.25">
      <c r="A23" s="51" t="str">
        <f t="shared" si="0"/>
        <v>sam62_mcasp_wrap_0</v>
      </c>
      <c r="B23" s="2" t="str">
        <f t="shared" si="2"/>
        <v>MCASP AM62</v>
      </c>
      <c r="C23" s="2" t="s">
        <v>18</v>
      </c>
      <c r="D23" s="2" t="s">
        <v>208</v>
      </c>
      <c r="E23" s="2" t="str">
        <f t="shared" si="3"/>
        <v>3 Periph</v>
      </c>
      <c r="F23" s="2" t="str">
        <f t="shared" si="3"/>
        <v>Audio</v>
      </c>
      <c r="G23" s="52">
        <v>1</v>
      </c>
      <c r="H23" s="53"/>
      <c r="I23" s="52">
        <v>0.01</v>
      </c>
      <c r="J23" s="53"/>
      <c r="K23" s="52">
        <v>4</v>
      </c>
      <c r="L23" s="53">
        <v>5</v>
      </c>
      <c r="M23" s="52">
        <v>4</v>
      </c>
      <c r="N23" s="53">
        <v>200</v>
      </c>
      <c r="O23" s="52">
        <v>0</v>
      </c>
      <c r="P23" s="53"/>
      <c r="Q23" s="52">
        <v>0</v>
      </c>
      <c r="R23" s="53"/>
      <c r="S23" s="52">
        <v>0</v>
      </c>
      <c r="T23" s="53"/>
      <c r="U23" s="52">
        <v>0.2</v>
      </c>
      <c r="V23" s="53"/>
      <c r="W23" s="52">
        <v>0</v>
      </c>
      <c r="X23" s="53"/>
      <c r="Y23" s="52">
        <v>0.2</v>
      </c>
      <c r="Z23" s="53"/>
      <c r="AA23" s="52">
        <v>0</v>
      </c>
      <c r="AB23" s="53"/>
      <c r="AC23" s="52">
        <v>0</v>
      </c>
      <c r="AD23" s="53"/>
      <c r="AE23" s="52">
        <v>0</v>
      </c>
      <c r="AF23" s="53"/>
      <c r="AG23" s="52">
        <v>0</v>
      </c>
      <c r="AH23" s="53"/>
      <c r="AI23" s="52">
        <v>0</v>
      </c>
      <c r="AJ23" s="53"/>
      <c r="AK23" s="52">
        <v>0</v>
      </c>
      <c r="AL23" s="53"/>
      <c r="AM23" s="52">
        <v>0</v>
      </c>
      <c r="AN23" s="53">
        <v>25</v>
      </c>
      <c r="AO23" s="52">
        <v>0</v>
      </c>
      <c r="AP23" s="53"/>
      <c r="AQ23" s="52">
        <v>0</v>
      </c>
      <c r="AR23" s="53"/>
      <c r="AS23" s="52">
        <v>0</v>
      </c>
      <c r="AT23" s="53"/>
      <c r="AU23" s="52">
        <v>0.8</v>
      </c>
      <c r="AV23" s="53"/>
      <c r="AW23" s="52">
        <v>0.8</v>
      </c>
      <c r="AX23" s="53"/>
      <c r="AY23" s="52">
        <v>0</v>
      </c>
      <c r="AZ23" s="53"/>
      <c r="BA23" s="52">
        <v>0</v>
      </c>
      <c r="BB23" s="53"/>
      <c r="BC23" s="52">
        <v>0</v>
      </c>
      <c r="BD23" s="53"/>
      <c r="BE23" s="52">
        <v>0</v>
      </c>
      <c r="BF23" s="53"/>
      <c r="BG23" s="52">
        <v>4</v>
      </c>
      <c r="BH23" s="53">
        <v>200</v>
      </c>
      <c r="BI23" s="52">
        <v>0</v>
      </c>
      <c r="BJ23" s="53"/>
      <c r="BK23" s="52">
        <f>McASP0_Util</f>
        <v>1</v>
      </c>
      <c r="BL23" s="53">
        <f>PRU_SS_Frequency</f>
        <v>333</v>
      </c>
      <c r="BM23" s="52">
        <v>0</v>
      </c>
      <c r="BN23" s="53"/>
      <c r="BO23" s="52">
        <v>0</v>
      </c>
      <c r="BP23" s="53"/>
      <c r="BQ23" s="52">
        <v>0</v>
      </c>
      <c r="BR23" s="53"/>
      <c r="BS23" s="52">
        <v>0</v>
      </c>
      <c r="BT23" s="53"/>
      <c r="BU23" s="52">
        <v>0</v>
      </c>
      <c r="BV23" s="53"/>
      <c r="BW23" s="52">
        <v>0</v>
      </c>
      <c r="BX23" s="53"/>
      <c r="BY23" s="52">
        <v>0</v>
      </c>
      <c r="BZ23" s="53"/>
      <c r="CA23" s="52">
        <v>0</v>
      </c>
      <c r="CB23" s="53"/>
      <c r="CC23" s="52">
        <v>0</v>
      </c>
      <c r="CD23" s="53"/>
      <c r="CE23" s="52">
        <v>0</v>
      </c>
      <c r="CF23" s="53"/>
      <c r="CG23" s="52">
        <v>0</v>
      </c>
      <c r="CH23" s="53"/>
      <c r="CI23" s="52">
        <v>0</v>
      </c>
      <c r="CJ23" s="53"/>
      <c r="CK23" s="52">
        <v>0</v>
      </c>
      <c r="CL23" s="53"/>
      <c r="CM23" s="52">
        <v>0</v>
      </c>
      <c r="CN23" s="53"/>
      <c r="CO23" s="52">
        <v>0</v>
      </c>
      <c r="CP23" s="53"/>
      <c r="CQ23" s="52">
        <v>0</v>
      </c>
      <c r="CR23" s="53"/>
      <c r="CS23" s="52">
        <v>0</v>
      </c>
      <c r="CT23" s="53"/>
      <c r="CU23" s="52">
        <v>0</v>
      </c>
      <c r="CV23" s="53"/>
      <c r="CW23" s="52">
        <v>0</v>
      </c>
      <c r="CX23" s="53"/>
      <c r="CY23" s="52">
        <v>0</v>
      </c>
      <c r="CZ23" s="53"/>
    </row>
    <row r="24" spans="1:104" x14ac:dyDescent="0.25">
      <c r="A24" s="51" t="str">
        <f t="shared" si="0"/>
        <v>sam62_mcasp_wrap_1</v>
      </c>
      <c r="B24" s="2" t="str">
        <f t="shared" si="2"/>
        <v>MCASP AM62</v>
      </c>
      <c r="C24" s="2" t="s">
        <v>19</v>
      </c>
      <c r="D24" s="2" t="s">
        <v>208</v>
      </c>
      <c r="E24" s="2" t="str">
        <f t="shared" si="3"/>
        <v>3 Periph</v>
      </c>
      <c r="F24" s="2" t="str">
        <f t="shared" si="3"/>
        <v>Audio</v>
      </c>
      <c r="G24" s="52">
        <v>1</v>
      </c>
      <c r="H24" s="53"/>
      <c r="I24" s="52">
        <v>0.01</v>
      </c>
      <c r="J24" s="53"/>
      <c r="K24" s="52">
        <v>4</v>
      </c>
      <c r="L24" s="53">
        <v>5</v>
      </c>
      <c r="M24" s="52">
        <v>4</v>
      </c>
      <c r="N24" s="53">
        <v>200</v>
      </c>
      <c r="O24" s="52">
        <v>0</v>
      </c>
      <c r="P24" s="53"/>
      <c r="Q24" s="52">
        <v>0</v>
      </c>
      <c r="R24" s="53"/>
      <c r="S24" s="52">
        <v>0</v>
      </c>
      <c r="T24" s="53"/>
      <c r="U24" s="52">
        <v>0</v>
      </c>
      <c r="V24" s="53"/>
      <c r="W24" s="52">
        <v>0</v>
      </c>
      <c r="X24" s="53"/>
      <c r="Y24" s="52">
        <v>0</v>
      </c>
      <c r="Z24" s="53"/>
      <c r="AA24" s="52">
        <v>0</v>
      </c>
      <c r="AB24" s="53"/>
      <c r="AC24" s="52">
        <v>0</v>
      </c>
      <c r="AD24" s="53"/>
      <c r="AE24" s="52">
        <v>0</v>
      </c>
      <c r="AF24" s="53"/>
      <c r="AG24" s="52">
        <v>0</v>
      </c>
      <c r="AH24" s="53"/>
      <c r="AI24" s="52">
        <v>0</v>
      </c>
      <c r="AJ24" s="53"/>
      <c r="AK24" s="52">
        <v>0</v>
      </c>
      <c r="AL24" s="53"/>
      <c r="AM24" s="52">
        <v>0</v>
      </c>
      <c r="AN24" s="53">
        <v>25</v>
      </c>
      <c r="AO24" s="52">
        <v>0</v>
      </c>
      <c r="AP24" s="53"/>
      <c r="AQ24" s="52">
        <v>0</v>
      </c>
      <c r="AR24" s="53"/>
      <c r="AS24" s="52">
        <v>0</v>
      </c>
      <c r="AT24" s="53"/>
      <c r="AU24" s="52">
        <v>0.8</v>
      </c>
      <c r="AV24" s="53"/>
      <c r="AW24" s="52">
        <v>0.8</v>
      </c>
      <c r="AX24" s="53"/>
      <c r="AY24" s="52">
        <v>0</v>
      </c>
      <c r="AZ24" s="53"/>
      <c r="BA24" s="52">
        <v>0</v>
      </c>
      <c r="BB24" s="53"/>
      <c r="BC24" s="52">
        <v>0</v>
      </c>
      <c r="BD24" s="53"/>
      <c r="BE24" s="52">
        <v>0</v>
      </c>
      <c r="BF24" s="53"/>
      <c r="BG24" s="52">
        <v>4</v>
      </c>
      <c r="BH24" s="53">
        <v>200</v>
      </c>
      <c r="BI24" s="52">
        <v>0</v>
      </c>
      <c r="BJ24" s="53"/>
      <c r="BK24" s="52">
        <v>0</v>
      </c>
      <c r="BL24" s="53"/>
      <c r="BM24" s="52">
        <v>0</v>
      </c>
      <c r="BN24" s="53"/>
      <c r="BO24" s="52">
        <v>0</v>
      </c>
      <c r="BP24" s="53"/>
      <c r="BQ24" s="52">
        <v>0</v>
      </c>
      <c r="BR24" s="53"/>
      <c r="BS24" s="52">
        <v>0</v>
      </c>
      <c r="BT24" s="53"/>
      <c r="BU24" s="52">
        <v>0</v>
      </c>
      <c r="BV24" s="53"/>
      <c r="BW24" s="52">
        <v>0</v>
      </c>
      <c r="BX24" s="53"/>
      <c r="BY24" s="52">
        <v>0</v>
      </c>
      <c r="BZ24" s="53"/>
      <c r="CA24" s="52">
        <v>0</v>
      </c>
      <c r="CB24" s="53"/>
      <c r="CC24" s="52">
        <v>0</v>
      </c>
      <c r="CD24" s="53"/>
      <c r="CE24" s="52">
        <v>0</v>
      </c>
      <c r="CF24" s="53"/>
      <c r="CG24" s="52">
        <v>0</v>
      </c>
      <c r="CH24" s="53"/>
      <c r="CI24" s="52">
        <v>0</v>
      </c>
      <c r="CJ24" s="53"/>
      <c r="CK24" s="52">
        <v>0</v>
      </c>
      <c r="CL24" s="53"/>
      <c r="CM24" s="52">
        <v>0</v>
      </c>
      <c r="CN24" s="53"/>
      <c r="CO24" s="52">
        <v>0</v>
      </c>
      <c r="CP24" s="53"/>
      <c r="CQ24" s="52">
        <v>0</v>
      </c>
      <c r="CR24" s="53"/>
      <c r="CS24" s="52">
        <v>0</v>
      </c>
      <c r="CT24" s="53"/>
      <c r="CU24" s="52">
        <v>0</v>
      </c>
      <c r="CV24" s="53"/>
      <c r="CW24" s="52">
        <v>0</v>
      </c>
      <c r="CX24" s="53"/>
      <c r="CY24" s="52">
        <v>0</v>
      </c>
      <c r="CZ24" s="53"/>
    </row>
    <row r="25" spans="1:104" x14ac:dyDescent="0.25">
      <c r="A25" s="51" t="str">
        <f t="shared" si="0"/>
        <v>sam62_mcasp_wrap_2</v>
      </c>
      <c r="B25" s="2" t="str">
        <f t="shared" si="2"/>
        <v>MCASP AM62</v>
      </c>
      <c r="C25" s="2" t="s">
        <v>20</v>
      </c>
      <c r="D25" s="2" t="s">
        <v>208</v>
      </c>
      <c r="E25" s="2" t="str">
        <f t="shared" si="3"/>
        <v>3 Periph</v>
      </c>
      <c r="F25" s="2" t="str">
        <f t="shared" si="3"/>
        <v>Audio</v>
      </c>
      <c r="G25" s="52">
        <v>1</v>
      </c>
      <c r="H25" s="53"/>
      <c r="I25" s="52">
        <v>0.01</v>
      </c>
      <c r="J25" s="53"/>
      <c r="K25" s="52">
        <v>4</v>
      </c>
      <c r="L25" s="53">
        <v>5</v>
      </c>
      <c r="M25" s="52">
        <v>4</v>
      </c>
      <c r="N25" s="53">
        <v>200</v>
      </c>
      <c r="O25" s="52">
        <v>0</v>
      </c>
      <c r="P25" s="53"/>
      <c r="Q25" s="52">
        <v>0</v>
      </c>
      <c r="R25" s="53"/>
      <c r="S25" s="52">
        <v>0</v>
      </c>
      <c r="T25" s="53"/>
      <c r="U25" s="52">
        <v>0</v>
      </c>
      <c r="V25" s="53"/>
      <c r="W25" s="52">
        <v>0</v>
      </c>
      <c r="X25" s="53"/>
      <c r="Y25" s="52">
        <v>0</v>
      </c>
      <c r="Z25" s="53"/>
      <c r="AA25" s="52">
        <v>0</v>
      </c>
      <c r="AB25" s="53"/>
      <c r="AC25" s="52">
        <v>0</v>
      </c>
      <c r="AD25" s="53"/>
      <c r="AE25" s="52">
        <v>0</v>
      </c>
      <c r="AF25" s="53"/>
      <c r="AG25" s="52">
        <v>0</v>
      </c>
      <c r="AH25" s="53"/>
      <c r="AI25" s="52">
        <v>0</v>
      </c>
      <c r="AJ25" s="53"/>
      <c r="AK25" s="52">
        <v>0</v>
      </c>
      <c r="AL25" s="53"/>
      <c r="AM25" s="52">
        <v>0</v>
      </c>
      <c r="AN25" s="53">
        <v>25</v>
      </c>
      <c r="AO25" s="52">
        <v>0</v>
      </c>
      <c r="AP25" s="53"/>
      <c r="AQ25" s="52">
        <v>0</v>
      </c>
      <c r="AR25" s="53"/>
      <c r="AS25" s="52">
        <v>0</v>
      </c>
      <c r="AT25" s="53"/>
      <c r="AU25" s="52">
        <v>0.8</v>
      </c>
      <c r="AV25" s="53"/>
      <c r="AW25" s="52">
        <v>0.8</v>
      </c>
      <c r="AX25" s="53"/>
      <c r="AY25" s="52">
        <v>0</v>
      </c>
      <c r="AZ25" s="53"/>
      <c r="BA25" s="52">
        <v>0</v>
      </c>
      <c r="BB25" s="53"/>
      <c r="BC25" s="52">
        <v>0</v>
      </c>
      <c r="BD25" s="53"/>
      <c r="BE25" s="52">
        <v>0</v>
      </c>
      <c r="BF25" s="53"/>
      <c r="BG25" s="52">
        <v>4</v>
      </c>
      <c r="BH25" s="53">
        <v>200</v>
      </c>
      <c r="BI25" s="52">
        <v>0</v>
      </c>
      <c r="BJ25" s="53"/>
      <c r="BK25" s="52">
        <v>0</v>
      </c>
      <c r="BL25" s="53"/>
      <c r="BM25" s="52">
        <v>0</v>
      </c>
      <c r="BN25" s="53"/>
      <c r="BO25" s="52">
        <v>0</v>
      </c>
      <c r="BP25" s="53"/>
      <c r="BQ25" s="52">
        <v>0</v>
      </c>
      <c r="BR25" s="53"/>
      <c r="BS25" s="52">
        <v>0</v>
      </c>
      <c r="BT25" s="53"/>
      <c r="BU25" s="52">
        <v>0</v>
      </c>
      <c r="BV25" s="53"/>
      <c r="BW25" s="52">
        <v>0</v>
      </c>
      <c r="BX25" s="53"/>
      <c r="BY25" s="52">
        <v>0</v>
      </c>
      <c r="BZ25" s="53"/>
      <c r="CA25" s="52">
        <v>0</v>
      </c>
      <c r="CB25" s="53"/>
      <c r="CC25" s="52">
        <v>0</v>
      </c>
      <c r="CD25" s="53"/>
      <c r="CE25" s="52">
        <v>0</v>
      </c>
      <c r="CF25" s="53"/>
      <c r="CG25" s="52">
        <v>0</v>
      </c>
      <c r="CH25" s="53"/>
      <c r="CI25" s="52">
        <v>0</v>
      </c>
      <c r="CJ25" s="53"/>
      <c r="CK25" s="52">
        <v>0</v>
      </c>
      <c r="CL25" s="53"/>
      <c r="CM25" s="52">
        <v>0</v>
      </c>
      <c r="CN25" s="53"/>
      <c r="CO25" s="52">
        <v>0</v>
      </c>
      <c r="CP25" s="53"/>
      <c r="CQ25" s="52">
        <v>0</v>
      </c>
      <c r="CR25" s="53"/>
      <c r="CS25" s="52">
        <v>0</v>
      </c>
      <c r="CT25" s="53"/>
      <c r="CU25" s="52">
        <v>0</v>
      </c>
      <c r="CV25" s="53"/>
      <c r="CW25" s="52">
        <v>0</v>
      </c>
      <c r="CX25" s="53"/>
      <c r="CY25" s="52">
        <v>0</v>
      </c>
      <c r="CZ25" s="53"/>
    </row>
    <row r="26" spans="1:104" x14ac:dyDescent="0.25">
      <c r="A26" s="51" t="str">
        <f t="shared" si="0"/>
        <v>sam62_csirx_wrap_0</v>
      </c>
      <c r="B26" s="2" t="str">
        <f t="shared" si="2"/>
        <v>CSI_RX</v>
      </c>
      <c r="C26" s="2" t="s">
        <v>18</v>
      </c>
      <c r="D26" s="2" t="s">
        <v>239</v>
      </c>
      <c r="E26" s="2" t="str">
        <f t="shared" si="3"/>
        <v>3 Periph</v>
      </c>
      <c r="F26" s="2" t="str">
        <f t="shared" si="3"/>
        <v>Camera</v>
      </c>
      <c r="G26" s="52">
        <v>1</v>
      </c>
      <c r="H26" s="53"/>
      <c r="I26" s="52">
        <v>0.01</v>
      </c>
      <c r="J26" s="53"/>
      <c r="K26" s="52">
        <v>4</v>
      </c>
      <c r="L26" s="53">
        <v>5</v>
      </c>
      <c r="M26" s="52">
        <v>4</v>
      </c>
      <c r="N26" s="53">
        <v>200</v>
      </c>
      <c r="O26" s="52">
        <v>0.3</v>
      </c>
      <c r="P26" s="53"/>
      <c r="Q26" s="52">
        <v>0.3</v>
      </c>
      <c r="R26" s="53"/>
      <c r="S26" s="52">
        <v>0.3</v>
      </c>
      <c r="T26" s="53"/>
      <c r="U26" s="52">
        <v>0.3</v>
      </c>
      <c r="V26" s="53"/>
      <c r="W26" s="52">
        <v>0</v>
      </c>
      <c r="X26" s="53"/>
      <c r="Y26" s="52">
        <v>0</v>
      </c>
      <c r="Z26" s="53"/>
      <c r="AA26" s="52">
        <v>0.3</v>
      </c>
      <c r="AB26" s="53"/>
      <c r="AC26" s="52">
        <v>0.3</v>
      </c>
      <c r="AD26" s="53"/>
      <c r="AE26" s="52">
        <v>0.3</v>
      </c>
      <c r="AF26" s="53"/>
      <c r="AG26" s="52">
        <v>0.3</v>
      </c>
      <c r="AH26" s="53"/>
      <c r="AI26" s="52">
        <v>0</v>
      </c>
      <c r="AJ26" s="53"/>
      <c r="AK26" s="52">
        <v>0</v>
      </c>
      <c r="AL26" s="53"/>
      <c r="AM26" s="52">
        <v>0</v>
      </c>
      <c r="AN26" s="53">
        <v>25</v>
      </c>
      <c r="AO26" s="52">
        <v>0</v>
      </c>
      <c r="AP26" s="53"/>
      <c r="AQ26" s="52">
        <v>0</v>
      </c>
      <c r="AR26" s="53"/>
      <c r="AS26" s="52">
        <v>0</v>
      </c>
      <c r="AT26" s="53"/>
      <c r="AU26" s="52">
        <v>0.8</v>
      </c>
      <c r="AV26" s="53"/>
      <c r="AW26" s="52">
        <v>0.8</v>
      </c>
      <c r="AX26" s="53"/>
      <c r="AY26" s="52">
        <v>0</v>
      </c>
      <c r="AZ26" s="53"/>
      <c r="BA26" s="52">
        <v>0</v>
      </c>
      <c r="BB26" s="53"/>
      <c r="BC26" s="52">
        <v>0.01</v>
      </c>
      <c r="BD26" s="53"/>
      <c r="BE26" s="52">
        <v>0.8</v>
      </c>
      <c r="BF26" s="53"/>
      <c r="BG26" s="52">
        <v>4</v>
      </c>
      <c r="BH26" s="53">
        <v>200</v>
      </c>
      <c r="BI26" s="52">
        <v>0.2</v>
      </c>
      <c r="BJ26" s="53"/>
      <c r="BK26" s="52">
        <f>CSI_Util</f>
        <v>1</v>
      </c>
      <c r="BL26" s="53"/>
      <c r="BM26" s="52">
        <v>0</v>
      </c>
      <c r="BN26" s="53"/>
      <c r="BO26" s="52">
        <v>0</v>
      </c>
      <c r="BP26" s="53"/>
      <c r="BQ26" s="52">
        <v>0</v>
      </c>
      <c r="BR26" s="53"/>
      <c r="BS26" s="52">
        <v>0</v>
      </c>
      <c r="BT26" s="53"/>
      <c r="BU26" s="52">
        <v>0</v>
      </c>
      <c r="BV26" s="53"/>
      <c r="BW26" s="52">
        <v>0</v>
      </c>
      <c r="BX26" s="53"/>
      <c r="BY26" s="52">
        <v>0</v>
      </c>
      <c r="BZ26" s="53"/>
      <c r="CA26" s="52">
        <v>0</v>
      </c>
      <c r="CB26" s="53"/>
      <c r="CC26" s="52">
        <v>0</v>
      </c>
      <c r="CD26" s="53"/>
      <c r="CE26" s="52">
        <v>0</v>
      </c>
      <c r="CF26" s="53"/>
      <c r="CG26" s="52">
        <v>0</v>
      </c>
      <c r="CH26" s="53"/>
      <c r="CI26" s="52">
        <v>0</v>
      </c>
      <c r="CJ26" s="53"/>
      <c r="CK26" s="52">
        <v>0</v>
      </c>
      <c r="CL26" s="53"/>
      <c r="CM26" s="52">
        <v>0</v>
      </c>
      <c r="CN26" s="53"/>
      <c r="CO26" s="52">
        <v>0</v>
      </c>
      <c r="CP26" s="53"/>
      <c r="CQ26" s="52">
        <v>0</v>
      </c>
      <c r="CR26" s="53"/>
      <c r="CS26" s="52">
        <v>0</v>
      </c>
      <c r="CT26" s="53"/>
      <c r="CU26" s="52">
        <v>0</v>
      </c>
      <c r="CV26" s="53"/>
      <c r="CW26" s="52">
        <v>0</v>
      </c>
      <c r="CX26" s="53"/>
      <c r="CY26" s="52">
        <v>0</v>
      </c>
      <c r="CZ26" s="53"/>
    </row>
    <row r="27" spans="1:104" x14ac:dyDescent="0.25">
      <c r="A27" s="51" t="str">
        <f t="shared" si="0"/>
        <v>sam62_dss_oldi_wrap_0</v>
      </c>
      <c r="B27" s="2" t="str">
        <f t="shared" si="2"/>
        <v>DSS7UL AM62</v>
      </c>
      <c r="C27" s="2" t="s">
        <v>18</v>
      </c>
      <c r="D27" s="2" t="s">
        <v>214</v>
      </c>
      <c r="E27" s="2" t="str">
        <f t="shared" si="3"/>
        <v>2 ASPE</v>
      </c>
      <c r="F27" s="2" t="str">
        <f t="shared" si="3"/>
        <v>Display</v>
      </c>
      <c r="G27" s="52">
        <v>1</v>
      </c>
      <c r="H27" s="53">
        <v>250</v>
      </c>
      <c r="I27" s="52">
        <v>0.01</v>
      </c>
      <c r="J27" s="53">
        <v>250</v>
      </c>
      <c r="K27" s="52">
        <v>4</v>
      </c>
      <c r="L27" s="53">
        <v>5</v>
      </c>
      <c r="M27" s="52">
        <v>4</v>
      </c>
      <c r="N27" s="53">
        <v>200</v>
      </c>
      <c r="O27" s="52">
        <v>0.8</v>
      </c>
      <c r="P27" s="53">
        <v>250</v>
      </c>
      <c r="Q27" s="52">
        <v>0.8</v>
      </c>
      <c r="R27" s="53">
        <v>250</v>
      </c>
      <c r="S27" s="52">
        <v>0.8</v>
      </c>
      <c r="T27" s="53">
        <v>250</v>
      </c>
      <c r="U27" s="52">
        <v>0.8</v>
      </c>
      <c r="V27" s="53">
        <v>250</v>
      </c>
      <c r="W27" s="52">
        <v>0</v>
      </c>
      <c r="X27" s="53">
        <v>250</v>
      </c>
      <c r="Y27" s="52">
        <v>0</v>
      </c>
      <c r="Z27" s="53">
        <v>250</v>
      </c>
      <c r="AA27" s="52">
        <v>0</v>
      </c>
      <c r="AB27" s="53">
        <v>250</v>
      </c>
      <c r="AC27" s="52">
        <v>0</v>
      </c>
      <c r="AD27" s="53">
        <v>250</v>
      </c>
      <c r="AE27" s="52">
        <v>0.8</v>
      </c>
      <c r="AF27" s="53">
        <v>250</v>
      </c>
      <c r="AG27" s="52">
        <v>0.8</v>
      </c>
      <c r="AH27" s="53">
        <v>250</v>
      </c>
      <c r="AI27" s="52">
        <v>0</v>
      </c>
      <c r="AJ27" s="53">
        <v>250</v>
      </c>
      <c r="AK27" s="52">
        <v>0</v>
      </c>
      <c r="AL27" s="53">
        <v>250</v>
      </c>
      <c r="AM27" s="52">
        <v>0.01</v>
      </c>
      <c r="AN27" s="53">
        <v>25</v>
      </c>
      <c r="AO27" s="52">
        <v>0</v>
      </c>
      <c r="AP27" s="53">
        <v>250</v>
      </c>
      <c r="AQ27" s="52">
        <v>0</v>
      </c>
      <c r="AR27" s="53">
        <v>250</v>
      </c>
      <c r="AS27" s="52">
        <v>0</v>
      </c>
      <c r="AT27" s="53">
        <v>250</v>
      </c>
      <c r="AU27" s="52">
        <v>0.8</v>
      </c>
      <c r="AV27" s="53">
        <v>250</v>
      </c>
      <c r="AW27" s="52">
        <v>0.8</v>
      </c>
      <c r="AX27" s="53">
        <v>250</v>
      </c>
      <c r="AY27" s="52">
        <v>0</v>
      </c>
      <c r="AZ27" s="53">
        <v>250</v>
      </c>
      <c r="BA27" s="52">
        <v>0</v>
      </c>
      <c r="BB27" s="53">
        <v>125</v>
      </c>
      <c r="BC27" s="52">
        <v>0</v>
      </c>
      <c r="BD27" s="53">
        <v>250</v>
      </c>
      <c r="BE27" s="52">
        <v>1</v>
      </c>
      <c r="BF27" s="53">
        <v>250</v>
      </c>
      <c r="BG27" s="52">
        <v>4</v>
      </c>
      <c r="BH27" s="53">
        <v>200</v>
      </c>
      <c r="BI27" s="52">
        <v>0</v>
      </c>
      <c r="BJ27" s="53">
        <v>250</v>
      </c>
      <c r="BK27" s="52">
        <f>OLDI_Util</f>
        <v>1</v>
      </c>
      <c r="BL27" s="53"/>
      <c r="BM27" s="52">
        <v>0</v>
      </c>
      <c r="BN27" s="53"/>
      <c r="BO27" s="52">
        <v>0</v>
      </c>
      <c r="BP27" s="53"/>
      <c r="BQ27" s="52">
        <v>0</v>
      </c>
      <c r="BR27" s="53"/>
      <c r="BS27" s="52">
        <v>0</v>
      </c>
      <c r="BT27" s="53"/>
      <c r="BU27" s="52">
        <v>0</v>
      </c>
      <c r="BV27" s="53"/>
      <c r="BW27" s="52">
        <v>0</v>
      </c>
      <c r="BX27" s="53"/>
      <c r="BY27" s="52">
        <v>0</v>
      </c>
      <c r="BZ27" s="53"/>
      <c r="CA27" s="52">
        <v>0</v>
      </c>
      <c r="CB27" s="53"/>
      <c r="CC27" s="52">
        <v>0</v>
      </c>
      <c r="CD27" s="53"/>
      <c r="CE27" s="52">
        <v>0</v>
      </c>
      <c r="CF27" s="53"/>
      <c r="CG27" s="52">
        <v>0</v>
      </c>
      <c r="CH27" s="53"/>
      <c r="CI27" s="52">
        <v>0</v>
      </c>
      <c r="CJ27" s="53"/>
      <c r="CK27" s="52">
        <v>0</v>
      </c>
      <c r="CL27" s="53"/>
      <c r="CM27" s="52">
        <v>0</v>
      </c>
      <c r="CN27" s="53"/>
      <c r="CO27" s="52">
        <v>0</v>
      </c>
      <c r="CP27" s="53"/>
      <c r="CQ27" s="52">
        <v>0</v>
      </c>
      <c r="CR27" s="53"/>
      <c r="CS27" s="52">
        <v>0</v>
      </c>
      <c r="CT27" s="53"/>
      <c r="CU27" s="52">
        <v>0</v>
      </c>
      <c r="CV27" s="53"/>
      <c r="CW27" s="52">
        <v>0</v>
      </c>
      <c r="CX27" s="53"/>
      <c r="CY27" s="52">
        <v>0</v>
      </c>
      <c r="CZ27" s="53"/>
    </row>
    <row r="28" spans="1:104" x14ac:dyDescent="0.25">
      <c r="A28" s="51" t="str">
        <f t="shared" si="0"/>
        <v>sam62_usb2_wrap_0</v>
      </c>
      <c r="B28" s="2" t="str">
        <f t="shared" si="2"/>
        <v>USB2 Controller</v>
      </c>
      <c r="C28" s="2" t="s">
        <v>18</v>
      </c>
      <c r="D28" s="2" t="s">
        <v>207</v>
      </c>
      <c r="E28" s="2" t="str">
        <f t="shared" si="3"/>
        <v>3 Periph</v>
      </c>
      <c r="F28" s="2" t="str">
        <f t="shared" si="3"/>
        <v>HS_Serial</v>
      </c>
      <c r="G28" s="52">
        <v>1</v>
      </c>
      <c r="H28" s="53"/>
      <c r="I28" s="52">
        <v>0.01</v>
      </c>
      <c r="J28" s="53"/>
      <c r="K28" s="52">
        <v>4</v>
      </c>
      <c r="L28" s="53">
        <v>5</v>
      </c>
      <c r="M28" s="52">
        <v>4</v>
      </c>
      <c r="N28" s="53">
        <v>200</v>
      </c>
      <c r="O28" s="52">
        <v>0.05</v>
      </c>
      <c r="P28" s="53"/>
      <c r="Q28" s="52">
        <v>0.05</v>
      </c>
      <c r="R28" s="53"/>
      <c r="S28" s="52">
        <v>0.05</v>
      </c>
      <c r="T28" s="53"/>
      <c r="U28" s="52">
        <v>0</v>
      </c>
      <c r="V28" s="53"/>
      <c r="W28" s="52">
        <v>0</v>
      </c>
      <c r="X28" s="53"/>
      <c r="Y28" s="52">
        <v>0</v>
      </c>
      <c r="Z28" s="53"/>
      <c r="AA28" s="52">
        <v>0</v>
      </c>
      <c r="AB28" s="53"/>
      <c r="AC28" s="52">
        <v>0</v>
      </c>
      <c r="AD28" s="53"/>
      <c r="AE28" s="52">
        <v>0.05</v>
      </c>
      <c r="AF28" s="53"/>
      <c r="AG28" s="52">
        <v>0.05</v>
      </c>
      <c r="AH28" s="53"/>
      <c r="AI28" s="52">
        <v>0</v>
      </c>
      <c r="AJ28" s="53"/>
      <c r="AK28" s="52">
        <v>0</v>
      </c>
      <c r="AL28" s="53"/>
      <c r="AM28" s="52">
        <v>0</v>
      </c>
      <c r="AN28" s="53">
        <v>25</v>
      </c>
      <c r="AO28" s="52">
        <v>0</v>
      </c>
      <c r="AP28" s="53"/>
      <c r="AQ28" s="52">
        <v>0</v>
      </c>
      <c r="AR28" s="53"/>
      <c r="AS28" s="52">
        <v>0</v>
      </c>
      <c r="AT28" s="53"/>
      <c r="AU28" s="52">
        <v>0.8</v>
      </c>
      <c r="AV28" s="53"/>
      <c r="AW28" s="52">
        <v>0.8</v>
      </c>
      <c r="AX28" s="53"/>
      <c r="AY28" s="52">
        <v>0</v>
      </c>
      <c r="AZ28" s="53"/>
      <c r="BA28" s="52">
        <v>0</v>
      </c>
      <c r="BB28" s="53"/>
      <c r="BC28" s="52">
        <v>0</v>
      </c>
      <c r="BD28" s="53"/>
      <c r="BE28" s="52">
        <v>0.5</v>
      </c>
      <c r="BF28" s="53"/>
      <c r="BG28" s="52">
        <v>4</v>
      </c>
      <c r="BH28" s="53">
        <v>200</v>
      </c>
      <c r="BI28" s="52">
        <v>0</v>
      </c>
      <c r="BJ28" s="53"/>
      <c r="BK28" s="52">
        <f>USB2_Port_0_Util</f>
        <v>1</v>
      </c>
      <c r="BL28" s="184" t="str">
        <f>USB2_modes_port0</f>
        <v>host_fs</v>
      </c>
      <c r="BM28" s="52">
        <v>0</v>
      </c>
      <c r="BN28" s="53"/>
      <c r="BO28" s="52">
        <v>0</v>
      </c>
      <c r="BP28" s="53"/>
      <c r="BQ28" s="52">
        <v>0</v>
      </c>
      <c r="BR28" s="53"/>
      <c r="BS28" s="52">
        <v>0</v>
      </c>
      <c r="BT28" s="53"/>
      <c r="BU28" s="52">
        <v>0</v>
      </c>
      <c r="BV28" s="53"/>
      <c r="BW28" s="52">
        <v>0</v>
      </c>
      <c r="BX28" s="53"/>
      <c r="BY28" s="52">
        <v>0</v>
      </c>
      <c r="BZ28" s="53"/>
      <c r="CA28" s="52">
        <v>0</v>
      </c>
      <c r="CB28" s="53"/>
      <c r="CC28" s="52">
        <v>0</v>
      </c>
      <c r="CD28" s="53"/>
      <c r="CE28" s="52">
        <v>0</v>
      </c>
      <c r="CF28" s="53"/>
      <c r="CG28" s="52">
        <v>0</v>
      </c>
      <c r="CH28" s="53"/>
      <c r="CI28" s="52">
        <v>0</v>
      </c>
      <c r="CJ28" s="53"/>
      <c r="CK28" s="52">
        <v>0</v>
      </c>
      <c r="CL28" s="53"/>
      <c r="CM28" s="52">
        <v>0</v>
      </c>
      <c r="CN28" s="53"/>
      <c r="CO28" s="52">
        <v>0</v>
      </c>
      <c r="CP28" s="53"/>
      <c r="CQ28" s="52">
        <v>0</v>
      </c>
      <c r="CR28" s="53"/>
      <c r="CS28" s="52">
        <v>0</v>
      </c>
      <c r="CT28" s="53"/>
      <c r="CU28" s="52">
        <v>0</v>
      </c>
      <c r="CV28" s="53"/>
      <c r="CW28" s="52">
        <v>0</v>
      </c>
      <c r="CX28" s="53"/>
      <c r="CY28" s="52">
        <v>0</v>
      </c>
      <c r="CZ28" s="53"/>
    </row>
    <row r="29" spans="1:104" x14ac:dyDescent="0.25">
      <c r="A29" s="51" t="str">
        <f t="shared" si="0"/>
        <v>sam62_usb2_wrap_1</v>
      </c>
      <c r="B29" s="2" t="str">
        <f t="shared" si="2"/>
        <v>USB2 Controller</v>
      </c>
      <c r="C29" s="2" t="s">
        <v>19</v>
      </c>
      <c r="D29" s="2" t="s">
        <v>207</v>
      </c>
      <c r="E29" s="2" t="str">
        <f t="shared" si="3"/>
        <v>3 Periph</v>
      </c>
      <c r="F29" s="2" t="str">
        <f t="shared" si="3"/>
        <v>HS_Serial</v>
      </c>
      <c r="G29" s="52">
        <v>1</v>
      </c>
      <c r="H29" s="53"/>
      <c r="I29" s="52">
        <v>0.01</v>
      </c>
      <c r="J29" s="53"/>
      <c r="K29" s="52">
        <v>4</v>
      </c>
      <c r="L29" s="53">
        <v>5</v>
      </c>
      <c r="M29" s="52">
        <v>4</v>
      </c>
      <c r="N29" s="53">
        <v>200</v>
      </c>
      <c r="O29" s="52">
        <v>0.05</v>
      </c>
      <c r="P29" s="53"/>
      <c r="Q29" s="52">
        <v>0.05</v>
      </c>
      <c r="R29" s="53"/>
      <c r="S29" s="52">
        <v>0.05</v>
      </c>
      <c r="T29" s="53"/>
      <c r="U29" s="52">
        <v>0</v>
      </c>
      <c r="V29" s="53"/>
      <c r="W29" s="52">
        <v>0</v>
      </c>
      <c r="X29" s="53"/>
      <c r="Y29" s="52">
        <v>0</v>
      </c>
      <c r="Z29" s="53"/>
      <c r="AA29" s="52">
        <v>0</v>
      </c>
      <c r="AB29" s="53"/>
      <c r="AC29" s="52">
        <v>0</v>
      </c>
      <c r="AD29" s="53"/>
      <c r="AE29" s="52">
        <v>0.05</v>
      </c>
      <c r="AF29" s="53"/>
      <c r="AG29" s="52">
        <v>0.05</v>
      </c>
      <c r="AH29" s="53"/>
      <c r="AI29" s="52">
        <v>0</v>
      </c>
      <c r="AJ29" s="53"/>
      <c r="AK29" s="52">
        <v>0</v>
      </c>
      <c r="AL29" s="53"/>
      <c r="AM29" s="52">
        <v>0</v>
      </c>
      <c r="AN29" s="53">
        <v>25</v>
      </c>
      <c r="AO29" s="52">
        <v>0</v>
      </c>
      <c r="AP29" s="53"/>
      <c r="AQ29" s="52">
        <v>0</v>
      </c>
      <c r="AR29" s="53"/>
      <c r="AS29" s="52">
        <v>0</v>
      </c>
      <c r="AT29" s="53"/>
      <c r="AU29" s="52">
        <v>0.8</v>
      </c>
      <c r="AV29" s="53"/>
      <c r="AW29" s="52">
        <v>0.8</v>
      </c>
      <c r="AX29" s="53"/>
      <c r="AY29" s="52">
        <v>0</v>
      </c>
      <c r="AZ29" s="53"/>
      <c r="BA29" s="52">
        <v>0</v>
      </c>
      <c r="BB29" s="53"/>
      <c r="BC29" s="52">
        <v>0</v>
      </c>
      <c r="BD29" s="53"/>
      <c r="BE29" s="52">
        <v>0</v>
      </c>
      <c r="BF29" s="53"/>
      <c r="BG29" s="52">
        <v>4</v>
      </c>
      <c r="BH29" s="53">
        <v>200</v>
      </c>
      <c r="BI29" s="52">
        <v>0</v>
      </c>
      <c r="BJ29" s="53"/>
      <c r="BK29" s="52">
        <f>USB2_Port1_Util</f>
        <v>1</v>
      </c>
      <c r="BL29" s="184" t="str">
        <f>USB2_modes_port1</f>
        <v>device_hs</v>
      </c>
      <c r="BM29" s="52">
        <v>0</v>
      </c>
      <c r="BN29" s="53"/>
      <c r="BO29" s="52">
        <v>0</v>
      </c>
      <c r="BP29" s="53"/>
      <c r="BQ29" s="52">
        <v>0</v>
      </c>
      <c r="BR29" s="53"/>
      <c r="BS29" s="52">
        <v>0</v>
      </c>
      <c r="BT29" s="53"/>
      <c r="BU29" s="52">
        <v>0</v>
      </c>
      <c r="BV29" s="53"/>
      <c r="BW29" s="52">
        <v>0</v>
      </c>
      <c r="BX29" s="53"/>
      <c r="BY29" s="52">
        <v>0</v>
      </c>
      <c r="BZ29" s="53"/>
      <c r="CA29" s="52">
        <v>0</v>
      </c>
      <c r="CB29" s="53"/>
      <c r="CC29" s="52">
        <v>0</v>
      </c>
      <c r="CD29" s="53"/>
      <c r="CE29" s="52">
        <v>0</v>
      </c>
      <c r="CF29" s="53"/>
      <c r="CG29" s="52">
        <v>0</v>
      </c>
      <c r="CH29" s="53"/>
      <c r="CI29" s="52">
        <v>0</v>
      </c>
      <c r="CJ29" s="53"/>
      <c r="CK29" s="52">
        <v>0</v>
      </c>
      <c r="CL29" s="53"/>
      <c r="CM29" s="52">
        <v>0</v>
      </c>
      <c r="CN29" s="53"/>
      <c r="CO29" s="52">
        <v>0</v>
      </c>
      <c r="CP29" s="53"/>
      <c r="CQ29" s="52">
        <v>0</v>
      </c>
      <c r="CR29" s="53"/>
      <c r="CS29" s="52">
        <v>0</v>
      </c>
      <c r="CT29" s="53"/>
      <c r="CU29" s="52">
        <v>0</v>
      </c>
      <c r="CV29" s="53"/>
      <c r="CW29" s="52">
        <v>0</v>
      </c>
      <c r="CX29" s="53"/>
      <c r="CY29" s="52">
        <v>0</v>
      </c>
      <c r="CZ29" s="53"/>
    </row>
    <row r="30" spans="1:104" x14ac:dyDescent="0.25">
      <c r="A30" s="51" t="str">
        <f t="shared" si="0"/>
        <v>ddr16_1600_phy_0</v>
      </c>
      <c r="B30" s="2" t="str">
        <f t="shared" si="2"/>
        <v>LP/DDR4-16 PHY 1600</v>
      </c>
      <c r="C30" s="2" t="s">
        <v>18</v>
      </c>
      <c r="D30" s="2" t="s">
        <v>314</v>
      </c>
      <c r="E30" s="2" t="str">
        <f t="shared" si="3"/>
        <v>3 Periph</v>
      </c>
      <c r="F30" s="2" t="str">
        <f t="shared" si="3"/>
        <v>Memory</v>
      </c>
      <c r="G30" s="52">
        <v>1</v>
      </c>
      <c r="H30" s="53">
        <v>400</v>
      </c>
      <c r="I30" s="52">
        <v>0.01</v>
      </c>
      <c r="J30" s="53">
        <v>400</v>
      </c>
      <c r="K30" s="52"/>
      <c r="L30" s="53">
        <v>5</v>
      </c>
      <c r="M30" s="52">
        <v>0</v>
      </c>
      <c r="N30" s="53">
        <v>200</v>
      </c>
      <c r="O30" s="52">
        <v>0.9</v>
      </c>
      <c r="P30" s="53">
        <v>400</v>
      </c>
      <c r="Q30" s="52">
        <v>0.9</v>
      </c>
      <c r="R30" s="53">
        <v>400</v>
      </c>
      <c r="S30" s="52">
        <v>0.9</v>
      </c>
      <c r="T30" s="53">
        <v>400</v>
      </c>
      <c r="U30" s="52">
        <v>0.9</v>
      </c>
      <c r="V30" s="53">
        <v>400</v>
      </c>
      <c r="W30" s="52">
        <v>0.1</v>
      </c>
      <c r="X30" s="53">
        <v>400</v>
      </c>
      <c r="Y30" s="52">
        <v>0.3</v>
      </c>
      <c r="Z30" s="53">
        <v>400</v>
      </c>
      <c r="AA30" s="52">
        <v>0.9</v>
      </c>
      <c r="AB30" s="53">
        <v>400</v>
      </c>
      <c r="AC30" s="52">
        <v>0.9</v>
      </c>
      <c r="AD30" s="53">
        <v>400</v>
      </c>
      <c r="AE30" s="52">
        <v>0.9</v>
      </c>
      <c r="AF30" s="53">
        <v>400</v>
      </c>
      <c r="AG30" s="52">
        <v>0.9</v>
      </c>
      <c r="AH30" s="53">
        <v>400</v>
      </c>
      <c r="AI30" s="52">
        <v>0</v>
      </c>
      <c r="AJ30" s="53">
        <v>400</v>
      </c>
      <c r="AK30" s="52">
        <v>0</v>
      </c>
      <c r="AL30" s="53">
        <v>400</v>
      </c>
      <c r="AM30" s="52">
        <v>0.01</v>
      </c>
      <c r="AN30" s="53">
        <v>25</v>
      </c>
      <c r="AO30" s="52">
        <v>0</v>
      </c>
      <c r="AP30" s="53">
        <v>400</v>
      </c>
      <c r="AQ30" s="52">
        <v>0.01</v>
      </c>
      <c r="AR30" s="53">
        <v>400</v>
      </c>
      <c r="AS30" s="52">
        <v>0.01</v>
      </c>
      <c r="AT30" s="53">
        <v>400</v>
      </c>
      <c r="AU30" s="52">
        <v>0.8</v>
      </c>
      <c r="AV30" s="53">
        <v>400</v>
      </c>
      <c r="AW30" s="52">
        <v>0.8</v>
      </c>
      <c r="AX30" s="53">
        <v>400</v>
      </c>
      <c r="AY30" s="52">
        <v>0</v>
      </c>
      <c r="AZ30" s="53">
        <v>400</v>
      </c>
      <c r="BA30" s="52">
        <v>0</v>
      </c>
      <c r="BB30" s="53">
        <v>0</v>
      </c>
      <c r="BC30" s="52">
        <v>3.1250000000000001E-4</v>
      </c>
      <c r="BD30" s="53">
        <v>400</v>
      </c>
      <c r="BE30" s="52">
        <v>0.9375</v>
      </c>
      <c r="BF30" s="53">
        <v>400</v>
      </c>
      <c r="BG30" s="52">
        <v>4</v>
      </c>
      <c r="BH30" s="53">
        <v>200</v>
      </c>
      <c r="BI30" s="52">
        <v>0.3125</v>
      </c>
      <c r="BJ30" s="53">
        <v>400</v>
      </c>
      <c r="BK30" s="52">
        <f>DDR_TypeRate_Util</f>
        <v>1</v>
      </c>
      <c r="BL30" s="53"/>
      <c r="BM30" s="52">
        <v>0</v>
      </c>
      <c r="BN30" s="53"/>
      <c r="BO30" s="52">
        <v>0</v>
      </c>
      <c r="BP30" s="53"/>
      <c r="BQ30" s="52">
        <v>0</v>
      </c>
      <c r="BR30" s="53"/>
      <c r="BS30" s="52">
        <v>0</v>
      </c>
      <c r="BT30" s="53"/>
      <c r="BU30" s="52">
        <v>0</v>
      </c>
      <c r="BV30" s="53"/>
      <c r="BW30" s="52">
        <v>0</v>
      </c>
      <c r="BX30" s="53"/>
      <c r="BY30" s="52">
        <v>0</v>
      </c>
      <c r="BZ30" s="53"/>
      <c r="CA30" s="52">
        <v>0</v>
      </c>
      <c r="CB30" s="53"/>
      <c r="CC30" s="52">
        <v>0</v>
      </c>
      <c r="CD30" s="53"/>
      <c r="CE30" s="52">
        <v>0</v>
      </c>
      <c r="CF30" s="53"/>
      <c r="CG30" s="52">
        <v>0</v>
      </c>
      <c r="CH30" s="53"/>
      <c r="CI30" s="52">
        <v>0</v>
      </c>
      <c r="CJ30" s="53"/>
      <c r="CK30" s="52">
        <v>0</v>
      </c>
      <c r="CL30" s="53"/>
      <c r="CM30" s="52">
        <v>0</v>
      </c>
      <c r="CN30" s="53"/>
      <c r="CO30" s="52">
        <v>0</v>
      </c>
      <c r="CP30" s="53"/>
      <c r="CQ30" s="52">
        <v>0</v>
      </c>
      <c r="CR30" s="53"/>
      <c r="CS30" s="52">
        <v>0</v>
      </c>
      <c r="CT30" s="53"/>
      <c r="CU30" s="52">
        <v>0</v>
      </c>
      <c r="CV30" s="53"/>
      <c r="CW30" s="52">
        <v>0</v>
      </c>
      <c r="CX30" s="53"/>
      <c r="CY30" s="52">
        <v>0</v>
      </c>
      <c r="CZ30" s="53"/>
    </row>
    <row r="31" spans="1:104" x14ac:dyDescent="0.25">
      <c r="A31" s="51" t="str">
        <f t="shared" si="0"/>
        <v>sam62_ddr_wrap_0</v>
      </c>
      <c r="B31" s="2" t="str">
        <f t="shared" si="2"/>
        <v>LP/DDR4-16 EMIF AM62</v>
      </c>
      <c r="C31" s="2" t="s">
        <v>18</v>
      </c>
      <c r="D31" s="2" t="s">
        <v>215</v>
      </c>
      <c r="E31" s="2" t="str">
        <f t="shared" si="3"/>
        <v>3 Periph</v>
      </c>
      <c r="F31" s="2" t="str">
        <f t="shared" si="3"/>
        <v>Memory</v>
      </c>
      <c r="G31" s="52">
        <v>1</v>
      </c>
      <c r="H31" s="53">
        <v>400</v>
      </c>
      <c r="I31" s="52">
        <v>0.01</v>
      </c>
      <c r="J31" s="53">
        <v>400</v>
      </c>
      <c r="K31" s="52">
        <v>0</v>
      </c>
      <c r="L31" s="53">
        <v>5</v>
      </c>
      <c r="M31" s="52">
        <v>0</v>
      </c>
      <c r="N31" s="53">
        <v>200</v>
      </c>
      <c r="O31" s="52">
        <v>0.9</v>
      </c>
      <c r="P31" s="53">
        <v>400</v>
      </c>
      <c r="Q31" s="52">
        <v>0.9</v>
      </c>
      <c r="R31" s="53">
        <v>400</v>
      </c>
      <c r="S31" s="52">
        <v>0.9</v>
      </c>
      <c r="T31" s="53">
        <v>400</v>
      </c>
      <c r="U31" s="52">
        <v>0.9</v>
      </c>
      <c r="V31" s="53">
        <v>400</v>
      </c>
      <c r="W31" s="52">
        <v>0.1</v>
      </c>
      <c r="X31" s="53">
        <v>400</v>
      </c>
      <c r="Y31" s="52">
        <v>0.3</v>
      </c>
      <c r="Z31" s="53">
        <v>400</v>
      </c>
      <c r="AA31" s="52">
        <v>0.9</v>
      </c>
      <c r="AB31" s="53">
        <v>400</v>
      </c>
      <c r="AC31" s="52">
        <v>0.9</v>
      </c>
      <c r="AD31" s="53">
        <v>400</v>
      </c>
      <c r="AE31" s="52">
        <v>0.9</v>
      </c>
      <c r="AF31" s="53">
        <v>400</v>
      </c>
      <c r="AG31" s="52">
        <v>0.9</v>
      </c>
      <c r="AH31" s="53">
        <v>400</v>
      </c>
      <c r="AI31" s="52">
        <v>0</v>
      </c>
      <c r="AJ31" s="53">
        <v>400</v>
      </c>
      <c r="AK31" s="52">
        <v>0</v>
      </c>
      <c r="AL31" s="53">
        <v>400</v>
      </c>
      <c r="AM31" s="52">
        <v>0.01</v>
      </c>
      <c r="AN31" s="53">
        <v>25</v>
      </c>
      <c r="AO31" s="52">
        <v>0</v>
      </c>
      <c r="AP31" s="53">
        <v>400</v>
      </c>
      <c r="AQ31" s="52">
        <v>0.01</v>
      </c>
      <c r="AR31" s="53">
        <v>400</v>
      </c>
      <c r="AS31" s="52">
        <v>0.01</v>
      </c>
      <c r="AT31" s="53">
        <v>400</v>
      </c>
      <c r="AU31" s="52">
        <v>0.8</v>
      </c>
      <c r="AV31" s="53">
        <v>400</v>
      </c>
      <c r="AW31" s="52">
        <v>0.8</v>
      </c>
      <c r="AX31" s="53">
        <v>400</v>
      </c>
      <c r="AY31" s="52">
        <v>0</v>
      </c>
      <c r="AZ31" s="53">
        <v>400</v>
      </c>
      <c r="BA31" s="52">
        <v>0</v>
      </c>
      <c r="BB31" s="53">
        <v>0</v>
      </c>
      <c r="BC31" s="52">
        <v>3.1250000000000001E-4</v>
      </c>
      <c r="BD31" s="53">
        <v>400</v>
      </c>
      <c r="BE31" s="52">
        <v>0.9375</v>
      </c>
      <c r="BF31" s="53">
        <v>400</v>
      </c>
      <c r="BG31" s="52">
        <v>4</v>
      </c>
      <c r="BH31" s="53">
        <v>200</v>
      </c>
      <c r="BI31" s="52">
        <v>0.3125</v>
      </c>
      <c r="BJ31" s="53">
        <v>400</v>
      </c>
      <c r="BK31" s="52">
        <v>0</v>
      </c>
      <c r="BL31" s="53"/>
      <c r="BM31" s="52">
        <v>0</v>
      </c>
      <c r="BN31" s="53"/>
      <c r="BO31" s="52">
        <v>0</v>
      </c>
      <c r="BP31" s="53"/>
      <c r="BQ31" s="52">
        <v>0</v>
      </c>
      <c r="BR31" s="53"/>
      <c r="BS31" s="52">
        <v>0</v>
      </c>
      <c r="BT31" s="53"/>
      <c r="BU31" s="52">
        <v>0</v>
      </c>
      <c r="BV31" s="53"/>
      <c r="BW31" s="52">
        <v>0</v>
      </c>
      <c r="BX31" s="53"/>
      <c r="BY31" s="52">
        <v>0</v>
      </c>
      <c r="BZ31" s="53"/>
      <c r="CA31" s="52">
        <v>0</v>
      </c>
      <c r="CB31" s="53"/>
      <c r="CC31" s="52">
        <v>0</v>
      </c>
      <c r="CD31" s="53"/>
      <c r="CE31" s="52">
        <v>0</v>
      </c>
      <c r="CF31" s="53"/>
      <c r="CG31" s="52">
        <v>0</v>
      </c>
      <c r="CH31" s="53"/>
      <c r="CI31" s="52">
        <v>0</v>
      </c>
      <c r="CJ31" s="53"/>
      <c r="CK31" s="52">
        <v>0</v>
      </c>
      <c r="CL31" s="53"/>
      <c r="CM31" s="52">
        <v>0</v>
      </c>
      <c r="CN31" s="53"/>
      <c r="CO31" s="52">
        <v>0</v>
      </c>
      <c r="CP31" s="53"/>
      <c r="CQ31" s="52">
        <v>0</v>
      </c>
      <c r="CR31" s="53"/>
      <c r="CS31" s="52">
        <v>0</v>
      </c>
      <c r="CT31" s="53"/>
      <c r="CU31" s="52">
        <v>0</v>
      </c>
      <c r="CV31" s="53"/>
      <c r="CW31" s="52">
        <v>0</v>
      </c>
      <c r="CX31" s="53"/>
      <c r="CY31" s="52">
        <v>0</v>
      </c>
      <c r="CZ31" s="53"/>
    </row>
    <row r="32" spans="1:104" x14ac:dyDescent="0.25">
      <c r="A32" s="51" t="str">
        <f t="shared" si="0"/>
        <v>sam62_emmc_4bit_wrap_1</v>
      </c>
      <c r="B32" s="2" t="str">
        <f t="shared" si="2"/>
        <v>EMMC 4 AM62</v>
      </c>
      <c r="C32" s="2" t="s">
        <v>19</v>
      </c>
      <c r="D32" s="2" t="s">
        <v>240</v>
      </c>
      <c r="E32" s="2" t="str">
        <f t="shared" si="3"/>
        <v>3 Periph</v>
      </c>
      <c r="F32" s="2" t="str">
        <f t="shared" si="3"/>
        <v>Memory</v>
      </c>
      <c r="G32" s="52">
        <v>1</v>
      </c>
      <c r="H32" s="53"/>
      <c r="I32" s="52">
        <v>0.01</v>
      </c>
      <c r="J32" s="53"/>
      <c r="K32" s="52">
        <v>4</v>
      </c>
      <c r="L32" s="53">
        <v>5</v>
      </c>
      <c r="M32" s="52">
        <v>4</v>
      </c>
      <c r="N32" s="53">
        <v>200</v>
      </c>
      <c r="O32" s="52">
        <v>0</v>
      </c>
      <c r="P32" s="53"/>
      <c r="Q32" s="52">
        <v>0</v>
      </c>
      <c r="R32" s="53"/>
      <c r="S32" s="52">
        <v>0</v>
      </c>
      <c r="T32" s="53"/>
      <c r="U32" s="52">
        <v>0</v>
      </c>
      <c r="V32" s="53"/>
      <c r="W32" s="52">
        <v>0.25</v>
      </c>
      <c r="X32" s="53"/>
      <c r="Y32" s="52">
        <v>0</v>
      </c>
      <c r="Z32" s="53"/>
      <c r="AA32" s="52">
        <v>0</v>
      </c>
      <c r="AB32" s="53"/>
      <c r="AC32" s="52">
        <v>0</v>
      </c>
      <c r="AD32" s="53"/>
      <c r="AE32" s="52">
        <v>0</v>
      </c>
      <c r="AF32" s="53"/>
      <c r="AG32" s="52">
        <v>0</v>
      </c>
      <c r="AH32" s="53"/>
      <c r="AI32" s="52">
        <v>0</v>
      </c>
      <c r="AJ32" s="53"/>
      <c r="AK32" s="52">
        <v>0</v>
      </c>
      <c r="AL32" s="53"/>
      <c r="AM32" s="52">
        <v>0</v>
      </c>
      <c r="AN32" s="53">
        <v>25</v>
      </c>
      <c r="AO32" s="52">
        <v>0</v>
      </c>
      <c r="AP32" s="53"/>
      <c r="AQ32" s="52">
        <v>0</v>
      </c>
      <c r="AR32" s="53"/>
      <c r="AS32" s="52">
        <v>0</v>
      </c>
      <c r="AT32" s="53"/>
      <c r="AU32" s="52">
        <v>0.8</v>
      </c>
      <c r="AV32" s="53"/>
      <c r="AW32" s="52">
        <v>0.8</v>
      </c>
      <c r="AX32" s="53"/>
      <c r="AY32" s="52">
        <v>0</v>
      </c>
      <c r="AZ32" s="53"/>
      <c r="BA32" s="52">
        <v>0</v>
      </c>
      <c r="BB32" s="53"/>
      <c r="BC32" s="52">
        <v>0</v>
      </c>
      <c r="BD32" s="53"/>
      <c r="BE32" s="52">
        <v>0</v>
      </c>
      <c r="BF32" s="53"/>
      <c r="BG32" s="52">
        <v>4</v>
      </c>
      <c r="BH32" s="53">
        <v>200</v>
      </c>
      <c r="BI32" s="52">
        <v>0</v>
      </c>
      <c r="BJ32" s="53"/>
      <c r="BK32" s="52"/>
      <c r="BL32" s="53"/>
      <c r="BM32" s="52">
        <v>0</v>
      </c>
      <c r="BN32" s="53"/>
      <c r="BO32" s="52">
        <v>0</v>
      </c>
      <c r="BP32" s="53"/>
      <c r="BQ32" s="52">
        <v>0</v>
      </c>
      <c r="BR32" s="53"/>
      <c r="BS32" s="52">
        <v>0</v>
      </c>
      <c r="BT32" s="53"/>
      <c r="BU32" s="52">
        <v>0</v>
      </c>
      <c r="BV32" s="53"/>
      <c r="BW32" s="52">
        <v>0</v>
      </c>
      <c r="BX32" s="53"/>
      <c r="BY32" s="52">
        <v>0</v>
      </c>
      <c r="BZ32" s="53"/>
      <c r="CA32" s="52">
        <v>0</v>
      </c>
      <c r="CB32" s="53"/>
      <c r="CC32" s="52">
        <v>0</v>
      </c>
      <c r="CD32" s="53"/>
      <c r="CE32" s="52">
        <v>0</v>
      </c>
      <c r="CF32" s="53"/>
      <c r="CG32" s="52">
        <v>0</v>
      </c>
      <c r="CH32" s="53"/>
      <c r="CI32" s="52">
        <v>0</v>
      </c>
      <c r="CJ32" s="53"/>
      <c r="CK32" s="52">
        <v>0</v>
      </c>
      <c r="CL32" s="53"/>
      <c r="CM32" s="52">
        <v>0</v>
      </c>
      <c r="CN32" s="53"/>
      <c r="CO32" s="52">
        <v>0</v>
      </c>
      <c r="CP32" s="53"/>
      <c r="CQ32" s="52">
        <v>0</v>
      </c>
      <c r="CR32" s="53"/>
      <c r="CS32" s="52">
        <v>0</v>
      </c>
      <c r="CT32" s="53"/>
      <c r="CU32" s="52">
        <v>0</v>
      </c>
      <c r="CV32" s="53"/>
      <c r="CW32" s="52">
        <v>0</v>
      </c>
      <c r="CX32" s="53"/>
      <c r="CY32" s="52">
        <v>0</v>
      </c>
      <c r="CZ32" s="53"/>
    </row>
    <row r="33" spans="1:104" x14ac:dyDescent="0.25">
      <c r="A33" s="51" t="str">
        <f t="shared" si="0"/>
        <v>sam62_emmc_4bit_wrap_2</v>
      </c>
      <c r="B33" s="2" t="str">
        <f t="shared" si="2"/>
        <v>EMMC 4 AM62</v>
      </c>
      <c r="C33" s="2" t="s">
        <v>20</v>
      </c>
      <c r="D33" s="2" t="s">
        <v>240</v>
      </c>
      <c r="E33" s="2" t="str">
        <f t="shared" si="3"/>
        <v>3 Periph</v>
      </c>
      <c r="F33" s="2" t="str">
        <f t="shared" si="3"/>
        <v>Memory</v>
      </c>
      <c r="G33" s="52">
        <v>1</v>
      </c>
      <c r="H33" s="53"/>
      <c r="I33" s="52">
        <v>0.01</v>
      </c>
      <c r="J33" s="53"/>
      <c r="K33" s="52">
        <v>4</v>
      </c>
      <c r="L33" s="53">
        <v>5</v>
      </c>
      <c r="M33" s="52">
        <v>4</v>
      </c>
      <c r="N33" s="53">
        <v>200</v>
      </c>
      <c r="O33" s="52">
        <v>0</v>
      </c>
      <c r="P33" s="53"/>
      <c r="Q33" s="52">
        <v>0</v>
      </c>
      <c r="R33" s="53"/>
      <c r="S33" s="52">
        <v>0</v>
      </c>
      <c r="T33" s="53"/>
      <c r="U33" s="52">
        <v>0</v>
      </c>
      <c r="V33" s="53"/>
      <c r="W33" s="52">
        <v>0</v>
      </c>
      <c r="X33" s="53"/>
      <c r="Y33" s="52">
        <v>0</v>
      </c>
      <c r="Z33" s="53"/>
      <c r="AA33" s="52">
        <v>0</v>
      </c>
      <c r="AB33" s="53"/>
      <c r="AC33" s="52">
        <v>0</v>
      </c>
      <c r="AD33" s="53"/>
      <c r="AE33" s="52">
        <v>0</v>
      </c>
      <c r="AF33" s="53"/>
      <c r="AG33" s="52">
        <v>0</v>
      </c>
      <c r="AH33" s="53"/>
      <c r="AI33" s="52">
        <v>0</v>
      </c>
      <c r="AJ33" s="53"/>
      <c r="AK33" s="52">
        <v>0</v>
      </c>
      <c r="AL33" s="53"/>
      <c r="AM33" s="52">
        <v>0</v>
      </c>
      <c r="AN33" s="53">
        <v>25</v>
      </c>
      <c r="AO33" s="52">
        <v>0</v>
      </c>
      <c r="AP33" s="53"/>
      <c r="AQ33" s="52">
        <v>0</v>
      </c>
      <c r="AR33" s="53"/>
      <c r="AS33" s="52">
        <v>0</v>
      </c>
      <c r="AT33" s="53"/>
      <c r="AU33" s="52">
        <v>0.8</v>
      </c>
      <c r="AV33" s="53"/>
      <c r="AW33" s="52">
        <v>0.8</v>
      </c>
      <c r="AX33" s="53"/>
      <c r="AY33" s="52">
        <v>0</v>
      </c>
      <c r="AZ33" s="53"/>
      <c r="BA33" s="52">
        <v>0</v>
      </c>
      <c r="BB33" s="53"/>
      <c r="BC33" s="52">
        <v>0</v>
      </c>
      <c r="BD33" s="53"/>
      <c r="BE33" s="52">
        <v>0</v>
      </c>
      <c r="BF33" s="53"/>
      <c r="BG33" s="52">
        <v>4</v>
      </c>
      <c r="BH33" s="53">
        <v>200</v>
      </c>
      <c r="BI33" s="52">
        <v>0</v>
      </c>
      <c r="BJ33" s="53"/>
      <c r="BK33" s="52"/>
      <c r="BL33" s="53"/>
      <c r="BM33" s="52">
        <v>0</v>
      </c>
      <c r="BN33" s="53"/>
      <c r="BO33" s="52">
        <v>0</v>
      </c>
      <c r="BP33" s="53"/>
      <c r="BQ33" s="52">
        <v>0</v>
      </c>
      <c r="BR33" s="53"/>
      <c r="BS33" s="52">
        <v>0</v>
      </c>
      <c r="BT33" s="53"/>
      <c r="BU33" s="52">
        <v>0</v>
      </c>
      <c r="BV33" s="53"/>
      <c r="BW33" s="52">
        <v>0</v>
      </c>
      <c r="BX33" s="53"/>
      <c r="BY33" s="52">
        <v>0</v>
      </c>
      <c r="BZ33" s="53"/>
      <c r="CA33" s="52">
        <v>0</v>
      </c>
      <c r="CB33" s="53"/>
      <c r="CC33" s="52">
        <v>0</v>
      </c>
      <c r="CD33" s="53"/>
      <c r="CE33" s="52">
        <v>0</v>
      </c>
      <c r="CF33" s="53"/>
      <c r="CG33" s="52">
        <v>0</v>
      </c>
      <c r="CH33" s="53"/>
      <c r="CI33" s="52">
        <v>0</v>
      </c>
      <c r="CJ33" s="53"/>
      <c r="CK33" s="52">
        <v>0</v>
      </c>
      <c r="CL33" s="53"/>
      <c r="CM33" s="52">
        <v>0</v>
      </c>
      <c r="CN33" s="53"/>
      <c r="CO33" s="52">
        <v>0</v>
      </c>
      <c r="CP33" s="53"/>
      <c r="CQ33" s="52">
        <v>0</v>
      </c>
      <c r="CR33" s="53"/>
      <c r="CS33" s="52">
        <v>0</v>
      </c>
      <c r="CT33" s="53"/>
      <c r="CU33" s="52">
        <v>0</v>
      </c>
      <c r="CV33" s="53"/>
      <c r="CW33" s="52">
        <v>0</v>
      </c>
      <c r="CX33" s="53"/>
      <c r="CY33" s="52">
        <v>0</v>
      </c>
      <c r="CZ33" s="53"/>
    </row>
    <row r="34" spans="1:104" x14ac:dyDescent="0.25">
      <c r="A34" s="51" t="str">
        <f t="shared" si="0"/>
        <v>sam62_emmc_8bit_wrap_0</v>
      </c>
      <c r="B34" s="2" t="str">
        <f t="shared" si="2"/>
        <v>EMMC 8 AM62</v>
      </c>
      <c r="C34" s="2" t="s">
        <v>18</v>
      </c>
      <c r="D34" s="2" t="s">
        <v>241</v>
      </c>
      <c r="E34" s="2" t="str">
        <f t="shared" si="3"/>
        <v>3 Periph</v>
      </c>
      <c r="F34" s="2" t="str">
        <f t="shared" si="3"/>
        <v>Memory</v>
      </c>
      <c r="G34" s="52">
        <v>1</v>
      </c>
      <c r="H34" s="53"/>
      <c r="I34" s="52">
        <v>0.01</v>
      </c>
      <c r="J34" s="53"/>
      <c r="K34" s="52">
        <v>0</v>
      </c>
      <c r="L34" s="53">
        <v>5</v>
      </c>
      <c r="M34" s="52">
        <v>0</v>
      </c>
      <c r="N34" s="53">
        <v>200</v>
      </c>
      <c r="O34" s="52">
        <v>0.25</v>
      </c>
      <c r="P34" s="53"/>
      <c r="Q34" s="52">
        <v>0.25</v>
      </c>
      <c r="R34" s="53"/>
      <c r="S34" s="52">
        <v>0.25</v>
      </c>
      <c r="T34" s="53"/>
      <c r="U34" s="52">
        <v>0.25</v>
      </c>
      <c r="V34" s="53"/>
      <c r="W34" s="52">
        <v>0</v>
      </c>
      <c r="X34" s="53"/>
      <c r="Y34" s="52">
        <v>0</v>
      </c>
      <c r="Z34" s="53"/>
      <c r="AA34" s="52">
        <v>0</v>
      </c>
      <c r="AB34" s="53"/>
      <c r="AC34" s="52">
        <v>0</v>
      </c>
      <c r="AD34" s="53"/>
      <c r="AE34" s="52">
        <v>0.25</v>
      </c>
      <c r="AF34" s="53"/>
      <c r="AG34" s="52">
        <v>0.25</v>
      </c>
      <c r="AH34" s="53"/>
      <c r="AI34" s="52">
        <v>0</v>
      </c>
      <c r="AJ34" s="53"/>
      <c r="AK34" s="52">
        <v>0</v>
      </c>
      <c r="AL34" s="53"/>
      <c r="AM34" s="52">
        <v>0</v>
      </c>
      <c r="AN34" s="53">
        <v>25</v>
      </c>
      <c r="AO34" s="52">
        <v>0</v>
      </c>
      <c r="AP34" s="53"/>
      <c r="AQ34" s="52">
        <v>0</v>
      </c>
      <c r="AR34" s="53"/>
      <c r="AS34" s="52">
        <v>0</v>
      </c>
      <c r="AT34" s="53"/>
      <c r="AU34" s="52">
        <v>0.8</v>
      </c>
      <c r="AV34" s="53"/>
      <c r="AW34" s="52">
        <v>0.8</v>
      </c>
      <c r="AX34" s="53"/>
      <c r="AY34" s="52">
        <v>0</v>
      </c>
      <c r="AZ34" s="53"/>
      <c r="BA34" s="52">
        <v>0</v>
      </c>
      <c r="BB34" s="53"/>
      <c r="BC34" s="52">
        <v>0</v>
      </c>
      <c r="BD34" s="53"/>
      <c r="BE34" s="52">
        <v>0</v>
      </c>
      <c r="BF34" s="53"/>
      <c r="BG34" s="52">
        <v>4</v>
      </c>
      <c r="BH34" s="53">
        <v>200</v>
      </c>
      <c r="BI34" s="52">
        <v>0</v>
      </c>
      <c r="BJ34" s="53"/>
      <c r="BK34" s="52"/>
      <c r="BL34" s="53"/>
      <c r="BM34" s="52">
        <v>0</v>
      </c>
      <c r="BN34" s="53"/>
      <c r="BO34" s="52">
        <v>0</v>
      </c>
      <c r="BP34" s="53"/>
      <c r="BQ34" s="52">
        <v>0</v>
      </c>
      <c r="BR34" s="53"/>
      <c r="BS34" s="52">
        <v>0</v>
      </c>
      <c r="BT34" s="53"/>
      <c r="BU34" s="52">
        <v>0</v>
      </c>
      <c r="BV34" s="53"/>
      <c r="BW34" s="52">
        <v>0</v>
      </c>
      <c r="BX34" s="53"/>
      <c r="BY34" s="52">
        <v>0</v>
      </c>
      <c r="BZ34" s="53"/>
      <c r="CA34" s="52">
        <v>0</v>
      </c>
      <c r="CB34" s="53"/>
      <c r="CC34" s="52">
        <v>0</v>
      </c>
      <c r="CD34" s="53"/>
      <c r="CE34" s="52">
        <v>0</v>
      </c>
      <c r="CF34" s="53"/>
      <c r="CG34" s="52">
        <v>0</v>
      </c>
      <c r="CH34" s="53"/>
      <c r="CI34" s="52">
        <v>0</v>
      </c>
      <c r="CJ34" s="53"/>
      <c r="CK34" s="52">
        <v>0</v>
      </c>
      <c r="CL34" s="53"/>
      <c r="CM34" s="52">
        <v>0</v>
      </c>
      <c r="CN34" s="53"/>
      <c r="CO34" s="52">
        <v>0</v>
      </c>
      <c r="CP34" s="53"/>
      <c r="CQ34" s="52">
        <v>0</v>
      </c>
      <c r="CR34" s="53"/>
      <c r="CS34" s="52">
        <v>0</v>
      </c>
      <c r="CT34" s="53"/>
      <c r="CU34" s="52">
        <v>0</v>
      </c>
      <c r="CV34" s="53"/>
      <c r="CW34" s="52">
        <v>0</v>
      </c>
      <c r="CX34" s="53"/>
      <c r="CY34" s="52">
        <v>0</v>
      </c>
      <c r="CZ34" s="53"/>
    </row>
    <row r="35" spans="1:104" x14ac:dyDescent="0.25">
      <c r="A35" s="51" t="str">
        <f t="shared" si="0"/>
        <v>sam62_gpmc_elm_wrap_0</v>
      </c>
      <c r="B35" s="2" t="str">
        <f t="shared" si="2"/>
        <v>GPMC_ELM AM62</v>
      </c>
      <c r="C35" s="2" t="s">
        <v>18</v>
      </c>
      <c r="D35" s="2" t="s">
        <v>211</v>
      </c>
      <c r="E35" s="2" t="str">
        <f t="shared" si="3"/>
        <v>3 Periph</v>
      </c>
      <c r="F35" s="2" t="str">
        <f t="shared" si="3"/>
        <v>Memory</v>
      </c>
      <c r="G35" s="52">
        <v>1</v>
      </c>
      <c r="H35" s="53"/>
      <c r="I35" s="52">
        <v>0.01</v>
      </c>
      <c r="J35" s="53"/>
      <c r="K35" s="52">
        <v>4</v>
      </c>
      <c r="L35" s="53">
        <v>5</v>
      </c>
      <c r="M35" s="52">
        <v>4</v>
      </c>
      <c r="N35" s="53">
        <v>200</v>
      </c>
      <c r="O35" s="52">
        <v>0.25</v>
      </c>
      <c r="P35" s="53"/>
      <c r="Q35" s="52">
        <v>0.25</v>
      </c>
      <c r="R35" s="53"/>
      <c r="S35" s="52">
        <v>0.25</v>
      </c>
      <c r="T35" s="53"/>
      <c r="U35" s="52">
        <v>0</v>
      </c>
      <c r="V35" s="53"/>
      <c r="W35" s="52">
        <v>0</v>
      </c>
      <c r="X35" s="53"/>
      <c r="Y35" s="52">
        <v>0</v>
      </c>
      <c r="Z35" s="53"/>
      <c r="AA35" s="52">
        <v>0</v>
      </c>
      <c r="AB35" s="53"/>
      <c r="AC35" s="52">
        <v>0</v>
      </c>
      <c r="AD35" s="53"/>
      <c r="AE35" s="52">
        <v>0.25</v>
      </c>
      <c r="AF35" s="53"/>
      <c r="AG35" s="52">
        <v>0.25</v>
      </c>
      <c r="AH35" s="53"/>
      <c r="AI35" s="52">
        <v>0</v>
      </c>
      <c r="AJ35" s="53"/>
      <c r="AK35" s="52">
        <v>0</v>
      </c>
      <c r="AL35" s="53"/>
      <c r="AM35" s="52">
        <v>0</v>
      </c>
      <c r="AN35" s="53">
        <v>25</v>
      </c>
      <c r="AO35" s="52">
        <v>0</v>
      </c>
      <c r="AP35" s="53"/>
      <c r="AQ35" s="52">
        <v>0</v>
      </c>
      <c r="AR35" s="53"/>
      <c r="AS35" s="52">
        <v>0</v>
      </c>
      <c r="AT35" s="53"/>
      <c r="AU35" s="52">
        <v>0.8</v>
      </c>
      <c r="AV35" s="53"/>
      <c r="AW35" s="52">
        <v>0.8</v>
      </c>
      <c r="AX35" s="53"/>
      <c r="AY35" s="52">
        <v>0</v>
      </c>
      <c r="AZ35" s="53"/>
      <c r="BA35" s="52"/>
      <c r="BB35" s="53"/>
      <c r="BC35" s="52">
        <v>0</v>
      </c>
      <c r="BD35" s="53"/>
      <c r="BE35" s="52">
        <v>0.5</v>
      </c>
      <c r="BF35" s="53"/>
      <c r="BG35" s="52">
        <v>4</v>
      </c>
      <c r="BH35" s="53">
        <v>200</v>
      </c>
      <c r="BI35" s="52">
        <v>0</v>
      </c>
      <c r="BJ35" s="53"/>
      <c r="BK35" s="183">
        <v>0.5</v>
      </c>
      <c r="BL35" s="53"/>
      <c r="BM35" s="52">
        <v>0</v>
      </c>
      <c r="BN35" s="53"/>
      <c r="BO35" s="52">
        <v>0</v>
      </c>
      <c r="BP35" s="53"/>
      <c r="BQ35" s="52">
        <v>0</v>
      </c>
      <c r="BR35" s="53"/>
      <c r="BS35" s="52">
        <v>0</v>
      </c>
      <c r="BT35" s="53"/>
      <c r="BU35" s="52">
        <v>0</v>
      </c>
      <c r="BV35" s="53"/>
      <c r="BW35" s="52">
        <v>0</v>
      </c>
      <c r="BX35" s="53"/>
      <c r="BY35" s="52">
        <v>0</v>
      </c>
      <c r="BZ35" s="53"/>
      <c r="CA35" s="52">
        <v>0</v>
      </c>
      <c r="CB35" s="53"/>
      <c r="CC35" s="52">
        <v>0</v>
      </c>
      <c r="CD35" s="53"/>
      <c r="CE35" s="52">
        <v>0</v>
      </c>
      <c r="CF35" s="53"/>
      <c r="CG35" s="52">
        <v>0</v>
      </c>
      <c r="CH35" s="53"/>
      <c r="CI35" s="52">
        <v>0</v>
      </c>
      <c r="CJ35" s="53"/>
      <c r="CK35" s="52">
        <v>0</v>
      </c>
      <c r="CL35" s="53"/>
      <c r="CM35" s="52">
        <v>0</v>
      </c>
      <c r="CN35" s="53"/>
      <c r="CO35" s="52">
        <v>0</v>
      </c>
      <c r="CP35" s="53"/>
      <c r="CQ35" s="52">
        <v>0</v>
      </c>
      <c r="CR35" s="53"/>
      <c r="CS35" s="52">
        <v>0</v>
      </c>
      <c r="CT35" s="53"/>
      <c r="CU35" s="52">
        <v>0</v>
      </c>
      <c r="CV35" s="53"/>
      <c r="CW35" s="52">
        <v>0</v>
      </c>
      <c r="CX35" s="53"/>
      <c r="CY35" s="52">
        <v>0</v>
      </c>
      <c r="CZ35" s="53"/>
    </row>
    <row r="36" spans="1:104" x14ac:dyDescent="0.25">
      <c r="A36" s="51" t="str">
        <f t="shared" si="0"/>
        <v>sam62_debug_wrap_0</v>
      </c>
      <c r="B36" s="2" t="str">
        <f t="shared" si="2"/>
        <v>Debug SS AM62</v>
      </c>
      <c r="C36" s="2" t="s">
        <v>18</v>
      </c>
      <c r="D36" s="2" t="s">
        <v>186</v>
      </c>
      <c r="E36" s="2" t="str">
        <f t="shared" si="3"/>
        <v>4 Infra</v>
      </c>
      <c r="F36" s="2" t="str">
        <f t="shared" si="3"/>
        <v>Debug</v>
      </c>
      <c r="G36" s="52">
        <v>1</v>
      </c>
      <c r="H36" s="53"/>
      <c r="I36" s="52">
        <v>0.01</v>
      </c>
      <c r="J36" s="53"/>
      <c r="K36" s="52">
        <v>0</v>
      </c>
      <c r="L36" s="53">
        <v>5</v>
      </c>
      <c r="M36" s="52">
        <v>0</v>
      </c>
      <c r="N36" s="53">
        <v>200</v>
      </c>
      <c r="O36" s="52">
        <v>0</v>
      </c>
      <c r="P36" s="53"/>
      <c r="Q36" s="52">
        <v>0</v>
      </c>
      <c r="R36" s="53"/>
      <c r="S36" s="52">
        <v>0</v>
      </c>
      <c r="T36" s="53"/>
      <c r="U36" s="52">
        <v>0</v>
      </c>
      <c r="V36" s="53"/>
      <c r="W36" s="52">
        <v>0</v>
      </c>
      <c r="X36" s="53"/>
      <c r="Y36" s="52">
        <v>0</v>
      </c>
      <c r="Z36" s="53"/>
      <c r="AA36" s="52">
        <v>0</v>
      </c>
      <c r="AB36" s="53"/>
      <c r="AC36" s="52">
        <v>0</v>
      </c>
      <c r="AD36" s="53"/>
      <c r="AE36" s="52">
        <v>0</v>
      </c>
      <c r="AF36" s="53"/>
      <c r="AG36" s="52">
        <v>0</v>
      </c>
      <c r="AH36" s="53"/>
      <c r="AI36" s="52">
        <v>0</v>
      </c>
      <c r="AJ36" s="53"/>
      <c r="AK36" s="52">
        <v>0</v>
      </c>
      <c r="AL36" s="53"/>
      <c r="AM36" s="52">
        <v>0</v>
      </c>
      <c r="AN36" s="53">
        <v>25</v>
      </c>
      <c r="AO36" s="52">
        <v>0</v>
      </c>
      <c r="AP36" s="53"/>
      <c r="AQ36" s="52">
        <v>0</v>
      </c>
      <c r="AR36" s="53"/>
      <c r="AS36" s="52">
        <v>0</v>
      </c>
      <c r="AT36" s="53"/>
      <c r="AU36" s="52">
        <v>0</v>
      </c>
      <c r="AV36" s="53"/>
      <c r="AW36" s="52">
        <v>0</v>
      </c>
      <c r="AX36" s="53"/>
      <c r="AY36" s="52">
        <v>0</v>
      </c>
      <c r="AZ36" s="53"/>
      <c r="BA36" s="52">
        <v>0</v>
      </c>
      <c r="BB36" s="53"/>
      <c r="BC36" s="52">
        <v>0</v>
      </c>
      <c r="BD36" s="53"/>
      <c r="BE36" s="52">
        <v>0</v>
      </c>
      <c r="BF36" s="53"/>
      <c r="BG36" s="52">
        <v>4</v>
      </c>
      <c r="BH36" s="53">
        <v>200</v>
      </c>
      <c r="BI36" s="52">
        <v>0</v>
      </c>
      <c r="BJ36" s="53"/>
      <c r="BK36" s="52">
        <v>0</v>
      </c>
      <c r="BL36" s="53"/>
      <c r="BM36" s="52">
        <v>0</v>
      </c>
      <c r="BN36" s="53"/>
      <c r="BO36" s="52">
        <v>0</v>
      </c>
      <c r="BP36" s="53"/>
      <c r="BQ36" s="52">
        <v>0</v>
      </c>
      <c r="BR36" s="53"/>
      <c r="BS36" s="52">
        <v>0</v>
      </c>
      <c r="BT36" s="53"/>
      <c r="BU36" s="52">
        <v>0</v>
      </c>
      <c r="BV36" s="53"/>
      <c r="BW36" s="52">
        <v>0</v>
      </c>
      <c r="BX36" s="53"/>
      <c r="BY36" s="52">
        <v>0</v>
      </c>
      <c r="BZ36" s="53"/>
      <c r="CA36" s="52">
        <v>0</v>
      </c>
      <c r="CB36" s="53"/>
      <c r="CC36" s="52">
        <v>0</v>
      </c>
      <c r="CD36" s="53"/>
      <c r="CE36" s="52">
        <v>0</v>
      </c>
      <c r="CF36" s="53"/>
      <c r="CG36" s="52">
        <v>0</v>
      </c>
      <c r="CH36" s="53"/>
      <c r="CI36" s="52">
        <v>0</v>
      </c>
      <c r="CJ36" s="53"/>
      <c r="CK36" s="52">
        <v>0</v>
      </c>
      <c r="CL36" s="53"/>
      <c r="CM36" s="52">
        <v>0</v>
      </c>
      <c r="CN36" s="53"/>
      <c r="CO36" s="52">
        <v>0</v>
      </c>
      <c r="CP36" s="53"/>
      <c r="CQ36" s="52">
        <v>0</v>
      </c>
      <c r="CR36" s="53"/>
      <c r="CS36" s="52">
        <v>0</v>
      </c>
      <c r="CT36" s="53"/>
      <c r="CU36" s="52">
        <v>0</v>
      </c>
      <c r="CV36" s="53"/>
      <c r="CW36" s="52">
        <v>0</v>
      </c>
      <c r="CX36" s="53"/>
      <c r="CY36" s="52">
        <v>0</v>
      </c>
      <c r="CZ36" s="53"/>
    </row>
    <row r="37" spans="1:104" x14ac:dyDescent="0.25">
      <c r="A37" s="51" t="str">
        <f t="shared" si="0"/>
        <v>sam62_efuse_ctrl_wrap_0</v>
      </c>
      <c r="B37" s="2" t="str">
        <f t="shared" si="2"/>
        <v>eFuse Controller AM62</v>
      </c>
      <c r="C37" s="2" t="s">
        <v>18</v>
      </c>
      <c r="D37" s="2" t="s">
        <v>213</v>
      </c>
      <c r="E37" s="2" t="str">
        <f t="shared" si="3"/>
        <v>4 Infra</v>
      </c>
      <c r="F37" s="2" t="str">
        <f t="shared" si="3"/>
        <v>Mix</v>
      </c>
      <c r="G37" s="52">
        <v>1</v>
      </c>
      <c r="H37" s="53"/>
      <c r="I37" s="52">
        <v>0.01</v>
      </c>
      <c r="J37" s="53"/>
      <c r="K37" s="52">
        <v>4</v>
      </c>
      <c r="L37" s="53">
        <v>5</v>
      </c>
      <c r="M37" s="52">
        <v>4</v>
      </c>
      <c r="N37" s="53">
        <v>200</v>
      </c>
      <c r="O37" s="52">
        <v>1</v>
      </c>
      <c r="P37" s="53"/>
      <c r="Q37" s="52">
        <v>1</v>
      </c>
      <c r="R37" s="53"/>
      <c r="S37" s="52">
        <v>1</v>
      </c>
      <c r="T37" s="53"/>
      <c r="U37" s="52">
        <v>1</v>
      </c>
      <c r="V37" s="53"/>
      <c r="W37" s="52">
        <v>1</v>
      </c>
      <c r="X37" s="53"/>
      <c r="Y37" s="52">
        <v>1</v>
      </c>
      <c r="Z37" s="53"/>
      <c r="AA37" s="52">
        <v>1</v>
      </c>
      <c r="AB37" s="53"/>
      <c r="AC37" s="52">
        <v>1</v>
      </c>
      <c r="AD37" s="53"/>
      <c r="AE37" s="52">
        <v>1</v>
      </c>
      <c r="AF37" s="53"/>
      <c r="AG37" s="52">
        <v>1</v>
      </c>
      <c r="AH37" s="53"/>
      <c r="AI37" s="52">
        <v>0</v>
      </c>
      <c r="AJ37" s="53"/>
      <c r="AK37" s="52">
        <v>0</v>
      </c>
      <c r="AL37" s="53"/>
      <c r="AM37" s="52">
        <v>0</v>
      </c>
      <c r="AN37" s="53">
        <v>25</v>
      </c>
      <c r="AO37" s="52">
        <v>0</v>
      </c>
      <c r="AP37" s="53"/>
      <c r="AQ37" s="52">
        <v>0.01</v>
      </c>
      <c r="AR37" s="53"/>
      <c r="AS37" s="52">
        <v>0.01</v>
      </c>
      <c r="AT37" s="53"/>
      <c r="AU37" s="52">
        <v>1</v>
      </c>
      <c r="AV37" s="53"/>
      <c r="AW37" s="52">
        <v>1</v>
      </c>
      <c r="AX37" s="53"/>
      <c r="AY37" s="52">
        <v>0</v>
      </c>
      <c r="AZ37" s="53"/>
      <c r="BA37" s="52">
        <v>0</v>
      </c>
      <c r="BB37" s="53"/>
      <c r="BC37" s="52">
        <v>0.01</v>
      </c>
      <c r="BD37" s="53"/>
      <c r="BE37" s="52">
        <v>0.01</v>
      </c>
      <c r="BF37" s="53"/>
      <c r="BG37" s="52">
        <v>4</v>
      </c>
      <c r="BH37" s="53">
        <v>200</v>
      </c>
      <c r="BI37" s="52">
        <v>1</v>
      </c>
      <c r="BJ37" s="53"/>
      <c r="BK37" s="52">
        <v>0</v>
      </c>
      <c r="BL37" s="53"/>
      <c r="BM37" s="52">
        <v>0</v>
      </c>
      <c r="BN37" s="53"/>
      <c r="BO37" s="52">
        <v>0</v>
      </c>
      <c r="BP37" s="53"/>
      <c r="BQ37" s="52">
        <v>0</v>
      </c>
      <c r="BR37" s="53"/>
      <c r="BS37" s="52">
        <v>0</v>
      </c>
      <c r="BT37" s="53"/>
      <c r="BU37" s="52">
        <v>0</v>
      </c>
      <c r="BV37" s="53"/>
      <c r="BW37" s="52">
        <v>0</v>
      </c>
      <c r="BX37" s="53"/>
      <c r="BY37" s="52">
        <v>0</v>
      </c>
      <c r="BZ37" s="53"/>
      <c r="CA37" s="52">
        <v>0</v>
      </c>
      <c r="CB37" s="53"/>
      <c r="CC37" s="52">
        <v>0</v>
      </c>
      <c r="CD37" s="53"/>
      <c r="CE37" s="52">
        <v>0</v>
      </c>
      <c r="CF37" s="53"/>
      <c r="CG37" s="52">
        <v>0</v>
      </c>
      <c r="CH37" s="53"/>
      <c r="CI37" s="52">
        <v>0</v>
      </c>
      <c r="CJ37" s="53"/>
      <c r="CK37" s="52">
        <v>0</v>
      </c>
      <c r="CL37" s="53"/>
      <c r="CM37" s="52">
        <v>0</v>
      </c>
      <c r="CN37" s="53"/>
      <c r="CO37" s="52">
        <v>0</v>
      </c>
      <c r="CP37" s="53"/>
      <c r="CQ37" s="52">
        <v>0</v>
      </c>
      <c r="CR37" s="53"/>
      <c r="CS37" s="52">
        <v>0</v>
      </c>
      <c r="CT37" s="53"/>
      <c r="CU37" s="52">
        <v>0</v>
      </c>
      <c r="CV37" s="53"/>
      <c r="CW37" s="52">
        <v>0</v>
      </c>
      <c r="CX37" s="53"/>
      <c r="CY37" s="52">
        <v>0</v>
      </c>
      <c r="CZ37" s="53"/>
    </row>
    <row r="38" spans="1:104" x14ac:dyDescent="0.25">
      <c r="A38" s="51" t="str">
        <f t="shared" si="0"/>
        <v>sam62_main_infra_phys_0</v>
      </c>
      <c r="B38" s="2" t="str">
        <f t="shared" si="2"/>
        <v>Main_infra AM62</v>
      </c>
      <c r="C38" s="2" t="s">
        <v>18</v>
      </c>
      <c r="D38" s="2" t="s">
        <v>144</v>
      </c>
      <c r="E38" s="2" t="str">
        <f t="shared" si="3"/>
        <v>4 Infra</v>
      </c>
      <c r="F38" s="2" t="str">
        <f t="shared" si="3"/>
        <v>Mix</v>
      </c>
      <c r="G38" s="52">
        <v>1</v>
      </c>
      <c r="H38" s="53"/>
      <c r="I38" s="52">
        <v>0.01</v>
      </c>
      <c r="J38" s="53"/>
      <c r="K38" s="52">
        <v>0</v>
      </c>
      <c r="L38" s="53">
        <v>5</v>
      </c>
      <c r="M38" s="52">
        <v>0</v>
      </c>
      <c r="N38" s="53">
        <v>200</v>
      </c>
      <c r="O38" s="52">
        <v>0.2</v>
      </c>
      <c r="P38" s="53"/>
      <c r="Q38" s="52">
        <v>0.2</v>
      </c>
      <c r="R38" s="53"/>
      <c r="S38" s="52">
        <v>0.2</v>
      </c>
      <c r="T38" s="53"/>
      <c r="U38" s="52">
        <v>0.35</v>
      </c>
      <c r="V38" s="53"/>
      <c r="W38" s="52">
        <v>0.2</v>
      </c>
      <c r="X38" s="53"/>
      <c r="Y38" s="52">
        <v>0.35</v>
      </c>
      <c r="Z38" s="53"/>
      <c r="AA38" s="52">
        <v>0.2</v>
      </c>
      <c r="AB38" s="53"/>
      <c r="AC38" s="52">
        <v>0.2</v>
      </c>
      <c r="AD38" s="53"/>
      <c r="AE38" s="52">
        <v>0.2</v>
      </c>
      <c r="AF38" s="53"/>
      <c r="AG38" s="52">
        <v>0.2</v>
      </c>
      <c r="AH38" s="53"/>
      <c r="AI38" s="52">
        <v>0</v>
      </c>
      <c r="AJ38" s="53"/>
      <c r="AK38" s="52">
        <v>0</v>
      </c>
      <c r="AL38" s="53"/>
      <c r="AM38" s="52">
        <v>0.01</v>
      </c>
      <c r="AN38" s="53">
        <v>25</v>
      </c>
      <c r="AO38" s="52">
        <v>0.01</v>
      </c>
      <c r="AP38" s="53"/>
      <c r="AQ38" s="52">
        <v>0.01</v>
      </c>
      <c r="AR38" s="53"/>
      <c r="AS38" s="52">
        <v>0.01</v>
      </c>
      <c r="AT38" s="53"/>
      <c r="AU38" s="52">
        <v>0.8</v>
      </c>
      <c r="AV38" s="53"/>
      <c r="AW38" s="52">
        <v>0.8</v>
      </c>
      <c r="AX38" s="53"/>
      <c r="AY38" s="52">
        <v>0</v>
      </c>
      <c r="AZ38" s="53"/>
      <c r="BA38" s="52">
        <v>0.2</v>
      </c>
      <c r="BB38" s="53">
        <v>125</v>
      </c>
      <c r="BC38" s="52">
        <v>0.01</v>
      </c>
      <c r="BD38" s="53"/>
      <c r="BE38" s="52">
        <v>0.5</v>
      </c>
      <c r="BF38" s="53"/>
      <c r="BG38" s="52">
        <v>4</v>
      </c>
      <c r="BH38" s="53">
        <v>200</v>
      </c>
      <c r="BI38" s="52">
        <v>0.15</v>
      </c>
      <c r="BJ38" s="53"/>
      <c r="BK38" s="52">
        <v>0</v>
      </c>
      <c r="BL38" s="53"/>
      <c r="BM38" s="52">
        <v>0</v>
      </c>
      <c r="BN38" s="53"/>
      <c r="BO38" s="52">
        <v>0</v>
      </c>
      <c r="BP38" s="53"/>
      <c r="BQ38" s="52">
        <v>0</v>
      </c>
      <c r="BR38" s="53"/>
      <c r="BS38" s="52">
        <v>0</v>
      </c>
      <c r="BT38" s="53"/>
      <c r="BU38" s="52">
        <v>0</v>
      </c>
      <c r="BV38" s="53"/>
      <c r="BW38" s="52">
        <v>0</v>
      </c>
      <c r="BX38" s="53"/>
      <c r="BY38" s="52">
        <v>0</v>
      </c>
      <c r="BZ38" s="53"/>
      <c r="CA38" s="52">
        <v>0</v>
      </c>
      <c r="CB38" s="53"/>
      <c r="CC38" s="52">
        <v>0</v>
      </c>
      <c r="CD38" s="53"/>
      <c r="CE38" s="52">
        <v>0</v>
      </c>
      <c r="CF38" s="53"/>
      <c r="CG38" s="52">
        <v>0</v>
      </c>
      <c r="CH38" s="53"/>
      <c r="CI38" s="52">
        <v>0</v>
      </c>
      <c r="CJ38" s="53"/>
      <c r="CK38" s="52">
        <v>0</v>
      </c>
      <c r="CL38" s="53"/>
      <c r="CM38" s="52">
        <v>0</v>
      </c>
      <c r="CN38" s="53"/>
      <c r="CO38" s="52">
        <v>0</v>
      </c>
      <c r="CP38" s="53"/>
      <c r="CQ38" s="52">
        <v>0</v>
      </c>
      <c r="CR38" s="53"/>
      <c r="CS38" s="52">
        <v>0</v>
      </c>
      <c r="CT38" s="53"/>
      <c r="CU38" s="52">
        <v>0</v>
      </c>
      <c r="CV38" s="53"/>
      <c r="CW38" s="52">
        <v>0</v>
      </c>
      <c r="CX38" s="53"/>
      <c r="CY38" s="52">
        <v>0</v>
      </c>
      <c r="CZ38" s="53"/>
    </row>
    <row r="39" spans="1:104" x14ac:dyDescent="0.25">
      <c r="A39" s="51" t="str">
        <f t="shared" si="0"/>
        <v>sam62_main_ip_wrap_0</v>
      </c>
      <c r="B39" s="2" t="str">
        <f t="shared" si="2"/>
        <v>Main_IP AM62</v>
      </c>
      <c r="C39" s="2" t="s">
        <v>18</v>
      </c>
      <c r="D39" s="2" t="s">
        <v>238</v>
      </c>
      <c r="E39" s="2" t="str">
        <f t="shared" si="3"/>
        <v>4 Infra</v>
      </c>
      <c r="F39" s="2" t="str">
        <f t="shared" si="3"/>
        <v>Mix</v>
      </c>
      <c r="G39" s="52">
        <v>1</v>
      </c>
      <c r="H39" s="53"/>
      <c r="I39" s="52">
        <v>0.01</v>
      </c>
      <c r="J39" s="53"/>
      <c r="K39" s="52">
        <v>0</v>
      </c>
      <c r="L39" s="53">
        <v>5</v>
      </c>
      <c r="M39" s="52">
        <v>0</v>
      </c>
      <c r="N39" s="53">
        <v>200</v>
      </c>
      <c r="O39" s="52">
        <v>0.2</v>
      </c>
      <c r="P39" s="53"/>
      <c r="Q39" s="52">
        <v>0.2</v>
      </c>
      <c r="R39" s="53"/>
      <c r="S39" s="52">
        <v>0.2</v>
      </c>
      <c r="T39" s="53"/>
      <c r="U39" s="52">
        <v>0.35</v>
      </c>
      <c r="V39" s="53"/>
      <c r="W39" s="52">
        <v>0.2</v>
      </c>
      <c r="X39" s="53"/>
      <c r="Y39" s="52">
        <v>0.35</v>
      </c>
      <c r="Z39" s="53"/>
      <c r="AA39" s="52">
        <v>0.2</v>
      </c>
      <c r="AB39" s="53"/>
      <c r="AC39" s="52">
        <v>0.2</v>
      </c>
      <c r="AD39" s="53"/>
      <c r="AE39" s="52">
        <v>0.2</v>
      </c>
      <c r="AF39" s="53"/>
      <c r="AG39" s="52">
        <v>0.2</v>
      </c>
      <c r="AH39" s="53"/>
      <c r="AI39" s="52">
        <v>0</v>
      </c>
      <c r="AJ39" s="53"/>
      <c r="AK39" s="52">
        <v>0</v>
      </c>
      <c r="AL39" s="53"/>
      <c r="AM39" s="52">
        <v>0.01</v>
      </c>
      <c r="AN39" s="53">
        <v>25</v>
      </c>
      <c r="AO39" s="52">
        <v>0.01</v>
      </c>
      <c r="AP39" s="53"/>
      <c r="AQ39" s="52">
        <v>0</v>
      </c>
      <c r="AR39" s="53"/>
      <c r="AS39" s="52">
        <v>0</v>
      </c>
      <c r="AT39" s="53"/>
      <c r="AU39" s="52">
        <v>0.8</v>
      </c>
      <c r="AV39" s="53"/>
      <c r="AW39" s="52">
        <v>0.8</v>
      </c>
      <c r="AX39" s="53"/>
      <c r="AY39" s="52">
        <v>0</v>
      </c>
      <c r="AZ39" s="53"/>
      <c r="BA39" s="52">
        <v>0.05</v>
      </c>
      <c r="BB39" s="53">
        <v>125</v>
      </c>
      <c r="BC39" s="52">
        <v>0.01</v>
      </c>
      <c r="BD39" s="53"/>
      <c r="BE39" s="52">
        <v>0.5</v>
      </c>
      <c r="BF39" s="53"/>
      <c r="BG39" s="52">
        <v>4</v>
      </c>
      <c r="BH39" s="53">
        <v>200</v>
      </c>
      <c r="BI39" s="52">
        <v>0.15</v>
      </c>
      <c r="BJ39" s="53"/>
      <c r="BK39" s="52">
        <v>0</v>
      </c>
      <c r="BL39" s="53"/>
      <c r="BM39" s="52">
        <v>0</v>
      </c>
      <c r="BN39" s="53"/>
      <c r="BO39" s="52">
        <v>0</v>
      </c>
      <c r="BP39" s="53"/>
      <c r="BQ39" s="52">
        <v>0</v>
      </c>
      <c r="BR39" s="53"/>
      <c r="BS39" s="52">
        <v>0</v>
      </c>
      <c r="BT39" s="53"/>
      <c r="BU39" s="52">
        <v>0</v>
      </c>
      <c r="BV39" s="53"/>
      <c r="BW39" s="52">
        <v>0</v>
      </c>
      <c r="BX39" s="53"/>
      <c r="BY39" s="52">
        <v>0</v>
      </c>
      <c r="BZ39" s="53"/>
      <c r="CA39" s="52">
        <v>0</v>
      </c>
      <c r="CB39" s="53"/>
      <c r="CC39" s="52">
        <v>0</v>
      </c>
      <c r="CD39" s="53"/>
      <c r="CE39" s="52">
        <v>0</v>
      </c>
      <c r="CF39" s="53"/>
      <c r="CG39" s="52">
        <v>0</v>
      </c>
      <c r="CH39" s="53"/>
      <c r="CI39" s="52">
        <v>0</v>
      </c>
      <c r="CJ39" s="53"/>
      <c r="CK39" s="52">
        <v>0</v>
      </c>
      <c r="CL39" s="53"/>
      <c r="CM39" s="52">
        <v>0</v>
      </c>
      <c r="CN39" s="53"/>
      <c r="CO39" s="52">
        <v>0</v>
      </c>
      <c r="CP39" s="53"/>
      <c r="CQ39" s="52">
        <v>0</v>
      </c>
      <c r="CR39" s="53"/>
      <c r="CS39" s="52">
        <v>0</v>
      </c>
      <c r="CT39" s="53"/>
      <c r="CU39" s="52">
        <v>0</v>
      </c>
      <c r="CV39" s="53"/>
      <c r="CW39" s="52">
        <v>0</v>
      </c>
      <c r="CX39" s="53"/>
      <c r="CY39" s="52">
        <v>0</v>
      </c>
      <c r="CZ39" s="53"/>
    </row>
    <row r="40" spans="1:104" x14ac:dyDescent="0.25">
      <c r="A40" s="51" t="str">
        <f t="shared" si="0"/>
        <v>sam62_mcu_infra_phys_0</v>
      </c>
      <c r="B40" s="2" t="str">
        <f t="shared" si="2"/>
        <v>MCU_INFRA_WAKEUP AM62</v>
      </c>
      <c r="C40" s="2" t="s">
        <v>18</v>
      </c>
      <c r="D40" s="2" t="s">
        <v>183</v>
      </c>
      <c r="E40" s="2" t="str">
        <f t="shared" si="3"/>
        <v>4 Infra</v>
      </c>
      <c r="F40" s="2" t="str">
        <f t="shared" si="3"/>
        <v>Mix</v>
      </c>
      <c r="G40" s="52">
        <v>1</v>
      </c>
      <c r="H40" s="53"/>
      <c r="I40" s="52">
        <v>0.01</v>
      </c>
      <c r="J40" s="53"/>
      <c r="K40" s="52">
        <v>4</v>
      </c>
      <c r="L40" s="53">
        <v>5</v>
      </c>
      <c r="M40" s="52">
        <v>4</v>
      </c>
      <c r="N40" s="53">
        <v>200</v>
      </c>
      <c r="O40" s="52">
        <v>0.3</v>
      </c>
      <c r="P40" s="53"/>
      <c r="Q40" s="52">
        <v>0.3</v>
      </c>
      <c r="R40" s="53"/>
      <c r="S40" s="52">
        <v>0.3</v>
      </c>
      <c r="T40" s="53"/>
      <c r="U40" s="52">
        <v>0.8</v>
      </c>
      <c r="V40" s="53"/>
      <c r="W40" s="52">
        <v>0.3</v>
      </c>
      <c r="X40" s="53"/>
      <c r="Y40" s="52">
        <v>0.3</v>
      </c>
      <c r="Z40" s="53"/>
      <c r="AA40" s="52">
        <v>0.5</v>
      </c>
      <c r="AB40" s="53"/>
      <c r="AC40" s="52">
        <v>0.5</v>
      </c>
      <c r="AD40" s="53"/>
      <c r="AE40" s="52">
        <v>0.3</v>
      </c>
      <c r="AF40" s="53"/>
      <c r="AG40" s="52">
        <v>0.3</v>
      </c>
      <c r="AH40" s="53"/>
      <c r="AI40" s="52">
        <v>0</v>
      </c>
      <c r="AJ40" s="53"/>
      <c r="AK40" s="52">
        <v>0.01</v>
      </c>
      <c r="AL40" s="53"/>
      <c r="AM40" s="52">
        <v>0.01</v>
      </c>
      <c r="AN40" s="53">
        <v>25</v>
      </c>
      <c r="AO40" s="52">
        <v>0.01</v>
      </c>
      <c r="AP40" s="53"/>
      <c r="AQ40" s="52">
        <v>0.01</v>
      </c>
      <c r="AR40" s="53"/>
      <c r="AS40" s="52">
        <v>0.01</v>
      </c>
      <c r="AT40" s="53"/>
      <c r="AU40" s="52">
        <v>0.8</v>
      </c>
      <c r="AV40" s="53"/>
      <c r="AW40" s="52">
        <v>0.8</v>
      </c>
      <c r="AX40" s="53"/>
      <c r="AY40" s="52">
        <v>0</v>
      </c>
      <c r="AZ40" s="53"/>
      <c r="BA40" s="52">
        <v>0.3</v>
      </c>
      <c r="BB40" s="53"/>
      <c r="BC40" s="52">
        <v>0.01</v>
      </c>
      <c r="BD40" s="53"/>
      <c r="BE40" s="52">
        <v>0.9</v>
      </c>
      <c r="BF40" s="53"/>
      <c r="BG40" s="52">
        <v>4</v>
      </c>
      <c r="BH40" s="53">
        <v>200</v>
      </c>
      <c r="BI40" s="52">
        <v>0.5</v>
      </c>
      <c r="BJ40" s="53"/>
      <c r="BK40" s="52">
        <v>0</v>
      </c>
      <c r="BL40" s="53"/>
      <c r="BM40" s="52">
        <v>0</v>
      </c>
      <c r="BN40" s="53"/>
      <c r="BO40" s="52">
        <v>0</v>
      </c>
      <c r="BP40" s="53"/>
      <c r="BQ40" s="52">
        <v>0</v>
      </c>
      <c r="BR40" s="53"/>
      <c r="BS40" s="52">
        <v>0</v>
      </c>
      <c r="BT40" s="53"/>
      <c r="BU40" s="52">
        <v>0</v>
      </c>
      <c r="BV40" s="53"/>
      <c r="BW40" s="52">
        <v>0</v>
      </c>
      <c r="BX40" s="53"/>
      <c r="BY40" s="52">
        <v>0</v>
      </c>
      <c r="BZ40" s="53"/>
      <c r="CA40" s="52">
        <v>0</v>
      </c>
      <c r="CB40" s="53"/>
      <c r="CC40" s="52">
        <v>0</v>
      </c>
      <c r="CD40" s="53"/>
      <c r="CE40" s="52">
        <v>0</v>
      </c>
      <c r="CF40" s="53"/>
      <c r="CG40" s="52">
        <v>0</v>
      </c>
      <c r="CH40" s="53"/>
      <c r="CI40" s="52">
        <v>0</v>
      </c>
      <c r="CJ40" s="53"/>
      <c r="CK40" s="52">
        <v>0</v>
      </c>
      <c r="CL40" s="53"/>
      <c r="CM40" s="52">
        <v>0</v>
      </c>
      <c r="CN40" s="53"/>
      <c r="CO40" s="52">
        <v>0</v>
      </c>
      <c r="CP40" s="53"/>
      <c r="CQ40" s="52">
        <v>0</v>
      </c>
      <c r="CR40" s="53"/>
      <c r="CS40" s="52">
        <v>0</v>
      </c>
      <c r="CT40" s="53"/>
      <c r="CU40" s="52">
        <v>0</v>
      </c>
      <c r="CV40" s="53"/>
      <c r="CW40" s="52">
        <v>0</v>
      </c>
      <c r="CX40" s="53"/>
      <c r="CY40" s="52">
        <v>0</v>
      </c>
      <c r="CZ40" s="53"/>
    </row>
    <row r="41" spans="1:104" x14ac:dyDescent="0.25">
      <c r="A41" s="51" t="str">
        <f t="shared" si="0"/>
        <v>sam62_mcu_wrap_0</v>
      </c>
      <c r="B41" s="2" t="str">
        <f t="shared" si="2"/>
        <v>MCUSS AM62</v>
      </c>
      <c r="C41" s="2" t="s">
        <v>18</v>
      </c>
      <c r="D41" s="2" t="s">
        <v>236</v>
      </c>
      <c r="E41" s="2" t="str">
        <f t="shared" si="3"/>
        <v>4 Infra</v>
      </c>
      <c r="F41" s="2" t="str">
        <f t="shared" si="3"/>
        <v>Mix</v>
      </c>
      <c r="G41" s="52">
        <v>1</v>
      </c>
      <c r="H41" s="53"/>
      <c r="I41" s="52">
        <v>0.01</v>
      </c>
      <c r="J41" s="53"/>
      <c r="K41" s="52">
        <v>0</v>
      </c>
      <c r="L41" s="53">
        <v>5</v>
      </c>
      <c r="M41" s="52">
        <v>0</v>
      </c>
      <c r="N41" s="53">
        <v>200</v>
      </c>
      <c r="O41" s="52">
        <v>0.3</v>
      </c>
      <c r="P41" s="53"/>
      <c r="Q41" s="52">
        <v>0.3</v>
      </c>
      <c r="R41" s="53"/>
      <c r="S41" s="52">
        <v>0.3</v>
      </c>
      <c r="T41" s="53"/>
      <c r="U41" s="52">
        <v>0.8</v>
      </c>
      <c r="V41" s="53"/>
      <c r="W41" s="52">
        <v>0.3</v>
      </c>
      <c r="X41" s="53"/>
      <c r="Y41" s="52">
        <v>0.3</v>
      </c>
      <c r="Z41" s="53"/>
      <c r="AA41" s="52">
        <v>0.5</v>
      </c>
      <c r="AB41" s="53"/>
      <c r="AC41" s="52">
        <v>0.5</v>
      </c>
      <c r="AD41" s="53"/>
      <c r="AE41" s="52">
        <v>0.3</v>
      </c>
      <c r="AF41" s="53"/>
      <c r="AG41" s="52">
        <v>0.3</v>
      </c>
      <c r="AH41" s="53"/>
      <c r="AI41" s="52">
        <v>0</v>
      </c>
      <c r="AJ41" s="53"/>
      <c r="AK41" s="52">
        <v>0.01</v>
      </c>
      <c r="AL41" s="53"/>
      <c r="AM41" s="52">
        <v>0.01</v>
      </c>
      <c r="AN41" s="53">
        <v>25</v>
      </c>
      <c r="AO41" s="52">
        <v>0.01</v>
      </c>
      <c r="AP41" s="53"/>
      <c r="AQ41" s="52">
        <v>0.01</v>
      </c>
      <c r="AR41" s="53"/>
      <c r="AS41" s="52">
        <v>0.01</v>
      </c>
      <c r="AT41" s="53"/>
      <c r="AU41" s="52">
        <v>0.8</v>
      </c>
      <c r="AV41" s="53"/>
      <c r="AW41" s="52">
        <v>0.8</v>
      </c>
      <c r="AX41" s="53"/>
      <c r="AY41" s="52">
        <v>0</v>
      </c>
      <c r="AZ41" s="53"/>
      <c r="BA41" s="52">
        <v>0.01</v>
      </c>
      <c r="BB41" s="53"/>
      <c r="BC41" s="52">
        <v>0.01</v>
      </c>
      <c r="BD41" s="53"/>
      <c r="BE41" s="52">
        <v>0.9</v>
      </c>
      <c r="BF41" s="53"/>
      <c r="BG41" s="52">
        <v>4</v>
      </c>
      <c r="BH41" s="53">
        <v>200</v>
      </c>
      <c r="BI41" s="52">
        <v>0.5</v>
      </c>
      <c r="BJ41" s="53"/>
      <c r="BK41" s="52">
        <v>0</v>
      </c>
      <c r="BL41" s="53"/>
      <c r="BM41" s="52">
        <v>0</v>
      </c>
      <c r="BN41" s="53"/>
      <c r="BO41" s="52">
        <v>0</v>
      </c>
      <c r="BP41" s="53"/>
      <c r="BQ41" s="52">
        <v>0</v>
      </c>
      <c r="BR41" s="53"/>
      <c r="BS41" s="52">
        <v>0</v>
      </c>
      <c r="BT41" s="53"/>
      <c r="BU41" s="52">
        <v>0</v>
      </c>
      <c r="BV41" s="53"/>
      <c r="BW41" s="52">
        <v>0</v>
      </c>
      <c r="BX41" s="53"/>
      <c r="BY41" s="52">
        <v>0</v>
      </c>
      <c r="BZ41" s="53"/>
      <c r="CA41" s="52">
        <v>0</v>
      </c>
      <c r="CB41" s="53"/>
      <c r="CC41" s="52">
        <v>0</v>
      </c>
      <c r="CD41" s="53"/>
      <c r="CE41" s="52">
        <v>0</v>
      </c>
      <c r="CF41" s="53"/>
      <c r="CG41" s="52">
        <v>0</v>
      </c>
      <c r="CH41" s="53"/>
      <c r="CI41" s="52">
        <v>0</v>
      </c>
      <c r="CJ41" s="53"/>
      <c r="CK41" s="52">
        <v>0</v>
      </c>
      <c r="CL41" s="53"/>
      <c r="CM41" s="52">
        <v>0</v>
      </c>
      <c r="CN41" s="53"/>
      <c r="CO41" s="52">
        <v>0</v>
      </c>
      <c r="CP41" s="53"/>
      <c r="CQ41" s="52">
        <v>0</v>
      </c>
      <c r="CR41" s="53"/>
      <c r="CS41" s="52">
        <v>0</v>
      </c>
      <c r="CT41" s="53"/>
      <c r="CU41" s="52">
        <v>0</v>
      </c>
      <c r="CV41" s="53"/>
      <c r="CW41" s="52">
        <v>0</v>
      </c>
      <c r="CX41" s="53"/>
      <c r="CY41" s="52">
        <v>0</v>
      </c>
      <c r="CZ41" s="53"/>
    </row>
    <row r="42" spans="1:104" x14ac:dyDescent="0.25">
      <c r="A42" s="51" t="str">
        <f t="shared" si="0"/>
        <v>sam62_odp_ctrl_wrap_0</v>
      </c>
      <c r="B42" s="2" t="str">
        <f t="shared" si="2"/>
        <v>ODP Controller AM62</v>
      </c>
      <c r="C42" s="2" t="s">
        <v>18</v>
      </c>
      <c r="D42" s="2" t="s">
        <v>212</v>
      </c>
      <c r="E42" s="2" t="str">
        <f t="shared" si="3"/>
        <v>4 Infra</v>
      </c>
      <c r="F42" s="2" t="str">
        <f t="shared" si="3"/>
        <v>Mix</v>
      </c>
      <c r="G42" s="52">
        <v>1</v>
      </c>
      <c r="H42" s="53"/>
      <c r="I42" s="52">
        <v>0.01</v>
      </c>
      <c r="J42" s="53"/>
      <c r="K42" s="52">
        <v>4</v>
      </c>
      <c r="L42" s="53">
        <v>5</v>
      </c>
      <c r="M42" s="52">
        <v>4</v>
      </c>
      <c r="N42" s="53">
        <v>200</v>
      </c>
      <c r="O42" s="52">
        <v>1</v>
      </c>
      <c r="P42" s="53"/>
      <c r="Q42" s="52">
        <v>1</v>
      </c>
      <c r="R42" s="53"/>
      <c r="S42" s="52">
        <v>1</v>
      </c>
      <c r="T42" s="53"/>
      <c r="U42" s="52">
        <v>1</v>
      </c>
      <c r="V42" s="53"/>
      <c r="W42" s="52">
        <v>1</v>
      </c>
      <c r="X42" s="53"/>
      <c r="Y42" s="52">
        <v>1</v>
      </c>
      <c r="Z42" s="53"/>
      <c r="AA42" s="52">
        <v>1</v>
      </c>
      <c r="AB42" s="53"/>
      <c r="AC42" s="52">
        <v>1</v>
      </c>
      <c r="AD42" s="53"/>
      <c r="AE42" s="52">
        <v>1</v>
      </c>
      <c r="AF42" s="53"/>
      <c r="AG42" s="52">
        <v>1</v>
      </c>
      <c r="AH42" s="53"/>
      <c r="AI42" s="52">
        <v>0</v>
      </c>
      <c r="AJ42" s="53"/>
      <c r="AK42" s="52">
        <v>0</v>
      </c>
      <c r="AL42" s="53"/>
      <c r="AM42" s="52">
        <v>0</v>
      </c>
      <c r="AN42" s="53">
        <v>25</v>
      </c>
      <c r="AO42" s="52">
        <v>0</v>
      </c>
      <c r="AP42" s="53"/>
      <c r="AQ42" s="52">
        <v>0.01</v>
      </c>
      <c r="AR42" s="53"/>
      <c r="AS42" s="52">
        <v>0.01</v>
      </c>
      <c r="AT42" s="53"/>
      <c r="AU42" s="52">
        <v>1</v>
      </c>
      <c r="AV42" s="53"/>
      <c r="AW42" s="52">
        <v>1</v>
      </c>
      <c r="AX42" s="53"/>
      <c r="AY42" s="52">
        <v>0</v>
      </c>
      <c r="AZ42" s="53"/>
      <c r="BA42" s="52">
        <v>0</v>
      </c>
      <c r="BB42" s="53"/>
      <c r="BC42" s="52">
        <v>0.01</v>
      </c>
      <c r="BD42" s="53"/>
      <c r="BE42" s="52">
        <v>0.01</v>
      </c>
      <c r="BF42" s="53"/>
      <c r="BG42" s="52">
        <v>4</v>
      </c>
      <c r="BH42" s="53">
        <v>200</v>
      </c>
      <c r="BI42" s="52">
        <v>1</v>
      </c>
      <c r="BJ42" s="53"/>
      <c r="BK42" s="52">
        <v>0</v>
      </c>
      <c r="BL42" s="53"/>
      <c r="BM42" s="52">
        <v>0</v>
      </c>
      <c r="BN42" s="53"/>
      <c r="BO42" s="52">
        <v>0</v>
      </c>
      <c r="BP42" s="53"/>
      <c r="BQ42" s="52">
        <v>0</v>
      </c>
      <c r="BR42" s="53"/>
      <c r="BS42" s="52">
        <v>0</v>
      </c>
      <c r="BT42" s="53"/>
      <c r="BU42" s="52">
        <v>0</v>
      </c>
      <c r="BV42" s="53"/>
      <c r="BW42" s="52">
        <v>0</v>
      </c>
      <c r="BX42" s="53"/>
      <c r="BY42" s="52">
        <v>0</v>
      </c>
      <c r="BZ42" s="53"/>
      <c r="CA42" s="52">
        <v>0</v>
      </c>
      <c r="CB42" s="53"/>
      <c r="CC42" s="52">
        <v>0</v>
      </c>
      <c r="CD42" s="53"/>
      <c r="CE42" s="52">
        <v>0</v>
      </c>
      <c r="CF42" s="53"/>
      <c r="CG42" s="52">
        <v>0</v>
      </c>
      <c r="CH42" s="53"/>
      <c r="CI42" s="52">
        <v>0</v>
      </c>
      <c r="CJ42" s="53"/>
      <c r="CK42" s="52">
        <v>0</v>
      </c>
      <c r="CL42" s="53"/>
      <c r="CM42" s="52">
        <v>0</v>
      </c>
      <c r="CN42" s="53"/>
      <c r="CO42" s="52">
        <v>0</v>
      </c>
      <c r="CP42" s="53"/>
      <c r="CQ42" s="52">
        <v>0</v>
      </c>
      <c r="CR42" s="53"/>
      <c r="CS42" s="52">
        <v>0</v>
      </c>
      <c r="CT42" s="53"/>
      <c r="CU42" s="52">
        <v>0</v>
      </c>
      <c r="CV42" s="53"/>
      <c r="CW42" s="52">
        <v>0</v>
      </c>
      <c r="CX42" s="53"/>
      <c r="CY42" s="52">
        <v>0</v>
      </c>
      <c r="CZ42" s="53"/>
    </row>
    <row r="43" spans="1:104" x14ac:dyDescent="0.25">
      <c r="A43" s="51" t="str">
        <f t="shared" si="0"/>
        <v>sam62_pll_ctrl_wrap_0</v>
      </c>
      <c r="B43" s="2" t="str">
        <f t="shared" si="2"/>
        <v>PLL Controller AM62</v>
      </c>
      <c r="C43" s="2" t="s">
        <v>18</v>
      </c>
      <c r="D43" s="2" t="s">
        <v>221</v>
      </c>
      <c r="E43" s="2" t="str">
        <f t="shared" si="3"/>
        <v>4 Infra</v>
      </c>
      <c r="F43" s="2" t="str">
        <f t="shared" si="3"/>
        <v>Mix</v>
      </c>
      <c r="G43" s="52">
        <v>1</v>
      </c>
      <c r="H43" s="53"/>
      <c r="I43" s="52">
        <v>0.01</v>
      </c>
      <c r="J43" s="53"/>
      <c r="K43" s="52">
        <v>0</v>
      </c>
      <c r="L43" s="53">
        <v>5</v>
      </c>
      <c r="M43" s="52">
        <v>0</v>
      </c>
      <c r="N43" s="53">
        <v>200</v>
      </c>
      <c r="O43" s="52">
        <v>1</v>
      </c>
      <c r="P43" s="53"/>
      <c r="Q43" s="52">
        <v>1</v>
      </c>
      <c r="R43" s="53"/>
      <c r="S43" s="52">
        <v>1</v>
      </c>
      <c r="T43" s="53"/>
      <c r="U43" s="52">
        <v>1</v>
      </c>
      <c r="V43" s="53"/>
      <c r="W43" s="52">
        <v>1</v>
      </c>
      <c r="X43" s="53"/>
      <c r="Y43" s="52">
        <v>1</v>
      </c>
      <c r="Z43" s="53"/>
      <c r="AA43" s="52">
        <v>1</v>
      </c>
      <c r="AB43" s="53"/>
      <c r="AC43" s="52">
        <v>1</v>
      </c>
      <c r="AD43" s="53"/>
      <c r="AE43" s="52">
        <v>1</v>
      </c>
      <c r="AF43" s="53"/>
      <c r="AG43" s="52">
        <v>1</v>
      </c>
      <c r="AH43" s="53"/>
      <c r="AI43" s="52">
        <v>0</v>
      </c>
      <c r="AJ43" s="53"/>
      <c r="AK43" s="52">
        <v>0</v>
      </c>
      <c r="AL43" s="53"/>
      <c r="AM43" s="52">
        <v>0.01</v>
      </c>
      <c r="AN43" s="53">
        <v>25</v>
      </c>
      <c r="AO43" s="52">
        <v>0.01</v>
      </c>
      <c r="AP43" s="53"/>
      <c r="AQ43" s="52">
        <v>0.01</v>
      </c>
      <c r="AR43" s="53"/>
      <c r="AS43" s="52">
        <v>0.01</v>
      </c>
      <c r="AT43" s="53"/>
      <c r="AU43" s="52">
        <v>1</v>
      </c>
      <c r="AV43" s="53"/>
      <c r="AW43" s="52">
        <v>1</v>
      </c>
      <c r="AX43" s="53"/>
      <c r="AY43" s="52">
        <v>0</v>
      </c>
      <c r="AZ43" s="53"/>
      <c r="BA43" s="52">
        <v>0</v>
      </c>
      <c r="BB43" s="53"/>
      <c r="BC43" s="52">
        <v>0.01</v>
      </c>
      <c r="BD43" s="53"/>
      <c r="BE43" s="52">
        <v>0.01</v>
      </c>
      <c r="BF43" s="53"/>
      <c r="BG43" s="52">
        <v>4</v>
      </c>
      <c r="BH43" s="53">
        <v>200</v>
      </c>
      <c r="BI43" s="52">
        <v>1</v>
      </c>
      <c r="BJ43" s="53"/>
      <c r="BK43" s="52">
        <v>0</v>
      </c>
      <c r="BL43" s="53"/>
      <c r="BM43" s="52">
        <v>0</v>
      </c>
      <c r="BN43" s="53"/>
      <c r="BO43" s="52">
        <v>0</v>
      </c>
      <c r="BP43" s="53"/>
      <c r="BQ43" s="52">
        <v>0</v>
      </c>
      <c r="BR43" s="53"/>
      <c r="BS43" s="52">
        <v>0</v>
      </c>
      <c r="BT43" s="53"/>
      <c r="BU43" s="52">
        <v>0</v>
      </c>
      <c r="BV43" s="53"/>
      <c r="BW43" s="52">
        <v>0</v>
      </c>
      <c r="BX43" s="53"/>
      <c r="BY43" s="52">
        <v>0</v>
      </c>
      <c r="BZ43" s="53"/>
      <c r="CA43" s="52">
        <v>0</v>
      </c>
      <c r="CB43" s="53"/>
      <c r="CC43" s="52">
        <v>0</v>
      </c>
      <c r="CD43" s="53"/>
      <c r="CE43" s="52">
        <v>0</v>
      </c>
      <c r="CF43" s="53"/>
      <c r="CG43" s="52">
        <v>0</v>
      </c>
      <c r="CH43" s="53"/>
      <c r="CI43" s="52">
        <v>0</v>
      </c>
      <c r="CJ43" s="53"/>
      <c r="CK43" s="52">
        <v>0</v>
      </c>
      <c r="CL43" s="53"/>
      <c r="CM43" s="52">
        <v>0</v>
      </c>
      <c r="CN43" s="53"/>
      <c r="CO43" s="52">
        <v>0</v>
      </c>
      <c r="CP43" s="53"/>
      <c r="CQ43" s="52">
        <v>0</v>
      </c>
      <c r="CR43" s="53"/>
      <c r="CS43" s="52">
        <v>0</v>
      </c>
      <c r="CT43" s="53"/>
      <c r="CU43" s="52">
        <v>0</v>
      </c>
      <c r="CV43" s="53"/>
      <c r="CW43" s="52">
        <v>0</v>
      </c>
      <c r="CX43" s="53"/>
      <c r="CY43" s="52">
        <v>0</v>
      </c>
      <c r="CZ43" s="53"/>
    </row>
    <row r="44" spans="1:104" x14ac:dyDescent="0.25">
      <c r="A44" s="51" t="str">
        <f t="shared" si="0"/>
        <v>sam62_sec_wrap_0</v>
      </c>
      <c r="B44" s="2" t="str">
        <f t="shared" si="2"/>
        <v>HSM AM62</v>
      </c>
      <c r="C44" s="2" t="s">
        <v>18</v>
      </c>
      <c r="D44" s="2" t="s">
        <v>262</v>
      </c>
      <c r="E44" s="2" t="str">
        <f t="shared" si="3"/>
        <v>4 Infra</v>
      </c>
      <c r="F44" s="2" t="str">
        <f t="shared" si="3"/>
        <v>Security</v>
      </c>
      <c r="G44" s="52">
        <v>1</v>
      </c>
      <c r="H44" s="53"/>
      <c r="I44" s="52">
        <v>0.01</v>
      </c>
      <c r="J44" s="53"/>
      <c r="K44" s="52">
        <v>0</v>
      </c>
      <c r="L44" s="53">
        <v>5</v>
      </c>
      <c r="M44" s="52">
        <v>0</v>
      </c>
      <c r="N44" s="53">
        <v>200</v>
      </c>
      <c r="O44" s="52">
        <v>0.1</v>
      </c>
      <c r="P44" s="53"/>
      <c r="Q44" s="52">
        <v>0.1</v>
      </c>
      <c r="R44" s="53"/>
      <c r="S44" s="52">
        <v>0.1</v>
      </c>
      <c r="T44" s="53"/>
      <c r="U44" s="52">
        <v>0.3</v>
      </c>
      <c r="V44" s="53"/>
      <c r="W44" s="52">
        <v>0.1</v>
      </c>
      <c r="X44" s="53"/>
      <c r="Y44" s="52">
        <v>0.3</v>
      </c>
      <c r="Z44" s="53"/>
      <c r="AA44" s="52">
        <v>0.3</v>
      </c>
      <c r="AB44" s="53"/>
      <c r="AC44" s="52">
        <v>0.3</v>
      </c>
      <c r="AD44" s="53"/>
      <c r="AE44" s="52">
        <v>0.1</v>
      </c>
      <c r="AF44" s="53"/>
      <c r="AG44" s="52">
        <v>0.1</v>
      </c>
      <c r="AH44" s="53"/>
      <c r="AI44" s="52">
        <v>0</v>
      </c>
      <c r="AJ44" s="53">
        <v>3.2000000000000001E-2</v>
      </c>
      <c r="AK44" s="52">
        <v>0</v>
      </c>
      <c r="AL44" s="53"/>
      <c r="AM44" s="52">
        <v>0.01</v>
      </c>
      <c r="AN44" s="53">
        <v>25</v>
      </c>
      <c r="AO44" s="52">
        <v>0</v>
      </c>
      <c r="AP44" s="53"/>
      <c r="AQ44" s="52">
        <v>0.01</v>
      </c>
      <c r="AR44" s="53"/>
      <c r="AS44" s="52">
        <v>0.01</v>
      </c>
      <c r="AT44" s="53"/>
      <c r="AU44" s="52">
        <v>0.8</v>
      </c>
      <c r="AV44" s="53"/>
      <c r="AW44" s="52">
        <v>0.8</v>
      </c>
      <c r="AX44" s="53"/>
      <c r="AY44" s="52">
        <v>0</v>
      </c>
      <c r="AZ44" s="53"/>
      <c r="BA44" s="52">
        <v>0.01</v>
      </c>
      <c r="BB44" s="53">
        <v>25</v>
      </c>
      <c r="BC44" s="52">
        <v>0.01</v>
      </c>
      <c r="BD44" s="53"/>
      <c r="BE44" s="52">
        <v>0.5</v>
      </c>
      <c r="BF44" s="53"/>
      <c r="BG44" s="52">
        <v>4</v>
      </c>
      <c r="BH44" s="53">
        <v>200</v>
      </c>
      <c r="BI44" s="52">
        <v>0.3</v>
      </c>
      <c r="BJ44" s="53"/>
      <c r="BK44" s="52">
        <f>HSM_Util</f>
        <v>1</v>
      </c>
      <c r="BL44" s="53"/>
      <c r="BM44" s="52">
        <v>0</v>
      </c>
      <c r="BN44" s="53"/>
      <c r="BO44" s="52">
        <v>0</v>
      </c>
      <c r="BP44" s="53"/>
      <c r="BQ44" s="52">
        <v>0</v>
      </c>
      <c r="BR44" s="53"/>
      <c r="BS44" s="52">
        <v>0</v>
      </c>
      <c r="BT44" s="53"/>
      <c r="BU44" s="52">
        <v>0</v>
      </c>
      <c r="BV44" s="53"/>
      <c r="BW44" s="52">
        <v>0</v>
      </c>
      <c r="BX44" s="53"/>
      <c r="BY44" s="52">
        <v>0</v>
      </c>
      <c r="BZ44" s="53"/>
      <c r="CA44" s="52">
        <v>0</v>
      </c>
      <c r="CB44" s="53"/>
      <c r="CC44" s="52">
        <v>0</v>
      </c>
      <c r="CD44" s="53"/>
      <c r="CE44" s="52">
        <v>0</v>
      </c>
      <c r="CF44" s="53"/>
      <c r="CG44" s="52">
        <v>0</v>
      </c>
      <c r="CH44" s="53"/>
      <c r="CI44" s="52">
        <v>0</v>
      </c>
      <c r="CJ44" s="53"/>
      <c r="CK44" s="52">
        <v>0</v>
      </c>
      <c r="CL44" s="53"/>
      <c r="CM44" s="52">
        <v>0</v>
      </c>
      <c r="CN44" s="53"/>
      <c r="CO44" s="52">
        <v>0</v>
      </c>
      <c r="CP44" s="53"/>
      <c r="CQ44" s="52">
        <v>0</v>
      </c>
      <c r="CR44" s="53"/>
      <c r="CS44" s="52">
        <v>0</v>
      </c>
      <c r="CT44" s="53"/>
      <c r="CU44" s="52">
        <v>0</v>
      </c>
      <c r="CV44" s="53"/>
      <c r="CW44" s="52">
        <v>0</v>
      </c>
      <c r="CX44" s="53"/>
      <c r="CY44" s="52">
        <v>0</v>
      </c>
      <c r="CZ44" s="53"/>
    </row>
    <row r="45" spans="1:104" x14ac:dyDescent="0.25">
      <c r="A45" s="51" t="str">
        <f t="shared" si="0"/>
        <v>sam62_core_0</v>
      </c>
      <c r="B45" s="2" t="str">
        <f t="shared" si="2"/>
        <v>AM62X Top</v>
      </c>
      <c r="C45" s="2" t="s">
        <v>18</v>
      </c>
      <c r="D45" s="2" t="s">
        <v>185</v>
      </c>
      <c r="E45" s="2" t="str">
        <f t="shared" si="3"/>
        <v>4 Infra</v>
      </c>
      <c r="F45" s="2" t="str">
        <f t="shared" si="3"/>
        <v>Top</v>
      </c>
      <c r="G45" s="52">
        <v>1</v>
      </c>
      <c r="H45" s="53"/>
      <c r="I45" s="52">
        <v>0.01</v>
      </c>
      <c r="J45" s="53"/>
      <c r="K45" s="52"/>
      <c r="L45" s="53">
        <v>5</v>
      </c>
      <c r="M45" s="52"/>
      <c r="N45" s="53">
        <v>200</v>
      </c>
      <c r="O45" s="52">
        <v>0.35</v>
      </c>
      <c r="P45" s="53"/>
      <c r="Q45" s="52">
        <v>0.35</v>
      </c>
      <c r="R45" s="53"/>
      <c r="S45" s="52">
        <v>0.35</v>
      </c>
      <c r="T45" s="53"/>
      <c r="U45" s="52">
        <v>0.35</v>
      </c>
      <c r="V45" s="53"/>
      <c r="W45" s="52">
        <v>0.2</v>
      </c>
      <c r="X45" s="53"/>
      <c r="Y45" s="52">
        <v>0.2</v>
      </c>
      <c r="Z45" s="53"/>
      <c r="AA45" s="52">
        <v>0.2</v>
      </c>
      <c r="AB45" s="53"/>
      <c r="AC45" s="52">
        <v>0.2</v>
      </c>
      <c r="AD45" s="53"/>
      <c r="AE45" s="52">
        <v>0.35</v>
      </c>
      <c r="AF45" s="53"/>
      <c r="AG45" s="52">
        <v>0.35</v>
      </c>
      <c r="AH45" s="53"/>
      <c r="AI45" s="52">
        <v>0</v>
      </c>
      <c r="AJ45" s="53"/>
      <c r="AK45" s="52">
        <v>0</v>
      </c>
      <c r="AL45" s="53"/>
      <c r="AM45" s="52">
        <v>0.01</v>
      </c>
      <c r="AN45" s="53">
        <v>25</v>
      </c>
      <c r="AO45" s="52">
        <v>0.01</v>
      </c>
      <c r="AP45" s="53"/>
      <c r="AQ45" s="52">
        <v>0.01</v>
      </c>
      <c r="AR45" s="53"/>
      <c r="AS45" s="52">
        <v>0.01</v>
      </c>
      <c r="AT45" s="53"/>
      <c r="AU45" s="52">
        <v>0.8</v>
      </c>
      <c r="AV45" s="53"/>
      <c r="AW45" s="52">
        <v>0.8</v>
      </c>
      <c r="AX45" s="53"/>
      <c r="AY45" s="52">
        <v>0</v>
      </c>
      <c r="AZ45" s="53"/>
      <c r="BA45" s="52">
        <v>0.05</v>
      </c>
      <c r="BB45" s="53"/>
      <c r="BC45" s="52">
        <v>0.01</v>
      </c>
      <c r="BD45" s="53"/>
      <c r="BE45" s="52">
        <v>0.6</v>
      </c>
      <c r="BF45" s="53"/>
      <c r="BG45" s="52">
        <v>4</v>
      </c>
      <c r="BH45" s="53">
        <v>200</v>
      </c>
      <c r="BI45" s="52">
        <v>0.15</v>
      </c>
      <c r="BJ45" s="53"/>
      <c r="BK45" s="52">
        <v>0</v>
      </c>
      <c r="BL45" s="53"/>
      <c r="BM45" s="52">
        <v>0</v>
      </c>
      <c r="BN45" s="53"/>
      <c r="BO45" s="52">
        <v>0</v>
      </c>
      <c r="BP45" s="53"/>
      <c r="BQ45" s="52">
        <v>0</v>
      </c>
      <c r="BR45" s="53"/>
      <c r="BS45" s="52">
        <v>0</v>
      </c>
      <c r="BT45" s="53"/>
      <c r="BU45" s="52">
        <v>0</v>
      </c>
      <c r="BV45" s="53"/>
      <c r="BW45" s="52">
        <v>0</v>
      </c>
      <c r="BX45" s="53"/>
      <c r="BY45" s="52">
        <v>0</v>
      </c>
      <c r="BZ45" s="53"/>
      <c r="CA45" s="52">
        <v>0</v>
      </c>
      <c r="CB45" s="53"/>
      <c r="CC45" s="52">
        <v>0</v>
      </c>
      <c r="CD45" s="53"/>
      <c r="CE45" s="52">
        <v>0</v>
      </c>
      <c r="CF45" s="53"/>
      <c r="CG45" s="52">
        <v>0</v>
      </c>
      <c r="CH45" s="53"/>
      <c r="CI45" s="52">
        <v>0</v>
      </c>
      <c r="CJ45" s="53"/>
      <c r="CK45" s="52">
        <v>0</v>
      </c>
      <c r="CL45" s="53"/>
      <c r="CM45" s="52">
        <v>0</v>
      </c>
      <c r="CN45" s="53"/>
      <c r="CO45" s="52">
        <v>0</v>
      </c>
      <c r="CP45" s="53"/>
      <c r="CQ45" s="52">
        <v>0</v>
      </c>
      <c r="CR45" s="53"/>
      <c r="CS45" s="52">
        <v>0</v>
      </c>
      <c r="CT45" s="53"/>
      <c r="CU45" s="52">
        <v>0</v>
      </c>
      <c r="CV45" s="53"/>
      <c r="CW45" s="52">
        <v>0</v>
      </c>
      <c r="CX45" s="53"/>
      <c r="CY45" s="52">
        <v>0</v>
      </c>
      <c r="CZ45" s="53"/>
    </row>
    <row r="46" spans="1:104" x14ac:dyDescent="0.25">
      <c r="A46" s="51"/>
      <c r="B46" s="2"/>
      <c r="C46" s="2"/>
      <c r="D46" s="2"/>
      <c r="E46" s="2"/>
      <c r="F46" s="2"/>
      <c r="G46" s="52"/>
      <c r="H46" s="53"/>
      <c r="I46" s="52"/>
      <c r="J46" s="53"/>
      <c r="K46" s="52"/>
      <c r="L46" s="53">
        <v>5</v>
      </c>
      <c r="M46" s="52"/>
      <c r="N46" s="53">
        <v>200</v>
      </c>
      <c r="O46" s="52"/>
      <c r="P46" s="53"/>
      <c r="Q46" s="52"/>
      <c r="R46" s="53"/>
      <c r="S46" s="52"/>
      <c r="T46" s="53"/>
      <c r="U46" s="52"/>
      <c r="V46" s="53"/>
      <c r="W46" s="52"/>
      <c r="X46" s="53"/>
      <c r="Y46" s="52"/>
      <c r="Z46" s="53"/>
      <c r="AA46" s="52"/>
      <c r="AB46" s="53"/>
      <c r="AC46" s="52"/>
      <c r="AD46" s="53"/>
      <c r="AE46" s="52"/>
      <c r="AF46" s="53"/>
      <c r="AG46" s="52"/>
      <c r="AH46" s="53"/>
      <c r="AI46" s="52"/>
      <c r="AJ46" s="53"/>
      <c r="AK46" s="52"/>
      <c r="AL46" s="53"/>
      <c r="AM46" s="52"/>
      <c r="AN46" s="53"/>
      <c r="AO46" s="52"/>
      <c r="AP46" s="53"/>
      <c r="AQ46" s="52"/>
      <c r="AR46" s="53"/>
      <c r="AS46" s="52"/>
      <c r="AT46" s="53"/>
      <c r="AU46" s="52"/>
      <c r="AV46" s="53"/>
      <c r="AW46" s="52"/>
      <c r="AX46" s="53"/>
      <c r="AY46" s="52"/>
      <c r="AZ46" s="53"/>
      <c r="BA46" s="52"/>
      <c r="BB46" s="53"/>
      <c r="BC46" s="52"/>
      <c r="BD46" s="53"/>
      <c r="BE46" s="52"/>
      <c r="BF46" s="53"/>
      <c r="BG46" s="52"/>
      <c r="BH46" s="53">
        <v>200</v>
      </c>
      <c r="BI46" s="52"/>
      <c r="BJ46" s="53"/>
      <c r="BK46" s="52"/>
      <c r="BL46" s="53"/>
      <c r="BM46" s="52"/>
      <c r="BN46" s="53"/>
      <c r="BO46" s="52"/>
      <c r="BP46" s="53"/>
      <c r="BQ46" s="52"/>
      <c r="BR46" s="53"/>
      <c r="BS46" s="52"/>
      <c r="BT46" s="53"/>
      <c r="BU46" s="52"/>
      <c r="BV46" s="53"/>
      <c r="BW46" s="52"/>
      <c r="BX46" s="53"/>
      <c r="BY46" s="52"/>
      <c r="BZ46" s="53"/>
      <c r="CA46" s="52"/>
      <c r="CB46" s="53"/>
      <c r="CC46" s="52"/>
      <c r="CD46" s="53"/>
      <c r="CE46" s="52"/>
      <c r="CF46" s="53"/>
      <c r="CG46" s="52"/>
      <c r="CH46" s="53"/>
      <c r="CI46" s="52"/>
      <c r="CJ46" s="53"/>
      <c r="CK46" s="52"/>
      <c r="CL46" s="53"/>
      <c r="CM46" s="52"/>
      <c r="CN46" s="53"/>
      <c r="CO46" s="52"/>
      <c r="CP46" s="53"/>
      <c r="CQ46" s="52"/>
      <c r="CR46" s="53"/>
      <c r="CS46" s="52"/>
      <c r="CT46" s="53"/>
      <c r="CU46" s="52"/>
      <c r="CV46" s="53"/>
      <c r="CW46" s="52"/>
      <c r="CX46" s="53"/>
      <c r="CY46" s="52"/>
      <c r="CZ46" s="53"/>
    </row>
    <row r="47" spans="1:104" x14ac:dyDescent="0.25">
      <c r="A47" s="56"/>
      <c r="B47" s="55" t="s">
        <v>991</v>
      </c>
      <c r="C47" s="55"/>
      <c r="D47" s="55"/>
      <c r="E47" s="55"/>
      <c r="F47" s="55"/>
      <c r="G47" s="57"/>
      <c r="H47" s="58"/>
      <c r="I47" s="57"/>
      <c r="J47" s="58"/>
      <c r="K47" s="57"/>
      <c r="L47" s="58"/>
      <c r="M47" s="57"/>
      <c r="N47" s="58"/>
      <c r="O47" s="57"/>
      <c r="P47" s="58"/>
      <c r="Q47" s="57"/>
      <c r="R47" s="58"/>
      <c r="S47" s="57"/>
      <c r="T47" s="58"/>
      <c r="U47" s="57"/>
      <c r="V47" s="58"/>
      <c r="W47" s="57"/>
      <c r="X47" s="58"/>
      <c r="Y47" s="57"/>
      <c r="Z47" s="58"/>
      <c r="AA47" s="57"/>
      <c r="AB47" s="58"/>
      <c r="AC47" s="57"/>
      <c r="AD47" s="58"/>
      <c r="AE47" s="57"/>
      <c r="AF47" s="58"/>
      <c r="AG47" s="57"/>
      <c r="AH47" s="58"/>
      <c r="AI47" s="57"/>
      <c r="AJ47" s="58"/>
      <c r="AK47" s="57"/>
      <c r="AL47" s="58"/>
      <c r="AM47" s="57"/>
      <c r="AN47" s="58"/>
      <c r="AO47" s="57"/>
      <c r="AP47" s="58"/>
      <c r="AQ47" s="57"/>
      <c r="AR47" s="58"/>
      <c r="AS47" s="57"/>
      <c r="AT47" s="58"/>
      <c r="AU47" s="57"/>
      <c r="AV47" s="58"/>
      <c r="AW47" s="57"/>
      <c r="AX47" s="58"/>
      <c r="AY47" s="57"/>
      <c r="AZ47" s="58"/>
      <c r="BA47" s="57"/>
      <c r="BB47" s="58"/>
      <c r="BC47" s="57"/>
      <c r="BD47" s="58"/>
      <c r="BE47" s="57"/>
      <c r="BF47" s="58"/>
      <c r="BG47" s="57"/>
      <c r="BH47" s="58"/>
      <c r="BI47" s="57"/>
      <c r="BJ47" s="58"/>
      <c r="BK47" s="57"/>
      <c r="BL47" s="58"/>
      <c r="BM47" s="57"/>
      <c r="BN47" s="58"/>
      <c r="BO47" s="57"/>
      <c r="BP47" s="58"/>
      <c r="BQ47" s="57"/>
      <c r="BR47" s="58"/>
      <c r="BS47" s="57"/>
      <c r="BT47" s="58"/>
      <c r="BU47" s="57"/>
      <c r="BV47" s="58"/>
      <c r="BW47" s="57"/>
      <c r="BX47" s="58"/>
      <c r="BY47" s="57"/>
      <c r="BZ47" s="58"/>
      <c r="CA47" s="57"/>
      <c r="CB47" s="58"/>
      <c r="CC47" s="57"/>
      <c r="CD47" s="58"/>
      <c r="CE47" s="57"/>
      <c r="CF47" s="58"/>
      <c r="CG47" s="57"/>
      <c r="CH47" s="58"/>
      <c r="CI47" s="57"/>
      <c r="CJ47" s="58"/>
      <c r="CK47" s="57"/>
      <c r="CL47" s="58"/>
      <c r="CM47" s="57"/>
      <c r="CN47" s="58"/>
      <c r="CO47" s="57"/>
      <c r="CP47" s="58"/>
      <c r="CQ47" s="57"/>
      <c r="CR47" s="58"/>
      <c r="CS47" s="57"/>
      <c r="CT47" s="58"/>
      <c r="CU47" s="57"/>
      <c r="CV47" s="58"/>
      <c r="CW47" s="57"/>
      <c r="CX47" s="58"/>
      <c r="CY47" s="57"/>
      <c r="CZ47" s="58"/>
    </row>
    <row r="48" spans="1:104" x14ac:dyDescent="0.25">
      <c r="A48" s="56"/>
      <c r="B48" s="55"/>
      <c r="C48" s="66" t="s">
        <v>990</v>
      </c>
      <c r="D48" s="55"/>
      <c r="E48" s="55"/>
      <c r="F48" s="55"/>
      <c r="G48" s="57"/>
      <c r="H48" s="58"/>
      <c r="I48" s="57"/>
      <c r="J48" s="58"/>
      <c r="K48" s="57"/>
      <c r="L48" s="58"/>
      <c r="M48" s="57"/>
      <c r="N48" s="58"/>
      <c r="O48" s="57"/>
      <c r="P48" s="58"/>
      <c r="Q48" s="57"/>
      <c r="R48" s="58"/>
      <c r="S48" s="57"/>
      <c r="T48" s="58"/>
      <c r="U48" s="57"/>
      <c r="V48" s="58"/>
      <c r="W48" s="57"/>
      <c r="X48" s="58"/>
      <c r="Y48" s="57"/>
      <c r="Z48" s="58"/>
      <c r="AA48" s="57"/>
      <c r="AB48" s="58"/>
      <c r="AC48" s="57"/>
      <c r="AD48" s="58"/>
      <c r="AE48" s="57"/>
      <c r="AF48" s="58"/>
      <c r="AG48" s="57"/>
      <c r="AH48" s="58"/>
      <c r="AI48" s="57"/>
      <c r="AJ48" s="58"/>
      <c r="AK48" s="57"/>
      <c r="AL48" s="58"/>
      <c r="AM48" s="57"/>
      <c r="AN48" s="58"/>
      <c r="AO48" s="57"/>
      <c r="AP48" s="58"/>
      <c r="AQ48" s="57"/>
      <c r="AR48" s="58"/>
      <c r="AS48" s="57"/>
      <c r="AT48" s="58"/>
      <c r="AU48" s="57"/>
      <c r="AV48" s="58"/>
      <c r="AW48" s="57"/>
      <c r="AX48" s="58"/>
      <c r="AY48" s="57"/>
      <c r="AZ48" s="58"/>
      <c r="BA48" s="57"/>
      <c r="BB48" s="58"/>
      <c r="BC48" s="57"/>
      <c r="BD48" s="58"/>
      <c r="BE48" s="57"/>
      <c r="BF48" s="58"/>
      <c r="BG48" s="57"/>
      <c r="BH48" s="58"/>
      <c r="BI48" s="57"/>
      <c r="BJ48" s="58"/>
      <c r="BK48" s="57"/>
      <c r="BL48" s="58"/>
      <c r="BM48" s="57"/>
      <c r="BN48" s="58"/>
      <c r="BO48" s="57"/>
      <c r="BP48" s="58"/>
      <c r="BQ48" s="57"/>
      <c r="BR48" s="58"/>
      <c r="BS48" s="57"/>
      <c r="BT48" s="58"/>
      <c r="BU48" s="57"/>
      <c r="BV48" s="58"/>
      <c r="BW48" s="57"/>
      <c r="BX48" s="58"/>
      <c r="BY48" s="57"/>
      <c r="BZ48" s="58"/>
      <c r="CA48" s="57"/>
      <c r="CB48" s="58"/>
      <c r="CC48" s="57"/>
      <c r="CD48" s="58"/>
      <c r="CE48" s="57"/>
      <c r="CF48" s="58"/>
      <c r="CG48" s="57"/>
      <c r="CH48" s="58"/>
      <c r="CI48" s="57"/>
      <c r="CJ48" s="58"/>
      <c r="CK48" s="57"/>
      <c r="CL48" s="58"/>
      <c r="CM48" s="57"/>
      <c r="CN48" s="58"/>
      <c r="CO48" s="57"/>
      <c r="CP48" s="58"/>
      <c r="CQ48" s="57"/>
      <c r="CR48" s="58"/>
      <c r="CS48" s="57"/>
      <c r="CT48" s="58"/>
      <c r="CU48" s="57"/>
      <c r="CV48" s="58"/>
      <c r="CW48" s="57"/>
      <c r="CX48" s="58"/>
      <c r="CY48" s="57"/>
      <c r="CZ48" s="58"/>
    </row>
    <row r="49" spans="1:104" ht="11.1" customHeight="1" x14ac:dyDescent="0.25">
      <c r="A49" s="61"/>
      <c r="B49" s="60"/>
      <c r="C49" s="60"/>
      <c r="D49" s="60"/>
      <c r="E49" s="60"/>
      <c r="F49" s="60"/>
      <c r="G49" s="62"/>
      <c r="H49" s="63"/>
      <c r="I49" s="62"/>
      <c r="J49" s="63"/>
      <c r="K49" s="62"/>
      <c r="L49" s="63"/>
      <c r="M49" s="62"/>
      <c r="N49" s="63"/>
      <c r="O49" s="62"/>
      <c r="P49" s="63"/>
      <c r="Q49" s="62"/>
      <c r="R49" s="63"/>
      <c r="S49" s="62"/>
      <c r="T49" s="63"/>
      <c r="U49" s="62"/>
      <c r="V49" s="63"/>
      <c r="W49" s="62"/>
      <c r="X49" s="63"/>
      <c r="Y49" s="62"/>
      <c r="Z49" s="63"/>
      <c r="AA49" s="62"/>
      <c r="AB49" s="63"/>
      <c r="AC49" s="62"/>
      <c r="AD49" s="63"/>
      <c r="AE49" s="62"/>
      <c r="AF49" s="63"/>
      <c r="AG49" s="62"/>
      <c r="AH49" s="63"/>
      <c r="AI49" s="62"/>
      <c r="AJ49" s="63"/>
      <c r="AK49" s="62"/>
      <c r="AL49" s="63"/>
      <c r="AM49" s="62"/>
      <c r="AN49" s="63"/>
      <c r="AO49" s="62"/>
      <c r="AP49" s="63"/>
      <c r="AQ49" s="62"/>
      <c r="AR49" s="63"/>
      <c r="AS49" s="62"/>
      <c r="AT49" s="63"/>
      <c r="AU49" s="62"/>
      <c r="AV49" s="63"/>
      <c r="AW49" s="62"/>
      <c r="AX49" s="63"/>
      <c r="AY49" s="62"/>
      <c r="AZ49" s="63"/>
      <c r="BA49" s="62"/>
      <c r="BB49" s="63"/>
      <c r="BC49" s="62"/>
      <c r="BD49" s="63"/>
      <c r="BE49" s="62"/>
      <c r="BF49" s="63"/>
      <c r="BG49" s="62"/>
      <c r="BH49" s="63"/>
      <c r="BI49" s="62"/>
      <c r="BJ49" s="63"/>
      <c r="BK49" s="62"/>
      <c r="BL49" s="63"/>
      <c r="BM49" s="62"/>
      <c r="BN49" s="63"/>
      <c r="BO49" s="62"/>
      <c r="BP49" s="63"/>
      <c r="BQ49" s="62"/>
      <c r="BR49" s="63"/>
      <c r="BS49" s="62"/>
      <c r="BT49" s="63"/>
      <c r="BU49" s="62"/>
      <c r="BV49" s="63"/>
      <c r="BW49" s="62"/>
      <c r="BX49" s="63"/>
      <c r="BY49" s="62"/>
      <c r="BZ49" s="63"/>
      <c r="CA49" s="62"/>
      <c r="CB49" s="63"/>
      <c r="CC49" s="62"/>
      <c r="CD49" s="63"/>
      <c r="CE49" s="62"/>
      <c r="CF49" s="63"/>
      <c r="CG49" s="62"/>
      <c r="CH49" s="63"/>
      <c r="CI49" s="62"/>
      <c r="CJ49" s="63"/>
      <c r="CK49" s="62"/>
      <c r="CL49" s="63"/>
      <c r="CM49" s="62"/>
      <c r="CN49" s="63"/>
      <c r="CO49" s="62"/>
      <c r="CP49" s="63"/>
      <c r="CQ49" s="62"/>
      <c r="CR49" s="63"/>
      <c r="CS49" s="62"/>
      <c r="CT49" s="63"/>
      <c r="CU49" s="62"/>
      <c r="CV49" s="63"/>
      <c r="CW49" s="62"/>
      <c r="CX49" s="63"/>
      <c r="CY49" s="62"/>
      <c r="CZ49" s="63"/>
    </row>
    <row r="50" spans="1:104" x14ac:dyDescent="0.25">
      <c r="A50" s="51" t="str">
        <f>D50&amp;C50</f>
        <v>DIVTS16FFC1TO128A_main</v>
      </c>
      <c r="B50" s="2" t="str">
        <f>VLOOKUP($D50&amp;"_"&amp;B$3,MDB,6,0)</f>
        <v>HSDIVIDER</v>
      </c>
      <c r="C50" s="2" t="s">
        <v>62</v>
      </c>
      <c r="D50" s="2" t="s">
        <v>85</v>
      </c>
      <c r="E50" s="2" t="str">
        <f>VLOOKUP($D50&amp;"_"&amp;E$3,MDB,6,0)</f>
        <v>5 Analog</v>
      </c>
      <c r="F50" s="2" t="str">
        <f>VLOOKUP($D50&amp;"_"&amp;F$3,MDB,6,0)</f>
        <v>Clocking</v>
      </c>
      <c r="G50" s="52">
        <v>1</v>
      </c>
      <c r="H50" s="65">
        <v>300</v>
      </c>
      <c r="I50" s="52"/>
      <c r="J50" s="65">
        <v>300</v>
      </c>
      <c r="K50" s="52"/>
      <c r="L50" s="65">
        <v>0</v>
      </c>
      <c r="M50" s="52"/>
      <c r="N50" s="65">
        <v>200</v>
      </c>
      <c r="O50" s="52"/>
      <c r="P50" s="65">
        <v>300</v>
      </c>
      <c r="Q50" s="52"/>
      <c r="R50" s="65">
        <v>300</v>
      </c>
      <c r="S50" s="52"/>
      <c r="T50" s="65">
        <v>300</v>
      </c>
      <c r="U50" s="52"/>
      <c r="V50" s="65">
        <v>300</v>
      </c>
      <c r="W50" s="52"/>
      <c r="X50" s="65">
        <v>300</v>
      </c>
      <c r="Y50" s="52"/>
      <c r="Z50" s="65">
        <v>300</v>
      </c>
      <c r="AA50" s="52"/>
      <c r="AB50" s="65">
        <v>300</v>
      </c>
      <c r="AC50" s="52"/>
      <c r="AD50" s="65">
        <v>300</v>
      </c>
      <c r="AE50" s="52"/>
      <c r="AF50" s="65">
        <v>300</v>
      </c>
      <c r="AG50" s="52"/>
      <c r="AH50" s="65">
        <v>300</v>
      </c>
      <c r="AI50" s="52"/>
      <c r="AJ50" s="65">
        <v>0</v>
      </c>
      <c r="AK50" s="52"/>
      <c r="AL50" s="65">
        <v>50</v>
      </c>
      <c r="AM50" s="52"/>
      <c r="AN50" s="65">
        <v>50</v>
      </c>
      <c r="AO50" s="52"/>
      <c r="AP50" s="65">
        <v>200</v>
      </c>
      <c r="AQ50" s="52"/>
      <c r="AR50" s="65">
        <v>200</v>
      </c>
      <c r="AS50" s="52"/>
      <c r="AT50" s="65">
        <v>200</v>
      </c>
      <c r="AU50" s="52"/>
      <c r="AV50" s="65">
        <v>300</v>
      </c>
      <c r="AW50" s="52"/>
      <c r="AX50" s="65">
        <v>300</v>
      </c>
      <c r="AY50" s="52"/>
      <c r="AZ50" s="65">
        <v>300</v>
      </c>
      <c r="BA50" s="52"/>
      <c r="BB50" s="65">
        <v>300</v>
      </c>
      <c r="BC50" s="52"/>
      <c r="BD50" s="65">
        <v>300</v>
      </c>
      <c r="BE50" s="52"/>
      <c r="BF50" s="65">
        <v>300</v>
      </c>
      <c r="BG50" s="52"/>
      <c r="BH50" s="65">
        <v>300</v>
      </c>
      <c r="BI50" s="52"/>
      <c r="BJ50" s="65">
        <v>300</v>
      </c>
      <c r="BK50" s="52"/>
      <c r="BL50" s="65">
        <v>300</v>
      </c>
      <c r="BM50" s="52"/>
      <c r="BN50" s="65">
        <v>300</v>
      </c>
      <c r="BO50" s="52"/>
      <c r="BP50" s="65">
        <v>300</v>
      </c>
      <c r="BQ50" s="52"/>
      <c r="BR50" s="65">
        <v>300</v>
      </c>
      <c r="BS50" s="52"/>
      <c r="BT50" s="65">
        <v>300</v>
      </c>
      <c r="BU50" s="52"/>
      <c r="BV50" s="65">
        <v>300</v>
      </c>
      <c r="BW50" s="52"/>
      <c r="BX50" s="65">
        <v>300</v>
      </c>
      <c r="BY50" s="52"/>
      <c r="BZ50" s="65">
        <v>300</v>
      </c>
      <c r="CA50" s="52"/>
      <c r="CB50" s="65">
        <v>300</v>
      </c>
      <c r="CC50" s="52"/>
      <c r="CD50" s="65">
        <v>300</v>
      </c>
      <c r="CE50" s="52"/>
      <c r="CF50" s="65">
        <v>300</v>
      </c>
      <c r="CG50" s="52"/>
      <c r="CH50" s="65">
        <v>300</v>
      </c>
      <c r="CI50" s="52"/>
      <c r="CJ50" s="65">
        <v>300</v>
      </c>
      <c r="CK50" s="52"/>
      <c r="CL50" s="65">
        <v>300</v>
      </c>
      <c r="CM50" s="52"/>
      <c r="CN50" s="65">
        <v>300</v>
      </c>
      <c r="CO50" s="52"/>
      <c r="CP50" s="65">
        <v>300</v>
      </c>
      <c r="CQ50" s="52"/>
      <c r="CR50" s="65">
        <v>300</v>
      </c>
      <c r="CS50" s="52"/>
      <c r="CT50" s="65">
        <v>300</v>
      </c>
      <c r="CU50" s="52"/>
      <c r="CV50" s="65">
        <v>300</v>
      </c>
      <c r="CW50" s="52"/>
      <c r="CX50" s="65">
        <v>300</v>
      </c>
      <c r="CY50" s="52"/>
      <c r="CZ50" s="65">
        <v>300</v>
      </c>
    </row>
    <row r="51" spans="1:104" ht="11.1" customHeight="1" x14ac:dyDescent="0.25">
      <c r="A51" s="61"/>
      <c r="B51" s="60"/>
      <c r="C51" s="60"/>
      <c r="D51" s="60"/>
      <c r="E51" s="60"/>
      <c r="F51" s="60"/>
      <c r="G51" s="62"/>
      <c r="H51" s="63"/>
      <c r="I51" s="62"/>
      <c r="J51" s="63"/>
      <c r="K51" s="62"/>
      <c r="L51" s="63"/>
      <c r="M51" s="62"/>
      <c r="N51" s="63"/>
      <c r="O51" s="62"/>
      <c r="P51" s="63"/>
      <c r="Q51" s="62"/>
      <c r="R51" s="63"/>
      <c r="S51" s="62"/>
      <c r="T51" s="63"/>
      <c r="U51" s="62"/>
      <c r="V51" s="63"/>
      <c r="W51" s="62"/>
      <c r="X51" s="63"/>
      <c r="Y51" s="62"/>
      <c r="Z51" s="63"/>
      <c r="AA51" s="62"/>
      <c r="AB51" s="63"/>
      <c r="AC51" s="62"/>
      <c r="AD51" s="63"/>
      <c r="AE51" s="62"/>
      <c r="AF51" s="63"/>
      <c r="AG51" s="62"/>
      <c r="AH51" s="63"/>
      <c r="AI51" s="62"/>
      <c r="AJ51" s="63"/>
      <c r="AK51" s="62"/>
      <c r="AL51" s="63"/>
      <c r="AM51" s="62"/>
      <c r="AN51" s="63"/>
      <c r="AO51" s="62"/>
      <c r="AP51" s="63"/>
      <c r="AQ51" s="62"/>
      <c r="AR51" s="63"/>
      <c r="AS51" s="62"/>
      <c r="AT51" s="63"/>
      <c r="AU51" s="62"/>
      <c r="AV51" s="63"/>
      <c r="AW51" s="62"/>
      <c r="AX51" s="63"/>
      <c r="AY51" s="62"/>
      <c r="AZ51" s="63"/>
      <c r="BA51" s="62"/>
      <c r="BB51" s="63"/>
      <c r="BC51" s="62"/>
      <c r="BD51" s="63"/>
      <c r="BE51" s="62"/>
      <c r="BF51" s="63"/>
      <c r="BG51" s="62"/>
      <c r="BH51" s="63"/>
      <c r="BI51" s="62"/>
      <c r="BJ51" s="63"/>
      <c r="BK51" s="62"/>
      <c r="BL51" s="63"/>
      <c r="BM51" s="62"/>
      <c r="BN51" s="63"/>
      <c r="BO51" s="62"/>
      <c r="BP51" s="63"/>
      <c r="BQ51" s="62"/>
      <c r="BR51" s="63"/>
      <c r="BS51" s="62"/>
      <c r="BT51" s="63"/>
      <c r="BU51" s="62"/>
      <c r="BV51" s="63"/>
      <c r="BW51" s="62"/>
      <c r="BX51" s="63"/>
      <c r="BY51" s="62"/>
      <c r="BZ51" s="63"/>
      <c r="CA51" s="62"/>
      <c r="CB51" s="63"/>
      <c r="CC51" s="62"/>
      <c r="CD51" s="63"/>
      <c r="CE51" s="62"/>
      <c r="CF51" s="63"/>
      <c r="CG51" s="62"/>
      <c r="CH51" s="63"/>
      <c r="CI51" s="62"/>
      <c r="CJ51" s="63"/>
      <c r="CK51" s="62"/>
      <c r="CL51" s="63"/>
      <c r="CM51" s="62"/>
      <c r="CN51" s="63"/>
      <c r="CO51" s="62"/>
      <c r="CP51" s="63"/>
      <c r="CQ51" s="62"/>
      <c r="CR51" s="63"/>
      <c r="CS51" s="62"/>
      <c r="CT51" s="63"/>
      <c r="CU51" s="62"/>
      <c r="CV51" s="63"/>
      <c r="CW51" s="62"/>
      <c r="CX51" s="63"/>
      <c r="CY51" s="62"/>
      <c r="CZ51" s="63"/>
    </row>
    <row r="52" spans="1:104" x14ac:dyDescent="0.25">
      <c r="A52" s="51" t="str">
        <f t="shared" ref="A52:A60" si="4">D52&amp;C52</f>
        <v>PLLTS16FFCLAFRACF_ARM0_PLL</v>
      </c>
      <c r="B52" s="2" t="str">
        <f t="shared" ref="B52:B80" si="5">VLOOKUP($D52&amp;"_"&amp;B$3,MDB,6,0)</f>
        <v>ADPLL - FRACF</v>
      </c>
      <c r="C52" s="2" t="s">
        <v>105</v>
      </c>
      <c r="D52" s="2" t="s">
        <v>78</v>
      </c>
      <c r="E52" s="2" t="str">
        <f t="shared" ref="E52:F60" si="6">VLOOKUP($D52&amp;"_"&amp;E$3,MDB,6,0)</f>
        <v>5 Analog</v>
      </c>
      <c r="F52" s="2" t="str">
        <f t="shared" si="6"/>
        <v>Clocking</v>
      </c>
      <c r="G52" s="52">
        <v>1</v>
      </c>
      <c r="H52" s="65">
        <v>2500</v>
      </c>
      <c r="I52" s="52"/>
      <c r="J52" s="65">
        <v>0</v>
      </c>
      <c r="K52" s="52"/>
      <c r="L52" s="65">
        <v>0</v>
      </c>
      <c r="M52" s="52"/>
      <c r="N52" s="65">
        <v>0</v>
      </c>
      <c r="O52" s="52"/>
      <c r="P52" s="65">
        <v>2500</v>
      </c>
      <c r="Q52" s="52"/>
      <c r="R52" s="65">
        <v>2500</v>
      </c>
      <c r="S52" s="52"/>
      <c r="T52" s="65">
        <v>2500</v>
      </c>
      <c r="U52" s="52"/>
      <c r="V52" s="65">
        <v>2500</v>
      </c>
      <c r="W52" s="52"/>
      <c r="X52" s="65">
        <v>2500</v>
      </c>
      <c r="Y52" s="52"/>
      <c r="Z52" s="65">
        <v>2500</v>
      </c>
      <c r="AA52" s="52"/>
      <c r="AB52" s="65">
        <v>2500</v>
      </c>
      <c r="AC52" s="52"/>
      <c r="AD52" s="65">
        <v>2500</v>
      </c>
      <c r="AE52" s="52"/>
      <c r="AF52" s="65">
        <v>2500</v>
      </c>
      <c r="AG52" s="52"/>
      <c r="AH52" s="65">
        <v>2500</v>
      </c>
      <c r="AI52" s="52"/>
      <c r="AJ52" s="65">
        <v>0</v>
      </c>
      <c r="AK52" s="52"/>
      <c r="AL52" s="65">
        <v>0</v>
      </c>
      <c r="AM52" s="52"/>
      <c r="AN52" s="65">
        <v>0</v>
      </c>
      <c r="AO52" s="52"/>
      <c r="AP52" s="65">
        <v>0</v>
      </c>
      <c r="AQ52" s="52"/>
      <c r="AR52" s="65">
        <v>2500</v>
      </c>
      <c r="AS52" s="52"/>
      <c r="AT52" s="65">
        <v>1250</v>
      </c>
      <c r="AU52" s="52"/>
      <c r="AV52" s="65">
        <v>2500</v>
      </c>
      <c r="AW52" s="52"/>
      <c r="AX52" s="65">
        <v>2500</v>
      </c>
      <c r="AY52" s="52"/>
      <c r="AZ52" s="65">
        <v>2500</v>
      </c>
      <c r="BA52" s="52"/>
      <c r="BB52" s="65">
        <v>2500</v>
      </c>
      <c r="BC52" s="52"/>
      <c r="BD52" s="65">
        <v>2500</v>
      </c>
      <c r="BE52" s="52"/>
      <c r="BF52" s="65">
        <v>2500</v>
      </c>
      <c r="BG52" s="52"/>
      <c r="BH52" s="65">
        <v>500</v>
      </c>
      <c r="BI52" s="52"/>
      <c r="BJ52" s="65">
        <v>2500</v>
      </c>
      <c r="BK52" s="52"/>
      <c r="BL52" s="65">
        <v>2500</v>
      </c>
      <c r="BM52" s="52"/>
      <c r="BN52" s="65">
        <v>2500</v>
      </c>
      <c r="BO52" s="52"/>
      <c r="BP52" s="65">
        <v>2500</v>
      </c>
      <c r="BQ52" s="52"/>
      <c r="BR52" s="65">
        <v>2500</v>
      </c>
      <c r="BS52" s="52"/>
      <c r="BT52" s="65">
        <v>2500</v>
      </c>
      <c r="BU52" s="52"/>
      <c r="BV52" s="65">
        <v>2500</v>
      </c>
      <c r="BW52" s="52"/>
      <c r="BX52" s="65">
        <v>2500</v>
      </c>
      <c r="BY52" s="52"/>
      <c r="BZ52" s="65">
        <v>2500</v>
      </c>
      <c r="CA52" s="52"/>
      <c r="CB52" s="65">
        <v>2500</v>
      </c>
      <c r="CC52" s="52"/>
      <c r="CD52" s="65">
        <v>2500</v>
      </c>
      <c r="CE52" s="52"/>
      <c r="CF52" s="65">
        <v>2500</v>
      </c>
      <c r="CG52" s="52"/>
      <c r="CH52" s="65">
        <v>2500</v>
      </c>
      <c r="CI52" s="52"/>
      <c r="CJ52" s="65">
        <v>2500</v>
      </c>
      <c r="CK52" s="52"/>
      <c r="CL52" s="65">
        <v>2500</v>
      </c>
      <c r="CM52" s="52"/>
      <c r="CN52" s="65">
        <v>2500</v>
      </c>
      <c r="CO52" s="52"/>
      <c r="CP52" s="65">
        <v>2500</v>
      </c>
      <c r="CQ52" s="52"/>
      <c r="CR52" s="65">
        <v>2500</v>
      </c>
      <c r="CS52" s="52"/>
      <c r="CT52" s="65">
        <v>2500</v>
      </c>
      <c r="CU52" s="52"/>
      <c r="CV52" s="65">
        <v>2500</v>
      </c>
      <c r="CW52" s="52"/>
      <c r="CX52" s="65">
        <v>2500</v>
      </c>
      <c r="CY52" s="52"/>
      <c r="CZ52" s="65">
        <v>2500</v>
      </c>
    </row>
    <row r="53" spans="1:104" x14ac:dyDescent="0.25">
      <c r="A53" s="51" t="str">
        <f t="shared" si="4"/>
        <v>PLLTS16FFCLAFRACF_DSS0_PLL</v>
      </c>
      <c r="B53" s="2" t="str">
        <f t="shared" si="5"/>
        <v>ADPLL - FRACF</v>
      </c>
      <c r="C53" s="2" t="s">
        <v>107</v>
      </c>
      <c r="D53" s="2" t="s">
        <v>78</v>
      </c>
      <c r="E53" s="2" t="str">
        <f t="shared" si="6"/>
        <v>5 Analog</v>
      </c>
      <c r="F53" s="2" t="str">
        <f t="shared" si="6"/>
        <v>Clocking</v>
      </c>
      <c r="G53" s="52">
        <v>1</v>
      </c>
      <c r="H53" s="65">
        <v>2000</v>
      </c>
      <c r="I53" s="52"/>
      <c r="J53" s="65">
        <v>2000</v>
      </c>
      <c r="K53" s="52"/>
      <c r="L53" s="65">
        <v>0</v>
      </c>
      <c r="M53" s="52"/>
      <c r="N53" s="65">
        <v>0</v>
      </c>
      <c r="O53" s="52"/>
      <c r="P53" s="65">
        <v>2000</v>
      </c>
      <c r="Q53" s="52"/>
      <c r="R53" s="65">
        <v>2000</v>
      </c>
      <c r="S53" s="52"/>
      <c r="T53" s="65">
        <v>2000</v>
      </c>
      <c r="U53" s="52"/>
      <c r="V53" s="65">
        <v>2000</v>
      </c>
      <c r="W53" s="52"/>
      <c r="X53" s="65">
        <v>0</v>
      </c>
      <c r="Y53" s="52"/>
      <c r="Z53" s="65">
        <v>0</v>
      </c>
      <c r="AA53" s="52"/>
      <c r="AB53" s="65">
        <v>0</v>
      </c>
      <c r="AC53" s="52"/>
      <c r="AD53" s="65">
        <v>0</v>
      </c>
      <c r="AE53" s="52"/>
      <c r="AF53" s="65">
        <v>2000</v>
      </c>
      <c r="AG53" s="52"/>
      <c r="AH53" s="65">
        <v>2000</v>
      </c>
      <c r="AI53" s="52"/>
      <c r="AJ53" s="65">
        <v>0</v>
      </c>
      <c r="AK53" s="52"/>
      <c r="AL53" s="65">
        <v>0</v>
      </c>
      <c r="AM53" s="52"/>
      <c r="AN53" s="65">
        <v>0</v>
      </c>
      <c r="AO53" s="52"/>
      <c r="AP53" s="65">
        <v>0</v>
      </c>
      <c r="AQ53" s="52"/>
      <c r="AR53" s="65">
        <v>0</v>
      </c>
      <c r="AS53" s="52"/>
      <c r="AT53" s="65">
        <v>0</v>
      </c>
      <c r="AU53" s="52"/>
      <c r="AV53" s="65">
        <v>2000</v>
      </c>
      <c r="AW53" s="52"/>
      <c r="AX53" s="65">
        <v>2000</v>
      </c>
      <c r="AY53" s="52"/>
      <c r="AZ53" s="65">
        <v>0</v>
      </c>
      <c r="BA53" s="52"/>
      <c r="BB53" s="65">
        <v>0</v>
      </c>
      <c r="BC53" s="52"/>
      <c r="BD53" s="65">
        <v>0</v>
      </c>
      <c r="BE53" s="52"/>
      <c r="BF53" s="65">
        <v>2000</v>
      </c>
      <c r="BG53" s="52"/>
      <c r="BH53" s="65">
        <v>2000</v>
      </c>
      <c r="BI53" s="52"/>
      <c r="BJ53" s="65">
        <v>0</v>
      </c>
      <c r="BK53" s="52"/>
      <c r="BL53" s="65">
        <v>2000</v>
      </c>
      <c r="BM53" s="52"/>
      <c r="BN53" s="65">
        <v>2000</v>
      </c>
      <c r="BO53" s="52"/>
      <c r="BP53" s="65">
        <v>2000</v>
      </c>
      <c r="BQ53" s="52"/>
      <c r="BR53" s="65">
        <v>2000</v>
      </c>
      <c r="BS53" s="52"/>
      <c r="BT53" s="65">
        <v>2000</v>
      </c>
      <c r="BU53" s="52"/>
      <c r="BV53" s="65">
        <v>2000</v>
      </c>
      <c r="BW53" s="52"/>
      <c r="BX53" s="65">
        <v>2000</v>
      </c>
      <c r="BY53" s="52"/>
      <c r="BZ53" s="65">
        <v>2000</v>
      </c>
      <c r="CA53" s="52"/>
      <c r="CB53" s="65">
        <v>2000</v>
      </c>
      <c r="CC53" s="52"/>
      <c r="CD53" s="65">
        <v>2000</v>
      </c>
      <c r="CE53" s="52"/>
      <c r="CF53" s="65">
        <v>2000</v>
      </c>
      <c r="CG53" s="52"/>
      <c r="CH53" s="65">
        <v>2000</v>
      </c>
      <c r="CI53" s="52"/>
      <c r="CJ53" s="65">
        <v>2000</v>
      </c>
      <c r="CK53" s="52"/>
      <c r="CL53" s="65">
        <v>2000</v>
      </c>
      <c r="CM53" s="52"/>
      <c r="CN53" s="65">
        <v>2000</v>
      </c>
      <c r="CO53" s="52"/>
      <c r="CP53" s="65">
        <v>2000</v>
      </c>
      <c r="CQ53" s="52"/>
      <c r="CR53" s="65">
        <v>2000</v>
      </c>
      <c r="CS53" s="52"/>
      <c r="CT53" s="65">
        <v>2000</v>
      </c>
      <c r="CU53" s="52"/>
      <c r="CV53" s="65">
        <v>2000</v>
      </c>
      <c r="CW53" s="52"/>
      <c r="CX53" s="65">
        <v>2000</v>
      </c>
      <c r="CY53" s="52"/>
      <c r="CZ53" s="65">
        <v>2000</v>
      </c>
    </row>
    <row r="54" spans="1:104" x14ac:dyDescent="0.25">
      <c r="A54" s="51" t="str">
        <f t="shared" si="4"/>
        <v>PLLTS16FFCLAFRACF_DSS1_PLL</v>
      </c>
      <c r="B54" s="2" t="str">
        <f t="shared" si="5"/>
        <v>ADPLL - FRACF</v>
      </c>
      <c r="C54" s="2" t="s">
        <v>108</v>
      </c>
      <c r="D54" s="2" t="s">
        <v>78</v>
      </c>
      <c r="E54" s="2" t="str">
        <f t="shared" si="6"/>
        <v>5 Analog</v>
      </c>
      <c r="F54" s="2" t="str">
        <f t="shared" si="6"/>
        <v>Clocking</v>
      </c>
      <c r="G54" s="52">
        <v>1</v>
      </c>
      <c r="H54" s="65">
        <v>2250</v>
      </c>
      <c r="I54" s="52"/>
      <c r="J54" s="65">
        <v>2250</v>
      </c>
      <c r="K54" s="52"/>
      <c r="L54" s="65">
        <v>0</v>
      </c>
      <c r="M54" s="52"/>
      <c r="N54" s="65">
        <v>0</v>
      </c>
      <c r="O54" s="52"/>
      <c r="P54" s="65">
        <v>2500</v>
      </c>
      <c r="Q54" s="52"/>
      <c r="R54" s="65">
        <v>2500</v>
      </c>
      <c r="S54" s="52"/>
      <c r="T54" s="65">
        <v>2500</v>
      </c>
      <c r="U54" s="52"/>
      <c r="V54" s="65">
        <v>2500</v>
      </c>
      <c r="W54" s="52"/>
      <c r="X54" s="65">
        <v>0</v>
      </c>
      <c r="Y54" s="52"/>
      <c r="Z54" s="65">
        <v>0</v>
      </c>
      <c r="AA54" s="52"/>
      <c r="AB54" s="65">
        <v>0</v>
      </c>
      <c r="AC54" s="52"/>
      <c r="AD54" s="65">
        <v>0</v>
      </c>
      <c r="AE54" s="52"/>
      <c r="AF54" s="65">
        <v>2500</v>
      </c>
      <c r="AG54" s="52"/>
      <c r="AH54" s="65">
        <v>2500</v>
      </c>
      <c r="AI54" s="52"/>
      <c r="AJ54" s="65">
        <v>0</v>
      </c>
      <c r="AK54" s="52"/>
      <c r="AL54" s="65">
        <v>0</v>
      </c>
      <c r="AM54" s="52"/>
      <c r="AN54" s="65">
        <v>0</v>
      </c>
      <c r="AO54" s="52"/>
      <c r="AP54" s="65">
        <v>0</v>
      </c>
      <c r="AQ54" s="52"/>
      <c r="AR54" s="65">
        <v>0</v>
      </c>
      <c r="AS54" s="52"/>
      <c r="AT54" s="65">
        <v>0</v>
      </c>
      <c r="AU54" s="52"/>
      <c r="AV54" s="65">
        <v>2500</v>
      </c>
      <c r="AW54" s="52"/>
      <c r="AX54" s="65">
        <v>2500</v>
      </c>
      <c r="AY54" s="52"/>
      <c r="AZ54" s="65">
        <v>0</v>
      </c>
      <c r="BA54" s="52"/>
      <c r="BB54" s="65">
        <v>0</v>
      </c>
      <c r="BC54" s="52"/>
      <c r="BD54" s="65">
        <v>0</v>
      </c>
      <c r="BE54" s="52"/>
      <c r="BF54" s="65">
        <v>2500</v>
      </c>
      <c r="BG54" s="52"/>
      <c r="BH54" s="65">
        <v>2500</v>
      </c>
      <c r="BI54" s="52"/>
      <c r="BJ54" s="65">
        <v>0</v>
      </c>
      <c r="BK54" s="52"/>
      <c r="BL54" s="65">
        <v>2500</v>
      </c>
      <c r="BM54" s="52"/>
      <c r="BN54" s="65">
        <v>2500</v>
      </c>
      <c r="BO54" s="52"/>
      <c r="BP54" s="65">
        <v>2500</v>
      </c>
      <c r="BQ54" s="52"/>
      <c r="BR54" s="65">
        <v>2500</v>
      </c>
      <c r="BS54" s="52"/>
      <c r="BT54" s="65">
        <v>2500</v>
      </c>
      <c r="BU54" s="52"/>
      <c r="BV54" s="65">
        <v>2500</v>
      </c>
      <c r="BW54" s="52"/>
      <c r="BX54" s="65">
        <v>2500</v>
      </c>
      <c r="BY54" s="52"/>
      <c r="BZ54" s="65">
        <v>2500</v>
      </c>
      <c r="CA54" s="52"/>
      <c r="CB54" s="65">
        <v>2500</v>
      </c>
      <c r="CC54" s="52"/>
      <c r="CD54" s="65">
        <v>2500</v>
      </c>
      <c r="CE54" s="52"/>
      <c r="CF54" s="65">
        <v>2500</v>
      </c>
      <c r="CG54" s="52"/>
      <c r="CH54" s="65">
        <v>2500</v>
      </c>
      <c r="CI54" s="52"/>
      <c r="CJ54" s="65">
        <v>2500</v>
      </c>
      <c r="CK54" s="52"/>
      <c r="CL54" s="65">
        <v>2500</v>
      </c>
      <c r="CM54" s="52"/>
      <c r="CN54" s="65">
        <v>2500</v>
      </c>
      <c r="CO54" s="52"/>
      <c r="CP54" s="65">
        <v>2500</v>
      </c>
      <c r="CQ54" s="52"/>
      <c r="CR54" s="65">
        <v>2500</v>
      </c>
      <c r="CS54" s="52"/>
      <c r="CT54" s="65">
        <v>2500</v>
      </c>
      <c r="CU54" s="52"/>
      <c r="CV54" s="65">
        <v>2500</v>
      </c>
      <c r="CW54" s="52"/>
      <c r="CX54" s="65">
        <v>2500</v>
      </c>
      <c r="CY54" s="52"/>
      <c r="CZ54" s="65">
        <v>2500</v>
      </c>
    </row>
    <row r="55" spans="1:104" x14ac:dyDescent="0.25">
      <c r="A55" s="51" t="str">
        <f t="shared" si="4"/>
        <v>PLLTS16FFCLAFRACF_SMS</v>
      </c>
      <c r="B55" s="2" t="str">
        <f t="shared" si="5"/>
        <v>ADPLL - FRACF</v>
      </c>
      <c r="C55" s="2" t="s">
        <v>343</v>
      </c>
      <c r="D55" s="2" t="s">
        <v>78</v>
      </c>
      <c r="E55" s="2" t="str">
        <f t="shared" si="6"/>
        <v>5 Analog</v>
      </c>
      <c r="F55" s="2" t="str">
        <f t="shared" si="6"/>
        <v>Clocking</v>
      </c>
      <c r="G55" s="52">
        <v>1</v>
      </c>
      <c r="H55" s="65">
        <v>2000</v>
      </c>
      <c r="I55" s="52"/>
      <c r="J55" s="65">
        <v>2000</v>
      </c>
      <c r="K55" s="52"/>
      <c r="L55" s="65">
        <v>0</v>
      </c>
      <c r="M55" s="52"/>
      <c r="N55" s="65">
        <v>0</v>
      </c>
      <c r="O55" s="52"/>
      <c r="P55" s="65">
        <v>2500</v>
      </c>
      <c r="Q55" s="52"/>
      <c r="R55" s="65">
        <v>2500</v>
      </c>
      <c r="S55" s="52"/>
      <c r="T55" s="65">
        <v>2500</v>
      </c>
      <c r="U55" s="52"/>
      <c r="V55" s="65">
        <v>2500</v>
      </c>
      <c r="W55" s="52"/>
      <c r="X55" s="65">
        <v>2500</v>
      </c>
      <c r="Y55" s="52"/>
      <c r="Z55" s="65">
        <v>2500</v>
      </c>
      <c r="AA55" s="52"/>
      <c r="AB55" s="65">
        <v>2500</v>
      </c>
      <c r="AC55" s="52"/>
      <c r="AD55" s="65">
        <v>2500</v>
      </c>
      <c r="AE55" s="52"/>
      <c r="AF55" s="65">
        <v>2500</v>
      </c>
      <c r="AG55" s="52"/>
      <c r="AH55" s="65">
        <v>2500</v>
      </c>
      <c r="AI55" s="52"/>
      <c r="AJ55" s="65">
        <v>0</v>
      </c>
      <c r="AK55" s="52"/>
      <c r="AL55" s="65">
        <v>0</v>
      </c>
      <c r="AM55" s="52"/>
      <c r="AN55" s="65">
        <v>0</v>
      </c>
      <c r="AO55" s="52"/>
      <c r="AP55" s="65">
        <v>2500</v>
      </c>
      <c r="AQ55" s="52"/>
      <c r="AR55" s="65">
        <v>2500</v>
      </c>
      <c r="AS55" s="52"/>
      <c r="AT55" s="65">
        <v>2500</v>
      </c>
      <c r="AU55" s="52"/>
      <c r="AV55" s="65">
        <v>2500</v>
      </c>
      <c r="AW55" s="52"/>
      <c r="AX55" s="65">
        <v>2500</v>
      </c>
      <c r="AY55" s="52"/>
      <c r="AZ55" s="65">
        <v>2500</v>
      </c>
      <c r="BA55" s="52"/>
      <c r="BB55" s="65">
        <v>2500</v>
      </c>
      <c r="BC55" s="52"/>
      <c r="BD55" s="65">
        <v>2500</v>
      </c>
      <c r="BE55" s="52"/>
      <c r="BF55" s="65">
        <v>2500</v>
      </c>
      <c r="BG55" s="52"/>
      <c r="BH55" s="65">
        <v>2500</v>
      </c>
      <c r="BI55" s="52"/>
      <c r="BJ55" s="65">
        <v>2500</v>
      </c>
      <c r="BK55" s="52"/>
      <c r="BL55" s="65">
        <v>2500</v>
      </c>
      <c r="BM55" s="52"/>
      <c r="BN55" s="65">
        <v>2500</v>
      </c>
      <c r="BO55" s="52"/>
      <c r="BP55" s="65">
        <v>2500</v>
      </c>
      <c r="BQ55" s="52"/>
      <c r="BR55" s="65">
        <v>2500</v>
      </c>
      <c r="BS55" s="52"/>
      <c r="BT55" s="65">
        <v>2500</v>
      </c>
      <c r="BU55" s="52"/>
      <c r="BV55" s="65">
        <v>2500</v>
      </c>
      <c r="BW55" s="52"/>
      <c r="BX55" s="65">
        <v>2500</v>
      </c>
      <c r="BY55" s="52"/>
      <c r="BZ55" s="65">
        <v>2500</v>
      </c>
      <c r="CA55" s="52"/>
      <c r="CB55" s="65">
        <v>2500</v>
      </c>
      <c r="CC55" s="52"/>
      <c r="CD55" s="65">
        <v>2500</v>
      </c>
      <c r="CE55" s="52"/>
      <c r="CF55" s="65">
        <v>2500</v>
      </c>
      <c r="CG55" s="52"/>
      <c r="CH55" s="65">
        <v>2500</v>
      </c>
      <c r="CI55" s="52"/>
      <c r="CJ55" s="65">
        <v>2500</v>
      </c>
      <c r="CK55" s="52"/>
      <c r="CL55" s="65">
        <v>2500</v>
      </c>
      <c r="CM55" s="52"/>
      <c r="CN55" s="65">
        <v>2500</v>
      </c>
      <c r="CO55" s="52"/>
      <c r="CP55" s="65">
        <v>2500</v>
      </c>
      <c r="CQ55" s="52"/>
      <c r="CR55" s="65">
        <v>2500</v>
      </c>
      <c r="CS55" s="52"/>
      <c r="CT55" s="65">
        <v>2500</v>
      </c>
      <c r="CU55" s="52"/>
      <c r="CV55" s="65">
        <v>2500</v>
      </c>
      <c r="CW55" s="52"/>
      <c r="CX55" s="65">
        <v>2500</v>
      </c>
      <c r="CY55" s="52"/>
      <c r="CZ55" s="65">
        <v>2500</v>
      </c>
    </row>
    <row r="56" spans="1:104" x14ac:dyDescent="0.25">
      <c r="A56" s="51" t="str">
        <f t="shared" si="4"/>
        <v>PLLTS16FFCLAFRACF_Main</v>
      </c>
      <c r="B56" s="2" t="str">
        <f t="shared" si="5"/>
        <v>ADPLL - FRACF</v>
      </c>
      <c r="C56" s="2" t="s">
        <v>47</v>
      </c>
      <c r="D56" s="2" t="s">
        <v>78</v>
      </c>
      <c r="E56" s="2" t="str">
        <f t="shared" si="6"/>
        <v>5 Analog</v>
      </c>
      <c r="F56" s="2" t="str">
        <f t="shared" si="6"/>
        <v>Clocking</v>
      </c>
      <c r="G56" s="52">
        <v>1</v>
      </c>
      <c r="H56" s="65">
        <v>3500</v>
      </c>
      <c r="I56" s="52"/>
      <c r="J56" s="65">
        <v>3500</v>
      </c>
      <c r="K56" s="52"/>
      <c r="L56" s="65">
        <v>0</v>
      </c>
      <c r="M56" s="52"/>
      <c r="N56" s="65">
        <v>0</v>
      </c>
      <c r="O56" s="52"/>
      <c r="P56" s="65">
        <v>2000</v>
      </c>
      <c r="Q56" s="52"/>
      <c r="R56" s="65">
        <v>2000</v>
      </c>
      <c r="S56" s="52"/>
      <c r="T56" s="65">
        <v>2000</v>
      </c>
      <c r="U56" s="52"/>
      <c r="V56" s="65">
        <v>2000</v>
      </c>
      <c r="W56" s="52"/>
      <c r="X56" s="65">
        <v>2000</v>
      </c>
      <c r="Y56" s="52"/>
      <c r="Z56" s="65">
        <v>2000</v>
      </c>
      <c r="AA56" s="52"/>
      <c r="AB56" s="65">
        <v>2000</v>
      </c>
      <c r="AC56" s="52"/>
      <c r="AD56" s="65">
        <v>2000</v>
      </c>
      <c r="AE56" s="52"/>
      <c r="AF56" s="65">
        <v>2000</v>
      </c>
      <c r="AG56" s="52"/>
      <c r="AH56" s="65">
        <v>2000</v>
      </c>
      <c r="AI56" s="52"/>
      <c r="AJ56" s="65">
        <v>0</v>
      </c>
      <c r="AK56" s="52"/>
      <c r="AL56" s="65">
        <v>0</v>
      </c>
      <c r="AM56" s="52"/>
      <c r="AN56" s="65">
        <v>0</v>
      </c>
      <c r="AO56" s="52"/>
      <c r="AP56" s="65">
        <v>2000</v>
      </c>
      <c r="AQ56" s="52"/>
      <c r="AR56" s="65">
        <v>2000</v>
      </c>
      <c r="AS56" s="52"/>
      <c r="AT56" s="65">
        <v>2000</v>
      </c>
      <c r="AU56" s="52"/>
      <c r="AV56" s="65">
        <v>2000</v>
      </c>
      <c r="AW56" s="52"/>
      <c r="AX56" s="65">
        <v>2000</v>
      </c>
      <c r="AY56" s="52"/>
      <c r="AZ56" s="65">
        <v>2000</v>
      </c>
      <c r="BA56" s="52"/>
      <c r="BB56" s="65">
        <v>2000</v>
      </c>
      <c r="BC56" s="52"/>
      <c r="BD56" s="65">
        <v>2000</v>
      </c>
      <c r="BE56" s="52"/>
      <c r="BF56" s="65">
        <v>2000</v>
      </c>
      <c r="BG56" s="52"/>
      <c r="BH56" s="65">
        <v>2000</v>
      </c>
      <c r="BI56" s="52"/>
      <c r="BJ56" s="65">
        <v>2000</v>
      </c>
      <c r="BK56" s="52"/>
      <c r="BL56" s="65">
        <v>2000</v>
      </c>
      <c r="BM56" s="52"/>
      <c r="BN56" s="65">
        <v>2000</v>
      </c>
      <c r="BO56" s="52"/>
      <c r="BP56" s="65">
        <v>2000</v>
      </c>
      <c r="BQ56" s="52"/>
      <c r="BR56" s="65">
        <v>2000</v>
      </c>
      <c r="BS56" s="52"/>
      <c r="BT56" s="65">
        <v>2000</v>
      </c>
      <c r="BU56" s="52"/>
      <c r="BV56" s="65">
        <v>2000</v>
      </c>
      <c r="BW56" s="52"/>
      <c r="BX56" s="65">
        <v>2000</v>
      </c>
      <c r="BY56" s="52"/>
      <c r="BZ56" s="65">
        <v>2000</v>
      </c>
      <c r="CA56" s="52"/>
      <c r="CB56" s="65">
        <v>2000</v>
      </c>
      <c r="CC56" s="52"/>
      <c r="CD56" s="65">
        <v>2000</v>
      </c>
      <c r="CE56" s="52"/>
      <c r="CF56" s="65">
        <v>2000</v>
      </c>
      <c r="CG56" s="52"/>
      <c r="CH56" s="65">
        <v>2000</v>
      </c>
      <c r="CI56" s="52"/>
      <c r="CJ56" s="65">
        <v>2000</v>
      </c>
      <c r="CK56" s="52"/>
      <c r="CL56" s="65">
        <v>2000</v>
      </c>
      <c r="CM56" s="52"/>
      <c r="CN56" s="65">
        <v>2000</v>
      </c>
      <c r="CO56" s="52"/>
      <c r="CP56" s="65">
        <v>2000</v>
      </c>
      <c r="CQ56" s="52"/>
      <c r="CR56" s="65">
        <v>2000</v>
      </c>
      <c r="CS56" s="52"/>
      <c r="CT56" s="65">
        <v>2000</v>
      </c>
      <c r="CU56" s="52"/>
      <c r="CV56" s="65">
        <v>2000</v>
      </c>
      <c r="CW56" s="52"/>
      <c r="CX56" s="65">
        <v>2000</v>
      </c>
      <c r="CY56" s="52"/>
      <c r="CZ56" s="65">
        <v>2000</v>
      </c>
    </row>
    <row r="57" spans="1:104" x14ac:dyDescent="0.25">
      <c r="A57" s="51" t="str">
        <f t="shared" si="4"/>
        <v>PLLTS16FFCLAFRACF_MCU_PERIPHERIAL</v>
      </c>
      <c r="B57" s="2" t="str">
        <f t="shared" si="5"/>
        <v>ADPLL - FRACF</v>
      </c>
      <c r="C57" s="2" t="s">
        <v>109</v>
      </c>
      <c r="D57" s="2" t="s">
        <v>78</v>
      </c>
      <c r="E57" s="2" t="str">
        <f t="shared" si="6"/>
        <v>5 Analog</v>
      </c>
      <c r="F57" s="2" t="str">
        <f t="shared" si="6"/>
        <v>Clocking</v>
      </c>
      <c r="G57" s="52">
        <v>1</v>
      </c>
      <c r="H57" s="65">
        <v>2000</v>
      </c>
      <c r="I57" s="52"/>
      <c r="J57" s="65">
        <v>2000</v>
      </c>
      <c r="K57" s="52"/>
      <c r="L57" s="65">
        <v>0</v>
      </c>
      <c r="M57" s="52"/>
      <c r="N57" s="65">
        <v>0</v>
      </c>
      <c r="O57" s="52"/>
      <c r="P57" s="65">
        <v>2500</v>
      </c>
      <c r="Q57" s="52"/>
      <c r="R57" s="65">
        <v>2500</v>
      </c>
      <c r="S57" s="52"/>
      <c r="T57" s="65">
        <v>2500</v>
      </c>
      <c r="U57" s="52"/>
      <c r="V57" s="65">
        <v>2500</v>
      </c>
      <c r="W57" s="52"/>
      <c r="X57" s="65">
        <v>2500</v>
      </c>
      <c r="Y57" s="52"/>
      <c r="Z57" s="65">
        <v>2500</v>
      </c>
      <c r="AA57" s="52"/>
      <c r="AB57" s="65">
        <v>2500</v>
      </c>
      <c r="AC57" s="52"/>
      <c r="AD57" s="65">
        <v>2500</v>
      </c>
      <c r="AE57" s="52"/>
      <c r="AF57" s="65">
        <v>2500</v>
      </c>
      <c r="AG57" s="52"/>
      <c r="AH57" s="65">
        <v>2500</v>
      </c>
      <c r="AI57" s="52"/>
      <c r="AJ57" s="65">
        <v>0</v>
      </c>
      <c r="AK57" s="52"/>
      <c r="AL57" s="65">
        <v>2500</v>
      </c>
      <c r="AM57" s="52"/>
      <c r="AN57" s="65">
        <v>0</v>
      </c>
      <c r="AO57" s="52"/>
      <c r="AP57" s="65">
        <v>2500</v>
      </c>
      <c r="AQ57" s="52"/>
      <c r="AR57" s="65">
        <v>2500</v>
      </c>
      <c r="AS57" s="52"/>
      <c r="AT57" s="65">
        <v>2500</v>
      </c>
      <c r="AU57" s="52"/>
      <c r="AV57" s="65">
        <v>2500</v>
      </c>
      <c r="AW57" s="52"/>
      <c r="AX57" s="65">
        <v>2500</v>
      </c>
      <c r="AY57" s="52"/>
      <c r="AZ57" s="65">
        <v>2500</v>
      </c>
      <c r="BA57" s="52"/>
      <c r="BB57" s="65">
        <v>2500</v>
      </c>
      <c r="BC57" s="52"/>
      <c r="BD57" s="65">
        <v>2500</v>
      </c>
      <c r="BE57" s="52"/>
      <c r="BF57" s="65">
        <v>2500</v>
      </c>
      <c r="BG57" s="52"/>
      <c r="BH57" s="65">
        <v>2500</v>
      </c>
      <c r="BI57" s="52"/>
      <c r="BJ57" s="65">
        <v>2500</v>
      </c>
      <c r="BK57" s="52"/>
      <c r="BL57" s="65">
        <v>2500</v>
      </c>
      <c r="BM57" s="52"/>
      <c r="BN57" s="65">
        <v>2500</v>
      </c>
      <c r="BO57" s="52"/>
      <c r="BP57" s="65">
        <v>2500</v>
      </c>
      <c r="BQ57" s="52"/>
      <c r="BR57" s="65">
        <v>2500</v>
      </c>
      <c r="BS57" s="52"/>
      <c r="BT57" s="65">
        <v>2500</v>
      </c>
      <c r="BU57" s="52"/>
      <c r="BV57" s="65">
        <v>2500</v>
      </c>
      <c r="BW57" s="52"/>
      <c r="BX57" s="65">
        <v>2500</v>
      </c>
      <c r="BY57" s="52"/>
      <c r="BZ57" s="65">
        <v>2500</v>
      </c>
      <c r="CA57" s="52"/>
      <c r="CB57" s="65">
        <v>2500</v>
      </c>
      <c r="CC57" s="52"/>
      <c r="CD57" s="65">
        <v>2500</v>
      </c>
      <c r="CE57" s="52"/>
      <c r="CF57" s="65">
        <v>2500</v>
      </c>
      <c r="CG57" s="52"/>
      <c r="CH57" s="65">
        <v>2500</v>
      </c>
      <c r="CI57" s="52"/>
      <c r="CJ57" s="65">
        <v>2500</v>
      </c>
      <c r="CK57" s="52"/>
      <c r="CL57" s="65">
        <v>2500</v>
      </c>
      <c r="CM57" s="52"/>
      <c r="CN57" s="65">
        <v>2500</v>
      </c>
      <c r="CO57" s="52"/>
      <c r="CP57" s="65">
        <v>2500</v>
      </c>
      <c r="CQ57" s="52"/>
      <c r="CR57" s="65">
        <v>2500</v>
      </c>
      <c r="CS57" s="52"/>
      <c r="CT57" s="65">
        <v>2500</v>
      </c>
      <c r="CU57" s="52"/>
      <c r="CV57" s="65">
        <v>2500</v>
      </c>
      <c r="CW57" s="52"/>
      <c r="CX57" s="65">
        <v>2500</v>
      </c>
      <c r="CY57" s="52"/>
      <c r="CZ57" s="65">
        <v>2500</v>
      </c>
    </row>
    <row r="58" spans="1:104" x14ac:dyDescent="0.25">
      <c r="A58" s="51" t="str">
        <f t="shared" si="4"/>
        <v>PLLTS16FFCLAFRACF_Per0</v>
      </c>
      <c r="B58" s="2" t="str">
        <f t="shared" si="5"/>
        <v>ADPLL - FRACF</v>
      </c>
      <c r="C58" s="2" t="s">
        <v>103</v>
      </c>
      <c r="D58" s="2" t="s">
        <v>78</v>
      </c>
      <c r="E58" s="2" t="str">
        <f t="shared" si="6"/>
        <v>5 Analog</v>
      </c>
      <c r="F58" s="2" t="str">
        <f t="shared" si="6"/>
        <v>Clocking</v>
      </c>
      <c r="G58" s="52">
        <v>1</v>
      </c>
      <c r="H58" s="65">
        <v>2000</v>
      </c>
      <c r="I58" s="52"/>
      <c r="J58" s="65">
        <v>2000</v>
      </c>
      <c r="K58" s="52"/>
      <c r="L58" s="65">
        <v>0</v>
      </c>
      <c r="M58" s="52"/>
      <c r="N58" s="65">
        <v>0</v>
      </c>
      <c r="O58" s="52"/>
      <c r="P58" s="65">
        <v>2000</v>
      </c>
      <c r="Q58" s="52"/>
      <c r="R58" s="65">
        <v>2000</v>
      </c>
      <c r="S58" s="52"/>
      <c r="T58" s="65">
        <v>2000</v>
      </c>
      <c r="U58" s="52"/>
      <c r="V58" s="65">
        <v>2000</v>
      </c>
      <c r="W58" s="52"/>
      <c r="X58" s="65">
        <v>2000</v>
      </c>
      <c r="Y58" s="52"/>
      <c r="Z58" s="65">
        <v>2000</v>
      </c>
      <c r="AA58" s="52"/>
      <c r="AB58" s="65">
        <v>2000</v>
      </c>
      <c r="AC58" s="52"/>
      <c r="AD58" s="65">
        <v>2000</v>
      </c>
      <c r="AE58" s="52"/>
      <c r="AF58" s="65">
        <v>2000</v>
      </c>
      <c r="AG58" s="52"/>
      <c r="AH58" s="65">
        <v>2000</v>
      </c>
      <c r="AI58" s="52"/>
      <c r="AJ58" s="65">
        <v>0</v>
      </c>
      <c r="AK58" s="52"/>
      <c r="AL58" s="65">
        <v>0</v>
      </c>
      <c r="AM58" s="52"/>
      <c r="AN58" s="65">
        <v>0</v>
      </c>
      <c r="AO58" s="52"/>
      <c r="AP58" s="65">
        <v>2000</v>
      </c>
      <c r="AQ58" s="52"/>
      <c r="AR58" s="65">
        <v>2000</v>
      </c>
      <c r="AS58" s="52"/>
      <c r="AT58" s="65">
        <v>2000</v>
      </c>
      <c r="AU58" s="52"/>
      <c r="AV58" s="65">
        <v>2000</v>
      </c>
      <c r="AW58" s="52"/>
      <c r="AX58" s="65">
        <v>2000</v>
      </c>
      <c r="AY58" s="52"/>
      <c r="AZ58" s="65">
        <v>2000</v>
      </c>
      <c r="BA58" s="52"/>
      <c r="BB58" s="65">
        <v>2000</v>
      </c>
      <c r="BC58" s="52"/>
      <c r="BD58" s="65">
        <v>2000</v>
      </c>
      <c r="BE58" s="52"/>
      <c r="BF58" s="65">
        <v>2000</v>
      </c>
      <c r="BG58" s="52"/>
      <c r="BH58" s="65">
        <v>2000</v>
      </c>
      <c r="BI58" s="52"/>
      <c r="BJ58" s="65">
        <v>2000</v>
      </c>
      <c r="BK58" s="52"/>
      <c r="BL58" s="65">
        <v>2000</v>
      </c>
      <c r="BM58" s="52"/>
      <c r="BN58" s="65">
        <v>2000</v>
      </c>
      <c r="BO58" s="52"/>
      <c r="BP58" s="65">
        <v>2000</v>
      </c>
      <c r="BQ58" s="52"/>
      <c r="BR58" s="65">
        <v>2000</v>
      </c>
      <c r="BS58" s="52"/>
      <c r="BT58" s="65">
        <v>2000</v>
      </c>
      <c r="BU58" s="52"/>
      <c r="BV58" s="65">
        <v>2000</v>
      </c>
      <c r="BW58" s="52"/>
      <c r="BX58" s="65">
        <v>2000</v>
      </c>
      <c r="BY58" s="52"/>
      <c r="BZ58" s="65">
        <v>2000</v>
      </c>
      <c r="CA58" s="52"/>
      <c r="CB58" s="65">
        <v>2000</v>
      </c>
      <c r="CC58" s="52"/>
      <c r="CD58" s="65">
        <v>2000</v>
      </c>
      <c r="CE58" s="52"/>
      <c r="CF58" s="65">
        <v>2000</v>
      </c>
      <c r="CG58" s="52"/>
      <c r="CH58" s="65">
        <v>2000</v>
      </c>
      <c r="CI58" s="52"/>
      <c r="CJ58" s="65">
        <v>2000</v>
      </c>
      <c r="CK58" s="52"/>
      <c r="CL58" s="65">
        <v>2000</v>
      </c>
      <c r="CM58" s="52"/>
      <c r="CN58" s="65">
        <v>2000</v>
      </c>
      <c r="CO58" s="52"/>
      <c r="CP58" s="65">
        <v>2000</v>
      </c>
      <c r="CQ58" s="52"/>
      <c r="CR58" s="65">
        <v>2000</v>
      </c>
      <c r="CS58" s="52"/>
      <c r="CT58" s="65">
        <v>2000</v>
      </c>
      <c r="CU58" s="52"/>
      <c r="CV58" s="65">
        <v>2000</v>
      </c>
      <c r="CW58" s="52"/>
      <c r="CX58" s="65">
        <v>2000</v>
      </c>
      <c r="CY58" s="52"/>
      <c r="CZ58" s="65">
        <v>2000</v>
      </c>
    </row>
    <row r="59" spans="1:104" x14ac:dyDescent="0.25">
      <c r="A59" s="51" t="str">
        <f t="shared" si="4"/>
        <v>PLLTS16FFCLAFRACF_Per1</v>
      </c>
      <c r="B59" s="2" t="str">
        <f t="shared" si="5"/>
        <v>ADPLL - FRACF</v>
      </c>
      <c r="C59" s="2" t="s">
        <v>104</v>
      </c>
      <c r="D59" s="2" t="s">
        <v>78</v>
      </c>
      <c r="E59" s="2" t="str">
        <f t="shared" si="6"/>
        <v>5 Analog</v>
      </c>
      <c r="F59" s="2" t="str">
        <f t="shared" si="6"/>
        <v>Clocking</v>
      </c>
      <c r="G59" s="52">
        <v>1</v>
      </c>
      <c r="H59" s="65">
        <v>2000</v>
      </c>
      <c r="I59" s="52"/>
      <c r="J59" s="65">
        <v>2000</v>
      </c>
      <c r="K59" s="52"/>
      <c r="L59" s="65">
        <v>0</v>
      </c>
      <c r="M59" s="52"/>
      <c r="N59" s="65">
        <v>0</v>
      </c>
      <c r="O59" s="52"/>
      <c r="P59" s="65">
        <v>2000</v>
      </c>
      <c r="Q59" s="52"/>
      <c r="R59" s="65">
        <v>2000</v>
      </c>
      <c r="S59" s="52"/>
      <c r="T59" s="65">
        <v>2000</v>
      </c>
      <c r="U59" s="52"/>
      <c r="V59" s="65">
        <v>2000</v>
      </c>
      <c r="W59" s="52"/>
      <c r="X59" s="65">
        <v>2000</v>
      </c>
      <c r="Y59" s="52"/>
      <c r="Z59" s="65">
        <v>2000</v>
      </c>
      <c r="AA59" s="52"/>
      <c r="AB59" s="65">
        <v>2000</v>
      </c>
      <c r="AC59" s="52"/>
      <c r="AD59" s="65">
        <v>2000</v>
      </c>
      <c r="AE59" s="52"/>
      <c r="AF59" s="65">
        <v>2000</v>
      </c>
      <c r="AG59" s="52"/>
      <c r="AH59" s="65">
        <v>2000</v>
      </c>
      <c r="AI59" s="52"/>
      <c r="AJ59" s="65">
        <v>0</v>
      </c>
      <c r="AK59" s="52"/>
      <c r="AL59" s="65">
        <v>0</v>
      </c>
      <c r="AM59" s="52"/>
      <c r="AN59" s="65">
        <v>0</v>
      </c>
      <c r="AO59" s="52"/>
      <c r="AP59" s="65">
        <v>2000</v>
      </c>
      <c r="AQ59" s="52"/>
      <c r="AR59" s="65">
        <v>2000</v>
      </c>
      <c r="AS59" s="52"/>
      <c r="AT59" s="65">
        <v>2000</v>
      </c>
      <c r="AU59" s="52"/>
      <c r="AV59" s="65">
        <v>2000</v>
      </c>
      <c r="AW59" s="52"/>
      <c r="AX59" s="65">
        <v>2000</v>
      </c>
      <c r="AY59" s="52"/>
      <c r="AZ59" s="65">
        <v>2000</v>
      </c>
      <c r="BA59" s="52"/>
      <c r="BB59" s="65">
        <v>2000</v>
      </c>
      <c r="BC59" s="52"/>
      <c r="BD59" s="65">
        <v>2000</v>
      </c>
      <c r="BE59" s="52"/>
      <c r="BF59" s="65">
        <v>2000</v>
      </c>
      <c r="BG59" s="52"/>
      <c r="BH59" s="65">
        <v>2000</v>
      </c>
      <c r="BI59" s="52"/>
      <c r="BJ59" s="65">
        <v>2000</v>
      </c>
      <c r="BK59" s="52"/>
      <c r="BL59" s="65">
        <v>2000</v>
      </c>
      <c r="BM59" s="52"/>
      <c r="BN59" s="65">
        <v>2000</v>
      </c>
      <c r="BO59" s="52"/>
      <c r="BP59" s="65">
        <v>2000</v>
      </c>
      <c r="BQ59" s="52"/>
      <c r="BR59" s="65">
        <v>2000</v>
      </c>
      <c r="BS59" s="52"/>
      <c r="BT59" s="65">
        <v>2000</v>
      </c>
      <c r="BU59" s="52"/>
      <c r="BV59" s="65">
        <v>2000</v>
      </c>
      <c r="BW59" s="52"/>
      <c r="BX59" s="65">
        <v>2000</v>
      </c>
      <c r="BY59" s="52"/>
      <c r="BZ59" s="65">
        <v>2000</v>
      </c>
      <c r="CA59" s="52"/>
      <c r="CB59" s="65">
        <v>2000</v>
      </c>
      <c r="CC59" s="52"/>
      <c r="CD59" s="65">
        <v>2000</v>
      </c>
      <c r="CE59" s="52"/>
      <c r="CF59" s="65">
        <v>2000</v>
      </c>
      <c r="CG59" s="52"/>
      <c r="CH59" s="65">
        <v>2000</v>
      </c>
      <c r="CI59" s="52"/>
      <c r="CJ59" s="65">
        <v>2000</v>
      </c>
      <c r="CK59" s="52"/>
      <c r="CL59" s="65">
        <v>2000</v>
      </c>
      <c r="CM59" s="52"/>
      <c r="CN59" s="65">
        <v>2000</v>
      </c>
      <c r="CO59" s="52"/>
      <c r="CP59" s="65">
        <v>2000</v>
      </c>
      <c r="CQ59" s="52"/>
      <c r="CR59" s="65">
        <v>2000</v>
      </c>
      <c r="CS59" s="52"/>
      <c r="CT59" s="65">
        <v>2000</v>
      </c>
      <c r="CU59" s="52"/>
      <c r="CV59" s="65">
        <v>2000</v>
      </c>
      <c r="CW59" s="52"/>
      <c r="CX59" s="65">
        <v>2000</v>
      </c>
      <c r="CY59" s="52"/>
      <c r="CZ59" s="65">
        <v>2000</v>
      </c>
    </row>
    <row r="60" spans="1:104" x14ac:dyDescent="0.25">
      <c r="A60" s="51" t="str">
        <f t="shared" si="4"/>
        <v>PLLTS16FFCLAFRACFDDR_PHY</v>
      </c>
      <c r="B60" s="2" t="str">
        <f t="shared" si="5"/>
        <v>ADPLL - FRACF</v>
      </c>
      <c r="C60" s="2" t="s">
        <v>106</v>
      </c>
      <c r="D60" s="2" t="s">
        <v>78</v>
      </c>
      <c r="E60" s="2" t="str">
        <f t="shared" si="6"/>
        <v>5 Analog</v>
      </c>
      <c r="F60" s="2" t="str">
        <f t="shared" si="6"/>
        <v>Clocking</v>
      </c>
      <c r="G60" s="52">
        <v>1</v>
      </c>
      <c r="H60" s="65">
        <v>2000</v>
      </c>
      <c r="I60" s="52"/>
      <c r="J60" s="65">
        <v>2000</v>
      </c>
      <c r="K60" s="52"/>
      <c r="L60" s="65">
        <v>0</v>
      </c>
      <c r="M60" s="52"/>
      <c r="N60" s="65">
        <v>0</v>
      </c>
      <c r="O60" s="52"/>
      <c r="P60" s="65">
        <v>1500</v>
      </c>
      <c r="Q60" s="52"/>
      <c r="R60" s="65">
        <v>1500</v>
      </c>
      <c r="S60" s="52"/>
      <c r="T60" s="65">
        <v>1500</v>
      </c>
      <c r="U60" s="52"/>
      <c r="V60" s="65">
        <v>1500</v>
      </c>
      <c r="W60" s="52"/>
      <c r="X60" s="65">
        <v>1500</v>
      </c>
      <c r="Y60" s="52"/>
      <c r="Z60" s="65">
        <v>1500</v>
      </c>
      <c r="AA60" s="52"/>
      <c r="AB60" s="65">
        <v>1500</v>
      </c>
      <c r="AC60" s="52"/>
      <c r="AD60" s="65">
        <v>1500</v>
      </c>
      <c r="AE60" s="52"/>
      <c r="AF60" s="65">
        <v>1500</v>
      </c>
      <c r="AG60" s="52"/>
      <c r="AH60" s="65">
        <v>1500</v>
      </c>
      <c r="AI60" s="52"/>
      <c r="AJ60" s="65">
        <v>0</v>
      </c>
      <c r="AK60" s="52"/>
      <c r="AL60" s="65">
        <v>0</v>
      </c>
      <c r="AM60" s="52"/>
      <c r="AN60" s="65">
        <v>0</v>
      </c>
      <c r="AO60" s="52"/>
      <c r="AP60" s="65">
        <v>0</v>
      </c>
      <c r="AQ60" s="52"/>
      <c r="AR60" s="65">
        <v>1500</v>
      </c>
      <c r="AS60" s="52"/>
      <c r="AT60" s="65">
        <v>750</v>
      </c>
      <c r="AU60" s="52"/>
      <c r="AV60" s="65">
        <v>1500</v>
      </c>
      <c r="AW60" s="52"/>
      <c r="AX60" s="65">
        <v>1500</v>
      </c>
      <c r="AY60" s="52"/>
      <c r="AZ60" s="65">
        <v>0</v>
      </c>
      <c r="BA60" s="52"/>
      <c r="BB60" s="65">
        <v>0</v>
      </c>
      <c r="BC60" s="52"/>
      <c r="BD60" s="65">
        <v>1500</v>
      </c>
      <c r="BE60" s="52"/>
      <c r="BF60" s="65">
        <v>1500</v>
      </c>
      <c r="BG60" s="52"/>
      <c r="BH60" s="65">
        <v>250</v>
      </c>
      <c r="BI60" s="52"/>
      <c r="BJ60" s="65">
        <v>1500</v>
      </c>
      <c r="BK60" s="52"/>
      <c r="BL60" s="65">
        <v>1500</v>
      </c>
      <c r="BM60" s="52"/>
      <c r="BN60" s="65">
        <v>1500</v>
      </c>
      <c r="BO60" s="52"/>
      <c r="BP60" s="65">
        <v>1500</v>
      </c>
      <c r="BQ60" s="52"/>
      <c r="BR60" s="65">
        <v>1500</v>
      </c>
      <c r="BS60" s="52"/>
      <c r="BT60" s="65">
        <v>1500</v>
      </c>
      <c r="BU60" s="52"/>
      <c r="BV60" s="65">
        <v>1500</v>
      </c>
      <c r="BW60" s="52"/>
      <c r="BX60" s="65">
        <v>1500</v>
      </c>
      <c r="BY60" s="52"/>
      <c r="BZ60" s="65">
        <v>1500</v>
      </c>
      <c r="CA60" s="52"/>
      <c r="CB60" s="65">
        <v>1500</v>
      </c>
      <c r="CC60" s="52"/>
      <c r="CD60" s="65">
        <v>1500</v>
      </c>
      <c r="CE60" s="52"/>
      <c r="CF60" s="65">
        <v>1500</v>
      </c>
      <c r="CG60" s="52"/>
      <c r="CH60" s="65">
        <v>1500</v>
      </c>
      <c r="CI60" s="52"/>
      <c r="CJ60" s="65">
        <v>1500</v>
      </c>
      <c r="CK60" s="52"/>
      <c r="CL60" s="65">
        <v>1500</v>
      </c>
      <c r="CM60" s="52"/>
      <c r="CN60" s="65">
        <v>1500</v>
      </c>
      <c r="CO60" s="52"/>
      <c r="CP60" s="65">
        <v>1500</v>
      </c>
      <c r="CQ60" s="52"/>
      <c r="CR60" s="65">
        <v>1500</v>
      </c>
      <c r="CS60" s="52"/>
      <c r="CT60" s="65">
        <v>1500</v>
      </c>
      <c r="CU60" s="52"/>
      <c r="CV60" s="65">
        <v>1500</v>
      </c>
      <c r="CW60" s="52"/>
      <c r="CX60" s="65">
        <v>1500</v>
      </c>
      <c r="CY60" s="52"/>
      <c r="CZ60" s="65">
        <v>1500</v>
      </c>
    </row>
    <row r="61" spans="1:104" ht="11.1" customHeight="1" x14ac:dyDescent="0.25">
      <c r="A61" s="61"/>
      <c r="B61" s="60"/>
      <c r="C61" s="60"/>
      <c r="D61" s="60"/>
      <c r="E61" s="60"/>
      <c r="F61" s="60"/>
      <c r="G61" s="62"/>
      <c r="H61" s="63"/>
      <c r="I61" s="62"/>
      <c r="J61" s="63"/>
      <c r="K61" s="62"/>
      <c r="L61" s="63"/>
      <c r="M61" s="62"/>
      <c r="N61" s="63"/>
      <c r="O61" s="62"/>
      <c r="P61" s="63"/>
      <c r="Q61" s="62"/>
      <c r="R61" s="63"/>
      <c r="S61" s="62"/>
      <c r="T61" s="63"/>
      <c r="U61" s="62"/>
      <c r="V61" s="63"/>
      <c r="W61" s="62"/>
      <c r="X61" s="63"/>
      <c r="Y61" s="62"/>
      <c r="Z61" s="63"/>
      <c r="AA61" s="62"/>
      <c r="AB61" s="63"/>
      <c r="AC61" s="62"/>
      <c r="AD61" s="63"/>
      <c r="AE61" s="62"/>
      <c r="AF61" s="63"/>
      <c r="AG61" s="62"/>
      <c r="AH61" s="63"/>
      <c r="AI61" s="62"/>
      <c r="AJ61" s="63"/>
      <c r="AK61" s="62"/>
      <c r="AL61" s="63"/>
      <c r="AM61" s="62"/>
      <c r="AN61" s="63"/>
      <c r="AO61" s="62"/>
      <c r="AP61" s="63"/>
      <c r="AQ61" s="62"/>
      <c r="AR61" s="63"/>
      <c r="AS61" s="62"/>
      <c r="AT61" s="63"/>
      <c r="AU61" s="62"/>
      <c r="AV61" s="63"/>
      <c r="AW61" s="62"/>
      <c r="AX61" s="63"/>
      <c r="AY61" s="62"/>
      <c r="AZ61" s="63"/>
      <c r="BA61" s="62"/>
      <c r="BB61" s="63"/>
      <c r="BC61" s="62"/>
      <c r="BD61" s="63"/>
      <c r="BE61" s="62"/>
      <c r="BF61" s="63"/>
      <c r="BG61" s="62"/>
      <c r="BH61" s="63"/>
      <c r="BI61" s="62"/>
      <c r="BJ61" s="63"/>
      <c r="BK61" s="62"/>
      <c r="BL61" s="63"/>
      <c r="BM61" s="62"/>
      <c r="BN61" s="63"/>
      <c r="BO61" s="62"/>
      <c r="BP61" s="63"/>
      <c r="BQ61" s="62"/>
      <c r="BR61" s="63"/>
      <c r="BS61" s="62"/>
      <c r="BT61" s="63"/>
      <c r="BU61" s="62"/>
      <c r="BV61" s="63"/>
      <c r="BW61" s="62"/>
      <c r="BX61" s="63"/>
      <c r="BY61" s="62"/>
      <c r="BZ61" s="63"/>
      <c r="CA61" s="62"/>
      <c r="CB61" s="63"/>
      <c r="CC61" s="62"/>
      <c r="CD61" s="63"/>
      <c r="CE61" s="62"/>
      <c r="CF61" s="63"/>
      <c r="CG61" s="62"/>
      <c r="CH61" s="63"/>
      <c r="CI61" s="62"/>
      <c r="CJ61" s="63"/>
      <c r="CK61" s="62"/>
      <c r="CL61" s="63"/>
      <c r="CM61" s="62"/>
      <c r="CN61" s="63"/>
      <c r="CO61" s="62"/>
      <c r="CP61" s="63"/>
      <c r="CQ61" s="62"/>
      <c r="CR61" s="63"/>
      <c r="CS61" s="62"/>
      <c r="CT61" s="63"/>
      <c r="CU61" s="62"/>
      <c r="CV61" s="63"/>
      <c r="CW61" s="62"/>
      <c r="CX61" s="63"/>
      <c r="CY61" s="62"/>
      <c r="CZ61" s="63"/>
    </row>
    <row r="62" spans="1:104" x14ac:dyDescent="0.25">
      <c r="A62" s="51" t="str">
        <f t="shared" ref="A62:A80" si="7">D62&amp;C62</f>
        <v>TEF16FCLL256X32HD18_PHRM_main</v>
      </c>
      <c r="B62" s="2" t="str">
        <f t="shared" si="5"/>
        <v>eFuse</v>
      </c>
      <c r="C62" s="2" t="s">
        <v>62</v>
      </c>
      <c r="D62" s="2" t="s">
        <v>74</v>
      </c>
      <c r="E62" s="2" t="str">
        <f t="shared" ref="E62:F80" si="8">VLOOKUP($D62&amp;"_"&amp;E$3,MDB,6,0)</f>
        <v>5 Analog</v>
      </c>
      <c r="F62" s="2" t="str">
        <f t="shared" si="8"/>
        <v>eFuse</v>
      </c>
      <c r="G62" s="52">
        <v>1</v>
      </c>
      <c r="H62" s="59" t="s">
        <v>68</v>
      </c>
      <c r="I62" s="52"/>
      <c r="J62" s="59" t="s">
        <v>68</v>
      </c>
      <c r="K62" s="52"/>
      <c r="L62" s="59" t="s">
        <v>68</v>
      </c>
      <c r="M62" s="52"/>
      <c r="N62" s="59" t="s">
        <v>68</v>
      </c>
      <c r="O62" s="52"/>
      <c r="P62" s="59" t="s">
        <v>68</v>
      </c>
      <c r="Q62" s="52"/>
      <c r="R62" s="59" t="s">
        <v>68</v>
      </c>
      <c r="S62" s="52"/>
      <c r="T62" s="59" t="s">
        <v>68</v>
      </c>
      <c r="U62" s="52"/>
      <c r="V62" s="59" t="s">
        <v>68</v>
      </c>
      <c r="W62" s="52"/>
      <c r="X62" s="59" t="s">
        <v>68</v>
      </c>
      <c r="Y62" s="52"/>
      <c r="Z62" s="59" t="s">
        <v>68</v>
      </c>
      <c r="AA62" s="52"/>
      <c r="AB62" s="59" t="s">
        <v>68</v>
      </c>
      <c r="AC62" s="52"/>
      <c r="AD62" s="59" t="s">
        <v>68</v>
      </c>
      <c r="AE62" s="52"/>
      <c r="AF62" s="59" t="s">
        <v>68</v>
      </c>
      <c r="AG62" s="52"/>
      <c r="AH62" s="59" t="s">
        <v>68</v>
      </c>
      <c r="AI62" s="52"/>
      <c r="AJ62" s="59" t="s">
        <v>69</v>
      </c>
      <c r="AK62" s="52"/>
      <c r="AL62" s="59" t="s">
        <v>68</v>
      </c>
      <c r="AM62" s="52"/>
      <c r="AN62" s="59" t="s">
        <v>68</v>
      </c>
      <c r="AO62" s="52"/>
      <c r="AP62" s="59" t="s">
        <v>68</v>
      </c>
      <c r="AQ62" s="52"/>
      <c r="AR62" s="59" t="s">
        <v>68</v>
      </c>
      <c r="AS62" s="52"/>
      <c r="AT62" s="59" t="s">
        <v>68</v>
      </c>
      <c r="AU62" s="52"/>
      <c r="AV62" s="59" t="s">
        <v>68</v>
      </c>
      <c r="AW62" s="52"/>
      <c r="AX62" s="59" t="s">
        <v>68</v>
      </c>
      <c r="AY62" s="52"/>
      <c r="AZ62" s="59" t="s">
        <v>68</v>
      </c>
      <c r="BA62" s="52"/>
      <c r="BB62" s="59" t="s">
        <v>68</v>
      </c>
      <c r="BC62" s="52"/>
      <c r="BD62" s="59" t="s">
        <v>68</v>
      </c>
      <c r="BE62" s="52"/>
      <c r="BF62" s="59" t="s">
        <v>68</v>
      </c>
      <c r="BG62" s="52"/>
      <c r="BH62" s="59" t="s">
        <v>68</v>
      </c>
      <c r="BI62" s="52"/>
      <c r="BJ62" s="59" t="s">
        <v>68</v>
      </c>
      <c r="BK62" s="52"/>
      <c r="BL62" s="59" t="s">
        <v>68</v>
      </c>
      <c r="BM62" s="52"/>
      <c r="BN62" s="59" t="s">
        <v>68</v>
      </c>
      <c r="BO62" s="52"/>
      <c r="BP62" s="59" t="s">
        <v>68</v>
      </c>
      <c r="BQ62" s="52"/>
      <c r="BR62" s="59" t="s">
        <v>68</v>
      </c>
      <c r="BS62" s="52"/>
      <c r="BT62" s="59" t="s">
        <v>68</v>
      </c>
      <c r="BU62" s="52"/>
      <c r="BV62" s="59" t="s">
        <v>68</v>
      </c>
      <c r="BW62" s="52"/>
      <c r="BX62" s="59" t="s">
        <v>68</v>
      </c>
      <c r="BY62" s="52"/>
      <c r="BZ62" s="59" t="s">
        <v>68</v>
      </c>
      <c r="CA62" s="52"/>
      <c r="CB62" s="59" t="s">
        <v>68</v>
      </c>
      <c r="CC62" s="52"/>
      <c r="CD62" s="59" t="s">
        <v>68</v>
      </c>
      <c r="CE62" s="52"/>
      <c r="CF62" s="59" t="s">
        <v>68</v>
      </c>
      <c r="CG62" s="52"/>
      <c r="CH62" s="59" t="s">
        <v>68</v>
      </c>
      <c r="CI62" s="52"/>
      <c r="CJ62" s="59" t="s">
        <v>68</v>
      </c>
      <c r="CK62" s="52"/>
      <c r="CL62" s="59" t="s">
        <v>68</v>
      </c>
      <c r="CM62" s="52"/>
      <c r="CN62" s="59" t="s">
        <v>68</v>
      </c>
      <c r="CO62" s="52"/>
      <c r="CP62" s="59" t="s">
        <v>68</v>
      </c>
      <c r="CQ62" s="52"/>
      <c r="CR62" s="59" t="s">
        <v>68</v>
      </c>
      <c r="CS62" s="52"/>
      <c r="CT62" s="59" t="s">
        <v>68</v>
      </c>
      <c r="CU62" s="52"/>
      <c r="CV62" s="59" t="s">
        <v>68</v>
      </c>
      <c r="CW62" s="52"/>
      <c r="CX62" s="59" t="s">
        <v>68</v>
      </c>
      <c r="CY62" s="52"/>
      <c r="CZ62" s="59" t="s">
        <v>68</v>
      </c>
    </row>
    <row r="63" spans="1:104" x14ac:dyDescent="0.25">
      <c r="A63" s="51" t="str">
        <f t="shared" si="7"/>
        <v>PGD_MAIN_CORE</v>
      </c>
      <c r="B63" s="2" t="str">
        <f t="shared" si="5"/>
        <v>PGD</v>
      </c>
      <c r="C63" s="2" t="s">
        <v>124</v>
      </c>
      <c r="D63" s="2" t="s">
        <v>11</v>
      </c>
      <c r="E63" s="2" t="str">
        <f t="shared" si="8"/>
        <v>5 Analog</v>
      </c>
      <c r="F63" s="2" t="str">
        <f t="shared" si="8"/>
        <v>Power</v>
      </c>
      <c r="G63" s="52">
        <v>1</v>
      </c>
      <c r="H63" s="59" t="s">
        <v>68</v>
      </c>
      <c r="I63" s="52"/>
      <c r="J63" s="59" t="s">
        <v>68</v>
      </c>
      <c r="K63" s="52"/>
      <c r="L63" s="59" t="s">
        <v>68</v>
      </c>
      <c r="M63" s="52"/>
      <c r="N63" s="59" t="s">
        <v>68</v>
      </c>
      <c r="O63" s="52"/>
      <c r="P63" s="59" t="s">
        <v>68</v>
      </c>
      <c r="Q63" s="52"/>
      <c r="R63" s="59" t="s">
        <v>68</v>
      </c>
      <c r="S63" s="52"/>
      <c r="T63" s="59" t="s">
        <v>68</v>
      </c>
      <c r="U63" s="52"/>
      <c r="V63" s="59" t="s">
        <v>68</v>
      </c>
      <c r="W63" s="52"/>
      <c r="X63" s="59" t="s">
        <v>68</v>
      </c>
      <c r="Y63" s="52"/>
      <c r="Z63" s="59" t="s">
        <v>68</v>
      </c>
      <c r="AA63" s="52"/>
      <c r="AB63" s="59" t="s">
        <v>68</v>
      </c>
      <c r="AC63" s="52"/>
      <c r="AD63" s="59" t="s">
        <v>68</v>
      </c>
      <c r="AE63" s="52"/>
      <c r="AF63" s="59" t="s">
        <v>68</v>
      </c>
      <c r="AG63" s="52"/>
      <c r="AH63" s="59" t="s">
        <v>68</v>
      </c>
      <c r="AI63" s="52"/>
      <c r="AJ63" s="59" t="s">
        <v>69</v>
      </c>
      <c r="AK63" s="52"/>
      <c r="AL63" s="59" t="s">
        <v>68</v>
      </c>
      <c r="AM63" s="52"/>
      <c r="AN63" s="59" t="s">
        <v>68</v>
      </c>
      <c r="AO63" s="52"/>
      <c r="AP63" s="59" t="s">
        <v>68</v>
      </c>
      <c r="AQ63" s="52"/>
      <c r="AR63" s="59" t="s">
        <v>68</v>
      </c>
      <c r="AS63" s="52"/>
      <c r="AT63" s="59" t="s">
        <v>68</v>
      </c>
      <c r="AU63" s="52"/>
      <c r="AV63" s="59" t="s">
        <v>68</v>
      </c>
      <c r="AW63" s="52"/>
      <c r="AX63" s="59" t="s">
        <v>68</v>
      </c>
      <c r="AY63" s="52"/>
      <c r="AZ63" s="59" t="s">
        <v>68</v>
      </c>
      <c r="BA63" s="52"/>
      <c r="BB63" s="59" t="s">
        <v>68</v>
      </c>
      <c r="BC63" s="52"/>
      <c r="BD63" s="59" t="s">
        <v>68</v>
      </c>
      <c r="BE63" s="52"/>
      <c r="BF63" s="59" t="s">
        <v>68</v>
      </c>
      <c r="BG63" s="52"/>
      <c r="BH63" s="59" t="s">
        <v>68</v>
      </c>
      <c r="BI63" s="52"/>
      <c r="BJ63" s="59" t="s">
        <v>68</v>
      </c>
      <c r="BK63" s="52"/>
      <c r="BL63" s="59" t="s">
        <v>68</v>
      </c>
      <c r="BM63" s="52"/>
      <c r="BN63" s="59" t="s">
        <v>68</v>
      </c>
      <c r="BO63" s="52"/>
      <c r="BP63" s="59" t="s">
        <v>68</v>
      </c>
      <c r="BQ63" s="52"/>
      <c r="BR63" s="59" t="s">
        <v>68</v>
      </c>
      <c r="BS63" s="52"/>
      <c r="BT63" s="59" t="s">
        <v>68</v>
      </c>
      <c r="BU63" s="52"/>
      <c r="BV63" s="59" t="s">
        <v>68</v>
      </c>
      <c r="BW63" s="52"/>
      <c r="BX63" s="59" t="s">
        <v>68</v>
      </c>
      <c r="BY63" s="52"/>
      <c r="BZ63" s="59" t="s">
        <v>68</v>
      </c>
      <c r="CA63" s="52"/>
      <c r="CB63" s="59" t="s">
        <v>68</v>
      </c>
      <c r="CC63" s="52"/>
      <c r="CD63" s="59" t="s">
        <v>68</v>
      </c>
      <c r="CE63" s="52"/>
      <c r="CF63" s="59" t="s">
        <v>68</v>
      </c>
      <c r="CG63" s="52"/>
      <c r="CH63" s="59" t="s">
        <v>68</v>
      </c>
      <c r="CI63" s="52"/>
      <c r="CJ63" s="59" t="s">
        <v>68</v>
      </c>
      <c r="CK63" s="52"/>
      <c r="CL63" s="59" t="s">
        <v>68</v>
      </c>
      <c r="CM63" s="52"/>
      <c r="CN63" s="59" t="s">
        <v>68</v>
      </c>
      <c r="CO63" s="52"/>
      <c r="CP63" s="59" t="s">
        <v>68</v>
      </c>
      <c r="CQ63" s="52"/>
      <c r="CR63" s="59" t="s">
        <v>68</v>
      </c>
      <c r="CS63" s="52"/>
      <c r="CT63" s="59" t="s">
        <v>68</v>
      </c>
      <c r="CU63" s="52"/>
      <c r="CV63" s="59" t="s">
        <v>68</v>
      </c>
      <c r="CW63" s="52"/>
      <c r="CX63" s="59" t="s">
        <v>68</v>
      </c>
      <c r="CY63" s="52"/>
      <c r="CZ63" s="59" t="s">
        <v>68</v>
      </c>
    </row>
    <row r="64" spans="1:104" x14ac:dyDescent="0.25">
      <c r="A64" s="51" t="str">
        <f t="shared" si="7"/>
        <v>N16FFC_POK_PMIC_IN_OV</v>
      </c>
      <c r="B64" s="2" t="str">
        <f t="shared" si="5"/>
        <v>POK</v>
      </c>
      <c r="C64" s="2" t="s">
        <v>243</v>
      </c>
      <c r="D64" s="2" t="s">
        <v>80</v>
      </c>
      <c r="E64" s="2" t="str">
        <f t="shared" si="8"/>
        <v>5 Analog</v>
      </c>
      <c r="F64" s="2" t="str">
        <f t="shared" si="8"/>
        <v>Power</v>
      </c>
      <c r="G64" s="52">
        <v>1</v>
      </c>
      <c r="H64" s="59" t="s">
        <v>68</v>
      </c>
      <c r="I64" s="52"/>
      <c r="J64" s="59" t="s">
        <v>68</v>
      </c>
      <c r="K64" s="52"/>
      <c r="L64" s="59" t="s">
        <v>68</v>
      </c>
      <c r="M64" s="52"/>
      <c r="N64" s="59" t="s">
        <v>68</v>
      </c>
      <c r="O64" s="52"/>
      <c r="P64" s="59" t="s">
        <v>68</v>
      </c>
      <c r="Q64" s="52"/>
      <c r="R64" s="59" t="s">
        <v>68</v>
      </c>
      <c r="S64" s="52"/>
      <c r="T64" s="59" t="s">
        <v>68</v>
      </c>
      <c r="U64" s="52"/>
      <c r="V64" s="59" t="s">
        <v>68</v>
      </c>
      <c r="W64" s="52"/>
      <c r="X64" s="59" t="s">
        <v>68</v>
      </c>
      <c r="Y64" s="52"/>
      <c r="Z64" s="59" t="s">
        <v>68</v>
      </c>
      <c r="AA64" s="52"/>
      <c r="AB64" s="59" t="s">
        <v>68</v>
      </c>
      <c r="AC64" s="52"/>
      <c r="AD64" s="59" t="s">
        <v>68</v>
      </c>
      <c r="AE64" s="52"/>
      <c r="AF64" s="59" t="s">
        <v>68</v>
      </c>
      <c r="AG64" s="52"/>
      <c r="AH64" s="59" t="s">
        <v>68</v>
      </c>
      <c r="AI64" s="52"/>
      <c r="AJ64" s="59" t="s">
        <v>69</v>
      </c>
      <c r="AK64" s="52"/>
      <c r="AL64" s="59" t="s">
        <v>68</v>
      </c>
      <c r="AM64" s="52"/>
      <c r="AN64" s="59" t="s">
        <v>68</v>
      </c>
      <c r="AO64" s="52"/>
      <c r="AP64" s="59" t="s">
        <v>68</v>
      </c>
      <c r="AQ64" s="52"/>
      <c r="AR64" s="59" t="s">
        <v>68</v>
      </c>
      <c r="AS64" s="52"/>
      <c r="AT64" s="59" t="s">
        <v>68</v>
      </c>
      <c r="AU64" s="52"/>
      <c r="AV64" s="59" t="s">
        <v>68</v>
      </c>
      <c r="AW64" s="52"/>
      <c r="AX64" s="59" t="s">
        <v>68</v>
      </c>
      <c r="AY64" s="52"/>
      <c r="AZ64" s="59" t="s">
        <v>68</v>
      </c>
      <c r="BA64" s="52"/>
      <c r="BB64" s="59" t="s">
        <v>68</v>
      </c>
      <c r="BC64" s="52"/>
      <c r="BD64" s="59" t="s">
        <v>68</v>
      </c>
      <c r="BE64" s="52"/>
      <c r="BF64" s="59" t="s">
        <v>68</v>
      </c>
      <c r="BG64" s="52"/>
      <c r="BH64" s="59" t="s">
        <v>68</v>
      </c>
      <c r="BI64" s="52"/>
      <c r="BJ64" s="59" t="s">
        <v>68</v>
      </c>
      <c r="BK64" s="52"/>
      <c r="BL64" s="59" t="s">
        <v>68</v>
      </c>
      <c r="BM64" s="52"/>
      <c r="BN64" s="59" t="s">
        <v>68</v>
      </c>
      <c r="BO64" s="52"/>
      <c r="BP64" s="59" t="s">
        <v>68</v>
      </c>
      <c r="BQ64" s="52"/>
      <c r="BR64" s="59" t="s">
        <v>68</v>
      </c>
      <c r="BS64" s="52"/>
      <c r="BT64" s="59" t="s">
        <v>68</v>
      </c>
      <c r="BU64" s="52"/>
      <c r="BV64" s="59" t="s">
        <v>68</v>
      </c>
      <c r="BW64" s="52"/>
      <c r="BX64" s="59" t="s">
        <v>68</v>
      </c>
      <c r="BY64" s="52"/>
      <c r="BZ64" s="59" t="s">
        <v>68</v>
      </c>
      <c r="CA64" s="52"/>
      <c r="CB64" s="59" t="s">
        <v>68</v>
      </c>
      <c r="CC64" s="52"/>
      <c r="CD64" s="59" t="s">
        <v>68</v>
      </c>
      <c r="CE64" s="52"/>
      <c r="CF64" s="59" t="s">
        <v>68</v>
      </c>
      <c r="CG64" s="52"/>
      <c r="CH64" s="59" t="s">
        <v>68</v>
      </c>
      <c r="CI64" s="52"/>
      <c r="CJ64" s="59" t="s">
        <v>68</v>
      </c>
      <c r="CK64" s="52"/>
      <c r="CL64" s="59" t="s">
        <v>68</v>
      </c>
      <c r="CM64" s="52"/>
      <c r="CN64" s="59" t="s">
        <v>68</v>
      </c>
      <c r="CO64" s="52"/>
      <c r="CP64" s="59" t="s">
        <v>68</v>
      </c>
      <c r="CQ64" s="52"/>
      <c r="CR64" s="59" t="s">
        <v>68</v>
      </c>
      <c r="CS64" s="52"/>
      <c r="CT64" s="59" t="s">
        <v>68</v>
      </c>
      <c r="CU64" s="52"/>
      <c r="CV64" s="59" t="s">
        <v>68</v>
      </c>
      <c r="CW64" s="52"/>
      <c r="CX64" s="59" t="s">
        <v>68</v>
      </c>
      <c r="CY64" s="52"/>
      <c r="CZ64" s="59" t="s">
        <v>68</v>
      </c>
    </row>
    <row r="65" spans="1:104" x14ac:dyDescent="0.25">
      <c r="A65" s="51" t="str">
        <f t="shared" si="7"/>
        <v>N16FFC_POK_VDD_CORE_OV</v>
      </c>
      <c r="B65" s="2" t="str">
        <f t="shared" si="5"/>
        <v>POK</v>
      </c>
      <c r="C65" s="2" t="s">
        <v>121</v>
      </c>
      <c r="D65" s="2" t="s">
        <v>80</v>
      </c>
      <c r="E65" s="2" t="str">
        <f t="shared" si="8"/>
        <v>5 Analog</v>
      </c>
      <c r="F65" s="2" t="str">
        <f t="shared" si="8"/>
        <v>Power</v>
      </c>
      <c r="G65" s="52">
        <v>1</v>
      </c>
      <c r="H65" s="59" t="s">
        <v>68</v>
      </c>
      <c r="I65" s="52"/>
      <c r="J65" s="59" t="s">
        <v>68</v>
      </c>
      <c r="K65" s="52"/>
      <c r="L65" s="59" t="s">
        <v>68</v>
      </c>
      <c r="M65" s="52"/>
      <c r="N65" s="59" t="s">
        <v>68</v>
      </c>
      <c r="O65" s="52"/>
      <c r="P65" s="59" t="s">
        <v>68</v>
      </c>
      <c r="Q65" s="52"/>
      <c r="R65" s="59" t="s">
        <v>68</v>
      </c>
      <c r="S65" s="52"/>
      <c r="T65" s="59" t="s">
        <v>68</v>
      </c>
      <c r="U65" s="52"/>
      <c r="V65" s="59" t="s">
        <v>68</v>
      </c>
      <c r="W65" s="52"/>
      <c r="X65" s="59" t="s">
        <v>68</v>
      </c>
      <c r="Y65" s="52"/>
      <c r="Z65" s="59" t="s">
        <v>68</v>
      </c>
      <c r="AA65" s="52"/>
      <c r="AB65" s="59" t="s">
        <v>68</v>
      </c>
      <c r="AC65" s="52"/>
      <c r="AD65" s="59" t="s">
        <v>68</v>
      </c>
      <c r="AE65" s="52"/>
      <c r="AF65" s="59" t="s">
        <v>68</v>
      </c>
      <c r="AG65" s="52"/>
      <c r="AH65" s="59" t="s">
        <v>68</v>
      </c>
      <c r="AI65" s="52"/>
      <c r="AJ65" s="59" t="s">
        <v>69</v>
      </c>
      <c r="AK65" s="52"/>
      <c r="AL65" s="59" t="s">
        <v>68</v>
      </c>
      <c r="AM65" s="52"/>
      <c r="AN65" s="59" t="s">
        <v>68</v>
      </c>
      <c r="AO65" s="52"/>
      <c r="AP65" s="59" t="s">
        <v>68</v>
      </c>
      <c r="AQ65" s="52"/>
      <c r="AR65" s="59" t="s">
        <v>68</v>
      </c>
      <c r="AS65" s="52"/>
      <c r="AT65" s="59" t="s">
        <v>68</v>
      </c>
      <c r="AU65" s="52"/>
      <c r="AV65" s="59" t="s">
        <v>68</v>
      </c>
      <c r="AW65" s="52"/>
      <c r="AX65" s="59" t="s">
        <v>68</v>
      </c>
      <c r="AY65" s="52"/>
      <c r="AZ65" s="59" t="s">
        <v>68</v>
      </c>
      <c r="BA65" s="52"/>
      <c r="BB65" s="59" t="s">
        <v>68</v>
      </c>
      <c r="BC65" s="52"/>
      <c r="BD65" s="59" t="s">
        <v>68</v>
      </c>
      <c r="BE65" s="52"/>
      <c r="BF65" s="59" t="s">
        <v>68</v>
      </c>
      <c r="BG65" s="52"/>
      <c r="BH65" s="59" t="s">
        <v>68</v>
      </c>
      <c r="BI65" s="52"/>
      <c r="BJ65" s="59" t="s">
        <v>68</v>
      </c>
      <c r="BK65" s="52"/>
      <c r="BL65" s="59" t="s">
        <v>68</v>
      </c>
      <c r="BM65" s="52"/>
      <c r="BN65" s="59" t="s">
        <v>68</v>
      </c>
      <c r="BO65" s="52"/>
      <c r="BP65" s="59" t="s">
        <v>68</v>
      </c>
      <c r="BQ65" s="52"/>
      <c r="BR65" s="59" t="s">
        <v>68</v>
      </c>
      <c r="BS65" s="52"/>
      <c r="BT65" s="59" t="s">
        <v>68</v>
      </c>
      <c r="BU65" s="52"/>
      <c r="BV65" s="59" t="s">
        <v>68</v>
      </c>
      <c r="BW65" s="52"/>
      <c r="BX65" s="59" t="s">
        <v>68</v>
      </c>
      <c r="BY65" s="52"/>
      <c r="BZ65" s="59" t="s">
        <v>68</v>
      </c>
      <c r="CA65" s="52"/>
      <c r="CB65" s="59" t="s">
        <v>68</v>
      </c>
      <c r="CC65" s="52"/>
      <c r="CD65" s="59" t="s">
        <v>68</v>
      </c>
      <c r="CE65" s="52"/>
      <c r="CF65" s="59" t="s">
        <v>68</v>
      </c>
      <c r="CG65" s="52"/>
      <c r="CH65" s="59" t="s">
        <v>68</v>
      </c>
      <c r="CI65" s="52"/>
      <c r="CJ65" s="59" t="s">
        <v>68</v>
      </c>
      <c r="CK65" s="52"/>
      <c r="CL65" s="59" t="s">
        <v>68</v>
      </c>
      <c r="CM65" s="52"/>
      <c r="CN65" s="59" t="s">
        <v>68</v>
      </c>
      <c r="CO65" s="52"/>
      <c r="CP65" s="59" t="s">
        <v>68</v>
      </c>
      <c r="CQ65" s="52"/>
      <c r="CR65" s="59" t="s">
        <v>68</v>
      </c>
      <c r="CS65" s="52"/>
      <c r="CT65" s="59" t="s">
        <v>68</v>
      </c>
      <c r="CU65" s="52"/>
      <c r="CV65" s="59" t="s">
        <v>68</v>
      </c>
      <c r="CW65" s="52"/>
      <c r="CX65" s="59" t="s">
        <v>68</v>
      </c>
      <c r="CY65" s="52"/>
      <c r="CZ65" s="59" t="s">
        <v>68</v>
      </c>
    </row>
    <row r="66" spans="1:104" x14ac:dyDescent="0.25">
      <c r="A66" s="51" t="str">
        <f t="shared" si="7"/>
        <v>N16FFC_POK_VDD_CORE_UV</v>
      </c>
      <c r="B66" s="2" t="str">
        <f t="shared" si="5"/>
        <v>POK</v>
      </c>
      <c r="C66" s="2" t="s">
        <v>120</v>
      </c>
      <c r="D66" s="2" t="s">
        <v>80</v>
      </c>
      <c r="E66" s="2" t="str">
        <f t="shared" si="8"/>
        <v>5 Analog</v>
      </c>
      <c r="F66" s="2" t="str">
        <f t="shared" si="8"/>
        <v>Power</v>
      </c>
      <c r="G66" s="52">
        <v>1</v>
      </c>
      <c r="H66" s="59" t="s">
        <v>68</v>
      </c>
      <c r="I66" s="52"/>
      <c r="J66" s="59" t="s">
        <v>68</v>
      </c>
      <c r="K66" s="52"/>
      <c r="L66" s="59" t="s">
        <v>68</v>
      </c>
      <c r="M66" s="52"/>
      <c r="N66" s="59" t="s">
        <v>68</v>
      </c>
      <c r="O66" s="52"/>
      <c r="P66" s="59" t="s">
        <v>68</v>
      </c>
      <c r="Q66" s="52"/>
      <c r="R66" s="59" t="s">
        <v>68</v>
      </c>
      <c r="S66" s="52"/>
      <c r="T66" s="59" t="s">
        <v>68</v>
      </c>
      <c r="U66" s="52"/>
      <c r="V66" s="59" t="s">
        <v>68</v>
      </c>
      <c r="W66" s="52"/>
      <c r="X66" s="59" t="s">
        <v>68</v>
      </c>
      <c r="Y66" s="52"/>
      <c r="Z66" s="59" t="s">
        <v>68</v>
      </c>
      <c r="AA66" s="52"/>
      <c r="AB66" s="59" t="s">
        <v>68</v>
      </c>
      <c r="AC66" s="52"/>
      <c r="AD66" s="59" t="s">
        <v>68</v>
      </c>
      <c r="AE66" s="52"/>
      <c r="AF66" s="59" t="s">
        <v>68</v>
      </c>
      <c r="AG66" s="52"/>
      <c r="AH66" s="59" t="s">
        <v>68</v>
      </c>
      <c r="AI66" s="52"/>
      <c r="AJ66" s="59" t="s">
        <v>69</v>
      </c>
      <c r="AK66" s="52"/>
      <c r="AL66" s="59" t="s">
        <v>68</v>
      </c>
      <c r="AM66" s="52"/>
      <c r="AN66" s="59" t="s">
        <v>68</v>
      </c>
      <c r="AO66" s="52"/>
      <c r="AP66" s="59" t="s">
        <v>68</v>
      </c>
      <c r="AQ66" s="52"/>
      <c r="AR66" s="59" t="s">
        <v>68</v>
      </c>
      <c r="AS66" s="52"/>
      <c r="AT66" s="59" t="s">
        <v>68</v>
      </c>
      <c r="AU66" s="52"/>
      <c r="AV66" s="59" t="s">
        <v>68</v>
      </c>
      <c r="AW66" s="52"/>
      <c r="AX66" s="59" t="s">
        <v>68</v>
      </c>
      <c r="AY66" s="52"/>
      <c r="AZ66" s="59" t="s">
        <v>68</v>
      </c>
      <c r="BA66" s="52"/>
      <c r="BB66" s="59" t="s">
        <v>68</v>
      </c>
      <c r="BC66" s="52"/>
      <c r="BD66" s="59" t="s">
        <v>68</v>
      </c>
      <c r="BE66" s="52"/>
      <c r="BF66" s="59" t="s">
        <v>68</v>
      </c>
      <c r="BG66" s="52"/>
      <c r="BH66" s="59" t="s">
        <v>68</v>
      </c>
      <c r="BI66" s="52"/>
      <c r="BJ66" s="59" t="s">
        <v>68</v>
      </c>
      <c r="BK66" s="52"/>
      <c r="BL66" s="59" t="s">
        <v>68</v>
      </c>
      <c r="BM66" s="52"/>
      <c r="BN66" s="59" t="s">
        <v>68</v>
      </c>
      <c r="BO66" s="52"/>
      <c r="BP66" s="59" t="s">
        <v>68</v>
      </c>
      <c r="BQ66" s="52"/>
      <c r="BR66" s="59" t="s">
        <v>68</v>
      </c>
      <c r="BS66" s="52"/>
      <c r="BT66" s="59" t="s">
        <v>68</v>
      </c>
      <c r="BU66" s="52"/>
      <c r="BV66" s="59" t="s">
        <v>68</v>
      </c>
      <c r="BW66" s="52"/>
      <c r="BX66" s="59" t="s">
        <v>68</v>
      </c>
      <c r="BY66" s="52"/>
      <c r="BZ66" s="59" t="s">
        <v>68</v>
      </c>
      <c r="CA66" s="52"/>
      <c r="CB66" s="59" t="s">
        <v>68</v>
      </c>
      <c r="CC66" s="52"/>
      <c r="CD66" s="59" t="s">
        <v>68</v>
      </c>
      <c r="CE66" s="52"/>
      <c r="CF66" s="59" t="s">
        <v>68</v>
      </c>
      <c r="CG66" s="52"/>
      <c r="CH66" s="59" t="s">
        <v>68</v>
      </c>
      <c r="CI66" s="52"/>
      <c r="CJ66" s="59" t="s">
        <v>68</v>
      </c>
      <c r="CK66" s="52"/>
      <c r="CL66" s="59" t="s">
        <v>68</v>
      </c>
      <c r="CM66" s="52"/>
      <c r="CN66" s="59" t="s">
        <v>68</v>
      </c>
      <c r="CO66" s="52"/>
      <c r="CP66" s="59" t="s">
        <v>68</v>
      </c>
      <c r="CQ66" s="52"/>
      <c r="CR66" s="59" t="s">
        <v>68</v>
      </c>
      <c r="CS66" s="52"/>
      <c r="CT66" s="59" t="s">
        <v>68</v>
      </c>
      <c r="CU66" s="52"/>
      <c r="CV66" s="59" t="s">
        <v>68</v>
      </c>
      <c r="CW66" s="52"/>
      <c r="CX66" s="59" t="s">
        <v>68</v>
      </c>
      <c r="CY66" s="52"/>
      <c r="CZ66" s="59" t="s">
        <v>68</v>
      </c>
    </row>
    <row r="67" spans="1:104" x14ac:dyDescent="0.25">
      <c r="A67" s="51" t="str">
        <f t="shared" si="7"/>
        <v>N16FFC_POK_VDDR_CORE_OV</v>
      </c>
      <c r="B67" s="2" t="str">
        <f t="shared" si="5"/>
        <v>POK</v>
      </c>
      <c r="C67" s="2" t="s">
        <v>123</v>
      </c>
      <c r="D67" s="2" t="s">
        <v>80</v>
      </c>
      <c r="E67" s="2" t="str">
        <f t="shared" si="8"/>
        <v>5 Analog</v>
      </c>
      <c r="F67" s="2" t="str">
        <f t="shared" si="8"/>
        <v>Power</v>
      </c>
      <c r="G67" s="52">
        <v>1</v>
      </c>
      <c r="H67" s="59" t="s">
        <v>68</v>
      </c>
      <c r="I67" s="52"/>
      <c r="J67" s="59" t="s">
        <v>68</v>
      </c>
      <c r="K67" s="52"/>
      <c r="L67" s="59" t="s">
        <v>68</v>
      </c>
      <c r="M67" s="52"/>
      <c r="N67" s="59" t="s">
        <v>68</v>
      </c>
      <c r="O67" s="52"/>
      <c r="P67" s="59" t="s">
        <v>68</v>
      </c>
      <c r="Q67" s="52"/>
      <c r="R67" s="59" t="s">
        <v>68</v>
      </c>
      <c r="S67" s="52"/>
      <c r="T67" s="59" t="s">
        <v>68</v>
      </c>
      <c r="U67" s="52"/>
      <c r="V67" s="59" t="s">
        <v>68</v>
      </c>
      <c r="W67" s="52"/>
      <c r="X67" s="59" t="s">
        <v>68</v>
      </c>
      <c r="Y67" s="52"/>
      <c r="Z67" s="59" t="s">
        <v>68</v>
      </c>
      <c r="AA67" s="52"/>
      <c r="AB67" s="59" t="s">
        <v>68</v>
      </c>
      <c r="AC67" s="52"/>
      <c r="AD67" s="59" t="s">
        <v>68</v>
      </c>
      <c r="AE67" s="52"/>
      <c r="AF67" s="59" t="s">
        <v>68</v>
      </c>
      <c r="AG67" s="52"/>
      <c r="AH67" s="59" t="s">
        <v>68</v>
      </c>
      <c r="AI67" s="52"/>
      <c r="AJ67" s="59" t="s">
        <v>69</v>
      </c>
      <c r="AK67" s="52"/>
      <c r="AL67" s="59" t="s">
        <v>68</v>
      </c>
      <c r="AM67" s="52"/>
      <c r="AN67" s="59" t="s">
        <v>68</v>
      </c>
      <c r="AO67" s="52"/>
      <c r="AP67" s="59" t="s">
        <v>68</v>
      </c>
      <c r="AQ67" s="52"/>
      <c r="AR67" s="59" t="s">
        <v>68</v>
      </c>
      <c r="AS67" s="52"/>
      <c r="AT67" s="59" t="s">
        <v>68</v>
      </c>
      <c r="AU67" s="52"/>
      <c r="AV67" s="59" t="s">
        <v>68</v>
      </c>
      <c r="AW67" s="52"/>
      <c r="AX67" s="59" t="s">
        <v>68</v>
      </c>
      <c r="AY67" s="52"/>
      <c r="AZ67" s="59" t="s">
        <v>68</v>
      </c>
      <c r="BA67" s="52"/>
      <c r="BB67" s="59" t="s">
        <v>68</v>
      </c>
      <c r="BC67" s="52"/>
      <c r="BD67" s="59" t="s">
        <v>68</v>
      </c>
      <c r="BE67" s="52"/>
      <c r="BF67" s="59" t="s">
        <v>68</v>
      </c>
      <c r="BG67" s="52"/>
      <c r="BH67" s="59" t="s">
        <v>68</v>
      </c>
      <c r="BI67" s="52"/>
      <c r="BJ67" s="59" t="s">
        <v>68</v>
      </c>
      <c r="BK67" s="52"/>
      <c r="BL67" s="59" t="s">
        <v>68</v>
      </c>
      <c r="BM67" s="52"/>
      <c r="BN67" s="59" t="s">
        <v>68</v>
      </c>
      <c r="BO67" s="52"/>
      <c r="BP67" s="59" t="s">
        <v>68</v>
      </c>
      <c r="BQ67" s="52"/>
      <c r="BR67" s="59" t="s">
        <v>68</v>
      </c>
      <c r="BS67" s="52"/>
      <c r="BT67" s="59" t="s">
        <v>68</v>
      </c>
      <c r="BU67" s="52"/>
      <c r="BV67" s="59" t="s">
        <v>68</v>
      </c>
      <c r="BW67" s="52"/>
      <c r="BX67" s="59" t="s">
        <v>68</v>
      </c>
      <c r="BY67" s="52"/>
      <c r="BZ67" s="59" t="s">
        <v>68</v>
      </c>
      <c r="CA67" s="52"/>
      <c r="CB67" s="59" t="s">
        <v>68</v>
      </c>
      <c r="CC67" s="52"/>
      <c r="CD67" s="59" t="s">
        <v>68</v>
      </c>
      <c r="CE67" s="52"/>
      <c r="CF67" s="59" t="s">
        <v>68</v>
      </c>
      <c r="CG67" s="52"/>
      <c r="CH67" s="59" t="s">
        <v>68</v>
      </c>
      <c r="CI67" s="52"/>
      <c r="CJ67" s="59" t="s">
        <v>68</v>
      </c>
      <c r="CK67" s="52"/>
      <c r="CL67" s="59" t="s">
        <v>68</v>
      </c>
      <c r="CM67" s="52"/>
      <c r="CN67" s="59" t="s">
        <v>68</v>
      </c>
      <c r="CO67" s="52"/>
      <c r="CP67" s="59" t="s">
        <v>68</v>
      </c>
      <c r="CQ67" s="52"/>
      <c r="CR67" s="59" t="s">
        <v>68</v>
      </c>
      <c r="CS67" s="52"/>
      <c r="CT67" s="59" t="s">
        <v>68</v>
      </c>
      <c r="CU67" s="52"/>
      <c r="CV67" s="59" t="s">
        <v>68</v>
      </c>
      <c r="CW67" s="52"/>
      <c r="CX67" s="59" t="s">
        <v>68</v>
      </c>
      <c r="CY67" s="52"/>
      <c r="CZ67" s="59" t="s">
        <v>68</v>
      </c>
    </row>
    <row r="68" spans="1:104" x14ac:dyDescent="0.25">
      <c r="A68" s="51" t="str">
        <f t="shared" si="7"/>
        <v>N16FFC_POK_VDDR_CORE_UV</v>
      </c>
      <c r="B68" s="2" t="str">
        <f t="shared" si="5"/>
        <v>POK</v>
      </c>
      <c r="C68" s="2" t="s">
        <v>122</v>
      </c>
      <c r="D68" s="2" t="s">
        <v>80</v>
      </c>
      <c r="E68" s="2" t="str">
        <f t="shared" si="8"/>
        <v>5 Analog</v>
      </c>
      <c r="F68" s="2" t="str">
        <f t="shared" si="8"/>
        <v>Power</v>
      </c>
      <c r="G68" s="52">
        <v>1</v>
      </c>
      <c r="H68" s="59" t="s">
        <v>68</v>
      </c>
      <c r="I68" s="52"/>
      <c r="J68" s="59" t="s">
        <v>68</v>
      </c>
      <c r="K68" s="52"/>
      <c r="L68" s="59" t="s">
        <v>68</v>
      </c>
      <c r="M68" s="52"/>
      <c r="N68" s="59" t="s">
        <v>68</v>
      </c>
      <c r="O68" s="52"/>
      <c r="P68" s="59" t="s">
        <v>68</v>
      </c>
      <c r="Q68" s="52"/>
      <c r="R68" s="59" t="s">
        <v>68</v>
      </c>
      <c r="S68" s="52"/>
      <c r="T68" s="59" t="s">
        <v>68</v>
      </c>
      <c r="U68" s="52"/>
      <c r="V68" s="59" t="s">
        <v>68</v>
      </c>
      <c r="W68" s="52"/>
      <c r="X68" s="59" t="s">
        <v>68</v>
      </c>
      <c r="Y68" s="52"/>
      <c r="Z68" s="59" t="s">
        <v>68</v>
      </c>
      <c r="AA68" s="52"/>
      <c r="AB68" s="59" t="s">
        <v>68</v>
      </c>
      <c r="AC68" s="52"/>
      <c r="AD68" s="59" t="s">
        <v>68</v>
      </c>
      <c r="AE68" s="52"/>
      <c r="AF68" s="59" t="s">
        <v>68</v>
      </c>
      <c r="AG68" s="52"/>
      <c r="AH68" s="59" t="s">
        <v>68</v>
      </c>
      <c r="AI68" s="52"/>
      <c r="AJ68" s="59" t="s">
        <v>69</v>
      </c>
      <c r="AK68" s="52"/>
      <c r="AL68" s="59" t="s">
        <v>68</v>
      </c>
      <c r="AM68" s="52"/>
      <c r="AN68" s="59" t="s">
        <v>68</v>
      </c>
      <c r="AO68" s="52"/>
      <c r="AP68" s="59" t="s">
        <v>68</v>
      </c>
      <c r="AQ68" s="52"/>
      <c r="AR68" s="59" t="s">
        <v>68</v>
      </c>
      <c r="AS68" s="52"/>
      <c r="AT68" s="59" t="s">
        <v>68</v>
      </c>
      <c r="AU68" s="52"/>
      <c r="AV68" s="59" t="s">
        <v>68</v>
      </c>
      <c r="AW68" s="52"/>
      <c r="AX68" s="59" t="s">
        <v>68</v>
      </c>
      <c r="AY68" s="52"/>
      <c r="AZ68" s="59" t="s">
        <v>68</v>
      </c>
      <c r="BA68" s="52"/>
      <c r="BB68" s="59" t="s">
        <v>68</v>
      </c>
      <c r="BC68" s="52"/>
      <c r="BD68" s="59" t="s">
        <v>68</v>
      </c>
      <c r="BE68" s="52"/>
      <c r="BF68" s="59" t="s">
        <v>68</v>
      </c>
      <c r="BG68" s="52"/>
      <c r="BH68" s="59" t="s">
        <v>68</v>
      </c>
      <c r="BI68" s="52"/>
      <c r="BJ68" s="59" t="s">
        <v>68</v>
      </c>
      <c r="BK68" s="52"/>
      <c r="BL68" s="59" t="s">
        <v>68</v>
      </c>
      <c r="BM68" s="52"/>
      <c r="BN68" s="59" t="s">
        <v>68</v>
      </c>
      <c r="BO68" s="52"/>
      <c r="BP68" s="59" t="s">
        <v>68</v>
      </c>
      <c r="BQ68" s="52"/>
      <c r="BR68" s="59" t="s">
        <v>68</v>
      </c>
      <c r="BS68" s="52"/>
      <c r="BT68" s="59" t="s">
        <v>68</v>
      </c>
      <c r="BU68" s="52"/>
      <c r="BV68" s="59" t="s">
        <v>68</v>
      </c>
      <c r="BW68" s="52"/>
      <c r="BX68" s="59" t="s">
        <v>68</v>
      </c>
      <c r="BY68" s="52"/>
      <c r="BZ68" s="59" t="s">
        <v>68</v>
      </c>
      <c r="CA68" s="52"/>
      <c r="CB68" s="59" t="s">
        <v>68</v>
      </c>
      <c r="CC68" s="52"/>
      <c r="CD68" s="59" t="s">
        <v>68</v>
      </c>
      <c r="CE68" s="52"/>
      <c r="CF68" s="59" t="s">
        <v>68</v>
      </c>
      <c r="CG68" s="52"/>
      <c r="CH68" s="59" t="s">
        <v>68</v>
      </c>
      <c r="CI68" s="52"/>
      <c r="CJ68" s="59" t="s">
        <v>68</v>
      </c>
      <c r="CK68" s="52"/>
      <c r="CL68" s="59" t="s">
        <v>68</v>
      </c>
      <c r="CM68" s="52"/>
      <c r="CN68" s="59" t="s">
        <v>68</v>
      </c>
      <c r="CO68" s="52"/>
      <c r="CP68" s="59" t="s">
        <v>68</v>
      </c>
      <c r="CQ68" s="52"/>
      <c r="CR68" s="59" t="s">
        <v>68</v>
      </c>
      <c r="CS68" s="52"/>
      <c r="CT68" s="59" t="s">
        <v>68</v>
      </c>
      <c r="CU68" s="52"/>
      <c r="CV68" s="59" t="s">
        <v>68</v>
      </c>
      <c r="CW68" s="52"/>
      <c r="CX68" s="59" t="s">
        <v>68</v>
      </c>
      <c r="CY68" s="52"/>
      <c r="CZ68" s="59" t="s">
        <v>68</v>
      </c>
    </row>
    <row r="69" spans="1:104" x14ac:dyDescent="0.25">
      <c r="A69" s="51" t="str">
        <f t="shared" si="7"/>
        <v>N16FFC_POK_VMON_EXT_OV</v>
      </c>
      <c r="B69" s="2" t="str">
        <f t="shared" si="5"/>
        <v>POK</v>
      </c>
      <c r="C69" s="2" t="s">
        <v>125</v>
      </c>
      <c r="D69" s="2" t="s">
        <v>80</v>
      </c>
      <c r="E69" s="2" t="str">
        <f t="shared" si="8"/>
        <v>5 Analog</v>
      </c>
      <c r="F69" s="2" t="str">
        <f t="shared" si="8"/>
        <v>Power</v>
      </c>
      <c r="G69" s="52">
        <v>1</v>
      </c>
      <c r="H69" s="59" t="s">
        <v>68</v>
      </c>
      <c r="I69" s="52"/>
      <c r="J69" s="59" t="s">
        <v>68</v>
      </c>
      <c r="K69" s="52"/>
      <c r="L69" s="59" t="s">
        <v>68</v>
      </c>
      <c r="M69" s="52"/>
      <c r="N69" s="59" t="s">
        <v>68</v>
      </c>
      <c r="O69" s="52"/>
      <c r="P69" s="59" t="s">
        <v>68</v>
      </c>
      <c r="Q69" s="52"/>
      <c r="R69" s="59" t="s">
        <v>68</v>
      </c>
      <c r="S69" s="52"/>
      <c r="T69" s="59" t="s">
        <v>68</v>
      </c>
      <c r="U69" s="52"/>
      <c r="V69" s="59" t="s">
        <v>68</v>
      </c>
      <c r="W69" s="52"/>
      <c r="X69" s="59" t="s">
        <v>68</v>
      </c>
      <c r="Y69" s="52"/>
      <c r="Z69" s="59" t="s">
        <v>68</v>
      </c>
      <c r="AA69" s="52"/>
      <c r="AB69" s="59" t="s">
        <v>68</v>
      </c>
      <c r="AC69" s="52"/>
      <c r="AD69" s="59" t="s">
        <v>68</v>
      </c>
      <c r="AE69" s="52"/>
      <c r="AF69" s="59" t="s">
        <v>68</v>
      </c>
      <c r="AG69" s="52"/>
      <c r="AH69" s="59" t="s">
        <v>68</v>
      </c>
      <c r="AI69" s="52"/>
      <c r="AJ69" s="59" t="s">
        <v>69</v>
      </c>
      <c r="AK69" s="52"/>
      <c r="AL69" s="59" t="s">
        <v>68</v>
      </c>
      <c r="AM69" s="52"/>
      <c r="AN69" s="59" t="s">
        <v>68</v>
      </c>
      <c r="AO69" s="52"/>
      <c r="AP69" s="59" t="s">
        <v>68</v>
      </c>
      <c r="AQ69" s="52"/>
      <c r="AR69" s="59" t="s">
        <v>68</v>
      </c>
      <c r="AS69" s="52"/>
      <c r="AT69" s="59" t="s">
        <v>68</v>
      </c>
      <c r="AU69" s="52"/>
      <c r="AV69" s="59" t="s">
        <v>68</v>
      </c>
      <c r="AW69" s="52"/>
      <c r="AX69" s="59" t="s">
        <v>68</v>
      </c>
      <c r="AY69" s="52"/>
      <c r="AZ69" s="59" t="s">
        <v>68</v>
      </c>
      <c r="BA69" s="52"/>
      <c r="BB69" s="59" t="s">
        <v>68</v>
      </c>
      <c r="BC69" s="52"/>
      <c r="BD69" s="59" t="s">
        <v>68</v>
      </c>
      <c r="BE69" s="52"/>
      <c r="BF69" s="59" t="s">
        <v>68</v>
      </c>
      <c r="BG69" s="52"/>
      <c r="BH69" s="59" t="s">
        <v>68</v>
      </c>
      <c r="BI69" s="52"/>
      <c r="BJ69" s="59" t="s">
        <v>68</v>
      </c>
      <c r="BK69" s="52"/>
      <c r="BL69" s="59" t="s">
        <v>68</v>
      </c>
      <c r="BM69" s="52"/>
      <c r="BN69" s="59" t="s">
        <v>68</v>
      </c>
      <c r="BO69" s="52"/>
      <c r="BP69" s="59" t="s">
        <v>68</v>
      </c>
      <c r="BQ69" s="52"/>
      <c r="BR69" s="59" t="s">
        <v>68</v>
      </c>
      <c r="BS69" s="52"/>
      <c r="BT69" s="59" t="s">
        <v>68</v>
      </c>
      <c r="BU69" s="52"/>
      <c r="BV69" s="59" t="s">
        <v>68</v>
      </c>
      <c r="BW69" s="52"/>
      <c r="BX69" s="59" t="s">
        <v>68</v>
      </c>
      <c r="BY69" s="52"/>
      <c r="BZ69" s="59" t="s">
        <v>68</v>
      </c>
      <c r="CA69" s="52"/>
      <c r="CB69" s="59" t="s">
        <v>68</v>
      </c>
      <c r="CC69" s="52"/>
      <c r="CD69" s="59" t="s">
        <v>68</v>
      </c>
      <c r="CE69" s="52"/>
      <c r="CF69" s="59" t="s">
        <v>68</v>
      </c>
      <c r="CG69" s="52"/>
      <c r="CH69" s="59" t="s">
        <v>68</v>
      </c>
      <c r="CI69" s="52"/>
      <c r="CJ69" s="59" t="s">
        <v>68</v>
      </c>
      <c r="CK69" s="52"/>
      <c r="CL69" s="59" t="s">
        <v>68</v>
      </c>
      <c r="CM69" s="52"/>
      <c r="CN69" s="59" t="s">
        <v>68</v>
      </c>
      <c r="CO69" s="52"/>
      <c r="CP69" s="59" t="s">
        <v>68</v>
      </c>
      <c r="CQ69" s="52"/>
      <c r="CR69" s="59" t="s">
        <v>68</v>
      </c>
      <c r="CS69" s="52"/>
      <c r="CT69" s="59" t="s">
        <v>68</v>
      </c>
      <c r="CU69" s="52"/>
      <c r="CV69" s="59" t="s">
        <v>68</v>
      </c>
      <c r="CW69" s="52"/>
      <c r="CX69" s="59" t="s">
        <v>68</v>
      </c>
      <c r="CY69" s="52"/>
      <c r="CZ69" s="59" t="s">
        <v>68</v>
      </c>
    </row>
    <row r="70" spans="1:104" x14ac:dyDescent="0.25">
      <c r="A70" s="51" t="str">
        <f t="shared" si="7"/>
        <v>N16FFC_POKSA_0</v>
      </c>
      <c r="B70" s="2" t="str">
        <f t="shared" si="5"/>
        <v>POKSA</v>
      </c>
      <c r="C70" s="2" t="s">
        <v>18</v>
      </c>
      <c r="D70" s="2" t="s">
        <v>83</v>
      </c>
      <c r="E70" s="2" t="str">
        <f t="shared" si="8"/>
        <v>5 Analog</v>
      </c>
      <c r="F70" s="2" t="str">
        <f t="shared" si="8"/>
        <v>Power</v>
      </c>
      <c r="G70" s="52">
        <v>1</v>
      </c>
      <c r="H70" s="59" t="s">
        <v>68</v>
      </c>
      <c r="I70" s="52"/>
      <c r="J70" s="59" t="s">
        <v>68</v>
      </c>
      <c r="K70" s="52"/>
      <c r="L70" s="59" t="s">
        <v>68</v>
      </c>
      <c r="M70" s="52"/>
      <c r="N70" s="59" t="s">
        <v>68</v>
      </c>
      <c r="O70" s="52"/>
      <c r="P70" s="59" t="s">
        <v>68</v>
      </c>
      <c r="Q70" s="52"/>
      <c r="R70" s="59" t="s">
        <v>68</v>
      </c>
      <c r="S70" s="52"/>
      <c r="T70" s="59" t="s">
        <v>68</v>
      </c>
      <c r="U70" s="52"/>
      <c r="V70" s="59" t="s">
        <v>68</v>
      </c>
      <c r="W70" s="52"/>
      <c r="X70" s="59" t="s">
        <v>68</v>
      </c>
      <c r="Y70" s="52"/>
      <c r="Z70" s="59" t="s">
        <v>68</v>
      </c>
      <c r="AA70" s="52"/>
      <c r="AB70" s="59" t="s">
        <v>68</v>
      </c>
      <c r="AC70" s="52"/>
      <c r="AD70" s="59" t="s">
        <v>68</v>
      </c>
      <c r="AE70" s="52"/>
      <c r="AF70" s="59" t="s">
        <v>68</v>
      </c>
      <c r="AG70" s="52"/>
      <c r="AH70" s="59" t="s">
        <v>68</v>
      </c>
      <c r="AI70" s="52"/>
      <c r="AJ70" s="59" t="s">
        <v>69</v>
      </c>
      <c r="AK70" s="52"/>
      <c r="AL70" s="59" t="s">
        <v>68</v>
      </c>
      <c r="AM70" s="52"/>
      <c r="AN70" s="59" t="s">
        <v>68</v>
      </c>
      <c r="AO70" s="52"/>
      <c r="AP70" s="59" t="s">
        <v>68</v>
      </c>
      <c r="AQ70" s="52"/>
      <c r="AR70" s="59" t="s">
        <v>68</v>
      </c>
      <c r="AS70" s="52"/>
      <c r="AT70" s="59" t="s">
        <v>68</v>
      </c>
      <c r="AU70" s="52"/>
      <c r="AV70" s="59" t="s">
        <v>68</v>
      </c>
      <c r="AW70" s="52"/>
      <c r="AX70" s="59" t="s">
        <v>68</v>
      </c>
      <c r="AY70" s="52"/>
      <c r="AZ70" s="59" t="s">
        <v>68</v>
      </c>
      <c r="BA70" s="52"/>
      <c r="BB70" s="59" t="s">
        <v>68</v>
      </c>
      <c r="BC70" s="52"/>
      <c r="BD70" s="59" t="s">
        <v>68</v>
      </c>
      <c r="BE70" s="52"/>
      <c r="BF70" s="59" t="s">
        <v>68</v>
      </c>
      <c r="BG70" s="52"/>
      <c r="BH70" s="59" t="s">
        <v>68</v>
      </c>
      <c r="BI70" s="52"/>
      <c r="BJ70" s="59" t="s">
        <v>68</v>
      </c>
      <c r="BK70" s="52"/>
      <c r="BL70" s="59" t="s">
        <v>68</v>
      </c>
      <c r="BM70" s="52"/>
      <c r="BN70" s="59" t="s">
        <v>68</v>
      </c>
      <c r="BO70" s="52"/>
      <c r="BP70" s="59" t="s">
        <v>68</v>
      </c>
      <c r="BQ70" s="52"/>
      <c r="BR70" s="59" t="s">
        <v>68</v>
      </c>
      <c r="BS70" s="52"/>
      <c r="BT70" s="59" t="s">
        <v>68</v>
      </c>
      <c r="BU70" s="52"/>
      <c r="BV70" s="59" t="s">
        <v>68</v>
      </c>
      <c r="BW70" s="52"/>
      <c r="BX70" s="59" t="s">
        <v>68</v>
      </c>
      <c r="BY70" s="52"/>
      <c r="BZ70" s="59" t="s">
        <v>68</v>
      </c>
      <c r="CA70" s="52"/>
      <c r="CB70" s="59" t="s">
        <v>68</v>
      </c>
      <c r="CC70" s="52"/>
      <c r="CD70" s="59" t="s">
        <v>68</v>
      </c>
      <c r="CE70" s="52"/>
      <c r="CF70" s="59" t="s">
        <v>68</v>
      </c>
      <c r="CG70" s="52"/>
      <c r="CH70" s="59" t="s">
        <v>68</v>
      </c>
      <c r="CI70" s="52"/>
      <c r="CJ70" s="59" t="s">
        <v>68</v>
      </c>
      <c r="CK70" s="52"/>
      <c r="CL70" s="59" t="s">
        <v>68</v>
      </c>
      <c r="CM70" s="52"/>
      <c r="CN70" s="59" t="s">
        <v>68</v>
      </c>
      <c r="CO70" s="52"/>
      <c r="CP70" s="59" t="s">
        <v>68</v>
      </c>
      <c r="CQ70" s="52"/>
      <c r="CR70" s="59" t="s">
        <v>68</v>
      </c>
      <c r="CS70" s="52"/>
      <c r="CT70" s="59" t="s">
        <v>68</v>
      </c>
      <c r="CU70" s="52"/>
      <c r="CV70" s="59" t="s">
        <v>68</v>
      </c>
      <c r="CW70" s="52"/>
      <c r="CX70" s="59" t="s">
        <v>68</v>
      </c>
      <c r="CY70" s="52"/>
      <c r="CZ70" s="59" t="s">
        <v>68</v>
      </c>
    </row>
    <row r="71" spans="1:104" x14ac:dyDescent="0.25">
      <c r="A71" s="51" t="str">
        <f t="shared" si="7"/>
        <v>PVDD18MODEDET_Main</v>
      </c>
      <c r="B71" s="2" t="e">
        <f t="shared" si="5"/>
        <v>#N/A</v>
      </c>
      <c r="C71" s="2" t="s">
        <v>47</v>
      </c>
      <c r="D71" s="2" t="s">
        <v>390</v>
      </c>
      <c r="E71" s="2" t="e">
        <f t="shared" si="8"/>
        <v>#N/A</v>
      </c>
      <c r="F71" s="2" t="e">
        <f t="shared" si="8"/>
        <v>#N/A</v>
      </c>
      <c r="G71" s="52">
        <v>1</v>
      </c>
      <c r="H71" s="59" t="s">
        <v>68</v>
      </c>
      <c r="I71" s="52"/>
      <c r="J71" s="59" t="s">
        <v>68</v>
      </c>
      <c r="K71" s="52"/>
      <c r="L71" s="59" t="s">
        <v>68</v>
      </c>
      <c r="M71" s="52"/>
      <c r="N71" s="59" t="s">
        <v>68</v>
      </c>
      <c r="O71" s="52"/>
      <c r="P71" s="59" t="s">
        <v>68</v>
      </c>
      <c r="Q71" s="52"/>
      <c r="R71" s="59" t="s">
        <v>68</v>
      </c>
      <c r="S71" s="52"/>
      <c r="T71" s="59" t="s">
        <v>68</v>
      </c>
      <c r="U71" s="52"/>
      <c r="V71" s="59" t="s">
        <v>68</v>
      </c>
      <c r="W71" s="52"/>
      <c r="X71" s="59" t="s">
        <v>68</v>
      </c>
      <c r="Y71" s="52"/>
      <c r="Z71" s="59" t="s">
        <v>68</v>
      </c>
      <c r="AA71" s="52"/>
      <c r="AB71" s="59" t="s">
        <v>68</v>
      </c>
      <c r="AC71" s="52"/>
      <c r="AD71" s="59" t="s">
        <v>68</v>
      </c>
      <c r="AE71" s="52"/>
      <c r="AF71" s="59" t="s">
        <v>68</v>
      </c>
      <c r="AG71" s="52"/>
      <c r="AH71" s="59" t="s">
        <v>68</v>
      </c>
      <c r="AI71" s="52"/>
      <c r="AJ71" s="59" t="s">
        <v>69</v>
      </c>
      <c r="AK71" s="52"/>
      <c r="AL71" s="59" t="s">
        <v>68</v>
      </c>
      <c r="AM71" s="52"/>
      <c r="AN71" s="59" t="s">
        <v>68</v>
      </c>
      <c r="AO71" s="52"/>
      <c r="AP71" s="59" t="s">
        <v>68</v>
      </c>
      <c r="AQ71" s="52"/>
      <c r="AR71" s="59" t="s">
        <v>68</v>
      </c>
      <c r="AS71" s="52"/>
      <c r="AT71" s="59" t="s">
        <v>68</v>
      </c>
      <c r="AU71" s="52"/>
      <c r="AV71" s="59" t="s">
        <v>68</v>
      </c>
      <c r="AW71" s="52"/>
      <c r="AX71" s="59" t="s">
        <v>68</v>
      </c>
      <c r="AY71" s="52"/>
      <c r="AZ71" s="59" t="s">
        <v>68</v>
      </c>
      <c r="BA71" s="52"/>
      <c r="BB71" s="59" t="s">
        <v>68</v>
      </c>
      <c r="BC71" s="52"/>
      <c r="BD71" s="59" t="s">
        <v>68</v>
      </c>
      <c r="BE71" s="52"/>
      <c r="BF71" s="59" t="s">
        <v>68</v>
      </c>
      <c r="BG71" s="52"/>
      <c r="BH71" s="59" t="s">
        <v>68</v>
      </c>
      <c r="BI71" s="52"/>
      <c r="BJ71" s="59" t="s">
        <v>68</v>
      </c>
      <c r="BK71" s="52"/>
      <c r="BL71" s="59" t="s">
        <v>68</v>
      </c>
      <c r="BM71" s="52"/>
      <c r="BN71" s="59" t="s">
        <v>68</v>
      </c>
      <c r="BO71" s="52"/>
      <c r="BP71" s="59" t="s">
        <v>68</v>
      </c>
      <c r="BQ71" s="52"/>
      <c r="BR71" s="59" t="s">
        <v>68</v>
      </c>
      <c r="BS71" s="52"/>
      <c r="BT71" s="59" t="s">
        <v>68</v>
      </c>
      <c r="BU71" s="52"/>
      <c r="BV71" s="59" t="s">
        <v>68</v>
      </c>
      <c r="BW71" s="52"/>
      <c r="BX71" s="59" t="s">
        <v>68</v>
      </c>
      <c r="BY71" s="52"/>
      <c r="BZ71" s="59" t="s">
        <v>68</v>
      </c>
      <c r="CA71" s="52"/>
      <c r="CB71" s="59" t="s">
        <v>68</v>
      </c>
      <c r="CC71" s="52"/>
      <c r="CD71" s="59" t="s">
        <v>68</v>
      </c>
      <c r="CE71" s="52"/>
      <c r="CF71" s="59" t="s">
        <v>68</v>
      </c>
      <c r="CG71" s="52"/>
      <c r="CH71" s="59" t="s">
        <v>68</v>
      </c>
      <c r="CI71" s="52"/>
      <c r="CJ71" s="59" t="s">
        <v>68</v>
      </c>
      <c r="CK71" s="52"/>
      <c r="CL71" s="59" t="s">
        <v>68</v>
      </c>
      <c r="CM71" s="52"/>
      <c r="CN71" s="59" t="s">
        <v>68</v>
      </c>
      <c r="CO71" s="52"/>
      <c r="CP71" s="59" t="s">
        <v>68</v>
      </c>
      <c r="CQ71" s="52"/>
      <c r="CR71" s="59" t="s">
        <v>68</v>
      </c>
      <c r="CS71" s="52"/>
      <c r="CT71" s="59" t="s">
        <v>68</v>
      </c>
      <c r="CU71" s="52"/>
      <c r="CV71" s="59" t="s">
        <v>68</v>
      </c>
      <c r="CW71" s="52"/>
      <c r="CX71" s="59" t="s">
        <v>68</v>
      </c>
      <c r="CY71" s="52"/>
      <c r="CZ71" s="59" t="s">
        <v>68</v>
      </c>
    </row>
    <row r="72" spans="1:104" x14ac:dyDescent="0.25">
      <c r="A72" s="51" t="str">
        <f t="shared" si="7"/>
        <v>ABJSTBL5_multiple</v>
      </c>
      <c r="B72" s="2" t="str">
        <f t="shared" si="5"/>
        <v>PVT Sensor</v>
      </c>
      <c r="C72" s="2" t="s">
        <v>29</v>
      </c>
      <c r="D72" s="2" t="s">
        <v>269</v>
      </c>
      <c r="E72" s="2" t="str">
        <f t="shared" si="8"/>
        <v>6 IO</v>
      </c>
      <c r="F72" s="2" t="str">
        <f t="shared" si="8"/>
        <v>Monitor</v>
      </c>
      <c r="G72" s="52">
        <v>1</v>
      </c>
      <c r="H72" s="59" t="s">
        <v>68</v>
      </c>
      <c r="I72" s="52"/>
      <c r="J72" s="59" t="s">
        <v>68</v>
      </c>
      <c r="K72" s="52"/>
      <c r="L72" s="59" t="s">
        <v>68</v>
      </c>
      <c r="M72" s="52"/>
      <c r="N72" s="59" t="s">
        <v>68</v>
      </c>
      <c r="O72" s="52"/>
      <c r="P72" s="59" t="s">
        <v>68</v>
      </c>
      <c r="Q72" s="52"/>
      <c r="R72" s="59" t="s">
        <v>68</v>
      </c>
      <c r="S72" s="52"/>
      <c r="T72" s="59" t="s">
        <v>68</v>
      </c>
      <c r="U72" s="52"/>
      <c r="V72" s="59" t="s">
        <v>68</v>
      </c>
      <c r="W72" s="52"/>
      <c r="X72" s="59" t="s">
        <v>68</v>
      </c>
      <c r="Y72" s="52"/>
      <c r="Z72" s="59" t="s">
        <v>68</v>
      </c>
      <c r="AA72" s="52"/>
      <c r="AB72" s="59" t="s">
        <v>68</v>
      </c>
      <c r="AC72" s="52"/>
      <c r="AD72" s="59" t="s">
        <v>68</v>
      </c>
      <c r="AE72" s="52"/>
      <c r="AF72" s="59" t="s">
        <v>68</v>
      </c>
      <c r="AG72" s="52"/>
      <c r="AH72" s="59" t="s">
        <v>68</v>
      </c>
      <c r="AI72" s="52"/>
      <c r="AJ72" s="59" t="s">
        <v>69</v>
      </c>
      <c r="AK72" s="52"/>
      <c r="AL72" s="59" t="s">
        <v>68</v>
      </c>
      <c r="AM72" s="52"/>
      <c r="AN72" s="59" t="s">
        <v>68</v>
      </c>
      <c r="AO72" s="52"/>
      <c r="AP72" s="59" t="s">
        <v>68</v>
      </c>
      <c r="AQ72" s="52"/>
      <c r="AR72" s="59" t="s">
        <v>68</v>
      </c>
      <c r="AS72" s="52"/>
      <c r="AT72" s="59" t="s">
        <v>68</v>
      </c>
      <c r="AU72" s="52"/>
      <c r="AV72" s="59" t="s">
        <v>68</v>
      </c>
      <c r="AW72" s="52"/>
      <c r="AX72" s="59" t="s">
        <v>68</v>
      </c>
      <c r="AY72" s="52"/>
      <c r="AZ72" s="59" t="s">
        <v>68</v>
      </c>
      <c r="BA72" s="52"/>
      <c r="BB72" s="59" t="s">
        <v>68</v>
      </c>
      <c r="BC72" s="52"/>
      <c r="BD72" s="59" t="s">
        <v>68</v>
      </c>
      <c r="BE72" s="52"/>
      <c r="BF72" s="59" t="s">
        <v>68</v>
      </c>
      <c r="BG72" s="52"/>
      <c r="BH72" s="59" t="s">
        <v>68</v>
      </c>
      <c r="BI72" s="52"/>
      <c r="BJ72" s="59" t="s">
        <v>68</v>
      </c>
      <c r="BK72" s="52"/>
      <c r="BL72" s="59" t="s">
        <v>68</v>
      </c>
      <c r="BM72" s="52"/>
      <c r="BN72" s="59" t="s">
        <v>68</v>
      </c>
      <c r="BO72" s="52"/>
      <c r="BP72" s="59" t="s">
        <v>68</v>
      </c>
      <c r="BQ72" s="52"/>
      <c r="BR72" s="59" t="s">
        <v>68</v>
      </c>
      <c r="BS72" s="52"/>
      <c r="BT72" s="59" t="s">
        <v>68</v>
      </c>
      <c r="BU72" s="52"/>
      <c r="BV72" s="59" t="s">
        <v>68</v>
      </c>
      <c r="BW72" s="52"/>
      <c r="BX72" s="59" t="s">
        <v>68</v>
      </c>
      <c r="BY72" s="52"/>
      <c r="BZ72" s="59" t="s">
        <v>68</v>
      </c>
      <c r="CA72" s="52"/>
      <c r="CB72" s="59" t="s">
        <v>68</v>
      </c>
      <c r="CC72" s="52"/>
      <c r="CD72" s="59" t="s">
        <v>68</v>
      </c>
      <c r="CE72" s="52"/>
      <c r="CF72" s="59" t="s">
        <v>68</v>
      </c>
      <c r="CG72" s="52"/>
      <c r="CH72" s="59" t="s">
        <v>68</v>
      </c>
      <c r="CI72" s="52"/>
      <c r="CJ72" s="59" t="s">
        <v>68</v>
      </c>
      <c r="CK72" s="52"/>
      <c r="CL72" s="59" t="s">
        <v>68</v>
      </c>
      <c r="CM72" s="52"/>
      <c r="CN72" s="59" t="s">
        <v>68</v>
      </c>
      <c r="CO72" s="52"/>
      <c r="CP72" s="59" t="s">
        <v>68</v>
      </c>
      <c r="CQ72" s="52"/>
      <c r="CR72" s="59" t="s">
        <v>68</v>
      </c>
      <c r="CS72" s="52"/>
      <c r="CT72" s="59" t="s">
        <v>68</v>
      </c>
      <c r="CU72" s="52"/>
      <c r="CV72" s="59" t="s">
        <v>68</v>
      </c>
      <c r="CW72" s="52"/>
      <c r="CX72" s="59" t="s">
        <v>68</v>
      </c>
      <c r="CY72" s="52"/>
      <c r="CZ72" s="59" t="s">
        <v>68</v>
      </c>
    </row>
    <row r="73" spans="1:104" x14ac:dyDescent="0.25">
      <c r="A73" s="51" t="str">
        <f t="shared" si="7"/>
        <v>N16FFC_HFXOSC_0</v>
      </c>
      <c r="B73" s="2" t="str">
        <f t="shared" si="5"/>
        <v>HFOSC</v>
      </c>
      <c r="C73" s="2" t="s">
        <v>18</v>
      </c>
      <c r="D73" s="2" t="s">
        <v>77</v>
      </c>
      <c r="E73" s="2" t="str">
        <f t="shared" si="8"/>
        <v>6 IO</v>
      </c>
      <c r="F73" s="2" t="str">
        <f t="shared" si="8"/>
        <v>OSC</v>
      </c>
      <c r="G73" s="52">
        <v>1</v>
      </c>
      <c r="H73" s="59" t="s">
        <v>68</v>
      </c>
      <c r="I73" s="52"/>
      <c r="J73" s="59" t="s">
        <v>68</v>
      </c>
      <c r="K73" s="52"/>
      <c r="L73" s="59" t="s">
        <v>68</v>
      </c>
      <c r="M73" s="52"/>
      <c r="N73" s="59" t="s">
        <v>68</v>
      </c>
      <c r="O73" s="52"/>
      <c r="P73" s="59" t="s">
        <v>68</v>
      </c>
      <c r="Q73" s="52"/>
      <c r="R73" s="59" t="s">
        <v>68</v>
      </c>
      <c r="S73" s="52"/>
      <c r="T73" s="59" t="s">
        <v>68</v>
      </c>
      <c r="U73" s="52"/>
      <c r="V73" s="59" t="s">
        <v>68</v>
      </c>
      <c r="W73" s="52"/>
      <c r="X73" s="59" t="s">
        <v>68</v>
      </c>
      <c r="Y73" s="52"/>
      <c r="Z73" s="59" t="s">
        <v>68</v>
      </c>
      <c r="AA73" s="52"/>
      <c r="AB73" s="59" t="s">
        <v>68</v>
      </c>
      <c r="AC73" s="52"/>
      <c r="AD73" s="59" t="s">
        <v>68</v>
      </c>
      <c r="AE73" s="52"/>
      <c r="AF73" s="59" t="s">
        <v>68</v>
      </c>
      <c r="AG73" s="52"/>
      <c r="AH73" s="59" t="s">
        <v>68</v>
      </c>
      <c r="AI73" s="52"/>
      <c r="AJ73" s="59" t="s">
        <v>69</v>
      </c>
      <c r="AK73" s="52"/>
      <c r="AL73" s="59" t="s">
        <v>68</v>
      </c>
      <c r="AM73" s="52"/>
      <c r="AN73" s="59" t="s">
        <v>68</v>
      </c>
      <c r="AO73" s="52"/>
      <c r="AP73" s="59" t="s">
        <v>68</v>
      </c>
      <c r="AQ73" s="52"/>
      <c r="AR73" s="59" t="s">
        <v>68</v>
      </c>
      <c r="AS73" s="52"/>
      <c r="AT73" s="59" t="s">
        <v>68</v>
      </c>
      <c r="AU73" s="52"/>
      <c r="AV73" s="59" t="s">
        <v>68</v>
      </c>
      <c r="AW73" s="52"/>
      <c r="AX73" s="59" t="s">
        <v>68</v>
      </c>
      <c r="AY73" s="52"/>
      <c r="AZ73" s="59" t="s">
        <v>68</v>
      </c>
      <c r="BA73" s="52"/>
      <c r="BB73" s="59" t="s">
        <v>68</v>
      </c>
      <c r="BC73" s="52"/>
      <c r="BD73" s="59" t="s">
        <v>68</v>
      </c>
      <c r="BE73" s="52"/>
      <c r="BF73" s="59" t="s">
        <v>68</v>
      </c>
      <c r="BG73" s="52"/>
      <c r="BH73" s="59" t="s">
        <v>68</v>
      </c>
      <c r="BI73" s="52"/>
      <c r="BJ73" s="59" t="s">
        <v>68</v>
      </c>
      <c r="BK73" s="52"/>
      <c r="BL73" s="59" t="s">
        <v>68</v>
      </c>
      <c r="BM73" s="52"/>
      <c r="BN73" s="59" t="s">
        <v>68</v>
      </c>
      <c r="BO73" s="52"/>
      <c r="BP73" s="59" t="s">
        <v>68</v>
      </c>
      <c r="BQ73" s="52"/>
      <c r="BR73" s="59" t="s">
        <v>68</v>
      </c>
      <c r="BS73" s="52"/>
      <c r="BT73" s="59" t="s">
        <v>68</v>
      </c>
      <c r="BU73" s="52"/>
      <c r="BV73" s="59" t="s">
        <v>68</v>
      </c>
      <c r="BW73" s="52"/>
      <c r="BX73" s="59" t="s">
        <v>68</v>
      </c>
      <c r="BY73" s="52"/>
      <c r="BZ73" s="59" t="s">
        <v>68</v>
      </c>
      <c r="CA73" s="52"/>
      <c r="CB73" s="59" t="s">
        <v>68</v>
      </c>
      <c r="CC73" s="52"/>
      <c r="CD73" s="59" t="s">
        <v>68</v>
      </c>
      <c r="CE73" s="52"/>
      <c r="CF73" s="59" t="s">
        <v>68</v>
      </c>
      <c r="CG73" s="52"/>
      <c r="CH73" s="59" t="s">
        <v>68</v>
      </c>
      <c r="CI73" s="52"/>
      <c r="CJ73" s="59" t="s">
        <v>68</v>
      </c>
      <c r="CK73" s="52"/>
      <c r="CL73" s="59" t="s">
        <v>68</v>
      </c>
      <c r="CM73" s="52"/>
      <c r="CN73" s="59" t="s">
        <v>68</v>
      </c>
      <c r="CO73" s="52"/>
      <c r="CP73" s="59" t="s">
        <v>68</v>
      </c>
      <c r="CQ73" s="52"/>
      <c r="CR73" s="59" t="s">
        <v>68</v>
      </c>
      <c r="CS73" s="52"/>
      <c r="CT73" s="59" t="s">
        <v>68</v>
      </c>
      <c r="CU73" s="52"/>
      <c r="CV73" s="59" t="s">
        <v>68</v>
      </c>
      <c r="CW73" s="52"/>
      <c r="CX73" s="59" t="s">
        <v>68</v>
      </c>
      <c r="CY73" s="52"/>
      <c r="CZ73" s="59" t="s">
        <v>68</v>
      </c>
    </row>
    <row r="74" spans="1:104" x14ac:dyDescent="0.25">
      <c r="A74" s="51" t="str">
        <f t="shared" si="7"/>
        <v>N16FFC_LFXOSC_0</v>
      </c>
      <c r="B74" s="2" t="str">
        <f t="shared" si="5"/>
        <v>LFOSC</v>
      </c>
      <c r="C74" s="2" t="s">
        <v>18</v>
      </c>
      <c r="D74" s="2" t="s">
        <v>76</v>
      </c>
      <c r="E74" s="2" t="str">
        <f t="shared" si="8"/>
        <v>6 IO</v>
      </c>
      <c r="F74" s="2" t="str">
        <f t="shared" si="8"/>
        <v>OSC</v>
      </c>
      <c r="G74" s="52">
        <v>1</v>
      </c>
      <c r="H74" s="59" t="s">
        <v>68</v>
      </c>
      <c r="I74" s="52"/>
      <c r="J74" s="59" t="s">
        <v>68</v>
      </c>
      <c r="K74" s="52"/>
      <c r="L74" s="59" t="s">
        <v>68</v>
      </c>
      <c r="M74" s="52"/>
      <c r="N74" s="59" t="s">
        <v>68</v>
      </c>
      <c r="O74" s="52"/>
      <c r="P74" s="59" t="s">
        <v>68</v>
      </c>
      <c r="Q74" s="52"/>
      <c r="R74" s="59" t="s">
        <v>68</v>
      </c>
      <c r="S74" s="52"/>
      <c r="T74" s="59" t="s">
        <v>68</v>
      </c>
      <c r="U74" s="52"/>
      <c r="V74" s="59" t="s">
        <v>68</v>
      </c>
      <c r="W74" s="52"/>
      <c r="X74" s="59" t="s">
        <v>68</v>
      </c>
      <c r="Y74" s="52"/>
      <c r="Z74" s="59" t="s">
        <v>68</v>
      </c>
      <c r="AA74" s="52"/>
      <c r="AB74" s="59" t="s">
        <v>68</v>
      </c>
      <c r="AC74" s="52"/>
      <c r="AD74" s="59" t="s">
        <v>68</v>
      </c>
      <c r="AE74" s="52"/>
      <c r="AF74" s="59" t="s">
        <v>68</v>
      </c>
      <c r="AG74" s="52"/>
      <c r="AH74" s="59" t="s">
        <v>68</v>
      </c>
      <c r="AI74" s="52"/>
      <c r="AJ74" s="59" t="s">
        <v>69</v>
      </c>
      <c r="AK74" s="52"/>
      <c r="AL74" s="59" t="s">
        <v>68</v>
      </c>
      <c r="AM74" s="52"/>
      <c r="AN74" s="59" t="s">
        <v>68</v>
      </c>
      <c r="AO74" s="52"/>
      <c r="AP74" s="59" t="s">
        <v>68</v>
      </c>
      <c r="AQ74" s="52"/>
      <c r="AR74" s="59" t="s">
        <v>68</v>
      </c>
      <c r="AS74" s="52"/>
      <c r="AT74" s="59" t="s">
        <v>68</v>
      </c>
      <c r="AU74" s="52"/>
      <c r="AV74" s="59" t="s">
        <v>68</v>
      </c>
      <c r="AW74" s="52"/>
      <c r="AX74" s="59" t="s">
        <v>68</v>
      </c>
      <c r="AY74" s="52"/>
      <c r="AZ74" s="59" t="s">
        <v>68</v>
      </c>
      <c r="BA74" s="52"/>
      <c r="BB74" s="59" t="s">
        <v>68</v>
      </c>
      <c r="BC74" s="52"/>
      <c r="BD74" s="59" t="s">
        <v>68</v>
      </c>
      <c r="BE74" s="52"/>
      <c r="BF74" s="59" t="s">
        <v>68</v>
      </c>
      <c r="BG74" s="52"/>
      <c r="BH74" s="59" t="s">
        <v>68</v>
      </c>
      <c r="BI74" s="52"/>
      <c r="BJ74" s="59" t="s">
        <v>68</v>
      </c>
      <c r="BK74" s="52"/>
      <c r="BL74" s="59" t="s">
        <v>68</v>
      </c>
      <c r="BM74" s="52"/>
      <c r="BN74" s="59" t="s">
        <v>68</v>
      </c>
      <c r="BO74" s="52"/>
      <c r="BP74" s="59" t="s">
        <v>68</v>
      </c>
      <c r="BQ74" s="52"/>
      <c r="BR74" s="59" t="s">
        <v>68</v>
      </c>
      <c r="BS74" s="52"/>
      <c r="BT74" s="59" t="s">
        <v>68</v>
      </c>
      <c r="BU74" s="52"/>
      <c r="BV74" s="59" t="s">
        <v>68</v>
      </c>
      <c r="BW74" s="52"/>
      <c r="BX74" s="59" t="s">
        <v>68</v>
      </c>
      <c r="BY74" s="52"/>
      <c r="BZ74" s="59" t="s">
        <v>68</v>
      </c>
      <c r="CA74" s="52"/>
      <c r="CB74" s="59" t="s">
        <v>68</v>
      </c>
      <c r="CC74" s="52"/>
      <c r="CD74" s="59" t="s">
        <v>68</v>
      </c>
      <c r="CE74" s="52"/>
      <c r="CF74" s="59" t="s">
        <v>68</v>
      </c>
      <c r="CG74" s="52"/>
      <c r="CH74" s="59" t="s">
        <v>68</v>
      </c>
      <c r="CI74" s="52"/>
      <c r="CJ74" s="59" t="s">
        <v>68</v>
      </c>
      <c r="CK74" s="52"/>
      <c r="CL74" s="59" t="s">
        <v>68</v>
      </c>
      <c r="CM74" s="52"/>
      <c r="CN74" s="59" t="s">
        <v>68</v>
      </c>
      <c r="CO74" s="52"/>
      <c r="CP74" s="59" t="s">
        <v>68</v>
      </c>
      <c r="CQ74" s="52"/>
      <c r="CR74" s="59" t="s">
        <v>68</v>
      </c>
      <c r="CS74" s="52"/>
      <c r="CT74" s="59" t="s">
        <v>68</v>
      </c>
      <c r="CU74" s="52"/>
      <c r="CV74" s="59" t="s">
        <v>68</v>
      </c>
      <c r="CW74" s="52"/>
      <c r="CX74" s="59" t="s">
        <v>68</v>
      </c>
      <c r="CY74" s="52"/>
      <c r="CZ74" s="59" t="s">
        <v>68</v>
      </c>
    </row>
    <row r="75" spans="1:104" x14ac:dyDescent="0.25">
      <c r="A75" s="51" t="str">
        <f t="shared" si="7"/>
        <v>N16FFC_RCOSC_0</v>
      </c>
      <c r="B75" s="2" t="str">
        <f t="shared" si="5"/>
        <v>RCOSC</v>
      </c>
      <c r="C75" s="2" t="s">
        <v>18</v>
      </c>
      <c r="D75" s="2" t="s">
        <v>84</v>
      </c>
      <c r="E75" s="2" t="str">
        <f t="shared" si="8"/>
        <v>6 IO</v>
      </c>
      <c r="F75" s="2" t="str">
        <f t="shared" si="8"/>
        <v>OSC</v>
      </c>
      <c r="G75" s="52">
        <v>1</v>
      </c>
      <c r="H75" s="59" t="s">
        <v>68</v>
      </c>
      <c r="I75" s="52"/>
      <c r="J75" s="59" t="s">
        <v>68</v>
      </c>
      <c r="K75" s="52"/>
      <c r="L75" s="59" t="s">
        <v>68</v>
      </c>
      <c r="M75" s="52"/>
      <c r="N75" s="59" t="s">
        <v>68</v>
      </c>
      <c r="O75" s="52"/>
      <c r="P75" s="59" t="s">
        <v>68</v>
      </c>
      <c r="Q75" s="52"/>
      <c r="R75" s="59" t="s">
        <v>68</v>
      </c>
      <c r="S75" s="52"/>
      <c r="T75" s="59" t="s">
        <v>68</v>
      </c>
      <c r="U75" s="52"/>
      <c r="V75" s="59" t="s">
        <v>68</v>
      </c>
      <c r="W75" s="52"/>
      <c r="X75" s="59" t="s">
        <v>68</v>
      </c>
      <c r="Y75" s="52"/>
      <c r="Z75" s="59" t="s">
        <v>68</v>
      </c>
      <c r="AA75" s="52"/>
      <c r="AB75" s="59" t="s">
        <v>68</v>
      </c>
      <c r="AC75" s="52"/>
      <c r="AD75" s="59" t="s">
        <v>68</v>
      </c>
      <c r="AE75" s="52"/>
      <c r="AF75" s="59" t="s">
        <v>68</v>
      </c>
      <c r="AG75" s="52"/>
      <c r="AH75" s="59" t="s">
        <v>68</v>
      </c>
      <c r="AI75" s="52"/>
      <c r="AJ75" s="59" t="s">
        <v>69</v>
      </c>
      <c r="AK75" s="52"/>
      <c r="AL75" s="59" t="s">
        <v>68</v>
      </c>
      <c r="AM75" s="52"/>
      <c r="AN75" s="59" t="s">
        <v>68</v>
      </c>
      <c r="AO75" s="52"/>
      <c r="AP75" s="59" t="s">
        <v>68</v>
      </c>
      <c r="AQ75" s="52"/>
      <c r="AR75" s="59" t="s">
        <v>68</v>
      </c>
      <c r="AS75" s="52"/>
      <c r="AT75" s="59" t="s">
        <v>68</v>
      </c>
      <c r="AU75" s="52"/>
      <c r="AV75" s="59" t="s">
        <v>68</v>
      </c>
      <c r="AW75" s="52"/>
      <c r="AX75" s="59" t="s">
        <v>68</v>
      </c>
      <c r="AY75" s="52"/>
      <c r="AZ75" s="59" t="s">
        <v>68</v>
      </c>
      <c r="BA75" s="52"/>
      <c r="BB75" s="59" t="s">
        <v>68</v>
      </c>
      <c r="BC75" s="52"/>
      <c r="BD75" s="59" t="s">
        <v>68</v>
      </c>
      <c r="BE75" s="52"/>
      <c r="BF75" s="59" t="s">
        <v>68</v>
      </c>
      <c r="BG75" s="52"/>
      <c r="BH75" s="59" t="s">
        <v>68</v>
      </c>
      <c r="BI75" s="52"/>
      <c r="BJ75" s="59" t="s">
        <v>68</v>
      </c>
      <c r="BK75" s="52"/>
      <c r="BL75" s="59" t="s">
        <v>68</v>
      </c>
      <c r="BM75" s="52"/>
      <c r="BN75" s="59" t="s">
        <v>68</v>
      </c>
      <c r="BO75" s="52"/>
      <c r="BP75" s="59" t="s">
        <v>68</v>
      </c>
      <c r="BQ75" s="52"/>
      <c r="BR75" s="59" t="s">
        <v>68</v>
      </c>
      <c r="BS75" s="52"/>
      <c r="BT75" s="59" t="s">
        <v>68</v>
      </c>
      <c r="BU75" s="52"/>
      <c r="BV75" s="59" t="s">
        <v>68</v>
      </c>
      <c r="BW75" s="52"/>
      <c r="BX75" s="59" t="s">
        <v>68</v>
      </c>
      <c r="BY75" s="52"/>
      <c r="BZ75" s="59" t="s">
        <v>68</v>
      </c>
      <c r="CA75" s="52"/>
      <c r="CB75" s="59" t="s">
        <v>68</v>
      </c>
      <c r="CC75" s="52"/>
      <c r="CD75" s="59" t="s">
        <v>68</v>
      </c>
      <c r="CE75" s="52"/>
      <c r="CF75" s="59" t="s">
        <v>68</v>
      </c>
      <c r="CG75" s="52"/>
      <c r="CH75" s="59" t="s">
        <v>68</v>
      </c>
      <c r="CI75" s="52"/>
      <c r="CJ75" s="59" t="s">
        <v>68</v>
      </c>
      <c r="CK75" s="52"/>
      <c r="CL75" s="59" t="s">
        <v>68</v>
      </c>
      <c r="CM75" s="52"/>
      <c r="CN75" s="59" t="s">
        <v>68</v>
      </c>
      <c r="CO75" s="52"/>
      <c r="CP75" s="59" t="s">
        <v>68</v>
      </c>
      <c r="CQ75" s="52"/>
      <c r="CR75" s="59" t="s">
        <v>68</v>
      </c>
      <c r="CS75" s="52"/>
      <c r="CT75" s="59" t="s">
        <v>68</v>
      </c>
      <c r="CU75" s="52"/>
      <c r="CV75" s="59" t="s">
        <v>68</v>
      </c>
      <c r="CW75" s="52"/>
      <c r="CX75" s="59" t="s">
        <v>68</v>
      </c>
      <c r="CY75" s="52"/>
      <c r="CZ75" s="59" t="s">
        <v>68</v>
      </c>
    </row>
    <row r="76" spans="1:104" x14ac:dyDescent="0.25">
      <c r="A76" s="51" t="str">
        <f t="shared" si="7"/>
        <v>TODP16FFC18_C170915_0</v>
      </c>
      <c r="B76" s="2" t="str">
        <f t="shared" si="5"/>
        <v>ODP</v>
      </c>
      <c r="C76" s="2" t="s">
        <v>18</v>
      </c>
      <c r="D76" s="2" t="s">
        <v>75</v>
      </c>
      <c r="E76" s="2" t="str">
        <f t="shared" si="8"/>
        <v>6 IO</v>
      </c>
      <c r="F76" s="2" t="str">
        <f t="shared" si="8"/>
        <v>Special</v>
      </c>
      <c r="G76" s="52">
        <v>1</v>
      </c>
      <c r="H76" s="59" t="s">
        <v>68</v>
      </c>
      <c r="I76" s="52"/>
      <c r="J76" s="59" t="s">
        <v>68</v>
      </c>
      <c r="K76" s="52"/>
      <c r="L76" s="59" t="s">
        <v>68</v>
      </c>
      <c r="M76" s="52"/>
      <c r="N76" s="59" t="s">
        <v>68</v>
      </c>
      <c r="O76" s="52"/>
      <c r="P76" s="59" t="s">
        <v>68</v>
      </c>
      <c r="Q76" s="52"/>
      <c r="R76" s="59" t="s">
        <v>68</v>
      </c>
      <c r="S76" s="52"/>
      <c r="T76" s="59" t="s">
        <v>68</v>
      </c>
      <c r="U76" s="52"/>
      <c r="V76" s="59" t="s">
        <v>68</v>
      </c>
      <c r="W76" s="52"/>
      <c r="X76" s="59" t="s">
        <v>68</v>
      </c>
      <c r="Y76" s="52"/>
      <c r="Z76" s="59" t="s">
        <v>68</v>
      </c>
      <c r="AA76" s="52"/>
      <c r="AB76" s="59" t="s">
        <v>68</v>
      </c>
      <c r="AC76" s="52"/>
      <c r="AD76" s="59" t="s">
        <v>68</v>
      </c>
      <c r="AE76" s="52"/>
      <c r="AF76" s="59" t="s">
        <v>68</v>
      </c>
      <c r="AG76" s="52"/>
      <c r="AH76" s="59" t="s">
        <v>68</v>
      </c>
      <c r="AI76" s="52"/>
      <c r="AJ76" s="59" t="s">
        <v>69</v>
      </c>
      <c r="AK76" s="52"/>
      <c r="AL76" s="59" t="s">
        <v>68</v>
      </c>
      <c r="AM76" s="52"/>
      <c r="AN76" s="59" t="s">
        <v>68</v>
      </c>
      <c r="AO76" s="52"/>
      <c r="AP76" s="59" t="s">
        <v>68</v>
      </c>
      <c r="AQ76" s="52"/>
      <c r="AR76" s="59" t="s">
        <v>68</v>
      </c>
      <c r="AS76" s="52"/>
      <c r="AT76" s="59" t="s">
        <v>68</v>
      </c>
      <c r="AU76" s="52"/>
      <c r="AV76" s="59" t="s">
        <v>68</v>
      </c>
      <c r="AW76" s="52"/>
      <c r="AX76" s="59" t="s">
        <v>68</v>
      </c>
      <c r="AY76" s="52"/>
      <c r="AZ76" s="59" t="s">
        <v>68</v>
      </c>
      <c r="BA76" s="52"/>
      <c r="BB76" s="59" t="s">
        <v>68</v>
      </c>
      <c r="BC76" s="52"/>
      <c r="BD76" s="59" t="s">
        <v>68</v>
      </c>
      <c r="BE76" s="52"/>
      <c r="BF76" s="59" t="s">
        <v>68</v>
      </c>
      <c r="BG76" s="52"/>
      <c r="BH76" s="59" t="s">
        <v>68</v>
      </c>
      <c r="BI76" s="52"/>
      <c r="BJ76" s="59" t="s">
        <v>68</v>
      </c>
      <c r="BK76" s="52"/>
      <c r="BL76" s="59" t="s">
        <v>68</v>
      </c>
      <c r="BM76" s="52"/>
      <c r="BN76" s="59" t="s">
        <v>68</v>
      </c>
      <c r="BO76" s="52"/>
      <c r="BP76" s="59" t="s">
        <v>68</v>
      </c>
      <c r="BQ76" s="52"/>
      <c r="BR76" s="59" t="s">
        <v>68</v>
      </c>
      <c r="BS76" s="52"/>
      <c r="BT76" s="59" t="s">
        <v>68</v>
      </c>
      <c r="BU76" s="52"/>
      <c r="BV76" s="59" t="s">
        <v>68</v>
      </c>
      <c r="BW76" s="52"/>
      <c r="BX76" s="59" t="s">
        <v>68</v>
      </c>
      <c r="BY76" s="52"/>
      <c r="BZ76" s="59" t="s">
        <v>68</v>
      </c>
      <c r="CA76" s="52"/>
      <c r="CB76" s="59" t="s">
        <v>68</v>
      </c>
      <c r="CC76" s="52"/>
      <c r="CD76" s="59" t="s">
        <v>68</v>
      </c>
      <c r="CE76" s="52"/>
      <c r="CF76" s="59" t="s">
        <v>68</v>
      </c>
      <c r="CG76" s="52"/>
      <c r="CH76" s="59" t="s">
        <v>68</v>
      </c>
      <c r="CI76" s="52"/>
      <c r="CJ76" s="59" t="s">
        <v>68</v>
      </c>
      <c r="CK76" s="52"/>
      <c r="CL76" s="59" t="s">
        <v>68</v>
      </c>
      <c r="CM76" s="52"/>
      <c r="CN76" s="59" t="s">
        <v>68</v>
      </c>
      <c r="CO76" s="52"/>
      <c r="CP76" s="59" t="s">
        <v>68</v>
      </c>
      <c r="CQ76" s="52"/>
      <c r="CR76" s="59" t="s">
        <v>68</v>
      </c>
      <c r="CS76" s="52"/>
      <c r="CT76" s="59" t="s">
        <v>68</v>
      </c>
      <c r="CU76" s="52"/>
      <c r="CV76" s="59" t="s">
        <v>68</v>
      </c>
      <c r="CW76" s="52"/>
      <c r="CX76" s="59" t="s">
        <v>68</v>
      </c>
      <c r="CY76" s="52"/>
      <c r="CZ76" s="59" t="s">
        <v>68</v>
      </c>
    </row>
    <row r="77" spans="1:104" x14ac:dyDescent="0.25">
      <c r="A77" s="51" t="str">
        <f t="shared" si="7"/>
        <v>PDBODPMACRO_0</v>
      </c>
      <c r="B77" s="2" t="str">
        <f t="shared" si="5"/>
        <v>ODP IO</v>
      </c>
      <c r="C77" s="2" t="s">
        <v>18</v>
      </c>
      <c r="D77" s="2" t="s">
        <v>397</v>
      </c>
      <c r="E77" s="2" t="str">
        <f t="shared" si="8"/>
        <v>6 IO</v>
      </c>
      <c r="F77" s="2" t="str">
        <f t="shared" si="8"/>
        <v>Special</v>
      </c>
      <c r="G77" s="52">
        <v>1</v>
      </c>
      <c r="H77" s="59" t="s">
        <v>68</v>
      </c>
      <c r="I77" s="52"/>
      <c r="J77" s="59" t="s">
        <v>68</v>
      </c>
      <c r="K77" s="52"/>
      <c r="L77" s="59" t="s">
        <v>68</v>
      </c>
      <c r="M77" s="52"/>
      <c r="N77" s="59" t="s">
        <v>68</v>
      </c>
      <c r="O77" s="52"/>
      <c r="P77" s="59" t="s">
        <v>68</v>
      </c>
      <c r="Q77" s="52"/>
      <c r="R77" s="59" t="s">
        <v>68</v>
      </c>
      <c r="S77" s="52"/>
      <c r="T77" s="59" t="s">
        <v>68</v>
      </c>
      <c r="U77" s="52"/>
      <c r="V77" s="59" t="s">
        <v>68</v>
      </c>
      <c r="W77" s="52"/>
      <c r="X77" s="59" t="s">
        <v>68</v>
      </c>
      <c r="Y77" s="52"/>
      <c r="Z77" s="59" t="s">
        <v>68</v>
      </c>
      <c r="AA77" s="52"/>
      <c r="AB77" s="59" t="s">
        <v>68</v>
      </c>
      <c r="AC77" s="52"/>
      <c r="AD77" s="59" t="s">
        <v>68</v>
      </c>
      <c r="AE77" s="52"/>
      <c r="AF77" s="59" t="s">
        <v>68</v>
      </c>
      <c r="AG77" s="52"/>
      <c r="AH77" s="59" t="s">
        <v>68</v>
      </c>
      <c r="AI77" s="52"/>
      <c r="AJ77" s="59" t="s">
        <v>69</v>
      </c>
      <c r="AK77" s="52"/>
      <c r="AL77" s="59" t="s">
        <v>68</v>
      </c>
      <c r="AM77" s="52"/>
      <c r="AN77" s="59" t="s">
        <v>68</v>
      </c>
      <c r="AO77" s="52"/>
      <c r="AP77" s="59" t="s">
        <v>68</v>
      </c>
      <c r="AQ77" s="52"/>
      <c r="AR77" s="59" t="s">
        <v>68</v>
      </c>
      <c r="AS77" s="52"/>
      <c r="AT77" s="59" t="s">
        <v>68</v>
      </c>
      <c r="AU77" s="52"/>
      <c r="AV77" s="59" t="s">
        <v>68</v>
      </c>
      <c r="AW77" s="52"/>
      <c r="AX77" s="59" t="s">
        <v>68</v>
      </c>
      <c r="AY77" s="52"/>
      <c r="AZ77" s="59" t="s">
        <v>68</v>
      </c>
      <c r="BA77" s="52"/>
      <c r="BB77" s="59" t="s">
        <v>68</v>
      </c>
      <c r="BC77" s="52"/>
      <c r="BD77" s="59" t="s">
        <v>68</v>
      </c>
      <c r="BE77" s="52"/>
      <c r="BF77" s="59" t="s">
        <v>68</v>
      </c>
      <c r="BG77" s="52"/>
      <c r="BH77" s="59" t="s">
        <v>68</v>
      </c>
      <c r="BI77" s="52"/>
      <c r="BJ77" s="59" t="s">
        <v>68</v>
      </c>
      <c r="BK77" s="52"/>
      <c r="BL77" s="59" t="s">
        <v>68</v>
      </c>
      <c r="BM77" s="52"/>
      <c r="BN77" s="59" t="s">
        <v>68</v>
      </c>
      <c r="BO77" s="52"/>
      <c r="BP77" s="59" t="s">
        <v>68</v>
      </c>
      <c r="BQ77" s="52"/>
      <c r="BR77" s="59" t="s">
        <v>68</v>
      </c>
      <c r="BS77" s="52"/>
      <c r="BT77" s="59" t="s">
        <v>68</v>
      </c>
      <c r="BU77" s="52"/>
      <c r="BV77" s="59" t="s">
        <v>68</v>
      </c>
      <c r="BW77" s="52"/>
      <c r="BX77" s="59" t="s">
        <v>68</v>
      </c>
      <c r="BY77" s="52"/>
      <c r="BZ77" s="59" t="s">
        <v>68</v>
      </c>
      <c r="CA77" s="52"/>
      <c r="CB77" s="59" t="s">
        <v>68</v>
      </c>
      <c r="CC77" s="52"/>
      <c r="CD77" s="59" t="s">
        <v>68</v>
      </c>
      <c r="CE77" s="52"/>
      <c r="CF77" s="59" t="s">
        <v>68</v>
      </c>
      <c r="CG77" s="52"/>
      <c r="CH77" s="59" t="s">
        <v>68</v>
      </c>
      <c r="CI77" s="52"/>
      <c r="CJ77" s="59" t="s">
        <v>68</v>
      </c>
      <c r="CK77" s="52"/>
      <c r="CL77" s="59" t="s">
        <v>68</v>
      </c>
      <c r="CM77" s="52"/>
      <c r="CN77" s="59" t="s">
        <v>68</v>
      </c>
      <c r="CO77" s="52"/>
      <c r="CP77" s="59" t="s">
        <v>68</v>
      </c>
      <c r="CQ77" s="52"/>
      <c r="CR77" s="59" t="s">
        <v>68</v>
      </c>
      <c r="CS77" s="52"/>
      <c r="CT77" s="59" t="s">
        <v>68</v>
      </c>
      <c r="CU77" s="52"/>
      <c r="CV77" s="59" t="s">
        <v>68</v>
      </c>
      <c r="CW77" s="52"/>
      <c r="CX77" s="59" t="s">
        <v>68</v>
      </c>
      <c r="CY77" s="52"/>
      <c r="CZ77" s="59" t="s">
        <v>68</v>
      </c>
    </row>
    <row r="78" spans="1:104" x14ac:dyDescent="0.25">
      <c r="A78" s="51" t="str">
        <f t="shared" si="7"/>
        <v>N16FFC_POR_0</v>
      </c>
      <c r="B78" s="2" t="str">
        <f t="shared" si="5"/>
        <v>POR</v>
      </c>
      <c r="C78" s="2" t="s">
        <v>18</v>
      </c>
      <c r="D78" s="2" t="s">
        <v>73</v>
      </c>
      <c r="E78" s="2" t="str">
        <f t="shared" si="8"/>
        <v>6 IO</v>
      </c>
      <c r="F78" s="2" t="str">
        <f t="shared" si="8"/>
        <v>Special</v>
      </c>
      <c r="G78" s="52">
        <v>1</v>
      </c>
      <c r="H78" s="59" t="s">
        <v>68</v>
      </c>
      <c r="I78" s="52"/>
      <c r="J78" s="59" t="s">
        <v>68</v>
      </c>
      <c r="K78" s="52"/>
      <c r="L78" s="59" t="s">
        <v>68</v>
      </c>
      <c r="M78" s="52"/>
      <c r="N78" s="59" t="s">
        <v>68</v>
      </c>
      <c r="O78" s="52"/>
      <c r="P78" s="59" t="s">
        <v>68</v>
      </c>
      <c r="Q78" s="52"/>
      <c r="R78" s="59" t="s">
        <v>68</v>
      </c>
      <c r="S78" s="52"/>
      <c r="T78" s="59" t="s">
        <v>68</v>
      </c>
      <c r="U78" s="52"/>
      <c r="V78" s="59" t="s">
        <v>68</v>
      </c>
      <c r="W78" s="52"/>
      <c r="X78" s="59" t="s">
        <v>68</v>
      </c>
      <c r="Y78" s="52"/>
      <c r="Z78" s="59" t="s">
        <v>68</v>
      </c>
      <c r="AA78" s="52"/>
      <c r="AB78" s="59" t="s">
        <v>68</v>
      </c>
      <c r="AC78" s="52"/>
      <c r="AD78" s="59" t="s">
        <v>68</v>
      </c>
      <c r="AE78" s="52"/>
      <c r="AF78" s="59" t="s">
        <v>68</v>
      </c>
      <c r="AG78" s="52"/>
      <c r="AH78" s="59" t="s">
        <v>68</v>
      </c>
      <c r="AI78" s="52"/>
      <c r="AJ78" s="59" t="s">
        <v>69</v>
      </c>
      <c r="AK78" s="52"/>
      <c r="AL78" s="59" t="s">
        <v>68</v>
      </c>
      <c r="AM78" s="52"/>
      <c r="AN78" s="59" t="s">
        <v>68</v>
      </c>
      <c r="AO78" s="52"/>
      <c r="AP78" s="59" t="s">
        <v>68</v>
      </c>
      <c r="AQ78" s="52"/>
      <c r="AR78" s="59" t="s">
        <v>68</v>
      </c>
      <c r="AS78" s="52"/>
      <c r="AT78" s="59" t="s">
        <v>68</v>
      </c>
      <c r="AU78" s="52"/>
      <c r="AV78" s="59" t="s">
        <v>68</v>
      </c>
      <c r="AW78" s="52"/>
      <c r="AX78" s="59" t="s">
        <v>68</v>
      </c>
      <c r="AY78" s="52"/>
      <c r="AZ78" s="59" t="s">
        <v>68</v>
      </c>
      <c r="BA78" s="52"/>
      <c r="BB78" s="59" t="s">
        <v>68</v>
      </c>
      <c r="BC78" s="52"/>
      <c r="BD78" s="59" t="s">
        <v>68</v>
      </c>
      <c r="BE78" s="52"/>
      <c r="BF78" s="59" t="s">
        <v>68</v>
      </c>
      <c r="BG78" s="52"/>
      <c r="BH78" s="59" t="s">
        <v>68</v>
      </c>
      <c r="BI78" s="52"/>
      <c r="BJ78" s="59" t="s">
        <v>68</v>
      </c>
      <c r="BK78" s="52"/>
      <c r="BL78" s="59" t="s">
        <v>68</v>
      </c>
      <c r="BM78" s="52"/>
      <c r="BN78" s="59" t="s">
        <v>68</v>
      </c>
      <c r="BO78" s="52"/>
      <c r="BP78" s="59" t="s">
        <v>68</v>
      </c>
      <c r="BQ78" s="52"/>
      <c r="BR78" s="59" t="s">
        <v>68</v>
      </c>
      <c r="BS78" s="52"/>
      <c r="BT78" s="59" t="s">
        <v>68</v>
      </c>
      <c r="BU78" s="52"/>
      <c r="BV78" s="59" t="s">
        <v>68</v>
      </c>
      <c r="BW78" s="52"/>
      <c r="BX78" s="59" t="s">
        <v>68</v>
      </c>
      <c r="BY78" s="52"/>
      <c r="BZ78" s="59" t="s">
        <v>68</v>
      </c>
      <c r="CA78" s="52"/>
      <c r="CB78" s="59" t="s">
        <v>68</v>
      </c>
      <c r="CC78" s="52"/>
      <c r="CD78" s="59" t="s">
        <v>68</v>
      </c>
      <c r="CE78" s="52"/>
      <c r="CF78" s="59" t="s">
        <v>68</v>
      </c>
      <c r="CG78" s="52"/>
      <c r="CH78" s="59" t="s">
        <v>68</v>
      </c>
      <c r="CI78" s="52"/>
      <c r="CJ78" s="59" t="s">
        <v>68</v>
      </c>
      <c r="CK78" s="52"/>
      <c r="CL78" s="59" t="s">
        <v>68</v>
      </c>
      <c r="CM78" s="52"/>
      <c r="CN78" s="59" t="s">
        <v>68</v>
      </c>
      <c r="CO78" s="52"/>
      <c r="CP78" s="59" t="s">
        <v>68</v>
      </c>
      <c r="CQ78" s="52"/>
      <c r="CR78" s="59" t="s">
        <v>68</v>
      </c>
      <c r="CS78" s="52"/>
      <c r="CT78" s="59" t="s">
        <v>68</v>
      </c>
      <c r="CU78" s="52"/>
      <c r="CV78" s="59" t="s">
        <v>68</v>
      </c>
      <c r="CW78" s="52"/>
      <c r="CX78" s="59" t="s">
        <v>68</v>
      </c>
      <c r="CY78" s="52"/>
      <c r="CZ78" s="59" t="s">
        <v>68</v>
      </c>
    </row>
    <row r="79" spans="1:104" x14ac:dyDescent="0.25">
      <c r="A79" s="51" t="str">
        <f t="shared" si="7"/>
        <v>N16FFC_TEMP_DIODE_TOP_0</v>
      </c>
      <c r="B79" s="2" t="str">
        <f t="shared" si="5"/>
        <v>Temp Sensing Diode</v>
      </c>
      <c r="C79" s="2" t="s">
        <v>18</v>
      </c>
      <c r="D79" s="2" t="s">
        <v>82</v>
      </c>
      <c r="E79" s="2" t="str">
        <f t="shared" si="8"/>
        <v>6 IO</v>
      </c>
      <c r="F79" s="2" t="str">
        <f t="shared" si="8"/>
        <v>Special</v>
      </c>
      <c r="G79" s="52">
        <v>1</v>
      </c>
      <c r="H79" s="59" t="s">
        <v>68</v>
      </c>
      <c r="I79" s="52"/>
      <c r="J79" s="59" t="s">
        <v>68</v>
      </c>
      <c r="K79" s="52"/>
      <c r="L79" s="59" t="s">
        <v>68</v>
      </c>
      <c r="M79" s="52"/>
      <c r="N79" s="59" t="s">
        <v>68</v>
      </c>
      <c r="O79" s="52"/>
      <c r="P79" s="59" t="s">
        <v>68</v>
      </c>
      <c r="Q79" s="52"/>
      <c r="R79" s="59" t="s">
        <v>68</v>
      </c>
      <c r="S79" s="52"/>
      <c r="T79" s="59" t="s">
        <v>68</v>
      </c>
      <c r="U79" s="52"/>
      <c r="V79" s="59" t="s">
        <v>68</v>
      </c>
      <c r="W79" s="52"/>
      <c r="X79" s="59" t="s">
        <v>68</v>
      </c>
      <c r="Y79" s="52"/>
      <c r="Z79" s="59" t="s">
        <v>68</v>
      </c>
      <c r="AA79" s="52"/>
      <c r="AB79" s="59" t="s">
        <v>68</v>
      </c>
      <c r="AC79" s="52"/>
      <c r="AD79" s="59" t="s">
        <v>68</v>
      </c>
      <c r="AE79" s="52"/>
      <c r="AF79" s="59" t="s">
        <v>68</v>
      </c>
      <c r="AG79" s="52"/>
      <c r="AH79" s="59" t="s">
        <v>68</v>
      </c>
      <c r="AI79" s="52"/>
      <c r="AJ79" s="59" t="s">
        <v>69</v>
      </c>
      <c r="AK79" s="52"/>
      <c r="AL79" s="59" t="s">
        <v>68</v>
      </c>
      <c r="AM79" s="52"/>
      <c r="AN79" s="59" t="s">
        <v>68</v>
      </c>
      <c r="AO79" s="52"/>
      <c r="AP79" s="59" t="s">
        <v>68</v>
      </c>
      <c r="AQ79" s="52"/>
      <c r="AR79" s="59" t="s">
        <v>68</v>
      </c>
      <c r="AS79" s="52"/>
      <c r="AT79" s="59" t="s">
        <v>68</v>
      </c>
      <c r="AU79" s="52"/>
      <c r="AV79" s="59" t="s">
        <v>68</v>
      </c>
      <c r="AW79" s="52"/>
      <c r="AX79" s="59" t="s">
        <v>68</v>
      </c>
      <c r="AY79" s="52"/>
      <c r="AZ79" s="59" t="s">
        <v>68</v>
      </c>
      <c r="BA79" s="52"/>
      <c r="BB79" s="59" t="s">
        <v>68</v>
      </c>
      <c r="BC79" s="52"/>
      <c r="BD79" s="59" t="s">
        <v>68</v>
      </c>
      <c r="BE79" s="52"/>
      <c r="BF79" s="59" t="s">
        <v>68</v>
      </c>
      <c r="BG79" s="52"/>
      <c r="BH79" s="59" t="s">
        <v>68</v>
      </c>
      <c r="BI79" s="52"/>
      <c r="BJ79" s="59" t="s">
        <v>68</v>
      </c>
      <c r="BK79" s="52"/>
      <c r="BL79" s="59" t="s">
        <v>68</v>
      </c>
      <c r="BM79" s="52"/>
      <c r="BN79" s="59" t="s">
        <v>68</v>
      </c>
      <c r="BO79" s="52"/>
      <c r="BP79" s="59" t="s">
        <v>68</v>
      </c>
      <c r="BQ79" s="52"/>
      <c r="BR79" s="59" t="s">
        <v>68</v>
      </c>
      <c r="BS79" s="52"/>
      <c r="BT79" s="59" t="s">
        <v>68</v>
      </c>
      <c r="BU79" s="52"/>
      <c r="BV79" s="59" t="s">
        <v>68</v>
      </c>
      <c r="BW79" s="52"/>
      <c r="BX79" s="59" t="s">
        <v>68</v>
      </c>
      <c r="BY79" s="52"/>
      <c r="BZ79" s="59" t="s">
        <v>68</v>
      </c>
      <c r="CA79" s="52"/>
      <c r="CB79" s="59" t="s">
        <v>68</v>
      </c>
      <c r="CC79" s="52"/>
      <c r="CD79" s="59" t="s">
        <v>68</v>
      </c>
      <c r="CE79" s="52"/>
      <c r="CF79" s="59" t="s">
        <v>68</v>
      </c>
      <c r="CG79" s="52"/>
      <c r="CH79" s="59" t="s">
        <v>68</v>
      </c>
      <c r="CI79" s="52"/>
      <c r="CJ79" s="59" t="s">
        <v>68</v>
      </c>
      <c r="CK79" s="52"/>
      <c r="CL79" s="59" t="s">
        <v>68</v>
      </c>
      <c r="CM79" s="52"/>
      <c r="CN79" s="59" t="s">
        <v>68</v>
      </c>
      <c r="CO79" s="52"/>
      <c r="CP79" s="59" t="s">
        <v>68</v>
      </c>
      <c r="CQ79" s="52"/>
      <c r="CR79" s="59" t="s">
        <v>68</v>
      </c>
      <c r="CS79" s="52"/>
      <c r="CT79" s="59" t="s">
        <v>68</v>
      </c>
      <c r="CU79" s="52"/>
      <c r="CV79" s="59" t="s">
        <v>68</v>
      </c>
      <c r="CW79" s="52"/>
      <c r="CX79" s="59" t="s">
        <v>68</v>
      </c>
      <c r="CY79" s="52"/>
      <c r="CZ79" s="59" t="s">
        <v>68</v>
      </c>
    </row>
    <row r="80" spans="1:104" x14ac:dyDescent="0.25">
      <c r="A80" s="51" t="str">
        <f t="shared" si="7"/>
        <v>N16FFC_TEMP_DIODE_TOP_1</v>
      </c>
      <c r="B80" s="2" t="str">
        <f t="shared" si="5"/>
        <v>Temp Sensing Diode</v>
      </c>
      <c r="C80" s="2" t="s">
        <v>19</v>
      </c>
      <c r="D80" s="2" t="s">
        <v>82</v>
      </c>
      <c r="E80" s="2" t="str">
        <f t="shared" si="8"/>
        <v>6 IO</v>
      </c>
      <c r="F80" s="2" t="str">
        <f t="shared" si="8"/>
        <v>Special</v>
      </c>
      <c r="G80" s="52">
        <v>1</v>
      </c>
      <c r="H80" s="59" t="s">
        <v>68</v>
      </c>
      <c r="I80" s="52"/>
      <c r="J80" s="59" t="s">
        <v>68</v>
      </c>
      <c r="K80" s="52"/>
      <c r="L80" s="59" t="s">
        <v>68</v>
      </c>
      <c r="M80" s="52"/>
      <c r="N80" s="59" t="s">
        <v>68</v>
      </c>
      <c r="O80" s="52"/>
      <c r="P80" s="59" t="s">
        <v>68</v>
      </c>
      <c r="Q80" s="52"/>
      <c r="R80" s="59" t="s">
        <v>68</v>
      </c>
      <c r="S80" s="52"/>
      <c r="T80" s="59" t="s">
        <v>68</v>
      </c>
      <c r="U80" s="52"/>
      <c r="V80" s="59" t="s">
        <v>68</v>
      </c>
      <c r="W80" s="52"/>
      <c r="X80" s="59" t="s">
        <v>68</v>
      </c>
      <c r="Y80" s="52"/>
      <c r="Z80" s="59" t="s">
        <v>68</v>
      </c>
      <c r="AA80" s="52"/>
      <c r="AB80" s="59" t="s">
        <v>68</v>
      </c>
      <c r="AC80" s="52"/>
      <c r="AD80" s="59" t="s">
        <v>68</v>
      </c>
      <c r="AE80" s="52"/>
      <c r="AF80" s="59" t="s">
        <v>68</v>
      </c>
      <c r="AG80" s="52"/>
      <c r="AH80" s="59" t="s">
        <v>68</v>
      </c>
      <c r="AI80" s="52"/>
      <c r="AJ80" s="59" t="s">
        <v>69</v>
      </c>
      <c r="AK80" s="52"/>
      <c r="AL80" s="59" t="s">
        <v>68</v>
      </c>
      <c r="AM80" s="52"/>
      <c r="AN80" s="59" t="s">
        <v>68</v>
      </c>
      <c r="AO80" s="52"/>
      <c r="AP80" s="59" t="s">
        <v>68</v>
      </c>
      <c r="AQ80" s="52"/>
      <c r="AR80" s="59" t="s">
        <v>68</v>
      </c>
      <c r="AS80" s="52"/>
      <c r="AT80" s="59" t="s">
        <v>68</v>
      </c>
      <c r="AU80" s="52"/>
      <c r="AV80" s="59" t="s">
        <v>68</v>
      </c>
      <c r="AW80" s="52"/>
      <c r="AX80" s="59" t="s">
        <v>68</v>
      </c>
      <c r="AY80" s="52"/>
      <c r="AZ80" s="59" t="s">
        <v>68</v>
      </c>
      <c r="BA80" s="52"/>
      <c r="BB80" s="59" t="s">
        <v>68</v>
      </c>
      <c r="BC80" s="52"/>
      <c r="BD80" s="59" t="s">
        <v>68</v>
      </c>
      <c r="BE80" s="52"/>
      <c r="BF80" s="59" t="s">
        <v>68</v>
      </c>
      <c r="BG80" s="52"/>
      <c r="BH80" s="59" t="s">
        <v>68</v>
      </c>
      <c r="BI80" s="52"/>
      <c r="BJ80" s="59" t="s">
        <v>68</v>
      </c>
      <c r="BK80" s="52"/>
      <c r="BL80" s="59" t="s">
        <v>68</v>
      </c>
      <c r="BM80" s="52"/>
      <c r="BN80" s="59" t="s">
        <v>68</v>
      </c>
      <c r="BO80" s="52"/>
      <c r="BP80" s="59" t="s">
        <v>68</v>
      </c>
      <c r="BQ80" s="52"/>
      <c r="BR80" s="59" t="s">
        <v>68</v>
      </c>
      <c r="BS80" s="52"/>
      <c r="BT80" s="59" t="s">
        <v>68</v>
      </c>
      <c r="BU80" s="52"/>
      <c r="BV80" s="59" t="s">
        <v>68</v>
      </c>
      <c r="BW80" s="52"/>
      <c r="BX80" s="59" t="s">
        <v>68</v>
      </c>
      <c r="BY80" s="52"/>
      <c r="BZ80" s="59" t="s">
        <v>68</v>
      </c>
      <c r="CA80" s="52"/>
      <c r="CB80" s="59" t="s">
        <v>68</v>
      </c>
      <c r="CC80" s="52"/>
      <c r="CD80" s="59" t="s">
        <v>68</v>
      </c>
      <c r="CE80" s="52"/>
      <c r="CF80" s="59" t="s">
        <v>68</v>
      </c>
      <c r="CG80" s="52"/>
      <c r="CH80" s="59" t="s">
        <v>68</v>
      </c>
      <c r="CI80" s="52"/>
      <c r="CJ80" s="59" t="s">
        <v>68</v>
      </c>
      <c r="CK80" s="52"/>
      <c r="CL80" s="59" t="s">
        <v>68</v>
      </c>
      <c r="CM80" s="52"/>
      <c r="CN80" s="59" t="s">
        <v>68</v>
      </c>
      <c r="CO80" s="52"/>
      <c r="CP80" s="59" t="s">
        <v>68</v>
      </c>
      <c r="CQ80" s="52"/>
      <c r="CR80" s="59" t="s">
        <v>68</v>
      </c>
      <c r="CS80" s="52"/>
      <c r="CT80" s="59" t="s">
        <v>68</v>
      </c>
      <c r="CU80" s="52"/>
      <c r="CV80" s="59" t="s">
        <v>68</v>
      </c>
      <c r="CW80" s="52"/>
      <c r="CX80" s="59" t="s">
        <v>68</v>
      </c>
      <c r="CY80" s="52"/>
      <c r="CZ80" s="59" t="s">
        <v>68</v>
      </c>
    </row>
    <row r="81" spans="1:104" ht="11.1" customHeight="1" x14ac:dyDescent="0.25">
      <c r="A81" s="61"/>
      <c r="B81" s="60"/>
      <c r="C81" s="60"/>
      <c r="D81" s="60"/>
      <c r="E81" s="60"/>
      <c r="F81" s="60"/>
      <c r="G81" s="62"/>
      <c r="H81" s="63"/>
      <c r="I81" s="62"/>
      <c r="J81" s="63"/>
      <c r="K81" s="62"/>
      <c r="L81" s="63"/>
      <c r="M81" s="62"/>
      <c r="N81" s="63"/>
      <c r="O81" s="62"/>
      <c r="P81" s="63"/>
      <c r="Q81" s="62"/>
      <c r="R81" s="63"/>
      <c r="S81" s="62"/>
      <c r="T81" s="63"/>
      <c r="U81" s="62"/>
      <c r="V81" s="63"/>
      <c r="W81" s="62"/>
      <c r="X81" s="63"/>
      <c r="Y81" s="62"/>
      <c r="Z81" s="63"/>
      <c r="AA81" s="62"/>
      <c r="AB81" s="63"/>
      <c r="AC81" s="62"/>
      <c r="AD81" s="63"/>
      <c r="AE81" s="62"/>
      <c r="AF81" s="63"/>
      <c r="AG81" s="62"/>
      <c r="AH81" s="63"/>
      <c r="AI81" s="62"/>
      <c r="AJ81" s="63"/>
      <c r="AK81" s="62"/>
      <c r="AL81" s="63"/>
      <c r="AM81" s="62"/>
      <c r="AN81" s="63"/>
      <c r="AO81" s="62"/>
      <c r="AP81" s="63"/>
      <c r="AQ81" s="62"/>
      <c r="AR81" s="63"/>
      <c r="AS81" s="62"/>
      <c r="AT81" s="63"/>
      <c r="AU81" s="62"/>
      <c r="AV81" s="63"/>
      <c r="AW81" s="62"/>
      <c r="AX81" s="63"/>
      <c r="AY81" s="62"/>
      <c r="AZ81" s="63"/>
      <c r="BA81" s="62"/>
      <c r="BB81" s="63"/>
      <c r="BC81" s="62"/>
      <c r="BD81" s="63"/>
      <c r="BE81" s="62"/>
      <c r="BF81" s="63"/>
      <c r="BG81" s="62"/>
      <c r="BH81" s="63"/>
      <c r="BI81" s="62"/>
      <c r="BJ81" s="63"/>
      <c r="BK81" s="62"/>
      <c r="BL81" s="63"/>
      <c r="BM81" s="62"/>
      <c r="BN81" s="63"/>
      <c r="BO81" s="62"/>
      <c r="BP81" s="63"/>
      <c r="BQ81" s="62"/>
      <c r="BR81" s="63"/>
      <c r="BS81" s="62"/>
      <c r="BT81" s="63"/>
      <c r="BU81" s="62"/>
      <c r="BV81" s="63"/>
      <c r="BW81" s="62"/>
      <c r="BX81" s="63"/>
      <c r="BY81" s="62"/>
      <c r="BZ81" s="63"/>
      <c r="CA81" s="62"/>
      <c r="CB81" s="63"/>
      <c r="CC81" s="62"/>
      <c r="CD81" s="63"/>
      <c r="CE81" s="62"/>
      <c r="CF81" s="63"/>
      <c r="CG81" s="62"/>
      <c r="CH81" s="63"/>
      <c r="CI81" s="62"/>
      <c r="CJ81" s="63"/>
      <c r="CK81" s="62"/>
      <c r="CL81" s="63"/>
      <c r="CM81" s="62"/>
      <c r="CN81" s="63"/>
      <c r="CO81" s="62"/>
      <c r="CP81" s="63"/>
      <c r="CQ81" s="62"/>
      <c r="CR81" s="63"/>
      <c r="CS81" s="62"/>
      <c r="CT81" s="63"/>
      <c r="CU81" s="62"/>
      <c r="CV81" s="63"/>
      <c r="CW81" s="62"/>
      <c r="CX81" s="63"/>
      <c r="CY81" s="62"/>
      <c r="CZ81" s="63"/>
    </row>
    <row r="82" spans="1:104" x14ac:dyDescent="0.25">
      <c r="A82" s="51" t="str">
        <f>D82&amp;C82</f>
        <v>ddr16_1600_ios_0</v>
      </c>
      <c r="B82" s="2" t="str">
        <f>VLOOKUP($D82&amp;"_"&amp;B$3,MDB,6,0)</f>
        <v>LP/DDR4-16 IO 1600</v>
      </c>
      <c r="C82" s="2" t="s">
        <v>18</v>
      </c>
      <c r="D82" s="2" t="s">
        <v>620</v>
      </c>
      <c r="E82" s="2" t="str">
        <f>VLOOKUP($D82&amp;"_"&amp;E$3,MDB,6,0)</f>
        <v>6 IO</v>
      </c>
      <c r="F82" s="2" t="str">
        <f>VLOOKUP($D82&amp;"_"&amp;F$3,MDB,6,0)</f>
        <v>DDR-PHY</v>
      </c>
      <c r="G82" s="52">
        <v>1</v>
      </c>
      <c r="H82" s="59" t="s">
        <v>506</v>
      </c>
      <c r="I82" s="52">
        <v>0.01</v>
      </c>
      <c r="J82" s="59" t="s">
        <v>506</v>
      </c>
      <c r="K82" s="52">
        <v>0.01</v>
      </c>
      <c r="L82" s="59" t="s">
        <v>509</v>
      </c>
      <c r="M82" s="52">
        <v>0.01</v>
      </c>
      <c r="N82" s="59" t="s">
        <v>509</v>
      </c>
      <c r="O82" s="52">
        <v>0.99</v>
      </c>
      <c r="P82" s="59" t="s">
        <v>506</v>
      </c>
      <c r="Q82" s="52">
        <v>0.99</v>
      </c>
      <c r="R82" s="59" t="s">
        <v>506</v>
      </c>
      <c r="S82" s="52">
        <v>0.99</v>
      </c>
      <c r="T82" s="59" t="s">
        <v>506</v>
      </c>
      <c r="U82" s="52">
        <v>0.99</v>
      </c>
      <c r="V82" s="59" t="s">
        <v>506</v>
      </c>
      <c r="W82" s="52">
        <v>0.11</v>
      </c>
      <c r="X82" s="59" t="s">
        <v>506</v>
      </c>
      <c r="Y82" s="52">
        <v>0.33</v>
      </c>
      <c r="Z82" s="59" t="s">
        <v>506</v>
      </c>
      <c r="AA82" s="52">
        <v>0.55000000000000004</v>
      </c>
      <c r="AB82" s="59" t="s">
        <v>506</v>
      </c>
      <c r="AC82" s="52">
        <v>0.99</v>
      </c>
      <c r="AD82" s="59" t="s">
        <v>506</v>
      </c>
      <c r="AE82" s="52">
        <v>0.99</v>
      </c>
      <c r="AF82" s="59" t="s">
        <v>506</v>
      </c>
      <c r="AG82" s="52">
        <v>0.99</v>
      </c>
      <c r="AH82" s="59" t="s">
        <v>506</v>
      </c>
      <c r="AI82" s="52"/>
      <c r="AJ82" s="59" t="s">
        <v>187</v>
      </c>
      <c r="AK82" s="52"/>
      <c r="AL82" s="59" t="s">
        <v>187</v>
      </c>
      <c r="AM82" s="52">
        <v>0.01</v>
      </c>
      <c r="AN82" s="59" t="s">
        <v>993</v>
      </c>
      <c r="AO82" s="52"/>
      <c r="AP82" s="59" t="s">
        <v>187</v>
      </c>
      <c r="AQ82" s="52"/>
      <c r="AR82" s="59" t="s">
        <v>187</v>
      </c>
      <c r="AS82" s="52"/>
      <c r="AT82" s="59" t="s">
        <v>187</v>
      </c>
      <c r="AU82" s="52">
        <v>0.88</v>
      </c>
      <c r="AV82" s="59" t="s">
        <v>506</v>
      </c>
      <c r="AW82" s="52">
        <v>0.88</v>
      </c>
      <c r="AX82" s="59" t="s">
        <v>506</v>
      </c>
      <c r="AY82" s="52"/>
      <c r="AZ82" s="59" t="s">
        <v>187</v>
      </c>
      <c r="BA82" s="52"/>
      <c r="BB82" s="59" t="s">
        <v>187</v>
      </c>
      <c r="BC82" s="52"/>
      <c r="BD82" s="59" t="s">
        <v>506</v>
      </c>
      <c r="BE82" s="52">
        <v>1</v>
      </c>
      <c r="BF82" s="59" t="s">
        <v>506</v>
      </c>
      <c r="BG82" s="52"/>
      <c r="BH82" s="59" t="s">
        <v>506</v>
      </c>
      <c r="BI82" s="52">
        <v>0.33</v>
      </c>
      <c r="BJ82" s="59" t="s">
        <v>506</v>
      </c>
      <c r="BK82" s="52">
        <f>DDR_TypeRate_Util</f>
        <v>1</v>
      </c>
      <c r="BL82" s="59" t="str">
        <f>ddr_modes</f>
        <v>lpddr4_1600_16</v>
      </c>
      <c r="BM82" s="52">
        <v>0</v>
      </c>
      <c r="BN82" s="59" t="s">
        <v>506</v>
      </c>
      <c r="BO82" s="52">
        <v>0</v>
      </c>
      <c r="BP82" s="59" t="s">
        <v>506</v>
      </c>
      <c r="BQ82" s="52">
        <v>0</v>
      </c>
      <c r="BR82" s="59" t="s">
        <v>506</v>
      </c>
      <c r="BS82" s="52">
        <v>0</v>
      </c>
      <c r="BT82" s="59" t="s">
        <v>506</v>
      </c>
      <c r="BU82" s="52">
        <v>0</v>
      </c>
      <c r="BV82" s="59" t="s">
        <v>506</v>
      </c>
      <c r="BW82" s="52">
        <v>0</v>
      </c>
      <c r="BX82" s="59" t="s">
        <v>506</v>
      </c>
      <c r="BY82" s="52">
        <v>0</v>
      </c>
      <c r="BZ82" s="59" t="s">
        <v>506</v>
      </c>
      <c r="CA82" s="52">
        <v>0</v>
      </c>
      <c r="CB82" s="59" t="s">
        <v>506</v>
      </c>
      <c r="CC82" s="52">
        <v>0</v>
      </c>
      <c r="CD82" s="59" t="s">
        <v>506</v>
      </c>
      <c r="CE82" s="52">
        <v>0</v>
      </c>
      <c r="CF82" s="59" t="s">
        <v>506</v>
      </c>
      <c r="CG82" s="52">
        <v>0</v>
      </c>
      <c r="CH82" s="59" t="s">
        <v>506</v>
      </c>
      <c r="CI82" s="52">
        <v>0</v>
      </c>
      <c r="CJ82" s="59" t="s">
        <v>506</v>
      </c>
      <c r="CK82" s="52">
        <v>0</v>
      </c>
      <c r="CL82" s="59" t="s">
        <v>506</v>
      </c>
      <c r="CM82" s="52">
        <v>0</v>
      </c>
      <c r="CN82" s="59" t="s">
        <v>506</v>
      </c>
      <c r="CO82" s="52">
        <v>0</v>
      </c>
      <c r="CP82" s="59" t="s">
        <v>506</v>
      </c>
      <c r="CQ82" s="52">
        <v>0</v>
      </c>
      <c r="CR82" s="59" t="s">
        <v>506</v>
      </c>
      <c r="CS82" s="52">
        <v>0</v>
      </c>
      <c r="CT82" s="59" t="s">
        <v>506</v>
      </c>
      <c r="CU82" s="52">
        <v>0</v>
      </c>
      <c r="CV82" s="59" t="s">
        <v>506</v>
      </c>
      <c r="CW82" s="52">
        <v>0</v>
      </c>
      <c r="CX82" s="59" t="s">
        <v>506</v>
      </c>
      <c r="CY82" s="52">
        <v>0</v>
      </c>
      <c r="CZ82" s="59" t="s">
        <v>506</v>
      </c>
    </row>
    <row r="83" spans="1:104" ht="11.1" customHeight="1" x14ac:dyDescent="0.25">
      <c r="A83" s="61"/>
      <c r="B83" s="60"/>
      <c r="C83" s="60"/>
      <c r="D83" s="60"/>
      <c r="E83" s="60"/>
      <c r="F83" s="60"/>
      <c r="G83" s="62"/>
      <c r="H83" s="63"/>
      <c r="I83" s="62"/>
      <c r="J83" s="63"/>
      <c r="K83" s="62"/>
      <c r="L83" s="63"/>
      <c r="M83" s="62"/>
      <c r="N83" s="63"/>
      <c r="O83" s="62"/>
      <c r="P83" s="63"/>
      <c r="Q83" s="62"/>
      <c r="R83" s="63"/>
      <c r="S83" s="62"/>
      <c r="T83" s="63"/>
      <c r="U83" s="62"/>
      <c r="V83" s="63"/>
      <c r="W83" s="62"/>
      <c r="X83" s="63"/>
      <c r="Y83" s="62"/>
      <c r="Z83" s="63"/>
      <c r="AA83" s="62"/>
      <c r="AB83" s="63"/>
      <c r="AC83" s="62"/>
      <c r="AD83" s="63"/>
      <c r="AE83" s="62"/>
      <c r="AF83" s="63"/>
      <c r="AG83" s="62"/>
      <c r="AH83" s="63"/>
      <c r="AI83" s="62"/>
      <c r="AJ83" s="63"/>
      <c r="AK83" s="62"/>
      <c r="AL83" s="63"/>
      <c r="AM83" s="62"/>
      <c r="AN83" s="63"/>
      <c r="AO83" s="62"/>
      <c r="AP83" s="63"/>
      <c r="AQ83" s="62"/>
      <c r="AR83" s="63"/>
      <c r="AS83" s="62"/>
      <c r="AT83" s="63"/>
      <c r="AU83" s="62"/>
      <c r="AV83" s="63"/>
      <c r="AW83" s="62"/>
      <c r="AX83" s="63"/>
      <c r="AY83" s="62"/>
      <c r="AZ83" s="63"/>
      <c r="BA83" s="62"/>
      <c r="BB83" s="63"/>
      <c r="BC83" s="62"/>
      <c r="BD83" s="63"/>
      <c r="BE83" s="62"/>
      <c r="BF83" s="63"/>
      <c r="BG83" s="62"/>
      <c r="BH83" s="63"/>
      <c r="BI83" s="62"/>
      <c r="BJ83" s="63"/>
      <c r="BK83" s="62"/>
      <c r="BL83" s="63"/>
      <c r="BM83" s="62"/>
      <c r="BN83" s="63"/>
      <c r="BO83" s="62"/>
      <c r="BP83" s="63"/>
      <c r="BQ83" s="62"/>
      <c r="BR83" s="63"/>
      <c r="BS83" s="62"/>
      <c r="BT83" s="63"/>
      <c r="BU83" s="62"/>
      <c r="BV83" s="63"/>
      <c r="BW83" s="62"/>
      <c r="BX83" s="63"/>
      <c r="BY83" s="62"/>
      <c r="BZ83" s="63"/>
      <c r="CA83" s="62"/>
      <c r="CB83" s="63"/>
      <c r="CC83" s="62"/>
      <c r="CD83" s="63"/>
      <c r="CE83" s="62"/>
      <c r="CF83" s="63"/>
      <c r="CG83" s="62"/>
      <c r="CH83" s="63"/>
      <c r="CI83" s="62"/>
      <c r="CJ83" s="63"/>
      <c r="CK83" s="62"/>
      <c r="CL83" s="63"/>
      <c r="CM83" s="62"/>
      <c r="CN83" s="63"/>
      <c r="CO83" s="62"/>
      <c r="CP83" s="63"/>
      <c r="CQ83" s="62"/>
      <c r="CR83" s="63"/>
      <c r="CS83" s="62"/>
      <c r="CT83" s="63"/>
      <c r="CU83" s="62"/>
      <c r="CV83" s="63"/>
      <c r="CW83" s="62"/>
      <c r="CX83" s="63"/>
      <c r="CY83" s="62"/>
      <c r="CZ83" s="63"/>
    </row>
    <row r="84" spans="1:104" x14ac:dyDescent="0.25">
      <c r="A84" s="51" t="str">
        <f>D84&amp;C84</f>
        <v>sd0901_rx4_0</v>
      </c>
      <c r="B84" s="2" t="str">
        <f>VLOOKUP($D84&amp;"_"&amp;B$3,MDB,6,0)</f>
        <v>DPHY 1.2 RX - 4L</v>
      </c>
      <c r="C84" s="2" t="s">
        <v>18</v>
      </c>
      <c r="D84" s="2" t="s">
        <v>607</v>
      </c>
      <c r="E84" s="2" t="str">
        <f>VLOOKUP($D84&amp;"_"&amp;E$3,MDB,6,0)</f>
        <v>6 IO</v>
      </c>
      <c r="F84" s="2" t="str">
        <f>VLOOKUP($D84&amp;"_"&amp;F$3,MDB,6,0)</f>
        <v>SerDes</v>
      </c>
      <c r="G84" s="52">
        <v>1</v>
      </c>
      <c r="H84" s="59" t="s">
        <v>372</v>
      </c>
      <c r="I84" s="52"/>
      <c r="J84" s="59" t="s">
        <v>373</v>
      </c>
      <c r="K84" s="52"/>
      <c r="L84" s="59" t="s">
        <v>373</v>
      </c>
      <c r="M84" s="52"/>
      <c r="N84" s="59" t="s">
        <v>373</v>
      </c>
      <c r="O84" s="52"/>
      <c r="P84" s="59" t="s">
        <v>373</v>
      </c>
      <c r="Q84" s="52"/>
      <c r="R84" s="59" t="s">
        <v>373</v>
      </c>
      <c r="S84" s="52"/>
      <c r="T84" s="59" t="s">
        <v>373</v>
      </c>
      <c r="U84" s="52"/>
      <c r="V84" s="59" t="s">
        <v>373</v>
      </c>
      <c r="W84" s="52"/>
      <c r="X84" s="59" t="s">
        <v>373</v>
      </c>
      <c r="Y84" s="52"/>
      <c r="Z84" s="59" t="s">
        <v>374</v>
      </c>
      <c r="AA84" s="52"/>
      <c r="AB84" s="59" t="s">
        <v>372</v>
      </c>
      <c r="AC84" s="52"/>
      <c r="AD84" s="59" t="s">
        <v>372</v>
      </c>
      <c r="AE84" s="52"/>
      <c r="AF84" s="59" t="s">
        <v>373</v>
      </c>
      <c r="AG84" s="52"/>
      <c r="AH84" s="59" t="s">
        <v>373</v>
      </c>
      <c r="AI84" s="52"/>
      <c r="AJ84" s="59" t="s">
        <v>271</v>
      </c>
      <c r="AK84" s="52"/>
      <c r="AL84" s="59" t="s">
        <v>271</v>
      </c>
      <c r="AM84" s="52"/>
      <c r="AN84" s="59" t="s">
        <v>271</v>
      </c>
      <c r="AO84" s="52"/>
      <c r="AP84" s="59" t="s">
        <v>372</v>
      </c>
      <c r="AQ84" s="52"/>
      <c r="AR84" s="59" t="s">
        <v>372</v>
      </c>
      <c r="AS84" s="52"/>
      <c r="AT84" s="59" t="s">
        <v>372</v>
      </c>
      <c r="AU84" s="52"/>
      <c r="AV84" s="59" t="s">
        <v>271</v>
      </c>
      <c r="AW84" s="52"/>
      <c r="AX84" s="59" t="s">
        <v>372</v>
      </c>
      <c r="AY84" s="52"/>
      <c r="AZ84" s="59" t="s">
        <v>372</v>
      </c>
      <c r="BA84" s="52"/>
      <c r="BB84" s="59" t="s">
        <v>372</v>
      </c>
      <c r="BC84" s="52"/>
      <c r="BD84" s="59" t="s">
        <v>374</v>
      </c>
      <c r="BE84" s="52"/>
      <c r="BF84" s="59" t="s">
        <v>372</v>
      </c>
      <c r="BG84" s="52"/>
      <c r="BH84" s="59" t="s">
        <v>375</v>
      </c>
      <c r="BI84" s="52"/>
      <c r="BJ84" s="59" t="s">
        <v>373</v>
      </c>
      <c r="BK84" s="52">
        <v>0</v>
      </c>
      <c r="BL84" s="59" t="str">
        <f>csi_modes</f>
        <v>2p5g4l_75pct</v>
      </c>
      <c r="BM84" s="52">
        <v>0</v>
      </c>
      <c r="BN84" s="59" t="s">
        <v>994</v>
      </c>
      <c r="BO84" s="52">
        <v>0</v>
      </c>
      <c r="BP84" s="59" t="s">
        <v>994</v>
      </c>
      <c r="BQ84" s="52">
        <v>0</v>
      </c>
      <c r="BR84" s="59" t="s">
        <v>994</v>
      </c>
      <c r="BS84" s="52">
        <v>0</v>
      </c>
      <c r="BT84" s="59" t="s">
        <v>994</v>
      </c>
      <c r="BU84" s="52">
        <v>0</v>
      </c>
      <c r="BV84" s="59" t="s">
        <v>994</v>
      </c>
      <c r="BW84" s="52">
        <v>0</v>
      </c>
      <c r="BX84" s="59" t="s">
        <v>994</v>
      </c>
      <c r="BY84" s="52">
        <v>0</v>
      </c>
      <c r="BZ84" s="59" t="s">
        <v>994</v>
      </c>
      <c r="CA84" s="52">
        <v>0</v>
      </c>
      <c r="CB84" s="59" t="s">
        <v>994</v>
      </c>
      <c r="CC84" s="52">
        <v>0</v>
      </c>
      <c r="CD84" s="59" t="s">
        <v>994</v>
      </c>
      <c r="CE84" s="52">
        <v>0</v>
      </c>
      <c r="CF84" s="59" t="s">
        <v>994</v>
      </c>
      <c r="CG84" s="52">
        <v>0</v>
      </c>
      <c r="CH84" s="59" t="s">
        <v>994</v>
      </c>
      <c r="CI84" s="52">
        <v>0</v>
      </c>
      <c r="CJ84" s="59" t="s">
        <v>994</v>
      </c>
      <c r="CK84" s="52">
        <v>0</v>
      </c>
      <c r="CL84" s="59" t="s">
        <v>994</v>
      </c>
      <c r="CM84" s="52">
        <v>0</v>
      </c>
      <c r="CN84" s="59" t="s">
        <v>994</v>
      </c>
      <c r="CO84" s="52">
        <v>0</v>
      </c>
      <c r="CP84" s="59" t="s">
        <v>994</v>
      </c>
      <c r="CQ84" s="52">
        <v>0</v>
      </c>
      <c r="CR84" s="59" t="s">
        <v>994</v>
      </c>
      <c r="CS84" s="52">
        <v>0</v>
      </c>
      <c r="CT84" s="59" t="s">
        <v>994</v>
      </c>
      <c r="CU84" s="52">
        <v>0</v>
      </c>
      <c r="CV84" s="59" t="s">
        <v>994</v>
      </c>
      <c r="CW84" s="52">
        <v>0</v>
      </c>
      <c r="CX84" s="59" t="s">
        <v>994</v>
      </c>
      <c r="CY84" s="52">
        <v>0</v>
      </c>
      <c r="CZ84" s="59" t="s">
        <v>994</v>
      </c>
    </row>
    <row r="85" spans="1:104" ht="11.1" customHeight="1" x14ac:dyDescent="0.25">
      <c r="A85" s="61"/>
      <c r="B85" s="60"/>
      <c r="C85" s="60"/>
      <c r="D85" s="60"/>
      <c r="E85" s="60"/>
      <c r="F85" s="60"/>
      <c r="G85" s="62"/>
      <c r="H85" s="63"/>
      <c r="I85" s="62"/>
      <c r="J85" s="63"/>
      <c r="K85" s="62"/>
      <c r="L85" s="63"/>
      <c r="M85" s="62"/>
      <c r="N85" s="63"/>
      <c r="O85" s="62"/>
      <c r="P85" s="63"/>
      <c r="Q85" s="62"/>
      <c r="R85" s="63"/>
      <c r="S85" s="62"/>
      <c r="T85" s="63"/>
      <c r="U85" s="62"/>
      <c r="V85" s="63"/>
      <c r="W85" s="62"/>
      <c r="X85" s="63"/>
      <c r="Y85" s="62"/>
      <c r="Z85" s="63"/>
      <c r="AA85" s="62"/>
      <c r="AB85" s="63"/>
      <c r="AC85" s="62"/>
      <c r="AD85" s="63"/>
      <c r="AE85" s="62"/>
      <c r="AF85" s="63"/>
      <c r="AG85" s="62"/>
      <c r="AH85" s="63"/>
      <c r="AI85" s="62"/>
      <c r="AJ85" s="63"/>
      <c r="AK85" s="62"/>
      <c r="AL85" s="63"/>
      <c r="AM85" s="62"/>
      <c r="AN85" s="63"/>
      <c r="AO85" s="62"/>
      <c r="AP85" s="63"/>
      <c r="AQ85" s="62"/>
      <c r="AR85" s="63"/>
      <c r="AS85" s="62"/>
      <c r="AT85" s="63"/>
      <c r="AU85" s="62"/>
      <c r="AV85" s="63"/>
      <c r="AW85" s="62"/>
      <c r="AX85" s="63"/>
      <c r="AY85" s="62"/>
      <c r="AZ85" s="63"/>
      <c r="BA85" s="62"/>
      <c r="BB85" s="63"/>
      <c r="BC85" s="62"/>
      <c r="BD85" s="63"/>
      <c r="BE85" s="62"/>
      <c r="BF85" s="63"/>
      <c r="BG85" s="62"/>
      <c r="BH85" s="63"/>
      <c r="BI85" s="62"/>
      <c r="BJ85" s="63"/>
      <c r="BK85" s="62"/>
      <c r="BL85" s="63"/>
      <c r="BM85" s="62"/>
      <c r="BN85" s="63"/>
      <c r="BO85" s="62"/>
      <c r="BP85" s="63"/>
      <c r="BQ85" s="62"/>
      <c r="BR85" s="63"/>
      <c r="BS85" s="62"/>
      <c r="BT85" s="63"/>
      <c r="BU85" s="62"/>
      <c r="BV85" s="63"/>
      <c r="BW85" s="62"/>
      <c r="BX85" s="63"/>
      <c r="BY85" s="62"/>
      <c r="BZ85" s="63"/>
      <c r="CA85" s="62"/>
      <c r="CB85" s="63"/>
      <c r="CC85" s="62"/>
      <c r="CD85" s="63"/>
      <c r="CE85" s="62"/>
      <c r="CF85" s="63"/>
      <c r="CG85" s="62"/>
      <c r="CH85" s="63"/>
      <c r="CI85" s="62"/>
      <c r="CJ85" s="63"/>
      <c r="CK85" s="62"/>
      <c r="CL85" s="63"/>
      <c r="CM85" s="62"/>
      <c r="CN85" s="63"/>
      <c r="CO85" s="62"/>
      <c r="CP85" s="63"/>
      <c r="CQ85" s="62"/>
      <c r="CR85" s="63"/>
      <c r="CS85" s="62"/>
      <c r="CT85" s="63"/>
      <c r="CU85" s="62"/>
      <c r="CV85" s="63"/>
      <c r="CW85" s="62"/>
      <c r="CX85" s="63"/>
      <c r="CY85" s="62"/>
      <c r="CZ85" s="63"/>
    </row>
    <row r="86" spans="1:104" x14ac:dyDescent="0.25">
      <c r="A86" s="51" t="str">
        <f>D86&amp;C86</f>
        <v>LVDSTS16LLBI1E_multiple</v>
      </c>
      <c r="B86" s="2" t="str">
        <f>VLOOKUP($D86&amp;"_"&amp;B$3,MDB,6,0)</f>
        <v>LVDS IO</v>
      </c>
      <c r="C86" s="2" t="s">
        <v>29</v>
      </c>
      <c r="D86" s="2" t="s">
        <v>81</v>
      </c>
      <c r="E86" s="2" t="str">
        <f>VLOOKUP($D86&amp;"_"&amp;E$3,MDB,6,0)</f>
        <v>6 IO</v>
      </c>
      <c r="F86" s="2" t="str">
        <f>VLOOKUP($D86&amp;"_"&amp;F$3,MDB,6,0)</f>
        <v>Special</v>
      </c>
      <c r="G86" s="52">
        <v>1</v>
      </c>
      <c r="H86" s="59" t="s">
        <v>443</v>
      </c>
      <c r="I86" s="52"/>
      <c r="J86" s="59" t="s">
        <v>69</v>
      </c>
      <c r="K86" s="52"/>
      <c r="L86" s="59" t="s">
        <v>69</v>
      </c>
      <c r="M86" s="52"/>
      <c r="N86" s="59" t="s">
        <v>69</v>
      </c>
      <c r="O86" s="52"/>
      <c r="P86" s="59" t="s">
        <v>69</v>
      </c>
      <c r="Q86" s="52"/>
      <c r="R86" s="59" t="s">
        <v>69</v>
      </c>
      <c r="S86" s="52"/>
      <c r="T86" s="59" t="s">
        <v>69</v>
      </c>
      <c r="U86" s="52"/>
      <c r="V86" s="59" t="s">
        <v>69</v>
      </c>
      <c r="W86" s="52"/>
      <c r="X86" s="59" t="s">
        <v>69</v>
      </c>
      <c r="Y86" s="52"/>
      <c r="Z86" s="59" t="s">
        <v>69</v>
      </c>
      <c r="AA86" s="52"/>
      <c r="AB86" s="59" t="s">
        <v>69</v>
      </c>
      <c r="AC86" s="52"/>
      <c r="AD86" s="59" t="s">
        <v>69</v>
      </c>
      <c r="AE86" s="52">
        <v>1</v>
      </c>
      <c r="AF86" s="59" t="s">
        <v>443</v>
      </c>
      <c r="AG86" s="52"/>
      <c r="AH86" s="59" t="s">
        <v>69</v>
      </c>
      <c r="AI86" s="52"/>
      <c r="AJ86" s="59" t="s">
        <v>69</v>
      </c>
      <c r="AK86" s="52"/>
      <c r="AL86" s="59" t="s">
        <v>69</v>
      </c>
      <c r="AM86" s="52"/>
      <c r="AN86" s="59" t="s">
        <v>69</v>
      </c>
      <c r="AO86" s="52"/>
      <c r="AP86" s="59" t="s">
        <v>69</v>
      </c>
      <c r="AQ86" s="52"/>
      <c r="AR86" s="59" t="s">
        <v>69</v>
      </c>
      <c r="AS86" s="52"/>
      <c r="AT86" s="59" t="s">
        <v>69</v>
      </c>
      <c r="AU86" s="52"/>
      <c r="AV86" s="59" t="s">
        <v>69</v>
      </c>
      <c r="AW86" s="52"/>
      <c r="AX86" s="59" t="s">
        <v>69</v>
      </c>
      <c r="AY86" s="52"/>
      <c r="AZ86" s="59" t="s">
        <v>69</v>
      </c>
      <c r="BA86" s="52"/>
      <c r="BB86" s="59" t="s">
        <v>69</v>
      </c>
      <c r="BC86" s="52"/>
      <c r="BD86" s="59" t="s">
        <v>69</v>
      </c>
      <c r="BE86" s="52"/>
      <c r="BF86" s="59" t="s">
        <v>69</v>
      </c>
      <c r="BG86" s="52"/>
      <c r="BH86" s="59" t="s">
        <v>69</v>
      </c>
      <c r="BI86" s="52"/>
      <c r="BJ86" s="59" t="s">
        <v>69</v>
      </c>
      <c r="BK86" s="52">
        <v>0</v>
      </c>
      <c r="BL86" s="59" t="str">
        <f>oldi_modes</f>
        <v>oldi_dual_24b_modes</v>
      </c>
      <c r="BM86" s="52">
        <v>0</v>
      </c>
      <c r="BN86" s="59" t="s">
        <v>69</v>
      </c>
      <c r="BO86" s="52">
        <v>0</v>
      </c>
      <c r="BP86" s="59" t="s">
        <v>69</v>
      </c>
      <c r="BQ86" s="52">
        <v>0</v>
      </c>
      <c r="BR86" s="59" t="s">
        <v>69</v>
      </c>
      <c r="BS86" s="52">
        <v>0</v>
      </c>
      <c r="BT86" s="59" t="s">
        <v>69</v>
      </c>
      <c r="BU86" s="52">
        <v>0</v>
      </c>
      <c r="BV86" s="59" t="s">
        <v>69</v>
      </c>
      <c r="BW86" s="52">
        <v>0</v>
      </c>
      <c r="BX86" s="59" t="s">
        <v>69</v>
      </c>
      <c r="BY86" s="52">
        <v>0</v>
      </c>
      <c r="BZ86" s="59" t="s">
        <v>69</v>
      </c>
      <c r="CA86" s="52">
        <v>0</v>
      </c>
      <c r="CB86" s="59" t="s">
        <v>69</v>
      </c>
      <c r="CC86" s="52">
        <v>0</v>
      </c>
      <c r="CD86" s="59" t="s">
        <v>69</v>
      </c>
      <c r="CE86" s="52">
        <v>0</v>
      </c>
      <c r="CF86" s="59" t="s">
        <v>69</v>
      </c>
      <c r="CG86" s="52">
        <v>0</v>
      </c>
      <c r="CH86" s="59" t="s">
        <v>69</v>
      </c>
      <c r="CI86" s="52">
        <v>0</v>
      </c>
      <c r="CJ86" s="59" t="s">
        <v>69</v>
      </c>
      <c r="CK86" s="52">
        <v>0</v>
      </c>
      <c r="CL86" s="59" t="s">
        <v>69</v>
      </c>
      <c r="CM86" s="52">
        <v>0</v>
      </c>
      <c r="CN86" s="59" t="s">
        <v>69</v>
      </c>
      <c r="CO86" s="52">
        <v>0</v>
      </c>
      <c r="CP86" s="59" t="s">
        <v>69</v>
      </c>
      <c r="CQ86" s="52">
        <v>0</v>
      </c>
      <c r="CR86" s="59" t="s">
        <v>69</v>
      </c>
      <c r="CS86" s="52">
        <v>0</v>
      </c>
      <c r="CT86" s="59" t="s">
        <v>69</v>
      </c>
      <c r="CU86" s="52">
        <v>0</v>
      </c>
      <c r="CV86" s="59" t="s">
        <v>69</v>
      </c>
      <c r="CW86" s="52">
        <v>0</v>
      </c>
      <c r="CX86" s="59" t="s">
        <v>69</v>
      </c>
      <c r="CY86" s="52">
        <v>0</v>
      </c>
      <c r="CZ86" s="59" t="s">
        <v>69</v>
      </c>
    </row>
    <row r="87" spans="1:104" ht="11.1" customHeight="1" x14ac:dyDescent="0.25">
      <c r="A87" s="61"/>
      <c r="B87" s="60"/>
      <c r="C87" s="60"/>
      <c r="D87" s="60"/>
      <c r="E87" s="60"/>
      <c r="F87" s="60"/>
      <c r="G87" s="62"/>
      <c r="H87" s="63"/>
      <c r="I87" s="62"/>
      <c r="J87" s="63"/>
      <c r="K87" s="62"/>
      <c r="L87" s="63"/>
      <c r="M87" s="62"/>
      <c r="N87" s="63"/>
      <c r="O87" s="62"/>
      <c r="P87" s="63"/>
      <c r="Q87" s="62"/>
      <c r="R87" s="63"/>
      <c r="S87" s="62"/>
      <c r="T87" s="63"/>
      <c r="U87" s="62"/>
      <c r="V87" s="63"/>
      <c r="W87" s="62"/>
      <c r="X87" s="63"/>
      <c r="Y87" s="62"/>
      <c r="Z87" s="63"/>
      <c r="AA87" s="62"/>
      <c r="AB87" s="63"/>
      <c r="AC87" s="62"/>
      <c r="AD87" s="63"/>
      <c r="AE87" s="62"/>
      <c r="AF87" s="63"/>
      <c r="AG87" s="62"/>
      <c r="AH87" s="63"/>
      <c r="AI87" s="62"/>
      <c r="AJ87" s="63"/>
      <c r="AK87" s="62"/>
      <c r="AL87" s="63"/>
      <c r="AM87" s="62"/>
      <c r="AN87" s="63"/>
      <c r="AO87" s="62"/>
      <c r="AP87" s="63"/>
      <c r="AQ87" s="62"/>
      <c r="AR87" s="63"/>
      <c r="AS87" s="62"/>
      <c r="AT87" s="63"/>
      <c r="AU87" s="62"/>
      <c r="AV87" s="63"/>
      <c r="AW87" s="62"/>
      <c r="AX87" s="63"/>
      <c r="AY87" s="62"/>
      <c r="AZ87" s="63"/>
      <c r="BA87" s="62"/>
      <c r="BB87" s="63"/>
      <c r="BC87" s="62"/>
      <c r="BD87" s="63"/>
      <c r="BE87" s="62"/>
      <c r="BF87" s="63"/>
      <c r="BG87" s="62"/>
      <c r="BH87" s="63"/>
      <c r="BI87" s="62"/>
      <c r="BJ87" s="63"/>
      <c r="BK87" s="62"/>
      <c r="BL87" s="63"/>
      <c r="BM87" s="62"/>
      <c r="BN87" s="63"/>
      <c r="BO87" s="62"/>
      <c r="BP87" s="63"/>
      <c r="BQ87" s="62"/>
      <c r="BR87" s="63"/>
      <c r="BS87" s="62"/>
      <c r="BT87" s="63"/>
      <c r="BU87" s="62"/>
      <c r="BV87" s="63"/>
      <c r="BW87" s="62"/>
      <c r="BX87" s="63"/>
      <c r="BY87" s="62"/>
      <c r="BZ87" s="63"/>
      <c r="CA87" s="62"/>
      <c r="CB87" s="63"/>
      <c r="CC87" s="62"/>
      <c r="CD87" s="63"/>
      <c r="CE87" s="62"/>
      <c r="CF87" s="63"/>
      <c r="CG87" s="62"/>
      <c r="CH87" s="63"/>
      <c r="CI87" s="62"/>
      <c r="CJ87" s="63"/>
      <c r="CK87" s="62"/>
      <c r="CL87" s="63"/>
      <c r="CM87" s="62"/>
      <c r="CN87" s="63"/>
      <c r="CO87" s="62"/>
      <c r="CP87" s="63"/>
      <c r="CQ87" s="62"/>
      <c r="CR87" s="63"/>
      <c r="CS87" s="62"/>
      <c r="CT87" s="63"/>
      <c r="CU87" s="62"/>
      <c r="CV87" s="63"/>
      <c r="CW87" s="62"/>
      <c r="CX87" s="63"/>
      <c r="CY87" s="62"/>
      <c r="CZ87" s="63"/>
    </row>
    <row r="88" spans="1:104" x14ac:dyDescent="0.25">
      <c r="A88" s="51" t="str">
        <f>D88&amp;C88</f>
        <v>PRWDWUWSWEWCDGSDIO_mmc_0</v>
      </c>
      <c r="B88" s="2" t="str">
        <f>VLOOKUP($D88&amp;"_"&amp;B$3,MDB,6,0)</f>
        <v>SDIO - 1 bit</v>
      </c>
      <c r="C88" s="2" t="s">
        <v>180</v>
      </c>
      <c r="D88" s="2" t="s">
        <v>396</v>
      </c>
      <c r="E88" s="2" t="str">
        <f t="shared" ref="E88:F90" si="9">VLOOKUP($D88&amp;"_"&amp;E$3,MDB,6,0)</f>
        <v>6 IO</v>
      </c>
      <c r="F88" s="2" t="str">
        <f t="shared" si="9"/>
        <v>Special</v>
      </c>
      <c r="G88" s="52">
        <v>1</v>
      </c>
      <c r="H88" s="59" t="s">
        <v>1015</v>
      </c>
      <c r="I88" s="52"/>
      <c r="J88" s="59" t="s">
        <v>69</v>
      </c>
      <c r="K88" s="52"/>
      <c r="L88" s="59" t="s">
        <v>69</v>
      </c>
      <c r="M88" s="52"/>
      <c r="N88" s="59" t="s">
        <v>69</v>
      </c>
      <c r="O88" s="52"/>
      <c r="P88" s="59" t="s">
        <v>69</v>
      </c>
      <c r="Q88" s="52"/>
      <c r="R88" s="59" t="s">
        <v>69</v>
      </c>
      <c r="S88" s="52"/>
      <c r="T88" s="59" t="s">
        <v>69</v>
      </c>
      <c r="U88" s="52"/>
      <c r="V88" s="59" t="s">
        <v>69</v>
      </c>
      <c r="W88" s="52"/>
      <c r="X88" s="59" t="s">
        <v>69</v>
      </c>
      <c r="Y88" s="52"/>
      <c r="Z88" s="59" t="s">
        <v>69</v>
      </c>
      <c r="AA88" s="52"/>
      <c r="AB88" s="59" t="s">
        <v>69</v>
      </c>
      <c r="AC88" s="52"/>
      <c r="AD88" s="59" t="s">
        <v>69</v>
      </c>
      <c r="AE88" s="52"/>
      <c r="AF88" s="59" t="s">
        <v>69</v>
      </c>
      <c r="AG88" s="52"/>
      <c r="AH88" s="59" t="s">
        <v>69</v>
      </c>
      <c r="AI88" s="52"/>
      <c r="AJ88" s="59" t="s">
        <v>69</v>
      </c>
      <c r="AK88" s="52"/>
      <c r="AL88" s="59" t="s">
        <v>69</v>
      </c>
      <c r="AM88" s="52"/>
      <c r="AN88" s="59" t="s">
        <v>69</v>
      </c>
      <c r="AO88" s="52"/>
      <c r="AP88" s="59" t="s">
        <v>69</v>
      </c>
      <c r="AQ88" s="52"/>
      <c r="AR88" s="59" t="s">
        <v>69</v>
      </c>
      <c r="AS88" s="52"/>
      <c r="AT88" s="59" t="s">
        <v>69</v>
      </c>
      <c r="AU88" s="52"/>
      <c r="AV88" s="59" t="s">
        <v>69</v>
      </c>
      <c r="AW88" s="52"/>
      <c r="AX88" s="59" t="s">
        <v>69</v>
      </c>
      <c r="AY88" s="52"/>
      <c r="AZ88" s="59" t="s">
        <v>69</v>
      </c>
      <c r="BA88" s="52"/>
      <c r="BB88" s="59" t="s">
        <v>69</v>
      </c>
      <c r="BC88" s="52"/>
      <c r="BD88" s="59" t="s">
        <v>69</v>
      </c>
      <c r="BE88" s="52"/>
      <c r="BF88" s="59" t="s">
        <v>69</v>
      </c>
      <c r="BG88" s="52"/>
      <c r="BH88" s="59" t="s">
        <v>69</v>
      </c>
      <c r="BI88" s="52"/>
      <c r="BJ88" s="59" t="s">
        <v>69</v>
      </c>
      <c r="BK88" s="52">
        <f>MMC_SD0_8b_Util</f>
        <v>1</v>
      </c>
      <c r="BL88" s="59" t="str">
        <f>MMC_8b_mode</f>
        <v>hs400</v>
      </c>
      <c r="BM88" s="52">
        <v>0</v>
      </c>
      <c r="BN88" s="59" t="s">
        <v>69</v>
      </c>
      <c r="BO88" s="52">
        <v>0</v>
      </c>
      <c r="BP88" s="59" t="s">
        <v>69</v>
      </c>
      <c r="BQ88" s="52">
        <v>0</v>
      </c>
      <c r="BR88" s="59" t="s">
        <v>69</v>
      </c>
      <c r="BS88" s="52">
        <v>0</v>
      </c>
      <c r="BT88" s="59" t="s">
        <v>69</v>
      </c>
      <c r="BU88" s="52">
        <v>0</v>
      </c>
      <c r="BV88" s="59" t="s">
        <v>69</v>
      </c>
      <c r="BW88" s="52">
        <v>0</v>
      </c>
      <c r="BX88" s="59" t="s">
        <v>69</v>
      </c>
      <c r="BY88" s="52">
        <v>0</v>
      </c>
      <c r="BZ88" s="59" t="s">
        <v>69</v>
      </c>
      <c r="CA88" s="52">
        <v>0</v>
      </c>
      <c r="CB88" s="59" t="s">
        <v>69</v>
      </c>
      <c r="CC88" s="52">
        <v>0</v>
      </c>
      <c r="CD88" s="59" t="s">
        <v>69</v>
      </c>
      <c r="CE88" s="52">
        <v>0</v>
      </c>
      <c r="CF88" s="59" t="s">
        <v>69</v>
      </c>
      <c r="CG88" s="52">
        <v>0</v>
      </c>
      <c r="CH88" s="59" t="s">
        <v>69</v>
      </c>
      <c r="CI88" s="52">
        <v>0</v>
      </c>
      <c r="CJ88" s="59" t="s">
        <v>69</v>
      </c>
      <c r="CK88" s="52">
        <v>0</v>
      </c>
      <c r="CL88" s="59" t="s">
        <v>69</v>
      </c>
      <c r="CM88" s="52">
        <v>0</v>
      </c>
      <c r="CN88" s="59" t="s">
        <v>69</v>
      </c>
      <c r="CO88" s="52">
        <v>0</v>
      </c>
      <c r="CP88" s="59" t="s">
        <v>69</v>
      </c>
      <c r="CQ88" s="52">
        <v>0</v>
      </c>
      <c r="CR88" s="59" t="s">
        <v>69</v>
      </c>
      <c r="CS88" s="52">
        <v>0</v>
      </c>
      <c r="CT88" s="59" t="s">
        <v>69</v>
      </c>
      <c r="CU88" s="52">
        <v>0</v>
      </c>
      <c r="CV88" s="59" t="s">
        <v>69</v>
      </c>
      <c r="CW88" s="52">
        <v>0</v>
      </c>
      <c r="CX88" s="59" t="s">
        <v>69</v>
      </c>
      <c r="CY88" s="52">
        <v>0</v>
      </c>
      <c r="CZ88" s="59" t="s">
        <v>69</v>
      </c>
    </row>
    <row r="89" spans="1:104" x14ac:dyDescent="0.25">
      <c r="A89" s="51" t="str">
        <f>D89&amp;C89</f>
        <v>PRWDWUWSWEWCDGSDIO_mmc_1</v>
      </c>
      <c r="B89" s="2" t="str">
        <f>VLOOKUP($D89&amp;"_"&amp;B$3,MDB,6,0)</f>
        <v>SDIO - 1 bit</v>
      </c>
      <c r="C89" s="2" t="s">
        <v>49</v>
      </c>
      <c r="D89" s="2" t="s">
        <v>396</v>
      </c>
      <c r="E89" s="2" t="str">
        <f t="shared" si="9"/>
        <v>6 IO</v>
      </c>
      <c r="F89" s="2" t="str">
        <f t="shared" si="9"/>
        <v>Special</v>
      </c>
      <c r="G89" s="52">
        <v>1</v>
      </c>
      <c r="H89" s="59" t="s">
        <v>1015</v>
      </c>
      <c r="I89" s="52"/>
      <c r="J89" s="59" t="s">
        <v>69</v>
      </c>
      <c r="K89" s="52"/>
      <c r="L89" s="59" t="s">
        <v>69</v>
      </c>
      <c r="M89" s="52"/>
      <c r="N89" s="59" t="s">
        <v>69</v>
      </c>
      <c r="O89" s="52"/>
      <c r="P89" s="59" t="s">
        <v>69</v>
      </c>
      <c r="Q89" s="52"/>
      <c r="R89" s="59" t="s">
        <v>69</v>
      </c>
      <c r="S89" s="52"/>
      <c r="T89" s="59" t="s">
        <v>69</v>
      </c>
      <c r="U89" s="52"/>
      <c r="V89" s="59" t="s">
        <v>69</v>
      </c>
      <c r="W89" s="52"/>
      <c r="X89" s="59" t="s">
        <v>69</v>
      </c>
      <c r="Y89" s="52"/>
      <c r="Z89" s="59" t="s">
        <v>69</v>
      </c>
      <c r="AA89" s="52"/>
      <c r="AB89" s="59" t="s">
        <v>69</v>
      </c>
      <c r="AC89" s="52"/>
      <c r="AD89" s="59" t="s">
        <v>69</v>
      </c>
      <c r="AE89" s="52"/>
      <c r="AF89" s="59" t="s">
        <v>69</v>
      </c>
      <c r="AG89" s="52"/>
      <c r="AH89" s="59" t="s">
        <v>69</v>
      </c>
      <c r="AI89" s="52"/>
      <c r="AJ89" s="59" t="s">
        <v>69</v>
      </c>
      <c r="AK89" s="52"/>
      <c r="AL89" s="59" t="s">
        <v>69</v>
      </c>
      <c r="AM89" s="52"/>
      <c r="AN89" s="59" t="s">
        <v>69</v>
      </c>
      <c r="AO89" s="52"/>
      <c r="AP89" s="59" t="s">
        <v>69</v>
      </c>
      <c r="AQ89" s="52"/>
      <c r="AR89" s="59" t="s">
        <v>69</v>
      </c>
      <c r="AS89" s="52"/>
      <c r="AT89" s="59" t="s">
        <v>69</v>
      </c>
      <c r="AU89" s="52"/>
      <c r="AV89" s="59" t="s">
        <v>69</v>
      </c>
      <c r="AW89" s="52"/>
      <c r="AX89" s="59" t="s">
        <v>69</v>
      </c>
      <c r="AY89" s="52"/>
      <c r="AZ89" s="59" t="s">
        <v>69</v>
      </c>
      <c r="BA89" s="52"/>
      <c r="BB89" s="59" t="s">
        <v>69</v>
      </c>
      <c r="BC89" s="52"/>
      <c r="BD89" s="59" t="s">
        <v>69</v>
      </c>
      <c r="BE89" s="52"/>
      <c r="BF89" s="59" t="s">
        <v>69</v>
      </c>
      <c r="BG89" s="52"/>
      <c r="BH89" s="59" t="s">
        <v>69</v>
      </c>
      <c r="BI89" s="52"/>
      <c r="BJ89" s="59" t="s">
        <v>69</v>
      </c>
      <c r="BK89" s="52">
        <f>MMC_SD1_4b_Util</f>
        <v>1</v>
      </c>
      <c r="BL89" s="59" t="str">
        <f>MMC_4b_0_mode</f>
        <v>ddr_200mbs</v>
      </c>
      <c r="BM89" s="52">
        <v>0</v>
      </c>
      <c r="BN89" s="59" t="s">
        <v>69</v>
      </c>
      <c r="BO89" s="52">
        <v>0</v>
      </c>
      <c r="BP89" s="59" t="s">
        <v>69</v>
      </c>
      <c r="BQ89" s="52">
        <v>0</v>
      </c>
      <c r="BR89" s="59" t="s">
        <v>69</v>
      </c>
      <c r="BS89" s="52">
        <v>0</v>
      </c>
      <c r="BT89" s="59" t="s">
        <v>69</v>
      </c>
      <c r="BU89" s="52">
        <v>0</v>
      </c>
      <c r="BV89" s="59" t="s">
        <v>69</v>
      </c>
      <c r="BW89" s="52">
        <v>0</v>
      </c>
      <c r="BX89" s="59" t="s">
        <v>69</v>
      </c>
      <c r="BY89" s="52">
        <v>0</v>
      </c>
      <c r="BZ89" s="59" t="s">
        <v>69</v>
      </c>
      <c r="CA89" s="52">
        <v>0</v>
      </c>
      <c r="CB89" s="59" t="s">
        <v>69</v>
      </c>
      <c r="CC89" s="52">
        <v>0</v>
      </c>
      <c r="CD89" s="59" t="s">
        <v>69</v>
      </c>
      <c r="CE89" s="52">
        <v>0</v>
      </c>
      <c r="CF89" s="59" t="s">
        <v>69</v>
      </c>
      <c r="CG89" s="52">
        <v>0</v>
      </c>
      <c r="CH89" s="59" t="s">
        <v>69</v>
      </c>
      <c r="CI89" s="52">
        <v>0</v>
      </c>
      <c r="CJ89" s="59" t="s">
        <v>69</v>
      </c>
      <c r="CK89" s="52">
        <v>0</v>
      </c>
      <c r="CL89" s="59" t="s">
        <v>69</v>
      </c>
      <c r="CM89" s="52">
        <v>0</v>
      </c>
      <c r="CN89" s="59" t="s">
        <v>69</v>
      </c>
      <c r="CO89" s="52">
        <v>0</v>
      </c>
      <c r="CP89" s="59" t="s">
        <v>69</v>
      </c>
      <c r="CQ89" s="52">
        <v>0</v>
      </c>
      <c r="CR89" s="59" t="s">
        <v>69</v>
      </c>
      <c r="CS89" s="52">
        <v>0</v>
      </c>
      <c r="CT89" s="59" t="s">
        <v>69</v>
      </c>
      <c r="CU89" s="52">
        <v>0</v>
      </c>
      <c r="CV89" s="59" t="s">
        <v>69</v>
      </c>
      <c r="CW89" s="52">
        <v>0</v>
      </c>
      <c r="CX89" s="59" t="s">
        <v>69</v>
      </c>
      <c r="CY89" s="52">
        <v>0</v>
      </c>
      <c r="CZ89" s="59" t="s">
        <v>69</v>
      </c>
    </row>
    <row r="90" spans="1:104" x14ac:dyDescent="0.25">
      <c r="A90" s="51" t="str">
        <f>D90&amp;C90</f>
        <v>PRWDWUWSWEWCDGSDIO_mmc_2</v>
      </c>
      <c r="B90" s="2" t="str">
        <f>VLOOKUP($D90&amp;"_"&amp;B$3,MDB,6,0)</f>
        <v>SDIO - 1 bit</v>
      </c>
      <c r="C90" s="2" t="s">
        <v>50</v>
      </c>
      <c r="D90" s="2" t="s">
        <v>396</v>
      </c>
      <c r="E90" s="2" t="str">
        <f t="shared" si="9"/>
        <v>6 IO</v>
      </c>
      <c r="F90" s="2" t="str">
        <f t="shared" si="9"/>
        <v>Special</v>
      </c>
      <c r="G90" s="52">
        <v>1</v>
      </c>
      <c r="H90" s="59" t="s">
        <v>1015</v>
      </c>
      <c r="I90" s="52"/>
      <c r="J90" s="59" t="s">
        <v>69</v>
      </c>
      <c r="K90" s="52"/>
      <c r="L90" s="59" t="s">
        <v>69</v>
      </c>
      <c r="M90" s="52"/>
      <c r="N90" s="59" t="s">
        <v>69</v>
      </c>
      <c r="O90" s="52"/>
      <c r="P90" s="59" t="s">
        <v>69</v>
      </c>
      <c r="Q90" s="52"/>
      <c r="R90" s="59" t="s">
        <v>69</v>
      </c>
      <c r="S90" s="52"/>
      <c r="T90" s="59" t="s">
        <v>69</v>
      </c>
      <c r="U90" s="52"/>
      <c r="V90" s="59" t="s">
        <v>69</v>
      </c>
      <c r="W90" s="52"/>
      <c r="X90" s="59" t="s">
        <v>69</v>
      </c>
      <c r="Y90" s="52"/>
      <c r="Z90" s="59" t="s">
        <v>69</v>
      </c>
      <c r="AA90" s="52"/>
      <c r="AB90" s="59" t="s">
        <v>69</v>
      </c>
      <c r="AC90" s="52"/>
      <c r="AD90" s="59" t="s">
        <v>69</v>
      </c>
      <c r="AE90" s="52"/>
      <c r="AF90" s="59" t="s">
        <v>69</v>
      </c>
      <c r="AG90" s="52"/>
      <c r="AH90" s="59" t="s">
        <v>69</v>
      </c>
      <c r="AI90" s="52"/>
      <c r="AJ90" s="59" t="s">
        <v>69</v>
      </c>
      <c r="AK90" s="52"/>
      <c r="AL90" s="59" t="s">
        <v>69</v>
      </c>
      <c r="AM90" s="52"/>
      <c r="AN90" s="59" t="s">
        <v>69</v>
      </c>
      <c r="AO90" s="52"/>
      <c r="AP90" s="59" t="s">
        <v>69</v>
      </c>
      <c r="AQ90" s="52"/>
      <c r="AR90" s="59" t="s">
        <v>69</v>
      </c>
      <c r="AS90" s="52"/>
      <c r="AT90" s="59" t="s">
        <v>69</v>
      </c>
      <c r="AU90" s="52"/>
      <c r="AV90" s="59" t="s">
        <v>69</v>
      </c>
      <c r="AW90" s="52"/>
      <c r="AX90" s="59" t="s">
        <v>69</v>
      </c>
      <c r="AY90" s="52"/>
      <c r="AZ90" s="59" t="s">
        <v>69</v>
      </c>
      <c r="BA90" s="52"/>
      <c r="BB90" s="59" t="s">
        <v>69</v>
      </c>
      <c r="BC90" s="52"/>
      <c r="BD90" s="59" t="s">
        <v>69</v>
      </c>
      <c r="BE90" s="52"/>
      <c r="BF90" s="59" t="s">
        <v>69</v>
      </c>
      <c r="BG90" s="52"/>
      <c r="BH90" s="59" t="s">
        <v>69</v>
      </c>
      <c r="BI90" s="52"/>
      <c r="BJ90" s="59" t="s">
        <v>69</v>
      </c>
      <c r="BK90" s="52">
        <f>MMC_SD2_4b_Util</f>
        <v>1</v>
      </c>
      <c r="BL90" s="59" t="str">
        <f>MMC_4b_1_mode</f>
        <v>ddr_200mbs</v>
      </c>
      <c r="BM90" s="52">
        <v>0</v>
      </c>
      <c r="BN90" s="59" t="s">
        <v>69</v>
      </c>
      <c r="BO90" s="52">
        <v>0</v>
      </c>
      <c r="BP90" s="59" t="s">
        <v>69</v>
      </c>
      <c r="BQ90" s="52">
        <v>0</v>
      </c>
      <c r="BR90" s="59" t="s">
        <v>69</v>
      </c>
      <c r="BS90" s="52">
        <v>0</v>
      </c>
      <c r="BT90" s="59" t="s">
        <v>69</v>
      </c>
      <c r="BU90" s="52">
        <v>0</v>
      </c>
      <c r="BV90" s="59" t="s">
        <v>69</v>
      </c>
      <c r="BW90" s="52">
        <v>0</v>
      </c>
      <c r="BX90" s="59" t="s">
        <v>69</v>
      </c>
      <c r="BY90" s="52">
        <v>0</v>
      </c>
      <c r="BZ90" s="59" t="s">
        <v>69</v>
      </c>
      <c r="CA90" s="52">
        <v>0</v>
      </c>
      <c r="CB90" s="59" t="s">
        <v>69</v>
      </c>
      <c r="CC90" s="52">
        <v>0</v>
      </c>
      <c r="CD90" s="59" t="s">
        <v>69</v>
      </c>
      <c r="CE90" s="52">
        <v>0</v>
      </c>
      <c r="CF90" s="59" t="s">
        <v>69</v>
      </c>
      <c r="CG90" s="52">
        <v>0</v>
      </c>
      <c r="CH90" s="59" t="s">
        <v>69</v>
      </c>
      <c r="CI90" s="52">
        <v>0</v>
      </c>
      <c r="CJ90" s="59" t="s">
        <v>69</v>
      </c>
      <c r="CK90" s="52">
        <v>0</v>
      </c>
      <c r="CL90" s="59" t="s">
        <v>69</v>
      </c>
      <c r="CM90" s="52">
        <v>0</v>
      </c>
      <c r="CN90" s="59" t="s">
        <v>69</v>
      </c>
      <c r="CO90" s="52">
        <v>0</v>
      </c>
      <c r="CP90" s="59" t="s">
        <v>69</v>
      </c>
      <c r="CQ90" s="52">
        <v>0</v>
      </c>
      <c r="CR90" s="59" t="s">
        <v>69</v>
      </c>
      <c r="CS90" s="52">
        <v>0</v>
      </c>
      <c r="CT90" s="59" t="s">
        <v>69</v>
      </c>
      <c r="CU90" s="52">
        <v>0</v>
      </c>
      <c r="CV90" s="59" t="s">
        <v>69</v>
      </c>
      <c r="CW90" s="52">
        <v>0</v>
      </c>
      <c r="CX90" s="59" t="s">
        <v>69</v>
      </c>
      <c r="CY90" s="52">
        <v>0</v>
      </c>
      <c r="CZ90" s="59" t="s">
        <v>69</v>
      </c>
    </row>
    <row r="91" spans="1:104" ht="11.1" customHeight="1" x14ac:dyDescent="0.25">
      <c r="A91" s="61"/>
      <c r="B91" s="60"/>
      <c r="C91" s="60"/>
      <c r="D91" s="60"/>
      <c r="E91" s="60"/>
      <c r="F91" s="60"/>
      <c r="G91" s="62"/>
      <c r="H91" s="63"/>
      <c r="I91" s="62"/>
      <c r="J91" s="63"/>
      <c r="K91" s="62"/>
      <c r="L91" s="63"/>
      <c r="M91" s="62"/>
      <c r="N91" s="63"/>
      <c r="O91" s="62"/>
      <c r="P91" s="63"/>
      <c r="Q91" s="62"/>
      <c r="R91" s="63"/>
      <c r="S91" s="62"/>
      <c r="T91" s="63"/>
      <c r="U91" s="62"/>
      <c r="V91" s="63"/>
      <c r="W91" s="62"/>
      <c r="X91" s="63"/>
      <c r="Y91" s="62"/>
      <c r="Z91" s="63"/>
      <c r="AA91" s="62"/>
      <c r="AB91" s="63"/>
      <c r="AC91" s="62"/>
      <c r="AD91" s="63"/>
      <c r="AE91" s="62"/>
      <c r="AF91" s="63"/>
      <c r="AG91" s="62"/>
      <c r="AH91" s="63"/>
      <c r="AI91" s="62"/>
      <c r="AJ91" s="63"/>
      <c r="AK91" s="62"/>
      <c r="AL91" s="63"/>
      <c r="AM91" s="62"/>
      <c r="AN91" s="63"/>
      <c r="AO91" s="62"/>
      <c r="AP91" s="63"/>
      <c r="AQ91" s="62"/>
      <c r="AR91" s="63"/>
      <c r="AS91" s="62"/>
      <c r="AT91" s="63"/>
      <c r="AU91" s="62"/>
      <c r="AV91" s="63"/>
      <c r="AW91" s="62"/>
      <c r="AX91" s="63"/>
      <c r="AY91" s="62"/>
      <c r="AZ91" s="63"/>
      <c r="BA91" s="62"/>
      <c r="BB91" s="63"/>
      <c r="BC91" s="62"/>
      <c r="BD91" s="63"/>
      <c r="BE91" s="62"/>
      <c r="BF91" s="63"/>
      <c r="BG91" s="62"/>
      <c r="BH91" s="63"/>
      <c r="BI91" s="62"/>
      <c r="BJ91" s="63"/>
      <c r="BK91" s="62"/>
      <c r="BL91" s="63"/>
      <c r="BM91" s="62"/>
      <c r="BN91" s="63"/>
      <c r="BO91" s="62"/>
      <c r="BP91" s="63"/>
      <c r="BQ91" s="62"/>
      <c r="BR91" s="63"/>
      <c r="BS91" s="62"/>
      <c r="BT91" s="63"/>
      <c r="BU91" s="62"/>
      <c r="BV91" s="63"/>
      <c r="BW91" s="62"/>
      <c r="BX91" s="63"/>
      <c r="BY91" s="62"/>
      <c r="BZ91" s="63"/>
      <c r="CA91" s="62"/>
      <c r="CB91" s="63"/>
      <c r="CC91" s="62"/>
      <c r="CD91" s="63"/>
      <c r="CE91" s="62"/>
      <c r="CF91" s="63"/>
      <c r="CG91" s="62"/>
      <c r="CH91" s="63"/>
      <c r="CI91" s="62"/>
      <c r="CJ91" s="63"/>
      <c r="CK91" s="62"/>
      <c r="CL91" s="63"/>
      <c r="CM91" s="62"/>
      <c r="CN91" s="63"/>
      <c r="CO91" s="62"/>
      <c r="CP91" s="63"/>
      <c r="CQ91" s="62"/>
      <c r="CR91" s="63"/>
      <c r="CS91" s="62"/>
      <c r="CT91" s="63"/>
      <c r="CU91" s="62"/>
      <c r="CV91" s="63"/>
      <c r="CW91" s="62"/>
      <c r="CX91" s="63"/>
      <c r="CY91" s="62"/>
      <c r="CZ91" s="63"/>
    </row>
    <row r="92" spans="1:104" x14ac:dyDescent="0.25">
      <c r="A92" s="51" t="str">
        <f>D92&amp;C92</f>
        <v>sd1000_0</v>
      </c>
      <c r="B92" s="2" t="str">
        <f>VLOOKUP($D92&amp;"_"&amp;B$3,MDB,6,0)</f>
        <v>USB2 - PHY</v>
      </c>
      <c r="C92" s="2" t="s">
        <v>18</v>
      </c>
      <c r="D92" s="2" t="s">
        <v>608</v>
      </c>
      <c r="E92" s="2" t="str">
        <f>VLOOKUP($D92&amp;"_"&amp;E$3,MDB,6,0)</f>
        <v>6 IO</v>
      </c>
      <c r="F92" s="2" t="str">
        <f>VLOOKUP($D92&amp;"_"&amp;F$3,MDB,6,0)</f>
        <v>Special</v>
      </c>
      <c r="G92" s="52">
        <v>1</v>
      </c>
      <c r="H92" s="59" t="s">
        <v>468</v>
      </c>
      <c r="I92" s="52"/>
      <c r="J92" s="59" t="s">
        <v>481</v>
      </c>
      <c r="K92" s="52"/>
      <c r="L92" s="59" t="s">
        <v>463</v>
      </c>
      <c r="M92" s="52"/>
      <c r="N92" s="59" t="s">
        <v>463</v>
      </c>
      <c r="O92" s="52"/>
      <c r="P92" s="59" t="s">
        <v>463</v>
      </c>
      <c r="Q92" s="52"/>
      <c r="R92" s="59" t="s">
        <v>463</v>
      </c>
      <c r="S92" s="52"/>
      <c r="T92" s="59" t="s">
        <v>481</v>
      </c>
      <c r="U92" s="52"/>
      <c r="V92" s="59" t="s">
        <v>481</v>
      </c>
      <c r="W92" s="52"/>
      <c r="X92" s="59" t="s">
        <v>481</v>
      </c>
      <c r="Y92" s="52"/>
      <c r="Z92" s="59" t="s">
        <v>481</v>
      </c>
      <c r="AA92" s="52"/>
      <c r="AB92" s="59" t="s">
        <v>481</v>
      </c>
      <c r="AC92" s="52"/>
      <c r="AD92" s="59" t="s">
        <v>481</v>
      </c>
      <c r="AE92" s="52"/>
      <c r="AF92" s="59" t="s">
        <v>481</v>
      </c>
      <c r="AG92" s="52"/>
      <c r="AH92" s="59" t="s">
        <v>481</v>
      </c>
      <c r="AI92" s="52"/>
      <c r="AJ92" s="59" t="s">
        <v>481</v>
      </c>
      <c r="AK92" s="52"/>
      <c r="AL92" s="59" t="s">
        <v>481</v>
      </c>
      <c r="AM92" s="52"/>
      <c r="AN92" s="59" t="s">
        <v>481</v>
      </c>
      <c r="AO92" s="52"/>
      <c r="AP92" s="59" t="s">
        <v>481</v>
      </c>
      <c r="AQ92" s="52"/>
      <c r="AR92" s="59" t="s">
        <v>481</v>
      </c>
      <c r="AS92" s="52"/>
      <c r="AT92" s="59" t="s">
        <v>481</v>
      </c>
      <c r="AU92" s="52"/>
      <c r="AV92" s="59" t="s">
        <v>481</v>
      </c>
      <c r="AW92" s="52"/>
      <c r="AX92" s="59" t="s">
        <v>481</v>
      </c>
      <c r="AY92" s="52"/>
      <c r="AZ92" s="59" t="s">
        <v>481</v>
      </c>
      <c r="BA92" s="52"/>
      <c r="BB92" s="59" t="s">
        <v>481</v>
      </c>
      <c r="BC92" s="52"/>
      <c r="BD92" s="59" t="s">
        <v>481</v>
      </c>
      <c r="BE92" s="52"/>
      <c r="BF92" s="59" t="s">
        <v>481</v>
      </c>
      <c r="BG92" s="52"/>
      <c r="BH92" s="59" t="s">
        <v>481</v>
      </c>
      <c r="BI92" s="52"/>
      <c r="BJ92" s="59" t="s">
        <v>481</v>
      </c>
      <c r="BK92" s="52">
        <f>USB2_Port_0_Util</f>
        <v>1</v>
      </c>
      <c r="BL92" s="59" t="str">
        <f>USB2_modes_port0</f>
        <v>host_fs</v>
      </c>
      <c r="BM92" s="52">
        <v>0</v>
      </c>
      <c r="BN92" s="59" t="s">
        <v>481</v>
      </c>
      <c r="BO92" s="52">
        <v>0</v>
      </c>
      <c r="BP92" s="59" t="s">
        <v>481</v>
      </c>
      <c r="BQ92" s="52">
        <v>0</v>
      </c>
      <c r="BR92" s="59" t="s">
        <v>481</v>
      </c>
      <c r="BS92" s="52">
        <v>0</v>
      </c>
      <c r="BT92" s="59" t="s">
        <v>481</v>
      </c>
      <c r="BU92" s="52">
        <v>0</v>
      </c>
      <c r="BV92" s="59" t="s">
        <v>481</v>
      </c>
      <c r="BW92" s="52">
        <v>0</v>
      </c>
      <c r="BX92" s="59" t="s">
        <v>481</v>
      </c>
      <c r="BY92" s="52">
        <v>0</v>
      </c>
      <c r="BZ92" s="59" t="s">
        <v>481</v>
      </c>
      <c r="CA92" s="52">
        <v>0</v>
      </c>
      <c r="CB92" s="59" t="s">
        <v>481</v>
      </c>
      <c r="CC92" s="52">
        <v>0</v>
      </c>
      <c r="CD92" s="59" t="s">
        <v>481</v>
      </c>
      <c r="CE92" s="52">
        <v>0</v>
      </c>
      <c r="CF92" s="59" t="s">
        <v>481</v>
      </c>
      <c r="CG92" s="52">
        <v>0</v>
      </c>
      <c r="CH92" s="59" t="s">
        <v>481</v>
      </c>
      <c r="CI92" s="52">
        <v>0</v>
      </c>
      <c r="CJ92" s="59" t="s">
        <v>481</v>
      </c>
      <c r="CK92" s="52">
        <v>0</v>
      </c>
      <c r="CL92" s="59" t="s">
        <v>481</v>
      </c>
      <c r="CM92" s="52">
        <v>0</v>
      </c>
      <c r="CN92" s="59" t="s">
        <v>481</v>
      </c>
      <c r="CO92" s="52">
        <v>0</v>
      </c>
      <c r="CP92" s="59" t="s">
        <v>481</v>
      </c>
      <c r="CQ92" s="52">
        <v>0</v>
      </c>
      <c r="CR92" s="59" t="s">
        <v>481</v>
      </c>
      <c r="CS92" s="52">
        <v>0</v>
      </c>
      <c r="CT92" s="59" t="s">
        <v>481</v>
      </c>
      <c r="CU92" s="52">
        <v>0</v>
      </c>
      <c r="CV92" s="59" t="s">
        <v>481</v>
      </c>
      <c r="CW92" s="52">
        <v>0</v>
      </c>
      <c r="CX92" s="59" t="s">
        <v>481</v>
      </c>
      <c r="CY92" s="52">
        <v>0</v>
      </c>
      <c r="CZ92" s="59" t="s">
        <v>481</v>
      </c>
    </row>
    <row r="93" spans="1:104" x14ac:dyDescent="0.25">
      <c r="A93" s="51" t="str">
        <f>D93&amp;C93</f>
        <v>sd1000_1</v>
      </c>
      <c r="B93" s="2" t="str">
        <f>VLOOKUP($D93&amp;"_"&amp;B$3,MDB,6,0)</f>
        <v>USB2 - PHY</v>
      </c>
      <c r="C93" s="2" t="s">
        <v>19</v>
      </c>
      <c r="D93" s="2" t="s">
        <v>608</v>
      </c>
      <c r="E93" s="2" t="str">
        <f>VLOOKUP($D93&amp;"_"&amp;E$3,MDB,6,0)</f>
        <v>6 IO</v>
      </c>
      <c r="F93" s="2" t="str">
        <f>VLOOKUP($D93&amp;"_"&amp;F$3,MDB,6,0)</f>
        <v>Special</v>
      </c>
      <c r="G93" s="52">
        <v>1</v>
      </c>
      <c r="H93" s="59" t="s">
        <v>467</v>
      </c>
      <c r="I93" s="52"/>
      <c r="J93" s="59" t="s">
        <v>481</v>
      </c>
      <c r="K93" s="52"/>
      <c r="L93" s="59" t="s">
        <v>463</v>
      </c>
      <c r="M93" s="52"/>
      <c r="N93" s="59" t="s">
        <v>463</v>
      </c>
      <c r="O93" s="52"/>
      <c r="P93" s="59" t="s">
        <v>463</v>
      </c>
      <c r="Q93" s="52"/>
      <c r="R93" s="59" t="s">
        <v>463</v>
      </c>
      <c r="S93" s="52"/>
      <c r="T93" s="59" t="s">
        <v>481</v>
      </c>
      <c r="U93" s="52"/>
      <c r="V93" s="59" t="s">
        <v>481</v>
      </c>
      <c r="W93" s="52"/>
      <c r="X93" s="59" t="s">
        <v>481</v>
      </c>
      <c r="Y93" s="52"/>
      <c r="Z93" s="59" t="s">
        <v>481</v>
      </c>
      <c r="AA93" s="52"/>
      <c r="AB93" s="59" t="s">
        <v>481</v>
      </c>
      <c r="AC93" s="52"/>
      <c r="AD93" s="59" t="s">
        <v>481</v>
      </c>
      <c r="AE93" s="52"/>
      <c r="AF93" s="59" t="s">
        <v>481</v>
      </c>
      <c r="AG93" s="52"/>
      <c r="AH93" s="59" t="s">
        <v>481</v>
      </c>
      <c r="AI93" s="52"/>
      <c r="AJ93" s="59" t="s">
        <v>481</v>
      </c>
      <c r="AK93" s="52"/>
      <c r="AL93" s="59" t="s">
        <v>481</v>
      </c>
      <c r="AM93" s="52"/>
      <c r="AN93" s="59" t="s">
        <v>481</v>
      </c>
      <c r="AO93" s="52"/>
      <c r="AP93" s="59" t="s">
        <v>481</v>
      </c>
      <c r="AQ93" s="52"/>
      <c r="AR93" s="59" t="s">
        <v>481</v>
      </c>
      <c r="AS93" s="52"/>
      <c r="AT93" s="59" t="s">
        <v>481</v>
      </c>
      <c r="AU93" s="52"/>
      <c r="AV93" s="59" t="s">
        <v>481</v>
      </c>
      <c r="AW93" s="52"/>
      <c r="AX93" s="59" t="s">
        <v>481</v>
      </c>
      <c r="AY93" s="52"/>
      <c r="AZ93" s="59" t="s">
        <v>481</v>
      </c>
      <c r="BA93" s="52"/>
      <c r="BB93" s="59" t="s">
        <v>481</v>
      </c>
      <c r="BC93" s="52"/>
      <c r="BD93" s="59" t="s">
        <v>481</v>
      </c>
      <c r="BE93" s="52"/>
      <c r="BF93" s="59" t="s">
        <v>481</v>
      </c>
      <c r="BG93" s="52"/>
      <c r="BH93" s="59" t="s">
        <v>481</v>
      </c>
      <c r="BI93" s="52"/>
      <c r="BJ93" s="59" t="s">
        <v>481</v>
      </c>
      <c r="BK93" s="52">
        <f>USB2_Port1_Util</f>
        <v>1</v>
      </c>
      <c r="BL93" s="59" t="str">
        <f>USB2_modes_port1</f>
        <v>device_hs</v>
      </c>
      <c r="BM93" s="52">
        <v>0</v>
      </c>
      <c r="BN93" s="59" t="s">
        <v>481</v>
      </c>
      <c r="BO93" s="52">
        <v>0</v>
      </c>
      <c r="BP93" s="59" t="s">
        <v>481</v>
      </c>
      <c r="BQ93" s="52">
        <v>0</v>
      </c>
      <c r="BR93" s="59" t="s">
        <v>481</v>
      </c>
      <c r="BS93" s="52">
        <v>0</v>
      </c>
      <c r="BT93" s="59" t="s">
        <v>481</v>
      </c>
      <c r="BU93" s="52">
        <v>0</v>
      </c>
      <c r="BV93" s="59" t="s">
        <v>481</v>
      </c>
      <c r="BW93" s="52">
        <v>0</v>
      </c>
      <c r="BX93" s="59" t="s">
        <v>481</v>
      </c>
      <c r="BY93" s="52">
        <v>0</v>
      </c>
      <c r="BZ93" s="59" t="s">
        <v>481</v>
      </c>
      <c r="CA93" s="52">
        <v>0</v>
      </c>
      <c r="CB93" s="59" t="s">
        <v>481</v>
      </c>
      <c r="CC93" s="52">
        <v>0</v>
      </c>
      <c r="CD93" s="59" t="s">
        <v>481</v>
      </c>
      <c r="CE93" s="52">
        <v>0</v>
      </c>
      <c r="CF93" s="59" t="s">
        <v>481</v>
      </c>
      <c r="CG93" s="52">
        <v>0</v>
      </c>
      <c r="CH93" s="59" t="s">
        <v>481</v>
      </c>
      <c r="CI93" s="52">
        <v>0</v>
      </c>
      <c r="CJ93" s="59" t="s">
        <v>481</v>
      </c>
      <c r="CK93" s="52">
        <v>0</v>
      </c>
      <c r="CL93" s="59" t="s">
        <v>481</v>
      </c>
      <c r="CM93" s="52">
        <v>0</v>
      </c>
      <c r="CN93" s="59" t="s">
        <v>481</v>
      </c>
      <c r="CO93" s="52">
        <v>0</v>
      </c>
      <c r="CP93" s="59" t="s">
        <v>481</v>
      </c>
      <c r="CQ93" s="52">
        <v>0</v>
      </c>
      <c r="CR93" s="59" t="s">
        <v>481</v>
      </c>
      <c r="CS93" s="52">
        <v>0</v>
      </c>
      <c r="CT93" s="59" t="s">
        <v>481</v>
      </c>
      <c r="CU93" s="52">
        <v>0</v>
      </c>
      <c r="CV93" s="59" t="s">
        <v>481</v>
      </c>
      <c r="CW93" s="52">
        <v>0</v>
      </c>
      <c r="CX93" s="59" t="s">
        <v>481</v>
      </c>
      <c r="CY93" s="52">
        <v>0</v>
      </c>
      <c r="CZ93" s="59" t="s">
        <v>481</v>
      </c>
    </row>
    <row r="94" spans="1:104" ht="11.1" customHeight="1" x14ac:dyDescent="0.25">
      <c r="A94" s="61"/>
      <c r="B94" s="60"/>
      <c r="C94" s="60"/>
      <c r="D94" s="60"/>
      <c r="E94" s="60"/>
      <c r="F94" s="60"/>
      <c r="G94" s="62"/>
      <c r="H94" s="63"/>
      <c r="I94" s="62"/>
      <c r="J94" s="63"/>
      <c r="K94" s="62"/>
      <c r="L94" s="63"/>
      <c r="M94" s="62"/>
      <c r="N94" s="63"/>
      <c r="O94" s="62"/>
      <c r="P94" s="63"/>
      <c r="Q94" s="62"/>
      <c r="R94" s="63"/>
      <c r="S94" s="62"/>
      <c r="T94" s="63"/>
      <c r="U94" s="62"/>
      <c r="V94" s="63"/>
      <c r="W94" s="62"/>
      <c r="X94" s="63"/>
      <c r="Y94" s="62"/>
      <c r="Z94" s="63"/>
      <c r="AA94" s="62"/>
      <c r="AB94" s="63"/>
      <c r="AC94" s="62"/>
      <c r="AD94" s="63"/>
      <c r="AE94" s="62"/>
      <c r="AF94" s="63"/>
      <c r="AG94" s="62"/>
      <c r="AH94" s="63"/>
      <c r="AI94" s="62"/>
      <c r="AJ94" s="63"/>
      <c r="AK94" s="62"/>
      <c r="AL94" s="63"/>
      <c r="AM94" s="62"/>
      <c r="AN94" s="63"/>
      <c r="AO94" s="62"/>
      <c r="AP94" s="63"/>
      <c r="AQ94" s="62"/>
      <c r="AR94" s="63"/>
      <c r="AS94" s="62"/>
      <c r="AT94" s="63"/>
      <c r="AU94" s="62"/>
      <c r="AV94" s="63"/>
      <c r="AW94" s="62"/>
      <c r="AX94" s="63"/>
      <c r="AY94" s="62"/>
      <c r="AZ94" s="63"/>
      <c r="BA94" s="62"/>
      <c r="BB94" s="63"/>
      <c r="BC94" s="62"/>
      <c r="BD94" s="63"/>
      <c r="BE94" s="62"/>
      <c r="BF94" s="63"/>
      <c r="BG94" s="62"/>
      <c r="BH94" s="63"/>
      <c r="BI94" s="62"/>
      <c r="BJ94" s="63"/>
      <c r="BK94" s="62"/>
      <c r="BL94" s="63"/>
      <c r="BM94" s="62"/>
      <c r="BN94" s="63"/>
      <c r="BO94" s="62"/>
      <c r="BP94" s="63"/>
      <c r="BQ94" s="62"/>
      <c r="BR94" s="63"/>
      <c r="BS94" s="62"/>
      <c r="BT94" s="63"/>
      <c r="BU94" s="62"/>
      <c r="BV94" s="63"/>
      <c r="BW94" s="62"/>
      <c r="BX94" s="63"/>
      <c r="BY94" s="62"/>
      <c r="BZ94" s="63"/>
      <c r="CA94" s="62"/>
      <c r="CB94" s="63"/>
      <c r="CC94" s="62"/>
      <c r="CD94" s="63"/>
      <c r="CE94" s="62"/>
      <c r="CF94" s="63"/>
      <c r="CG94" s="62"/>
      <c r="CH94" s="63"/>
      <c r="CI94" s="62"/>
      <c r="CJ94" s="63"/>
      <c r="CK94" s="62"/>
      <c r="CL94" s="63"/>
      <c r="CM94" s="62"/>
      <c r="CN94" s="63"/>
      <c r="CO94" s="62"/>
      <c r="CP94" s="63"/>
      <c r="CQ94" s="62"/>
      <c r="CR94" s="63"/>
      <c r="CS94" s="62"/>
      <c r="CT94" s="63"/>
      <c r="CU94" s="62"/>
      <c r="CV94" s="63"/>
      <c r="CW94" s="62"/>
      <c r="CX94" s="63"/>
      <c r="CY94" s="62"/>
      <c r="CZ94" s="63"/>
    </row>
    <row r="95" spans="1:104" x14ac:dyDescent="0.25">
      <c r="A95" s="51" t="str">
        <f>D95&amp;C95</f>
        <v>ICSSM_0</v>
      </c>
      <c r="B95" s="2" t="str">
        <f>UPPER(D95)&amp;" IOs"</f>
        <v>ICSSM IOs</v>
      </c>
      <c r="C95" s="2" t="s">
        <v>18</v>
      </c>
      <c r="D95" s="2" t="s">
        <v>7</v>
      </c>
      <c r="E95" s="2" t="str">
        <f>VLOOKUP($D95&amp;"_"&amp;E$3,MDB,6,0)</f>
        <v>7 LVCMOS IO</v>
      </c>
      <c r="F95" s="2" t="str">
        <f>VLOOKUP($D95&amp;"_"&amp;F$3,MDB,6,0)</f>
        <v>ICSSM</v>
      </c>
      <c r="G95" s="52">
        <v>1</v>
      </c>
      <c r="H95" s="59" t="s">
        <v>636</v>
      </c>
      <c r="I95" s="52"/>
      <c r="J95" s="59" t="s">
        <v>69</v>
      </c>
      <c r="K95" s="52"/>
      <c r="L95" s="59" t="s">
        <v>69</v>
      </c>
      <c r="M95" s="52"/>
      <c r="N95" s="59" t="s">
        <v>69</v>
      </c>
      <c r="O95" s="52"/>
      <c r="P95" s="59" t="s">
        <v>69</v>
      </c>
      <c r="Q95" s="52"/>
      <c r="R95" s="59" t="s">
        <v>69</v>
      </c>
      <c r="S95" s="52"/>
      <c r="T95" s="59" t="s">
        <v>69</v>
      </c>
      <c r="U95" s="52"/>
      <c r="V95" s="59" t="s">
        <v>69</v>
      </c>
      <c r="W95" s="52"/>
      <c r="X95" s="59" t="s">
        <v>69</v>
      </c>
      <c r="Y95" s="52"/>
      <c r="Z95" s="59" t="s">
        <v>69</v>
      </c>
      <c r="AA95" s="52"/>
      <c r="AB95" s="59" t="s">
        <v>69</v>
      </c>
      <c r="AC95" s="52"/>
      <c r="AD95" s="59" t="s">
        <v>69</v>
      </c>
      <c r="AE95" s="52"/>
      <c r="AF95" s="59" t="s">
        <v>69</v>
      </c>
      <c r="AG95" s="52"/>
      <c r="AH95" s="59" t="s">
        <v>69</v>
      </c>
      <c r="AI95" s="52"/>
      <c r="AJ95" s="59" t="s">
        <v>69</v>
      </c>
      <c r="AK95" s="52"/>
      <c r="AL95" s="59" t="s">
        <v>69</v>
      </c>
      <c r="AM95" s="52"/>
      <c r="AN95" s="59" t="s">
        <v>69</v>
      </c>
      <c r="AO95" s="52"/>
      <c r="AP95" s="59" t="s">
        <v>69</v>
      </c>
      <c r="AQ95" s="52"/>
      <c r="AR95" s="59" t="s">
        <v>69</v>
      </c>
      <c r="AS95" s="52"/>
      <c r="AT95" s="59" t="s">
        <v>69</v>
      </c>
      <c r="AU95" s="52"/>
      <c r="AV95" s="59" t="s">
        <v>69</v>
      </c>
      <c r="AW95" s="52"/>
      <c r="AX95" s="59" t="s">
        <v>69</v>
      </c>
      <c r="AY95" s="52"/>
      <c r="AZ95" s="59" t="s">
        <v>69</v>
      </c>
      <c r="BA95" s="52"/>
      <c r="BB95" s="59" t="s">
        <v>69</v>
      </c>
      <c r="BC95" s="52"/>
      <c r="BD95" s="59" t="s">
        <v>69</v>
      </c>
      <c r="BE95" s="52"/>
      <c r="BF95" s="59" t="s">
        <v>69</v>
      </c>
      <c r="BG95" s="52"/>
      <c r="BH95" s="59" t="s">
        <v>69</v>
      </c>
      <c r="BI95" s="52"/>
      <c r="BJ95" s="59" t="s">
        <v>69</v>
      </c>
      <c r="BK95" s="52">
        <f>icssm_util</f>
        <v>1</v>
      </c>
      <c r="BL95" s="59" t="str">
        <f>icssm_modes</f>
        <v>rmii_rmii_3p3v</v>
      </c>
      <c r="BM95" s="52">
        <v>0</v>
      </c>
      <c r="BN95" s="59" t="s">
        <v>1052</v>
      </c>
      <c r="BO95" s="52">
        <v>0</v>
      </c>
      <c r="BP95" s="59" t="s">
        <v>1052</v>
      </c>
      <c r="BQ95" s="52">
        <v>0</v>
      </c>
      <c r="BR95" s="59" t="s">
        <v>1052</v>
      </c>
      <c r="BS95" s="52">
        <v>0</v>
      </c>
      <c r="BT95" s="59" t="s">
        <v>1052</v>
      </c>
      <c r="BU95" s="52">
        <v>0</v>
      </c>
      <c r="BV95" s="59" t="s">
        <v>1052</v>
      </c>
      <c r="BW95" s="52">
        <v>0</v>
      </c>
      <c r="BX95" s="59" t="s">
        <v>1052</v>
      </c>
      <c r="BY95" s="52">
        <v>0</v>
      </c>
      <c r="BZ95" s="59" t="s">
        <v>1052</v>
      </c>
      <c r="CA95" s="52">
        <v>0</v>
      </c>
      <c r="CB95" s="59" t="s">
        <v>1052</v>
      </c>
      <c r="CC95" s="52">
        <v>0</v>
      </c>
      <c r="CD95" s="59" t="s">
        <v>1052</v>
      </c>
      <c r="CE95" s="52">
        <v>0</v>
      </c>
      <c r="CF95" s="59" t="s">
        <v>1052</v>
      </c>
      <c r="CG95" s="52">
        <v>0</v>
      </c>
      <c r="CH95" s="59" t="s">
        <v>1052</v>
      </c>
      <c r="CI95" s="52">
        <v>0</v>
      </c>
      <c r="CJ95" s="59" t="s">
        <v>1052</v>
      </c>
      <c r="CK95" s="52">
        <v>0</v>
      </c>
      <c r="CL95" s="59" t="s">
        <v>1052</v>
      </c>
      <c r="CM95" s="52">
        <v>0</v>
      </c>
      <c r="CN95" s="59" t="s">
        <v>1052</v>
      </c>
      <c r="CO95" s="52">
        <v>0</v>
      </c>
      <c r="CP95" s="59" t="s">
        <v>1052</v>
      </c>
      <c r="CQ95" s="52">
        <v>0</v>
      </c>
      <c r="CR95" s="59" t="s">
        <v>1052</v>
      </c>
      <c r="CS95" s="52">
        <v>0</v>
      </c>
      <c r="CT95" s="59" t="s">
        <v>1052</v>
      </c>
      <c r="CU95" s="52">
        <v>0</v>
      </c>
      <c r="CV95" s="59" t="s">
        <v>1052</v>
      </c>
      <c r="CW95" s="52">
        <v>0</v>
      </c>
      <c r="CX95" s="59" t="s">
        <v>1052</v>
      </c>
      <c r="CY95" s="52">
        <v>0</v>
      </c>
      <c r="CZ95" s="59" t="s">
        <v>1052</v>
      </c>
    </row>
    <row r="96" spans="1:104" ht="11.1" customHeight="1" x14ac:dyDescent="0.25">
      <c r="A96" s="61"/>
      <c r="B96" s="60"/>
      <c r="C96" s="60"/>
      <c r="D96" s="60"/>
      <c r="E96" s="60"/>
      <c r="F96" s="60"/>
      <c r="G96" s="62"/>
      <c r="H96" s="63"/>
      <c r="I96" s="62"/>
      <c r="J96" s="63"/>
      <c r="K96" s="62"/>
      <c r="L96" s="63"/>
      <c r="M96" s="62"/>
      <c r="N96" s="63"/>
      <c r="O96" s="62"/>
      <c r="P96" s="63"/>
      <c r="Q96" s="62"/>
      <c r="R96" s="63"/>
      <c r="S96" s="62"/>
      <c r="T96" s="63"/>
      <c r="U96" s="62"/>
      <c r="V96" s="63"/>
      <c r="W96" s="62"/>
      <c r="X96" s="63"/>
      <c r="Y96" s="62"/>
      <c r="Z96" s="63"/>
      <c r="AA96" s="62"/>
      <c r="AB96" s="63"/>
      <c r="AC96" s="62"/>
      <c r="AD96" s="63"/>
      <c r="AE96" s="62"/>
      <c r="AF96" s="63"/>
      <c r="AG96" s="62"/>
      <c r="AH96" s="63"/>
      <c r="AI96" s="62"/>
      <c r="AJ96" s="63"/>
      <c r="AK96" s="62"/>
      <c r="AL96" s="63"/>
      <c r="AM96" s="62"/>
      <c r="AN96" s="63"/>
      <c r="AO96" s="62"/>
      <c r="AP96" s="63"/>
      <c r="AQ96" s="62"/>
      <c r="AR96" s="63"/>
      <c r="AS96" s="62"/>
      <c r="AT96" s="63"/>
      <c r="AU96" s="62"/>
      <c r="AV96" s="63"/>
      <c r="AW96" s="62"/>
      <c r="AX96" s="63"/>
      <c r="AY96" s="62"/>
      <c r="AZ96" s="63"/>
      <c r="BA96" s="62"/>
      <c r="BB96" s="63"/>
      <c r="BC96" s="62"/>
      <c r="BD96" s="63"/>
      <c r="BE96" s="62"/>
      <c r="BF96" s="63"/>
      <c r="BG96" s="62"/>
      <c r="BH96" s="63"/>
      <c r="BI96" s="62"/>
      <c r="BJ96" s="63"/>
      <c r="BK96" s="62"/>
      <c r="BL96" s="63"/>
      <c r="BM96" s="62"/>
      <c r="BN96" s="63"/>
      <c r="BO96" s="62"/>
      <c r="BP96" s="63"/>
      <c r="BQ96" s="62"/>
      <c r="BR96" s="63"/>
      <c r="BS96" s="62"/>
      <c r="BT96" s="63"/>
      <c r="BU96" s="62"/>
      <c r="BV96" s="63"/>
      <c r="BW96" s="62"/>
      <c r="BX96" s="63"/>
      <c r="BY96" s="62"/>
      <c r="BZ96" s="63"/>
      <c r="CA96" s="62"/>
      <c r="CB96" s="63"/>
      <c r="CC96" s="62"/>
      <c r="CD96" s="63"/>
      <c r="CE96" s="62"/>
      <c r="CF96" s="63"/>
      <c r="CG96" s="62"/>
      <c r="CH96" s="63"/>
      <c r="CI96" s="62"/>
      <c r="CJ96" s="63"/>
      <c r="CK96" s="62"/>
      <c r="CL96" s="63"/>
      <c r="CM96" s="62"/>
      <c r="CN96" s="63"/>
      <c r="CO96" s="62"/>
      <c r="CP96" s="63"/>
      <c r="CQ96" s="62"/>
      <c r="CR96" s="63"/>
      <c r="CS96" s="62"/>
      <c r="CT96" s="63"/>
      <c r="CU96" s="62"/>
      <c r="CV96" s="63"/>
      <c r="CW96" s="62"/>
      <c r="CX96" s="63"/>
      <c r="CY96" s="62"/>
      <c r="CZ96" s="63"/>
    </row>
    <row r="97" spans="1:104" x14ac:dyDescent="0.25">
      <c r="A97" s="51" t="str">
        <f>D97&amp;C97</f>
        <v>ethernet_port_0</v>
      </c>
      <c r="B97" s="2" t="str">
        <f>UPPER(D97)&amp;" IOs"</f>
        <v>ETHERNET IOs</v>
      </c>
      <c r="C97" s="2" t="s">
        <v>1209</v>
      </c>
      <c r="D97" s="2" t="s">
        <v>649</v>
      </c>
      <c r="E97" s="2" t="str">
        <f>VLOOKUP($D97&amp;"_"&amp;E$3,MDB,6,0)</f>
        <v>7 LVCMOS IO</v>
      </c>
      <c r="F97" s="2" t="str">
        <f>VLOOKUP($D97&amp;"_"&amp;F$3,MDB,6,0)</f>
        <v>Ethernet</v>
      </c>
      <c r="G97" s="52">
        <v>1</v>
      </c>
      <c r="H97" s="64" t="s">
        <v>665</v>
      </c>
      <c r="I97" s="52"/>
      <c r="J97" s="64" t="s">
        <v>665</v>
      </c>
      <c r="K97" s="52"/>
      <c r="L97" s="64" t="s">
        <v>665</v>
      </c>
      <c r="M97" s="52"/>
      <c r="N97" s="64" t="s">
        <v>665</v>
      </c>
      <c r="O97" s="52">
        <v>0.25</v>
      </c>
      <c r="P97" s="64" t="s">
        <v>673</v>
      </c>
      <c r="Q97" s="52">
        <v>0.25</v>
      </c>
      <c r="R97" s="64" t="s">
        <v>673</v>
      </c>
      <c r="S97" s="52">
        <v>0.25</v>
      </c>
      <c r="T97" s="64" t="s">
        <v>673</v>
      </c>
      <c r="U97" s="52">
        <v>0.25</v>
      </c>
      <c r="V97" s="64" t="s">
        <v>673</v>
      </c>
      <c r="W97" s="52">
        <v>0.25</v>
      </c>
      <c r="X97" s="64" t="s">
        <v>673</v>
      </c>
      <c r="Y97" s="52">
        <v>0.25</v>
      </c>
      <c r="Z97" s="64" t="s">
        <v>673</v>
      </c>
      <c r="AA97" s="52"/>
      <c r="AB97" s="64" t="s">
        <v>69</v>
      </c>
      <c r="AC97" s="52"/>
      <c r="AD97" s="64" t="s">
        <v>69</v>
      </c>
      <c r="AE97" s="52">
        <v>0.25</v>
      </c>
      <c r="AF97" s="64" t="s">
        <v>673</v>
      </c>
      <c r="AG97" s="52">
        <v>0.25</v>
      </c>
      <c r="AH97" s="64" t="s">
        <v>673</v>
      </c>
      <c r="AI97" s="52"/>
      <c r="AJ97" s="64" t="s">
        <v>69</v>
      </c>
      <c r="AK97" s="52"/>
      <c r="AL97" s="64" t="s">
        <v>69</v>
      </c>
      <c r="AM97" s="52"/>
      <c r="AN97" s="64" t="s">
        <v>69</v>
      </c>
      <c r="AO97" s="52"/>
      <c r="AP97" s="64" t="s">
        <v>69</v>
      </c>
      <c r="AQ97" s="52"/>
      <c r="AR97" s="64" t="s">
        <v>69</v>
      </c>
      <c r="AS97" s="52"/>
      <c r="AT97" s="64" t="s">
        <v>69</v>
      </c>
      <c r="AU97" s="52">
        <v>0.8</v>
      </c>
      <c r="AV97" s="64" t="s">
        <v>673</v>
      </c>
      <c r="AW97" s="52">
        <v>0.8</v>
      </c>
      <c r="AX97" s="64" t="s">
        <v>673</v>
      </c>
      <c r="AY97" s="52"/>
      <c r="AZ97" s="64" t="s">
        <v>69</v>
      </c>
      <c r="BA97" s="52"/>
      <c r="BB97" s="64" t="s">
        <v>69</v>
      </c>
      <c r="BC97" s="52"/>
      <c r="BD97" s="64" t="s">
        <v>69</v>
      </c>
      <c r="BE97" s="52">
        <v>0.8</v>
      </c>
      <c r="BF97" s="64" t="s">
        <v>673</v>
      </c>
      <c r="BG97" s="52"/>
      <c r="BH97" s="64" t="s">
        <v>69</v>
      </c>
      <c r="BI97" s="52"/>
      <c r="BJ97" s="64" t="s">
        <v>69</v>
      </c>
      <c r="BK97" s="52">
        <f>Ethernet_CPSW_Port0_Util</f>
        <v>1</v>
      </c>
      <c r="BL97" s="64" t="str">
        <f>Ethernet_CPSW_Port0_mode</f>
        <v>rgmii_100_3p3v</v>
      </c>
      <c r="BM97" s="52">
        <v>0</v>
      </c>
      <c r="BN97" s="64" t="s">
        <v>1052</v>
      </c>
      <c r="BO97" s="52">
        <v>0</v>
      </c>
      <c r="BP97" s="64" t="s">
        <v>1052</v>
      </c>
      <c r="BQ97" s="52">
        <v>0</v>
      </c>
      <c r="BR97" s="64" t="s">
        <v>1052</v>
      </c>
      <c r="BS97" s="52">
        <v>0</v>
      </c>
      <c r="BT97" s="64" t="s">
        <v>1052</v>
      </c>
      <c r="BU97" s="52">
        <v>0</v>
      </c>
      <c r="BV97" s="64" t="s">
        <v>1052</v>
      </c>
      <c r="BW97" s="52">
        <v>0</v>
      </c>
      <c r="BX97" s="64" t="s">
        <v>1052</v>
      </c>
      <c r="BY97" s="52">
        <v>0</v>
      </c>
      <c r="BZ97" s="64" t="s">
        <v>1052</v>
      </c>
      <c r="CA97" s="52">
        <v>0</v>
      </c>
      <c r="CB97" s="64" t="s">
        <v>1052</v>
      </c>
      <c r="CC97" s="52">
        <v>0</v>
      </c>
      <c r="CD97" s="64" t="s">
        <v>1052</v>
      </c>
      <c r="CE97" s="52">
        <v>0</v>
      </c>
      <c r="CF97" s="64" t="s">
        <v>1052</v>
      </c>
      <c r="CG97" s="52">
        <v>0</v>
      </c>
      <c r="CH97" s="64" t="s">
        <v>1052</v>
      </c>
      <c r="CI97" s="52">
        <v>0</v>
      </c>
      <c r="CJ97" s="64" t="s">
        <v>1052</v>
      </c>
      <c r="CK97" s="52">
        <v>0</v>
      </c>
      <c r="CL97" s="64" t="s">
        <v>1052</v>
      </c>
      <c r="CM97" s="52">
        <v>0</v>
      </c>
      <c r="CN97" s="64" t="s">
        <v>1052</v>
      </c>
      <c r="CO97" s="52">
        <v>0</v>
      </c>
      <c r="CP97" s="64" t="s">
        <v>1052</v>
      </c>
      <c r="CQ97" s="52">
        <v>0</v>
      </c>
      <c r="CR97" s="64" t="s">
        <v>1052</v>
      </c>
      <c r="CS97" s="52">
        <v>0</v>
      </c>
      <c r="CT97" s="64" t="s">
        <v>1052</v>
      </c>
      <c r="CU97" s="52">
        <v>0</v>
      </c>
      <c r="CV97" s="64" t="s">
        <v>1052</v>
      </c>
      <c r="CW97" s="52">
        <v>0</v>
      </c>
      <c r="CX97" s="64" t="s">
        <v>1052</v>
      </c>
      <c r="CY97" s="52">
        <v>0</v>
      </c>
      <c r="CZ97" s="64" t="s">
        <v>1052</v>
      </c>
    </row>
    <row r="98" spans="1:104" x14ac:dyDescent="0.25">
      <c r="A98" s="51" t="str">
        <f>D98&amp;C98</f>
        <v>ethernet_port_1</v>
      </c>
      <c r="B98" s="2" t="str">
        <f>UPPER(D98)&amp;" IOs"</f>
        <v>ETHERNET IOs</v>
      </c>
      <c r="C98" s="2" t="s">
        <v>1210</v>
      </c>
      <c r="D98" s="2" t="s">
        <v>649</v>
      </c>
      <c r="E98" s="2" t="str">
        <f>VLOOKUP($D98&amp;"_"&amp;E$3,MDB,6,0)</f>
        <v>7 LVCMOS IO</v>
      </c>
      <c r="F98" s="2" t="str">
        <f>VLOOKUP($D98&amp;"_"&amp;F$3,MDB,6,0)</f>
        <v>Ethernet</v>
      </c>
      <c r="G98" s="52">
        <v>1</v>
      </c>
      <c r="H98" s="64" t="s">
        <v>665</v>
      </c>
      <c r="I98" s="52"/>
      <c r="J98" s="64" t="s">
        <v>665</v>
      </c>
      <c r="K98" s="52"/>
      <c r="L98" s="64" t="s">
        <v>665</v>
      </c>
      <c r="M98" s="52"/>
      <c r="N98" s="64" t="s">
        <v>665</v>
      </c>
      <c r="O98" s="52">
        <v>0.25</v>
      </c>
      <c r="P98" s="64" t="s">
        <v>673</v>
      </c>
      <c r="Q98" s="52"/>
      <c r="R98" s="64" t="s">
        <v>69</v>
      </c>
      <c r="S98" s="52"/>
      <c r="T98" s="64" t="s">
        <v>69</v>
      </c>
      <c r="U98" s="52"/>
      <c r="V98" s="64" t="s">
        <v>69</v>
      </c>
      <c r="W98" s="52">
        <v>0.25</v>
      </c>
      <c r="X98" s="64" t="s">
        <v>673</v>
      </c>
      <c r="Y98" s="52"/>
      <c r="Z98" s="64" t="s">
        <v>69</v>
      </c>
      <c r="AA98" s="52"/>
      <c r="AB98" s="64" t="s">
        <v>69</v>
      </c>
      <c r="AC98" s="52"/>
      <c r="AD98" s="64" t="s">
        <v>69</v>
      </c>
      <c r="AE98" s="52">
        <v>0.25</v>
      </c>
      <c r="AF98" s="64" t="s">
        <v>673</v>
      </c>
      <c r="AG98" s="52">
        <v>0.25</v>
      </c>
      <c r="AH98" s="64" t="s">
        <v>673</v>
      </c>
      <c r="AI98" s="52"/>
      <c r="AJ98" s="64" t="s">
        <v>69</v>
      </c>
      <c r="AK98" s="52"/>
      <c r="AL98" s="64" t="s">
        <v>69</v>
      </c>
      <c r="AM98" s="52"/>
      <c r="AN98" s="64" t="s">
        <v>69</v>
      </c>
      <c r="AO98" s="52"/>
      <c r="AP98" s="64" t="s">
        <v>69</v>
      </c>
      <c r="AQ98" s="52"/>
      <c r="AR98" s="64" t="s">
        <v>69</v>
      </c>
      <c r="AS98" s="52"/>
      <c r="AT98" s="64" t="s">
        <v>69</v>
      </c>
      <c r="AU98" s="52">
        <v>0.8</v>
      </c>
      <c r="AV98" s="64" t="s">
        <v>673</v>
      </c>
      <c r="AW98" s="52">
        <v>0.8</v>
      </c>
      <c r="AX98" s="64" t="s">
        <v>673</v>
      </c>
      <c r="AY98" s="52"/>
      <c r="AZ98" s="64" t="s">
        <v>69</v>
      </c>
      <c r="BA98" s="52"/>
      <c r="BB98" s="64" t="s">
        <v>69</v>
      </c>
      <c r="BC98" s="52"/>
      <c r="BD98" s="64" t="s">
        <v>69</v>
      </c>
      <c r="BE98" s="52">
        <v>0.8</v>
      </c>
      <c r="BF98" s="64" t="s">
        <v>673</v>
      </c>
      <c r="BG98" s="52"/>
      <c r="BH98" s="64" t="s">
        <v>69</v>
      </c>
      <c r="BI98" s="52"/>
      <c r="BJ98" s="64" t="s">
        <v>69</v>
      </c>
      <c r="BK98" s="52">
        <f>Ethernet_CPSW_Port1_Util</f>
        <v>1</v>
      </c>
      <c r="BL98" s="64" t="str">
        <f>Ethernet_CPSW_Port1_mode</f>
        <v>rgmii_100_3p3v</v>
      </c>
      <c r="BM98" s="52">
        <v>0</v>
      </c>
      <c r="BN98" s="64" t="s">
        <v>1052</v>
      </c>
      <c r="BO98" s="52">
        <v>0</v>
      </c>
      <c r="BP98" s="64" t="s">
        <v>1052</v>
      </c>
      <c r="BQ98" s="52">
        <v>0</v>
      </c>
      <c r="BR98" s="64" t="s">
        <v>1052</v>
      </c>
      <c r="BS98" s="52">
        <v>0</v>
      </c>
      <c r="BT98" s="64" t="s">
        <v>1052</v>
      </c>
      <c r="BU98" s="52">
        <v>0</v>
      </c>
      <c r="BV98" s="64" t="s">
        <v>1052</v>
      </c>
      <c r="BW98" s="52">
        <v>0</v>
      </c>
      <c r="BX98" s="64" t="s">
        <v>1052</v>
      </c>
      <c r="BY98" s="52">
        <v>0</v>
      </c>
      <c r="BZ98" s="64" t="s">
        <v>1052</v>
      </c>
      <c r="CA98" s="52">
        <v>0</v>
      </c>
      <c r="CB98" s="64" t="s">
        <v>1052</v>
      </c>
      <c r="CC98" s="52">
        <v>0</v>
      </c>
      <c r="CD98" s="64" t="s">
        <v>1052</v>
      </c>
      <c r="CE98" s="52">
        <v>0</v>
      </c>
      <c r="CF98" s="64" t="s">
        <v>1052</v>
      </c>
      <c r="CG98" s="52">
        <v>0</v>
      </c>
      <c r="CH98" s="64" t="s">
        <v>1052</v>
      </c>
      <c r="CI98" s="52">
        <v>0</v>
      </c>
      <c r="CJ98" s="64" t="s">
        <v>1052</v>
      </c>
      <c r="CK98" s="52">
        <v>0</v>
      </c>
      <c r="CL98" s="64" t="s">
        <v>1052</v>
      </c>
      <c r="CM98" s="52">
        <v>0</v>
      </c>
      <c r="CN98" s="64" t="s">
        <v>1052</v>
      </c>
      <c r="CO98" s="52">
        <v>0</v>
      </c>
      <c r="CP98" s="64" t="s">
        <v>1052</v>
      </c>
      <c r="CQ98" s="52">
        <v>0</v>
      </c>
      <c r="CR98" s="64" t="s">
        <v>1052</v>
      </c>
      <c r="CS98" s="52">
        <v>0</v>
      </c>
      <c r="CT98" s="64" t="s">
        <v>1052</v>
      </c>
      <c r="CU98" s="52">
        <v>0</v>
      </c>
      <c r="CV98" s="64" t="s">
        <v>1052</v>
      </c>
      <c r="CW98" s="52">
        <v>0</v>
      </c>
      <c r="CX98" s="64" t="s">
        <v>1052</v>
      </c>
      <c r="CY98" s="52">
        <v>0</v>
      </c>
      <c r="CZ98" s="64" t="s">
        <v>1052</v>
      </c>
    </row>
    <row r="99" spans="1:104" ht="11.1" customHeight="1" x14ac:dyDescent="0.25">
      <c r="A99" s="61"/>
      <c r="B99" s="60"/>
      <c r="C99" s="60"/>
      <c r="D99" s="60"/>
      <c r="E99" s="60"/>
      <c r="F99" s="60"/>
      <c r="G99" s="62"/>
      <c r="H99" s="63"/>
      <c r="I99" s="62"/>
      <c r="J99" s="63"/>
      <c r="K99" s="62"/>
      <c r="L99" s="63"/>
      <c r="M99" s="62"/>
      <c r="N99" s="63"/>
      <c r="O99" s="62"/>
      <c r="P99" s="63"/>
      <c r="Q99" s="62"/>
      <c r="R99" s="63"/>
      <c r="S99" s="62"/>
      <c r="T99" s="63"/>
      <c r="U99" s="62"/>
      <c r="V99" s="63"/>
      <c r="W99" s="62"/>
      <c r="X99" s="63"/>
      <c r="Y99" s="62"/>
      <c r="Z99" s="63"/>
      <c r="AA99" s="62"/>
      <c r="AB99" s="63"/>
      <c r="AC99" s="62"/>
      <c r="AD99" s="63"/>
      <c r="AE99" s="62"/>
      <c r="AF99" s="63"/>
      <c r="AG99" s="62"/>
      <c r="AH99" s="63"/>
      <c r="AI99" s="62"/>
      <c r="AJ99" s="63"/>
      <c r="AK99" s="62"/>
      <c r="AL99" s="63"/>
      <c r="AM99" s="62"/>
      <c r="AN99" s="63"/>
      <c r="AO99" s="62"/>
      <c r="AP99" s="63"/>
      <c r="AQ99" s="62"/>
      <c r="AR99" s="63"/>
      <c r="AS99" s="62"/>
      <c r="AT99" s="63"/>
      <c r="AU99" s="62"/>
      <c r="AV99" s="63"/>
      <c r="AW99" s="62"/>
      <c r="AX99" s="63"/>
      <c r="AY99" s="62"/>
      <c r="AZ99" s="63"/>
      <c r="BA99" s="62"/>
      <c r="BB99" s="63"/>
      <c r="BC99" s="62"/>
      <c r="BD99" s="63"/>
      <c r="BE99" s="62"/>
      <c r="BF99" s="63"/>
      <c r="BG99" s="62"/>
      <c r="BH99" s="63"/>
      <c r="BI99" s="62"/>
      <c r="BJ99" s="63"/>
      <c r="BK99" s="62"/>
      <c r="BL99" s="63"/>
      <c r="BM99" s="62"/>
      <c r="BN99" s="63"/>
      <c r="BO99" s="62"/>
      <c r="BP99" s="63"/>
      <c r="BQ99" s="62"/>
      <c r="BR99" s="63"/>
      <c r="BS99" s="62"/>
      <c r="BT99" s="63"/>
      <c r="BU99" s="62"/>
      <c r="BV99" s="63"/>
      <c r="BW99" s="62"/>
      <c r="BX99" s="63"/>
      <c r="BY99" s="62"/>
      <c r="BZ99" s="63"/>
      <c r="CA99" s="62"/>
      <c r="CB99" s="63"/>
      <c r="CC99" s="62"/>
      <c r="CD99" s="63"/>
      <c r="CE99" s="62"/>
      <c r="CF99" s="63"/>
      <c r="CG99" s="62"/>
      <c r="CH99" s="63"/>
      <c r="CI99" s="62"/>
      <c r="CJ99" s="63"/>
      <c r="CK99" s="62"/>
      <c r="CL99" s="63"/>
      <c r="CM99" s="62"/>
      <c r="CN99" s="63"/>
      <c r="CO99" s="62"/>
      <c r="CP99" s="63"/>
      <c r="CQ99" s="62"/>
      <c r="CR99" s="63"/>
      <c r="CS99" s="62"/>
      <c r="CT99" s="63"/>
      <c r="CU99" s="62"/>
      <c r="CV99" s="63"/>
      <c r="CW99" s="62"/>
      <c r="CX99" s="63"/>
      <c r="CY99" s="62"/>
      <c r="CZ99" s="63"/>
    </row>
    <row r="100" spans="1:104" x14ac:dyDescent="0.25">
      <c r="A100" s="51" t="str">
        <f>D100&amp;C100</f>
        <v>dpi_0</v>
      </c>
      <c r="B100" s="2" t="str">
        <f>UPPER(D100)&amp;" IOs"</f>
        <v>DPI IOs</v>
      </c>
      <c r="C100" s="2" t="s">
        <v>18</v>
      </c>
      <c r="D100" s="2" t="s">
        <v>699</v>
      </c>
      <c r="E100" s="2" t="str">
        <f>VLOOKUP($D100&amp;"_"&amp;E$3,MDB,6,0)</f>
        <v>7 LVCMOS IO</v>
      </c>
      <c r="F100" s="2" t="str">
        <f>VLOOKUP($D100&amp;"_"&amp;F$3,MDB,6,0)</f>
        <v>DPI Display</v>
      </c>
      <c r="G100" s="52">
        <v>1</v>
      </c>
      <c r="H100" s="64" t="s">
        <v>771</v>
      </c>
      <c r="I100" s="52">
        <v>0.01</v>
      </c>
      <c r="J100" s="64" t="s">
        <v>771</v>
      </c>
      <c r="K100" s="52">
        <v>0</v>
      </c>
      <c r="L100" s="64" t="s">
        <v>69</v>
      </c>
      <c r="M100" s="52"/>
      <c r="N100" s="64" t="s">
        <v>69</v>
      </c>
      <c r="O100" s="52">
        <v>1</v>
      </c>
      <c r="P100" s="64" t="s">
        <v>727</v>
      </c>
      <c r="Q100" s="52">
        <v>1</v>
      </c>
      <c r="R100" s="64" t="s">
        <v>727</v>
      </c>
      <c r="S100" s="52">
        <v>1</v>
      </c>
      <c r="T100" s="64" t="s">
        <v>727</v>
      </c>
      <c r="U100" s="52">
        <v>1</v>
      </c>
      <c r="V100" s="64" t="s">
        <v>727</v>
      </c>
      <c r="W100" s="52"/>
      <c r="X100" s="64" t="s">
        <v>69</v>
      </c>
      <c r="Y100" s="52"/>
      <c r="Z100" s="64" t="s">
        <v>69</v>
      </c>
      <c r="AA100" s="52"/>
      <c r="AB100" s="64" t="s">
        <v>69</v>
      </c>
      <c r="AC100" s="52"/>
      <c r="AD100" s="64" t="s">
        <v>69</v>
      </c>
      <c r="AE100" s="52"/>
      <c r="AF100" s="64" t="s">
        <v>69</v>
      </c>
      <c r="AG100" s="52"/>
      <c r="AH100" s="64" t="s">
        <v>69</v>
      </c>
      <c r="AI100" s="52"/>
      <c r="AJ100" s="64" t="s">
        <v>69</v>
      </c>
      <c r="AK100" s="52"/>
      <c r="AL100" s="64" t="s">
        <v>69</v>
      </c>
      <c r="AM100" s="52"/>
      <c r="AN100" s="64" t="s">
        <v>69</v>
      </c>
      <c r="AO100" s="52"/>
      <c r="AP100" s="64" t="s">
        <v>69</v>
      </c>
      <c r="AQ100" s="52"/>
      <c r="AR100" s="64" t="s">
        <v>69</v>
      </c>
      <c r="AS100" s="52"/>
      <c r="AT100" s="64" t="s">
        <v>69</v>
      </c>
      <c r="AU100" s="52"/>
      <c r="AV100" s="64" t="s">
        <v>69</v>
      </c>
      <c r="AW100" s="52"/>
      <c r="AX100" s="64" t="s">
        <v>69</v>
      </c>
      <c r="AY100" s="52"/>
      <c r="AZ100" s="64" t="s">
        <v>69</v>
      </c>
      <c r="BA100" s="52"/>
      <c r="BB100" s="64" t="s">
        <v>69</v>
      </c>
      <c r="BC100" s="52"/>
      <c r="BD100" s="64" t="s">
        <v>69</v>
      </c>
      <c r="BE100" s="52">
        <v>1</v>
      </c>
      <c r="BF100" s="64" t="s">
        <v>775</v>
      </c>
      <c r="BG100" s="52"/>
      <c r="BH100" s="64" t="s">
        <v>69</v>
      </c>
      <c r="BI100" s="52"/>
      <c r="BJ100" s="64" t="s">
        <v>69</v>
      </c>
      <c r="BK100" s="52">
        <f>VOUT_Util</f>
        <v>1</v>
      </c>
      <c r="BL100" s="64" t="str">
        <f>VOUT_modes</f>
        <v>2K_|_2048x1080x60_fps_24b_|_3p3V</v>
      </c>
      <c r="BM100" s="52">
        <v>0</v>
      </c>
      <c r="BN100" s="64" t="s">
        <v>1052</v>
      </c>
      <c r="BO100" s="52">
        <v>0</v>
      </c>
      <c r="BP100" s="64" t="s">
        <v>1052</v>
      </c>
      <c r="BQ100" s="52">
        <v>0</v>
      </c>
      <c r="BR100" s="64" t="s">
        <v>1052</v>
      </c>
      <c r="BS100" s="52">
        <v>0</v>
      </c>
      <c r="BT100" s="64" t="s">
        <v>1052</v>
      </c>
      <c r="BU100" s="52">
        <v>0</v>
      </c>
      <c r="BV100" s="64" t="s">
        <v>1052</v>
      </c>
      <c r="BW100" s="52">
        <v>0</v>
      </c>
      <c r="BX100" s="64" t="s">
        <v>1052</v>
      </c>
      <c r="BY100" s="52">
        <v>0</v>
      </c>
      <c r="BZ100" s="64" t="s">
        <v>1052</v>
      </c>
      <c r="CA100" s="52">
        <v>0</v>
      </c>
      <c r="CB100" s="64" t="s">
        <v>1052</v>
      </c>
      <c r="CC100" s="52">
        <v>0</v>
      </c>
      <c r="CD100" s="64" t="s">
        <v>1052</v>
      </c>
      <c r="CE100" s="52">
        <v>0</v>
      </c>
      <c r="CF100" s="64" t="s">
        <v>1052</v>
      </c>
      <c r="CG100" s="52">
        <v>0</v>
      </c>
      <c r="CH100" s="64" t="s">
        <v>1052</v>
      </c>
      <c r="CI100" s="52">
        <v>0</v>
      </c>
      <c r="CJ100" s="64" t="s">
        <v>1052</v>
      </c>
      <c r="CK100" s="52">
        <v>0</v>
      </c>
      <c r="CL100" s="64" t="s">
        <v>1052</v>
      </c>
      <c r="CM100" s="52">
        <v>0</v>
      </c>
      <c r="CN100" s="64" t="s">
        <v>1052</v>
      </c>
      <c r="CO100" s="52">
        <v>0</v>
      </c>
      <c r="CP100" s="64" t="s">
        <v>1052</v>
      </c>
      <c r="CQ100" s="52">
        <v>0</v>
      </c>
      <c r="CR100" s="64" t="s">
        <v>1052</v>
      </c>
      <c r="CS100" s="52">
        <v>0</v>
      </c>
      <c r="CT100" s="64" t="s">
        <v>1052</v>
      </c>
      <c r="CU100" s="52">
        <v>0</v>
      </c>
      <c r="CV100" s="64" t="s">
        <v>1052</v>
      </c>
      <c r="CW100" s="52">
        <v>0</v>
      </c>
      <c r="CX100" s="64" t="s">
        <v>1052</v>
      </c>
      <c r="CY100" s="52">
        <v>0</v>
      </c>
      <c r="CZ100" s="64" t="s">
        <v>1052</v>
      </c>
    </row>
    <row r="101" spans="1:104" ht="11.1" customHeight="1" x14ac:dyDescent="0.25">
      <c r="A101" s="61"/>
      <c r="B101" s="60"/>
      <c r="C101" s="60"/>
      <c r="D101" s="60"/>
      <c r="E101" s="60"/>
      <c r="F101" s="60"/>
      <c r="G101" s="62"/>
      <c r="H101" s="63"/>
      <c r="I101" s="62"/>
      <c r="J101" s="63"/>
      <c r="K101" s="62"/>
      <c r="L101" s="63"/>
      <c r="M101" s="62"/>
      <c r="N101" s="63"/>
      <c r="O101" s="62"/>
      <c r="P101" s="63"/>
      <c r="Q101" s="62"/>
      <c r="R101" s="63"/>
      <c r="S101" s="62"/>
      <c r="T101" s="63"/>
      <c r="U101" s="62"/>
      <c r="V101" s="63"/>
      <c r="W101" s="62"/>
      <c r="X101" s="63"/>
      <c r="Y101" s="62"/>
      <c r="Z101" s="63"/>
      <c r="AA101" s="62"/>
      <c r="AB101" s="63"/>
      <c r="AC101" s="62"/>
      <c r="AD101" s="63"/>
      <c r="AE101" s="62"/>
      <c r="AF101" s="63"/>
      <c r="AG101" s="62"/>
      <c r="AH101" s="63"/>
      <c r="AI101" s="62"/>
      <c r="AJ101" s="63"/>
      <c r="AK101" s="62"/>
      <c r="AL101" s="63"/>
      <c r="AM101" s="62"/>
      <c r="AN101" s="63"/>
      <c r="AO101" s="62"/>
      <c r="AP101" s="63"/>
      <c r="AQ101" s="62"/>
      <c r="AR101" s="63"/>
      <c r="AS101" s="62"/>
      <c r="AT101" s="63"/>
      <c r="AU101" s="62"/>
      <c r="AV101" s="63"/>
      <c r="AW101" s="62"/>
      <c r="AX101" s="63"/>
      <c r="AY101" s="62"/>
      <c r="AZ101" s="63"/>
      <c r="BA101" s="62"/>
      <c r="BB101" s="63"/>
      <c r="BC101" s="62"/>
      <c r="BD101" s="63"/>
      <c r="BE101" s="62"/>
      <c r="BF101" s="63"/>
      <c r="BG101" s="62"/>
      <c r="BH101" s="63"/>
      <c r="BI101" s="62"/>
      <c r="BJ101" s="63"/>
      <c r="BK101" s="62"/>
      <c r="BL101" s="63"/>
      <c r="BM101" s="62"/>
      <c r="BN101" s="63"/>
      <c r="BO101" s="62"/>
      <c r="BP101" s="63"/>
      <c r="BQ101" s="62"/>
      <c r="BR101" s="63"/>
      <c r="BS101" s="62"/>
      <c r="BT101" s="63"/>
      <c r="BU101" s="62"/>
      <c r="BV101" s="63"/>
      <c r="BW101" s="62"/>
      <c r="BX101" s="63"/>
      <c r="BY101" s="62"/>
      <c r="BZ101" s="63"/>
      <c r="CA101" s="62"/>
      <c r="CB101" s="63"/>
      <c r="CC101" s="62"/>
      <c r="CD101" s="63"/>
      <c r="CE101" s="62"/>
      <c r="CF101" s="63"/>
      <c r="CG101" s="62"/>
      <c r="CH101" s="63"/>
      <c r="CI101" s="62"/>
      <c r="CJ101" s="63"/>
      <c r="CK101" s="62"/>
      <c r="CL101" s="63"/>
      <c r="CM101" s="62"/>
      <c r="CN101" s="63"/>
      <c r="CO101" s="62"/>
      <c r="CP101" s="63"/>
      <c r="CQ101" s="62"/>
      <c r="CR101" s="63"/>
      <c r="CS101" s="62"/>
      <c r="CT101" s="63"/>
      <c r="CU101" s="62"/>
      <c r="CV101" s="63"/>
      <c r="CW101" s="62"/>
      <c r="CX101" s="63"/>
      <c r="CY101" s="62"/>
      <c r="CZ101" s="63"/>
    </row>
    <row r="102" spans="1:104" x14ac:dyDescent="0.25">
      <c r="A102" s="51" t="str">
        <f>D102&amp;C102</f>
        <v>gpmc_0</v>
      </c>
      <c r="B102" s="2" t="str">
        <f>UPPER(D102)&amp;" IOs"</f>
        <v>GPMC IOs</v>
      </c>
      <c r="C102" s="2" t="s">
        <v>18</v>
      </c>
      <c r="D102" s="2" t="s">
        <v>653</v>
      </c>
      <c r="E102" s="2" t="str">
        <f>VLOOKUP($D102&amp;"_"&amp;E$3,MDB,6,0)</f>
        <v>7 LVCMOS IO</v>
      </c>
      <c r="F102" s="2" t="str">
        <f>VLOOKUP($D102&amp;"_"&amp;F$3,MDB,6,0)</f>
        <v>GPMC</v>
      </c>
      <c r="G102" s="52">
        <v>1</v>
      </c>
      <c r="H102" s="64" t="s">
        <v>678</v>
      </c>
      <c r="I102" s="52"/>
      <c r="J102" s="64" t="s">
        <v>69</v>
      </c>
      <c r="K102" s="52"/>
      <c r="L102" s="64" t="s">
        <v>69</v>
      </c>
      <c r="M102" s="52"/>
      <c r="N102" s="64" t="s">
        <v>69</v>
      </c>
      <c r="O102" s="52">
        <v>0.25</v>
      </c>
      <c r="P102" s="64" t="s">
        <v>678</v>
      </c>
      <c r="Q102" s="52">
        <v>0.25</v>
      </c>
      <c r="R102" s="64" t="s">
        <v>678</v>
      </c>
      <c r="S102" s="52"/>
      <c r="T102" s="64" t="s">
        <v>69</v>
      </c>
      <c r="U102" s="52"/>
      <c r="V102" s="64" t="s">
        <v>69</v>
      </c>
      <c r="W102" s="52"/>
      <c r="X102" s="64" t="s">
        <v>69</v>
      </c>
      <c r="Y102" s="52"/>
      <c r="Z102" s="64" t="s">
        <v>69</v>
      </c>
      <c r="AA102" s="52"/>
      <c r="AB102" s="64" t="s">
        <v>69</v>
      </c>
      <c r="AC102" s="52"/>
      <c r="AD102" s="64" t="s">
        <v>69</v>
      </c>
      <c r="AE102" s="52">
        <v>0.25</v>
      </c>
      <c r="AF102" s="64" t="s">
        <v>678</v>
      </c>
      <c r="AG102" s="52">
        <v>0.25</v>
      </c>
      <c r="AH102" s="64" t="s">
        <v>678</v>
      </c>
      <c r="AI102" s="52"/>
      <c r="AJ102" s="64" t="s">
        <v>69</v>
      </c>
      <c r="AK102" s="52"/>
      <c r="AL102" s="64" t="s">
        <v>69</v>
      </c>
      <c r="AM102" s="52"/>
      <c r="AN102" s="64" t="s">
        <v>69</v>
      </c>
      <c r="AO102" s="52"/>
      <c r="AP102" s="64" t="s">
        <v>69</v>
      </c>
      <c r="AQ102" s="52"/>
      <c r="AR102" s="64" t="s">
        <v>69</v>
      </c>
      <c r="AS102" s="52"/>
      <c r="AT102" s="64" t="s">
        <v>69</v>
      </c>
      <c r="AU102" s="52">
        <v>0.25</v>
      </c>
      <c r="AV102" s="64" t="s">
        <v>678</v>
      </c>
      <c r="AW102" s="52">
        <v>0.25</v>
      </c>
      <c r="AX102" s="64" t="s">
        <v>678</v>
      </c>
      <c r="AY102" s="52"/>
      <c r="AZ102" s="64" t="s">
        <v>69</v>
      </c>
      <c r="BA102" s="52"/>
      <c r="BB102" s="64" t="s">
        <v>69</v>
      </c>
      <c r="BC102" s="52"/>
      <c r="BD102" s="64" t="s">
        <v>69</v>
      </c>
      <c r="BE102" s="52">
        <v>1</v>
      </c>
      <c r="BF102" s="64" t="s">
        <v>678</v>
      </c>
      <c r="BG102" s="52"/>
      <c r="BH102" s="64" t="s">
        <v>69</v>
      </c>
      <c r="BI102" s="52"/>
      <c r="BJ102" s="64" t="s">
        <v>69</v>
      </c>
      <c r="BK102" s="52">
        <f>GPMC_Util</f>
        <v>1</v>
      </c>
      <c r="BL102" s="64" t="str">
        <f>gpmc_modes</f>
        <v>16b_133_MHz_3p3V</v>
      </c>
      <c r="BM102" s="52">
        <v>0</v>
      </c>
      <c r="BN102" s="64" t="s">
        <v>1052</v>
      </c>
      <c r="BO102" s="52">
        <v>0</v>
      </c>
      <c r="BP102" s="64" t="s">
        <v>1052</v>
      </c>
      <c r="BQ102" s="52">
        <v>0</v>
      </c>
      <c r="BR102" s="64" t="s">
        <v>1052</v>
      </c>
      <c r="BS102" s="52">
        <v>0</v>
      </c>
      <c r="BT102" s="64" t="s">
        <v>1052</v>
      </c>
      <c r="BU102" s="52">
        <v>0</v>
      </c>
      <c r="BV102" s="64" t="s">
        <v>1052</v>
      </c>
      <c r="BW102" s="52">
        <v>0</v>
      </c>
      <c r="BX102" s="64" t="s">
        <v>1052</v>
      </c>
      <c r="BY102" s="52">
        <v>0</v>
      </c>
      <c r="BZ102" s="64" t="s">
        <v>1052</v>
      </c>
      <c r="CA102" s="52">
        <v>0</v>
      </c>
      <c r="CB102" s="64" t="s">
        <v>1052</v>
      </c>
      <c r="CC102" s="52">
        <v>0</v>
      </c>
      <c r="CD102" s="64" t="s">
        <v>1052</v>
      </c>
      <c r="CE102" s="52">
        <v>0</v>
      </c>
      <c r="CF102" s="64" t="s">
        <v>1052</v>
      </c>
      <c r="CG102" s="52">
        <v>0</v>
      </c>
      <c r="CH102" s="64" t="s">
        <v>1052</v>
      </c>
      <c r="CI102" s="52">
        <v>0</v>
      </c>
      <c r="CJ102" s="64" t="s">
        <v>1052</v>
      </c>
      <c r="CK102" s="52">
        <v>0</v>
      </c>
      <c r="CL102" s="64" t="s">
        <v>1052</v>
      </c>
      <c r="CM102" s="52">
        <v>0</v>
      </c>
      <c r="CN102" s="64" t="s">
        <v>1052</v>
      </c>
      <c r="CO102" s="52">
        <v>0</v>
      </c>
      <c r="CP102" s="64" t="s">
        <v>1052</v>
      </c>
      <c r="CQ102" s="52">
        <v>0</v>
      </c>
      <c r="CR102" s="64" t="s">
        <v>1052</v>
      </c>
      <c r="CS102" s="52">
        <v>0</v>
      </c>
      <c r="CT102" s="64" t="s">
        <v>1052</v>
      </c>
      <c r="CU102" s="52">
        <v>0</v>
      </c>
      <c r="CV102" s="64" t="s">
        <v>1052</v>
      </c>
      <c r="CW102" s="52">
        <v>0</v>
      </c>
      <c r="CX102" s="64" t="s">
        <v>1052</v>
      </c>
      <c r="CY102" s="52">
        <v>0</v>
      </c>
      <c r="CZ102" s="64" t="s">
        <v>1052</v>
      </c>
    </row>
    <row r="103" spans="1:104" ht="11.1" customHeight="1" x14ac:dyDescent="0.25">
      <c r="A103" s="61"/>
      <c r="B103" s="60"/>
      <c r="C103" s="60"/>
      <c r="D103" s="60"/>
      <c r="E103" s="60"/>
      <c r="F103" s="60"/>
      <c r="G103" s="62"/>
      <c r="H103" s="63"/>
      <c r="I103" s="62"/>
      <c r="J103" s="63"/>
      <c r="K103" s="62"/>
      <c r="L103" s="63"/>
      <c r="M103" s="62"/>
      <c r="N103" s="63"/>
      <c r="O103" s="62"/>
      <c r="P103" s="63"/>
      <c r="Q103" s="62"/>
      <c r="R103" s="63"/>
      <c r="S103" s="62"/>
      <c r="T103" s="63"/>
      <c r="U103" s="62"/>
      <c r="V103" s="63"/>
      <c r="W103" s="62"/>
      <c r="X103" s="63"/>
      <c r="Y103" s="62"/>
      <c r="Z103" s="63"/>
      <c r="AA103" s="62"/>
      <c r="AB103" s="63"/>
      <c r="AC103" s="62"/>
      <c r="AD103" s="63"/>
      <c r="AE103" s="62"/>
      <c r="AF103" s="63"/>
      <c r="AG103" s="62"/>
      <c r="AH103" s="63"/>
      <c r="AI103" s="62"/>
      <c r="AJ103" s="63"/>
      <c r="AK103" s="62"/>
      <c r="AL103" s="63"/>
      <c r="AM103" s="62"/>
      <c r="AN103" s="63"/>
      <c r="AO103" s="62"/>
      <c r="AP103" s="63"/>
      <c r="AQ103" s="62"/>
      <c r="AR103" s="63"/>
      <c r="AS103" s="62"/>
      <c r="AT103" s="63"/>
      <c r="AU103" s="62"/>
      <c r="AV103" s="63"/>
      <c r="AW103" s="62"/>
      <c r="AX103" s="63"/>
      <c r="AY103" s="62"/>
      <c r="AZ103" s="63"/>
      <c r="BA103" s="62"/>
      <c r="BB103" s="63"/>
      <c r="BC103" s="62"/>
      <c r="BD103" s="63"/>
      <c r="BE103" s="62"/>
      <c r="BF103" s="63"/>
      <c r="BG103" s="62"/>
      <c r="BH103" s="63"/>
      <c r="BI103" s="62"/>
      <c r="BJ103" s="63"/>
      <c r="BK103" s="62"/>
      <c r="BL103" s="63"/>
      <c r="BM103" s="62"/>
      <c r="BN103" s="63"/>
      <c r="BO103" s="62"/>
      <c r="BP103" s="63"/>
      <c r="BQ103" s="62"/>
      <c r="BR103" s="63"/>
      <c r="BS103" s="62"/>
      <c r="BT103" s="63"/>
      <c r="BU103" s="62"/>
      <c r="BV103" s="63"/>
      <c r="BW103" s="62"/>
      <c r="BX103" s="63"/>
      <c r="BY103" s="62"/>
      <c r="BZ103" s="63"/>
      <c r="CA103" s="62"/>
      <c r="CB103" s="63"/>
      <c r="CC103" s="62"/>
      <c r="CD103" s="63"/>
      <c r="CE103" s="62"/>
      <c r="CF103" s="63"/>
      <c r="CG103" s="62"/>
      <c r="CH103" s="63"/>
      <c r="CI103" s="62"/>
      <c r="CJ103" s="63"/>
      <c r="CK103" s="62"/>
      <c r="CL103" s="63"/>
      <c r="CM103" s="62"/>
      <c r="CN103" s="63"/>
      <c r="CO103" s="62"/>
      <c r="CP103" s="63"/>
      <c r="CQ103" s="62"/>
      <c r="CR103" s="63"/>
      <c r="CS103" s="62"/>
      <c r="CT103" s="63"/>
      <c r="CU103" s="62"/>
      <c r="CV103" s="63"/>
      <c r="CW103" s="62"/>
      <c r="CX103" s="63"/>
      <c r="CY103" s="62"/>
      <c r="CZ103" s="63"/>
    </row>
    <row r="104" spans="1:104" x14ac:dyDescent="0.25">
      <c r="A104" s="51" t="str">
        <f>D104&amp;C104</f>
        <v>canfd_0</v>
      </c>
      <c r="B104" s="2" t="str">
        <f>UPPER(D104)&amp;" IOs"</f>
        <v>CANFD IOs</v>
      </c>
      <c r="C104" s="2" t="s">
        <v>18</v>
      </c>
      <c r="D104" s="2" t="s">
        <v>655</v>
      </c>
      <c r="E104" s="2" t="str">
        <f>VLOOKUP($D104&amp;"_"&amp;E$3,MDB,6,0)</f>
        <v>7 LVCMOS IO</v>
      </c>
      <c r="F104" s="2" t="str">
        <f>VLOOKUP($D104&amp;"_"&amp;F$3,MDB,6,0)</f>
        <v>CANFD</v>
      </c>
      <c r="G104" s="52">
        <v>1</v>
      </c>
      <c r="H104" s="64" t="s">
        <v>656</v>
      </c>
      <c r="I104" s="52"/>
      <c r="J104" s="64" t="s">
        <v>658</v>
      </c>
      <c r="K104" s="52"/>
      <c r="L104" s="64" t="s">
        <v>658</v>
      </c>
      <c r="M104" s="52"/>
      <c r="N104" s="64" t="s">
        <v>658</v>
      </c>
      <c r="O104" s="52"/>
      <c r="P104" s="64" t="s">
        <v>658</v>
      </c>
      <c r="Q104" s="52"/>
      <c r="R104" s="64" t="s">
        <v>658</v>
      </c>
      <c r="S104" s="52"/>
      <c r="T104" s="64" t="s">
        <v>658</v>
      </c>
      <c r="U104" s="52"/>
      <c r="V104" s="64" t="s">
        <v>658</v>
      </c>
      <c r="W104" s="52"/>
      <c r="X104" s="64" t="s">
        <v>658</v>
      </c>
      <c r="Y104" s="52"/>
      <c r="Z104" s="64" t="s">
        <v>658</v>
      </c>
      <c r="AA104" s="52"/>
      <c r="AB104" s="64" t="s">
        <v>658</v>
      </c>
      <c r="AC104" s="52"/>
      <c r="AD104" s="64" t="s">
        <v>658</v>
      </c>
      <c r="AE104" s="52"/>
      <c r="AF104" s="64" t="s">
        <v>658</v>
      </c>
      <c r="AG104" s="52"/>
      <c r="AH104" s="64" t="s">
        <v>658</v>
      </c>
      <c r="AI104" s="52"/>
      <c r="AJ104" s="64" t="s">
        <v>658</v>
      </c>
      <c r="AK104" s="52"/>
      <c r="AL104" s="64" t="s">
        <v>658</v>
      </c>
      <c r="AM104" s="52"/>
      <c r="AN104" s="64" t="s">
        <v>658</v>
      </c>
      <c r="AO104" s="52"/>
      <c r="AP104" s="64" t="s">
        <v>658</v>
      </c>
      <c r="AQ104" s="52"/>
      <c r="AR104" s="64" t="s">
        <v>658</v>
      </c>
      <c r="AS104" s="52"/>
      <c r="AT104" s="64" t="s">
        <v>658</v>
      </c>
      <c r="AU104" s="52"/>
      <c r="AV104" s="64" t="s">
        <v>658</v>
      </c>
      <c r="AW104" s="52"/>
      <c r="AX104" s="64" t="s">
        <v>658</v>
      </c>
      <c r="AY104" s="52"/>
      <c r="AZ104" s="64" t="s">
        <v>658</v>
      </c>
      <c r="BA104" s="52"/>
      <c r="BB104" s="64" t="s">
        <v>658</v>
      </c>
      <c r="BC104" s="52"/>
      <c r="BD104" s="64" t="s">
        <v>658</v>
      </c>
      <c r="BE104" s="52"/>
      <c r="BF104" s="64" t="s">
        <v>658</v>
      </c>
      <c r="BG104" s="52"/>
      <c r="BH104" s="64" t="s">
        <v>658</v>
      </c>
      <c r="BI104" s="52"/>
      <c r="BJ104" s="64" t="s">
        <v>658</v>
      </c>
      <c r="BK104" s="52">
        <v>0</v>
      </c>
      <c r="BL104" s="64" t="s">
        <v>1052</v>
      </c>
      <c r="BM104" s="52">
        <v>0</v>
      </c>
      <c r="BN104" s="64" t="s">
        <v>1052</v>
      </c>
      <c r="BO104" s="52">
        <v>0</v>
      </c>
      <c r="BP104" s="64" t="s">
        <v>1052</v>
      </c>
      <c r="BQ104" s="52">
        <v>0</v>
      </c>
      <c r="BR104" s="64" t="s">
        <v>1052</v>
      </c>
      <c r="BS104" s="52">
        <v>0</v>
      </c>
      <c r="BT104" s="64" t="s">
        <v>1052</v>
      </c>
      <c r="BU104" s="52">
        <v>0</v>
      </c>
      <c r="BV104" s="64" t="s">
        <v>1052</v>
      </c>
      <c r="BW104" s="52">
        <v>0</v>
      </c>
      <c r="BX104" s="64" t="s">
        <v>1052</v>
      </c>
      <c r="BY104" s="52">
        <v>0</v>
      </c>
      <c r="BZ104" s="64" t="s">
        <v>1052</v>
      </c>
      <c r="CA104" s="52">
        <v>0</v>
      </c>
      <c r="CB104" s="64" t="s">
        <v>1052</v>
      </c>
      <c r="CC104" s="52">
        <v>0</v>
      </c>
      <c r="CD104" s="64" t="s">
        <v>1052</v>
      </c>
      <c r="CE104" s="52">
        <v>0</v>
      </c>
      <c r="CF104" s="64" t="s">
        <v>1052</v>
      </c>
      <c r="CG104" s="52">
        <v>0</v>
      </c>
      <c r="CH104" s="64" t="s">
        <v>1052</v>
      </c>
      <c r="CI104" s="52">
        <v>0</v>
      </c>
      <c r="CJ104" s="64" t="s">
        <v>1052</v>
      </c>
      <c r="CK104" s="52">
        <v>0</v>
      </c>
      <c r="CL104" s="64" t="s">
        <v>1052</v>
      </c>
      <c r="CM104" s="52">
        <v>0</v>
      </c>
      <c r="CN104" s="64" t="s">
        <v>1052</v>
      </c>
      <c r="CO104" s="52">
        <v>0</v>
      </c>
      <c r="CP104" s="64" t="s">
        <v>1052</v>
      </c>
      <c r="CQ104" s="52">
        <v>0</v>
      </c>
      <c r="CR104" s="64" t="s">
        <v>1052</v>
      </c>
      <c r="CS104" s="52">
        <v>0</v>
      </c>
      <c r="CT104" s="64" t="s">
        <v>1052</v>
      </c>
      <c r="CU104" s="52">
        <v>0</v>
      </c>
      <c r="CV104" s="64" t="s">
        <v>1052</v>
      </c>
      <c r="CW104" s="52">
        <v>0</v>
      </c>
      <c r="CX104" s="64" t="s">
        <v>1052</v>
      </c>
      <c r="CY104" s="52">
        <v>0</v>
      </c>
      <c r="CZ104" s="64" t="s">
        <v>1052</v>
      </c>
    </row>
    <row r="105" spans="1:104" x14ac:dyDescent="0.25">
      <c r="A105" s="51" t="str">
        <f>D105&amp;C105</f>
        <v>canfd_1</v>
      </c>
      <c r="B105" s="2" t="str">
        <f>UPPER(D105)&amp;" IOs"</f>
        <v>CANFD IOs</v>
      </c>
      <c r="C105" s="2" t="s">
        <v>19</v>
      </c>
      <c r="D105" s="2" t="s">
        <v>655</v>
      </c>
      <c r="E105" s="2" t="str">
        <f>VLOOKUP($D105&amp;"_"&amp;E$3,MDB,6,0)</f>
        <v>7 LVCMOS IO</v>
      </c>
      <c r="F105" s="2" t="str">
        <f>VLOOKUP($D105&amp;"_"&amp;F$3,MDB,6,0)</f>
        <v>CANFD</v>
      </c>
      <c r="G105" s="52">
        <v>1</v>
      </c>
      <c r="H105" s="64" t="s">
        <v>656</v>
      </c>
      <c r="I105" s="52"/>
      <c r="J105" s="64" t="s">
        <v>658</v>
      </c>
      <c r="K105" s="52"/>
      <c r="L105" s="64" t="s">
        <v>658</v>
      </c>
      <c r="M105" s="52"/>
      <c r="N105" s="64" t="s">
        <v>658</v>
      </c>
      <c r="O105" s="52"/>
      <c r="P105" s="64" t="s">
        <v>658</v>
      </c>
      <c r="Q105" s="52"/>
      <c r="R105" s="64" t="s">
        <v>658</v>
      </c>
      <c r="S105" s="52"/>
      <c r="T105" s="64" t="s">
        <v>658</v>
      </c>
      <c r="U105" s="52"/>
      <c r="V105" s="64" t="s">
        <v>658</v>
      </c>
      <c r="W105" s="52"/>
      <c r="X105" s="64" t="s">
        <v>658</v>
      </c>
      <c r="Y105" s="52"/>
      <c r="Z105" s="64" t="s">
        <v>658</v>
      </c>
      <c r="AA105" s="52"/>
      <c r="AB105" s="64" t="s">
        <v>658</v>
      </c>
      <c r="AC105" s="52"/>
      <c r="AD105" s="64" t="s">
        <v>658</v>
      </c>
      <c r="AE105" s="52"/>
      <c r="AF105" s="64" t="s">
        <v>658</v>
      </c>
      <c r="AG105" s="52"/>
      <c r="AH105" s="64" t="s">
        <v>658</v>
      </c>
      <c r="AI105" s="52"/>
      <c r="AJ105" s="64" t="s">
        <v>658</v>
      </c>
      <c r="AK105" s="52"/>
      <c r="AL105" s="64" t="s">
        <v>658</v>
      </c>
      <c r="AM105" s="52"/>
      <c r="AN105" s="64" t="s">
        <v>658</v>
      </c>
      <c r="AO105" s="52"/>
      <c r="AP105" s="64" t="s">
        <v>658</v>
      </c>
      <c r="AQ105" s="52"/>
      <c r="AR105" s="64" t="s">
        <v>658</v>
      </c>
      <c r="AS105" s="52"/>
      <c r="AT105" s="64" t="s">
        <v>658</v>
      </c>
      <c r="AU105" s="52"/>
      <c r="AV105" s="64" t="s">
        <v>658</v>
      </c>
      <c r="AW105" s="52"/>
      <c r="AX105" s="64" t="s">
        <v>658</v>
      </c>
      <c r="AY105" s="52"/>
      <c r="AZ105" s="64" t="s">
        <v>658</v>
      </c>
      <c r="BA105" s="52"/>
      <c r="BB105" s="64" t="s">
        <v>658</v>
      </c>
      <c r="BC105" s="52"/>
      <c r="BD105" s="64" t="s">
        <v>658</v>
      </c>
      <c r="BE105" s="52"/>
      <c r="BF105" s="64" t="s">
        <v>658</v>
      </c>
      <c r="BG105" s="52"/>
      <c r="BH105" s="64" t="s">
        <v>658</v>
      </c>
      <c r="BI105" s="52"/>
      <c r="BJ105" s="64" t="s">
        <v>658</v>
      </c>
      <c r="BK105" s="52">
        <v>0</v>
      </c>
      <c r="BL105" s="64" t="s">
        <v>1052</v>
      </c>
      <c r="BM105" s="52">
        <v>0</v>
      </c>
      <c r="BN105" s="64" t="s">
        <v>1052</v>
      </c>
      <c r="BO105" s="52">
        <v>0</v>
      </c>
      <c r="BP105" s="64" t="s">
        <v>1052</v>
      </c>
      <c r="BQ105" s="52">
        <v>0</v>
      </c>
      <c r="BR105" s="64" t="s">
        <v>1052</v>
      </c>
      <c r="BS105" s="52">
        <v>0</v>
      </c>
      <c r="BT105" s="64" t="s">
        <v>1052</v>
      </c>
      <c r="BU105" s="52">
        <v>0</v>
      </c>
      <c r="BV105" s="64" t="s">
        <v>1052</v>
      </c>
      <c r="BW105" s="52">
        <v>0</v>
      </c>
      <c r="BX105" s="64" t="s">
        <v>1052</v>
      </c>
      <c r="BY105" s="52">
        <v>0</v>
      </c>
      <c r="BZ105" s="64" t="s">
        <v>1052</v>
      </c>
      <c r="CA105" s="52">
        <v>0</v>
      </c>
      <c r="CB105" s="64" t="s">
        <v>1052</v>
      </c>
      <c r="CC105" s="52">
        <v>0</v>
      </c>
      <c r="CD105" s="64" t="s">
        <v>1052</v>
      </c>
      <c r="CE105" s="52">
        <v>0</v>
      </c>
      <c r="CF105" s="64" t="s">
        <v>1052</v>
      </c>
      <c r="CG105" s="52">
        <v>0</v>
      </c>
      <c r="CH105" s="64" t="s">
        <v>1052</v>
      </c>
      <c r="CI105" s="52">
        <v>0</v>
      </c>
      <c r="CJ105" s="64" t="s">
        <v>1052</v>
      </c>
      <c r="CK105" s="52">
        <v>0</v>
      </c>
      <c r="CL105" s="64" t="s">
        <v>1052</v>
      </c>
      <c r="CM105" s="52">
        <v>0</v>
      </c>
      <c r="CN105" s="64" t="s">
        <v>1052</v>
      </c>
      <c r="CO105" s="52">
        <v>0</v>
      </c>
      <c r="CP105" s="64" t="s">
        <v>1052</v>
      </c>
      <c r="CQ105" s="52">
        <v>0</v>
      </c>
      <c r="CR105" s="64" t="s">
        <v>1052</v>
      </c>
      <c r="CS105" s="52">
        <v>0</v>
      </c>
      <c r="CT105" s="64" t="s">
        <v>1052</v>
      </c>
      <c r="CU105" s="52">
        <v>0</v>
      </c>
      <c r="CV105" s="64" t="s">
        <v>1052</v>
      </c>
      <c r="CW105" s="52">
        <v>0</v>
      </c>
      <c r="CX105" s="64" t="s">
        <v>1052</v>
      </c>
      <c r="CY105" s="52">
        <v>0</v>
      </c>
      <c r="CZ105" s="64" t="s">
        <v>1052</v>
      </c>
    </row>
    <row r="106" spans="1:104" ht="11.1" customHeight="1" x14ac:dyDescent="0.25">
      <c r="A106" s="61"/>
      <c r="B106" s="60"/>
      <c r="C106" s="60"/>
      <c r="D106" s="60"/>
      <c r="E106" s="60"/>
      <c r="F106" s="60"/>
      <c r="G106" s="62"/>
      <c r="H106" s="63"/>
      <c r="I106" s="62"/>
      <c r="J106" s="63"/>
      <c r="K106" s="62"/>
      <c r="L106" s="63"/>
      <c r="M106" s="62"/>
      <c r="N106" s="63"/>
      <c r="O106" s="62"/>
      <c r="P106" s="63"/>
      <c r="Q106" s="62"/>
      <c r="R106" s="63"/>
      <c r="S106" s="62"/>
      <c r="T106" s="63"/>
      <c r="U106" s="62"/>
      <c r="V106" s="63"/>
      <c r="W106" s="62"/>
      <c r="X106" s="63"/>
      <c r="Y106" s="62"/>
      <c r="Z106" s="63"/>
      <c r="AA106" s="62"/>
      <c r="AB106" s="63"/>
      <c r="AC106" s="62"/>
      <c r="AD106" s="63"/>
      <c r="AE106" s="62"/>
      <c r="AF106" s="63"/>
      <c r="AG106" s="62"/>
      <c r="AH106" s="63"/>
      <c r="AI106" s="62"/>
      <c r="AJ106" s="63"/>
      <c r="AK106" s="62"/>
      <c r="AL106" s="63"/>
      <c r="AM106" s="62"/>
      <c r="AN106" s="63"/>
      <c r="AO106" s="62"/>
      <c r="AP106" s="63"/>
      <c r="AQ106" s="62"/>
      <c r="AR106" s="63"/>
      <c r="AS106" s="62"/>
      <c r="AT106" s="63"/>
      <c r="AU106" s="62"/>
      <c r="AV106" s="63"/>
      <c r="AW106" s="62"/>
      <c r="AX106" s="63"/>
      <c r="AY106" s="62"/>
      <c r="AZ106" s="63"/>
      <c r="BA106" s="62"/>
      <c r="BB106" s="63"/>
      <c r="BC106" s="62"/>
      <c r="BD106" s="63"/>
      <c r="BE106" s="62"/>
      <c r="BF106" s="63"/>
      <c r="BG106" s="62"/>
      <c r="BH106" s="63"/>
      <c r="BI106" s="62"/>
      <c r="BJ106" s="63"/>
      <c r="BK106" s="62"/>
      <c r="BL106" s="63"/>
      <c r="BM106" s="62"/>
      <c r="BN106" s="63"/>
      <c r="BO106" s="62"/>
      <c r="BP106" s="63"/>
      <c r="BQ106" s="62"/>
      <c r="BR106" s="63"/>
      <c r="BS106" s="62"/>
      <c r="BT106" s="63"/>
      <c r="BU106" s="62"/>
      <c r="BV106" s="63"/>
      <c r="BW106" s="62"/>
      <c r="BX106" s="63"/>
      <c r="BY106" s="62"/>
      <c r="BZ106" s="63"/>
      <c r="CA106" s="62"/>
      <c r="CB106" s="63"/>
      <c r="CC106" s="62"/>
      <c r="CD106" s="63"/>
      <c r="CE106" s="62"/>
      <c r="CF106" s="63"/>
      <c r="CG106" s="62"/>
      <c r="CH106" s="63"/>
      <c r="CI106" s="62"/>
      <c r="CJ106" s="63"/>
      <c r="CK106" s="62"/>
      <c r="CL106" s="63"/>
      <c r="CM106" s="62"/>
      <c r="CN106" s="63"/>
      <c r="CO106" s="62"/>
      <c r="CP106" s="63"/>
      <c r="CQ106" s="62"/>
      <c r="CR106" s="63"/>
      <c r="CS106" s="62"/>
      <c r="CT106" s="63"/>
      <c r="CU106" s="62"/>
      <c r="CV106" s="63"/>
      <c r="CW106" s="62"/>
      <c r="CX106" s="63"/>
      <c r="CY106" s="62"/>
      <c r="CZ106" s="63"/>
    </row>
    <row r="107" spans="1:104" s="182" customFormat="1" x14ac:dyDescent="0.25">
      <c r="A107" s="178" t="str">
        <f>D107&amp;C107</f>
        <v>fssul_0</v>
      </c>
      <c r="B107" s="179" t="str">
        <f>UPPER(D107)&amp;" IOs"</f>
        <v>FSSUL IOs</v>
      </c>
      <c r="C107" s="179" t="s">
        <v>18</v>
      </c>
      <c r="D107" s="179" t="s">
        <v>689</v>
      </c>
      <c r="E107" s="179" t="str">
        <f>VLOOKUP($D107&amp;"_"&amp;E$3,MDB,6,0)</f>
        <v>7 LVCMOS IO</v>
      </c>
      <c r="F107" s="179" t="str">
        <f>VLOOKUP($D107&amp;"_"&amp;F$3,MDB,6,0)</f>
        <v>OSPI/QSPI</v>
      </c>
      <c r="G107" s="180">
        <v>1</v>
      </c>
      <c r="H107" s="181" t="s">
        <v>685</v>
      </c>
      <c r="I107" s="180"/>
      <c r="J107" s="181" t="s">
        <v>69</v>
      </c>
      <c r="K107" s="180"/>
      <c r="L107" s="181" t="s">
        <v>69</v>
      </c>
      <c r="M107" s="180"/>
      <c r="N107" s="181" t="s">
        <v>69</v>
      </c>
      <c r="O107" s="180"/>
      <c r="P107" s="181" t="s">
        <v>69</v>
      </c>
      <c r="Q107" s="180"/>
      <c r="R107" s="181" t="s">
        <v>69</v>
      </c>
      <c r="S107" s="180"/>
      <c r="T107" s="181" t="s">
        <v>69</v>
      </c>
      <c r="U107" s="180"/>
      <c r="V107" s="181" t="s">
        <v>69</v>
      </c>
      <c r="W107" s="180"/>
      <c r="X107" s="181" t="s">
        <v>69</v>
      </c>
      <c r="Y107" s="180"/>
      <c r="Z107" s="181" t="s">
        <v>69</v>
      </c>
      <c r="AA107" s="180"/>
      <c r="AB107" s="181" t="s">
        <v>69</v>
      </c>
      <c r="AC107" s="180"/>
      <c r="AD107" s="181" t="s">
        <v>69</v>
      </c>
      <c r="AE107" s="180"/>
      <c r="AF107" s="181" t="s">
        <v>69</v>
      </c>
      <c r="AG107" s="180"/>
      <c r="AH107" s="181" t="s">
        <v>69</v>
      </c>
      <c r="AI107" s="180"/>
      <c r="AJ107" s="181" t="s">
        <v>69</v>
      </c>
      <c r="AK107" s="180"/>
      <c r="AL107" s="181" t="s">
        <v>69</v>
      </c>
      <c r="AM107" s="180"/>
      <c r="AN107" s="181" t="s">
        <v>69</v>
      </c>
      <c r="AO107" s="180"/>
      <c r="AP107" s="181" t="s">
        <v>69</v>
      </c>
      <c r="AQ107" s="180"/>
      <c r="AR107" s="181" t="s">
        <v>69</v>
      </c>
      <c r="AS107" s="180"/>
      <c r="AT107" s="181" t="s">
        <v>69</v>
      </c>
      <c r="AU107" s="180"/>
      <c r="AV107" s="181" t="s">
        <v>69</v>
      </c>
      <c r="AW107" s="180"/>
      <c r="AX107" s="181" t="s">
        <v>69</v>
      </c>
      <c r="AY107" s="180"/>
      <c r="AZ107" s="181" t="s">
        <v>69</v>
      </c>
      <c r="BA107" s="180"/>
      <c r="BB107" s="181" t="s">
        <v>69</v>
      </c>
      <c r="BC107" s="180"/>
      <c r="BD107" s="181" t="s">
        <v>69</v>
      </c>
      <c r="BE107" s="180"/>
      <c r="BF107" s="181" t="s">
        <v>69</v>
      </c>
      <c r="BG107" s="180"/>
      <c r="BH107" s="181" t="s">
        <v>69</v>
      </c>
      <c r="BI107" s="180"/>
      <c r="BJ107" s="181" t="s">
        <v>69</v>
      </c>
      <c r="BK107" s="180">
        <f>OSPI_Util</f>
        <v>1</v>
      </c>
      <c r="BL107" s="181" t="str">
        <f>fssul_modes</f>
        <v>qspi_ddr_master_160_3p3v</v>
      </c>
      <c r="BM107" s="180">
        <v>0</v>
      </c>
      <c r="BN107" s="181" t="s">
        <v>1052</v>
      </c>
      <c r="BO107" s="180">
        <v>0</v>
      </c>
      <c r="BP107" s="181" t="s">
        <v>1052</v>
      </c>
      <c r="BQ107" s="180">
        <v>0</v>
      </c>
      <c r="BR107" s="181" t="s">
        <v>1052</v>
      </c>
      <c r="BS107" s="180">
        <v>0</v>
      </c>
      <c r="BT107" s="181" t="s">
        <v>1052</v>
      </c>
      <c r="BU107" s="180">
        <v>0</v>
      </c>
      <c r="BV107" s="181" t="s">
        <v>1052</v>
      </c>
      <c r="BW107" s="180">
        <v>0</v>
      </c>
      <c r="BX107" s="181" t="s">
        <v>1052</v>
      </c>
      <c r="BY107" s="180">
        <v>0</v>
      </c>
      <c r="BZ107" s="181" t="s">
        <v>1052</v>
      </c>
      <c r="CA107" s="180">
        <v>0</v>
      </c>
      <c r="CB107" s="181" t="s">
        <v>1052</v>
      </c>
      <c r="CC107" s="180">
        <v>0</v>
      </c>
      <c r="CD107" s="181" t="s">
        <v>1052</v>
      </c>
      <c r="CE107" s="180">
        <v>0</v>
      </c>
      <c r="CF107" s="181" t="s">
        <v>1052</v>
      </c>
      <c r="CG107" s="180">
        <v>0</v>
      </c>
      <c r="CH107" s="181" t="s">
        <v>1052</v>
      </c>
      <c r="CI107" s="180">
        <v>0</v>
      </c>
      <c r="CJ107" s="181" t="s">
        <v>1052</v>
      </c>
      <c r="CK107" s="180">
        <v>0</v>
      </c>
      <c r="CL107" s="181" t="s">
        <v>1052</v>
      </c>
      <c r="CM107" s="180">
        <v>0</v>
      </c>
      <c r="CN107" s="181" t="s">
        <v>1052</v>
      </c>
      <c r="CO107" s="180">
        <v>0</v>
      </c>
      <c r="CP107" s="181" t="s">
        <v>1052</v>
      </c>
      <c r="CQ107" s="180">
        <v>0</v>
      </c>
      <c r="CR107" s="181" t="s">
        <v>1052</v>
      </c>
      <c r="CS107" s="180">
        <v>0</v>
      </c>
      <c r="CT107" s="181" t="s">
        <v>1052</v>
      </c>
      <c r="CU107" s="180">
        <v>0</v>
      </c>
      <c r="CV107" s="181" t="s">
        <v>1052</v>
      </c>
      <c r="CW107" s="180">
        <v>0</v>
      </c>
      <c r="CX107" s="181" t="s">
        <v>1052</v>
      </c>
      <c r="CY107" s="180">
        <v>0</v>
      </c>
      <c r="CZ107" s="181" t="s">
        <v>1052</v>
      </c>
    </row>
    <row r="108" spans="1:104" ht="11.1" customHeight="1" x14ac:dyDescent="0.25">
      <c r="A108" s="61"/>
      <c r="B108" s="60"/>
      <c r="C108" s="60"/>
      <c r="D108" s="60"/>
      <c r="E108" s="60"/>
      <c r="F108" s="60"/>
      <c r="G108" s="62"/>
      <c r="H108" s="63"/>
      <c r="I108" s="62"/>
      <c r="J108" s="63"/>
      <c r="K108" s="62"/>
      <c r="L108" s="63"/>
      <c r="M108" s="62"/>
      <c r="N108" s="63"/>
      <c r="O108" s="62"/>
      <c r="P108" s="63"/>
      <c r="Q108" s="62"/>
      <c r="R108" s="63"/>
      <c r="S108" s="62"/>
      <c r="T108" s="63"/>
      <c r="U108" s="62"/>
      <c r="V108" s="63"/>
      <c r="W108" s="62"/>
      <c r="X108" s="63"/>
      <c r="Y108" s="62"/>
      <c r="Z108" s="63"/>
      <c r="AA108" s="62"/>
      <c r="AB108" s="63"/>
      <c r="AC108" s="62"/>
      <c r="AD108" s="63"/>
      <c r="AE108" s="62"/>
      <c r="AF108" s="63"/>
      <c r="AG108" s="62"/>
      <c r="AH108" s="63"/>
      <c r="AI108" s="62"/>
      <c r="AJ108" s="63"/>
      <c r="AK108" s="62"/>
      <c r="AL108" s="63"/>
      <c r="AM108" s="62"/>
      <c r="AN108" s="63"/>
      <c r="AO108" s="62"/>
      <c r="AP108" s="63"/>
      <c r="AQ108" s="62"/>
      <c r="AR108" s="63"/>
      <c r="AS108" s="62"/>
      <c r="AT108" s="63"/>
      <c r="AU108" s="62"/>
      <c r="AV108" s="63"/>
      <c r="AW108" s="62"/>
      <c r="AX108" s="63"/>
      <c r="AY108" s="62"/>
      <c r="AZ108" s="63"/>
      <c r="BA108" s="62"/>
      <c r="BB108" s="63"/>
      <c r="BC108" s="62"/>
      <c r="BD108" s="63"/>
      <c r="BE108" s="62"/>
      <c r="BF108" s="63"/>
      <c r="BG108" s="62"/>
      <c r="BH108" s="63"/>
      <c r="BI108" s="62"/>
      <c r="BJ108" s="63"/>
      <c r="BK108" s="62"/>
      <c r="BL108" s="63"/>
      <c r="BM108" s="62"/>
      <c r="BN108" s="63"/>
      <c r="BO108" s="62"/>
      <c r="BP108" s="63"/>
      <c r="BQ108" s="62"/>
      <c r="BR108" s="63"/>
      <c r="BS108" s="62"/>
      <c r="BT108" s="63"/>
      <c r="BU108" s="62"/>
      <c r="BV108" s="63"/>
      <c r="BW108" s="62"/>
      <c r="BX108" s="63"/>
      <c r="BY108" s="62"/>
      <c r="BZ108" s="63"/>
      <c r="CA108" s="62"/>
      <c r="CB108" s="63"/>
      <c r="CC108" s="62"/>
      <c r="CD108" s="63"/>
      <c r="CE108" s="62"/>
      <c r="CF108" s="63"/>
      <c r="CG108" s="62"/>
      <c r="CH108" s="63"/>
      <c r="CI108" s="62"/>
      <c r="CJ108" s="63"/>
      <c r="CK108" s="62"/>
      <c r="CL108" s="63"/>
      <c r="CM108" s="62"/>
      <c r="CN108" s="63"/>
      <c r="CO108" s="62"/>
      <c r="CP108" s="63"/>
      <c r="CQ108" s="62"/>
      <c r="CR108" s="63"/>
      <c r="CS108" s="62"/>
      <c r="CT108" s="63"/>
      <c r="CU108" s="62"/>
      <c r="CV108" s="63"/>
      <c r="CW108" s="62"/>
      <c r="CX108" s="63"/>
      <c r="CY108" s="62"/>
      <c r="CZ108" s="63"/>
    </row>
    <row r="109" spans="1:104" x14ac:dyDescent="0.25">
      <c r="A109" s="51" t="str">
        <f>D109&amp;C109</f>
        <v>mcasp_0</v>
      </c>
      <c r="B109" s="2" t="str">
        <f>UPPER(D109)&amp;" IOs"</f>
        <v>MCASP IOs</v>
      </c>
      <c r="C109" s="2" t="s">
        <v>18</v>
      </c>
      <c r="D109" s="2" t="s">
        <v>874</v>
      </c>
      <c r="E109" s="2" t="str">
        <f t="shared" ref="E109:F111" si="10">VLOOKUP($D109&amp;"_"&amp;E$3,MDB,6,0)</f>
        <v>7 LVCMOS IO</v>
      </c>
      <c r="F109" s="2" t="str">
        <f t="shared" si="10"/>
        <v>McASP</v>
      </c>
      <c r="G109" s="52">
        <v>1</v>
      </c>
      <c r="H109" s="64" t="s">
        <v>869</v>
      </c>
      <c r="I109" s="52"/>
      <c r="J109" s="64" t="s">
        <v>1052</v>
      </c>
      <c r="K109" s="52"/>
      <c r="L109" s="64" t="s">
        <v>1052</v>
      </c>
      <c r="M109" s="52"/>
      <c r="N109" s="64" t="s">
        <v>1052</v>
      </c>
      <c r="O109" s="52"/>
      <c r="P109" s="64" t="s">
        <v>1052</v>
      </c>
      <c r="Q109" s="52"/>
      <c r="R109" s="64" t="s">
        <v>1052</v>
      </c>
      <c r="S109" s="52"/>
      <c r="T109" s="64" t="s">
        <v>1052</v>
      </c>
      <c r="U109" s="52"/>
      <c r="V109" s="64" t="s">
        <v>1052</v>
      </c>
      <c r="W109" s="52"/>
      <c r="X109" s="64" t="s">
        <v>1052</v>
      </c>
      <c r="Y109" s="52"/>
      <c r="Z109" s="64" t="s">
        <v>1052</v>
      </c>
      <c r="AA109" s="52"/>
      <c r="AB109" s="64" t="s">
        <v>1052</v>
      </c>
      <c r="AC109" s="52"/>
      <c r="AD109" s="64" t="s">
        <v>1052</v>
      </c>
      <c r="AE109" s="52"/>
      <c r="AF109" s="64" t="s">
        <v>1052</v>
      </c>
      <c r="AG109" s="52"/>
      <c r="AH109" s="64" t="s">
        <v>1052</v>
      </c>
      <c r="AI109" s="52"/>
      <c r="AJ109" s="64" t="s">
        <v>1052</v>
      </c>
      <c r="AK109" s="52"/>
      <c r="AL109" s="64" t="s">
        <v>1052</v>
      </c>
      <c r="AM109" s="52"/>
      <c r="AN109" s="64" t="s">
        <v>1052</v>
      </c>
      <c r="AO109" s="52"/>
      <c r="AP109" s="64" t="s">
        <v>1052</v>
      </c>
      <c r="AQ109" s="52"/>
      <c r="AR109" s="64" t="s">
        <v>1052</v>
      </c>
      <c r="AS109" s="52"/>
      <c r="AT109" s="64" t="s">
        <v>1052</v>
      </c>
      <c r="AU109" s="52"/>
      <c r="AV109" s="64" t="s">
        <v>1052</v>
      </c>
      <c r="AW109" s="52"/>
      <c r="AX109" s="64" t="s">
        <v>1052</v>
      </c>
      <c r="AY109" s="52"/>
      <c r="AZ109" s="64" t="s">
        <v>1052</v>
      </c>
      <c r="BA109" s="52"/>
      <c r="BB109" s="64" t="s">
        <v>1052</v>
      </c>
      <c r="BC109" s="52"/>
      <c r="BD109" s="64" t="s">
        <v>1052</v>
      </c>
      <c r="BE109" s="52"/>
      <c r="BF109" s="64" t="s">
        <v>1052</v>
      </c>
      <c r="BG109" s="52"/>
      <c r="BH109" s="64" t="s">
        <v>1052</v>
      </c>
      <c r="BI109" s="52"/>
      <c r="BJ109" s="64" t="s">
        <v>1052</v>
      </c>
      <c r="BK109" s="52">
        <f>McASP0_Util</f>
        <v>1</v>
      </c>
      <c r="BL109" s="64" t="str">
        <f>mcasp0_modes</f>
        <v>8Ch_RX_48_ksps_24b_3p3v</v>
      </c>
      <c r="BM109" s="52">
        <v>0</v>
      </c>
      <c r="BN109" s="64" t="s">
        <v>1052</v>
      </c>
      <c r="BO109" s="52">
        <v>0</v>
      </c>
      <c r="BP109" s="64" t="s">
        <v>1052</v>
      </c>
      <c r="BQ109" s="52">
        <v>0</v>
      </c>
      <c r="BR109" s="64" t="s">
        <v>1052</v>
      </c>
      <c r="BS109" s="52">
        <v>0</v>
      </c>
      <c r="BT109" s="64" t="s">
        <v>1052</v>
      </c>
      <c r="BU109" s="52">
        <v>0</v>
      </c>
      <c r="BV109" s="64" t="s">
        <v>1052</v>
      </c>
      <c r="BW109" s="52">
        <v>0</v>
      </c>
      <c r="BX109" s="64" t="s">
        <v>1052</v>
      </c>
      <c r="BY109" s="52">
        <v>0</v>
      </c>
      <c r="BZ109" s="64" t="s">
        <v>1052</v>
      </c>
      <c r="CA109" s="52">
        <v>0</v>
      </c>
      <c r="CB109" s="64" t="s">
        <v>1052</v>
      </c>
      <c r="CC109" s="52">
        <v>0</v>
      </c>
      <c r="CD109" s="64" t="s">
        <v>1052</v>
      </c>
      <c r="CE109" s="52">
        <v>0</v>
      </c>
      <c r="CF109" s="64" t="s">
        <v>1052</v>
      </c>
      <c r="CG109" s="52">
        <v>0</v>
      </c>
      <c r="CH109" s="64" t="s">
        <v>1052</v>
      </c>
      <c r="CI109" s="52">
        <v>0</v>
      </c>
      <c r="CJ109" s="64" t="s">
        <v>1052</v>
      </c>
      <c r="CK109" s="52">
        <v>0</v>
      </c>
      <c r="CL109" s="64" t="s">
        <v>1052</v>
      </c>
      <c r="CM109" s="52">
        <v>0</v>
      </c>
      <c r="CN109" s="64" t="s">
        <v>1052</v>
      </c>
      <c r="CO109" s="52">
        <v>0</v>
      </c>
      <c r="CP109" s="64" t="s">
        <v>1052</v>
      </c>
      <c r="CQ109" s="52">
        <v>0</v>
      </c>
      <c r="CR109" s="64" t="s">
        <v>1052</v>
      </c>
      <c r="CS109" s="52">
        <v>0</v>
      </c>
      <c r="CT109" s="64" t="s">
        <v>1052</v>
      </c>
      <c r="CU109" s="52">
        <v>0</v>
      </c>
      <c r="CV109" s="64" t="s">
        <v>1052</v>
      </c>
      <c r="CW109" s="52">
        <v>0</v>
      </c>
      <c r="CX109" s="64" t="s">
        <v>1052</v>
      </c>
      <c r="CY109" s="52">
        <v>0</v>
      </c>
      <c r="CZ109" s="64" t="s">
        <v>1052</v>
      </c>
    </row>
    <row r="110" spans="1:104" x14ac:dyDescent="0.25">
      <c r="A110" s="51" t="str">
        <f>D110&amp;C110</f>
        <v>mcasp_1</v>
      </c>
      <c r="B110" s="2" t="str">
        <f>UPPER(D110)&amp;" IOs"</f>
        <v>MCASP IOs</v>
      </c>
      <c r="C110" s="2" t="s">
        <v>19</v>
      </c>
      <c r="D110" s="2" t="s">
        <v>874</v>
      </c>
      <c r="E110" s="2" t="str">
        <f t="shared" si="10"/>
        <v>7 LVCMOS IO</v>
      </c>
      <c r="F110" s="2" t="str">
        <f t="shared" si="10"/>
        <v>McASP</v>
      </c>
      <c r="G110" s="52">
        <v>1</v>
      </c>
      <c r="H110" s="64" t="s">
        <v>869</v>
      </c>
      <c r="I110" s="52"/>
      <c r="J110" s="64" t="s">
        <v>1052</v>
      </c>
      <c r="K110" s="52"/>
      <c r="L110" s="64" t="s">
        <v>1052</v>
      </c>
      <c r="M110" s="52"/>
      <c r="N110" s="64" t="s">
        <v>1052</v>
      </c>
      <c r="O110" s="52"/>
      <c r="P110" s="64" t="s">
        <v>1052</v>
      </c>
      <c r="Q110" s="52"/>
      <c r="R110" s="64" t="s">
        <v>1052</v>
      </c>
      <c r="S110" s="52"/>
      <c r="T110" s="64" t="s">
        <v>1052</v>
      </c>
      <c r="U110" s="52"/>
      <c r="V110" s="64" t="s">
        <v>1052</v>
      </c>
      <c r="W110" s="52"/>
      <c r="X110" s="64" t="s">
        <v>1052</v>
      </c>
      <c r="Y110" s="52"/>
      <c r="Z110" s="64" t="s">
        <v>1052</v>
      </c>
      <c r="AA110" s="52"/>
      <c r="AB110" s="64" t="s">
        <v>1052</v>
      </c>
      <c r="AC110" s="52"/>
      <c r="AD110" s="64" t="s">
        <v>1052</v>
      </c>
      <c r="AE110" s="52"/>
      <c r="AF110" s="64" t="s">
        <v>1052</v>
      </c>
      <c r="AG110" s="52"/>
      <c r="AH110" s="64" t="s">
        <v>1052</v>
      </c>
      <c r="AI110" s="52"/>
      <c r="AJ110" s="64" t="s">
        <v>1052</v>
      </c>
      <c r="AK110" s="52"/>
      <c r="AL110" s="64" t="s">
        <v>1052</v>
      </c>
      <c r="AM110" s="52"/>
      <c r="AN110" s="64" t="s">
        <v>1052</v>
      </c>
      <c r="AO110" s="52"/>
      <c r="AP110" s="64" t="s">
        <v>1052</v>
      </c>
      <c r="AQ110" s="52"/>
      <c r="AR110" s="64" t="s">
        <v>1052</v>
      </c>
      <c r="AS110" s="52"/>
      <c r="AT110" s="64" t="s">
        <v>1052</v>
      </c>
      <c r="AU110" s="52"/>
      <c r="AV110" s="64" t="s">
        <v>1052</v>
      </c>
      <c r="AW110" s="52"/>
      <c r="AX110" s="64" t="s">
        <v>1052</v>
      </c>
      <c r="AY110" s="52"/>
      <c r="AZ110" s="64" t="s">
        <v>1052</v>
      </c>
      <c r="BA110" s="52"/>
      <c r="BB110" s="64" t="s">
        <v>1052</v>
      </c>
      <c r="BC110" s="52"/>
      <c r="BD110" s="64" t="s">
        <v>1052</v>
      </c>
      <c r="BE110" s="52"/>
      <c r="BF110" s="64" t="s">
        <v>1052</v>
      </c>
      <c r="BG110" s="52"/>
      <c r="BH110" s="64" t="s">
        <v>1052</v>
      </c>
      <c r="BI110" s="52"/>
      <c r="BJ110" s="64" t="s">
        <v>1052</v>
      </c>
      <c r="BK110" s="52">
        <f>McASP1_Util</f>
        <v>1</v>
      </c>
      <c r="BL110" s="64" t="str">
        <f>mcasp1_modes</f>
        <v>8Ch_RX_48_ksps_24b_3p3v</v>
      </c>
      <c r="BM110" s="52">
        <v>0</v>
      </c>
      <c r="BN110" s="64" t="s">
        <v>1052</v>
      </c>
      <c r="BO110" s="52">
        <v>0</v>
      </c>
      <c r="BP110" s="64" t="s">
        <v>1052</v>
      </c>
      <c r="BQ110" s="52">
        <v>0</v>
      </c>
      <c r="BR110" s="64" t="s">
        <v>1052</v>
      </c>
      <c r="BS110" s="52">
        <v>0</v>
      </c>
      <c r="BT110" s="64" t="s">
        <v>1052</v>
      </c>
      <c r="BU110" s="52">
        <v>0</v>
      </c>
      <c r="BV110" s="64" t="s">
        <v>1052</v>
      </c>
      <c r="BW110" s="52">
        <v>0</v>
      </c>
      <c r="BX110" s="64" t="s">
        <v>1052</v>
      </c>
      <c r="BY110" s="52">
        <v>0</v>
      </c>
      <c r="BZ110" s="64" t="s">
        <v>1052</v>
      </c>
      <c r="CA110" s="52">
        <v>0</v>
      </c>
      <c r="CB110" s="64" t="s">
        <v>1052</v>
      </c>
      <c r="CC110" s="52">
        <v>0</v>
      </c>
      <c r="CD110" s="64" t="s">
        <v>1052</v>
      </c>
      <c r="CE110" s="52">
        <v>0</v>
      </c>
      <c r="CF110" s="64" t="s">
        <v>1052</v>
      </c>
      <c r="CG110" s="52">
        <v>0</v>
      </c>
      <c r="CH110" s="64" t="s">
        <v>1052</v>
      </c>
      <c r="CI110" s="52">
        <v>0</v>
      </c>
      <c r="CJ110" s="64" t="s">
        <v>1052</v>
      </c>
      <c r="CK110" s="52">
        <v>0</v>
      </c>
      <c r="CL110" s="64" t="s">
        <v>1052</v>
      </c>
      <c r="CM110" s="52">
        <v>0</v>
      </c>
      <c r="CN110" s="64" t="s">
        <v>1052</v>
      </c>
      <c r="CO110" s="52">
        <v>0</v>
      </c>
      <c r="CP110" s="64" t="s">
        <v>1052</v>
      </c>
      <c r="CQ110" s="52">
        <v>0</v>
      </c>
      <c r="CR110" s="64" t="s">
        <v>1052</v>
      </c>
      <c r="CS110" s="52">
        <v>0</v>
      </c>
      <c r="CT110" s="64" t="s">
        <v>1052</v>
      </c>
      <c r="CU110" s="52">
        <v>0</v>
      </c>
      <c r="CV110" s="64" t="s">
        <v>1052</v>
      </c>
      <c r="CW110" s="52">
        <v>0</v>
      </c>
      <c r="CX110" s="64" t="s">
        <v>1052</v>
      </c>
      <c r="CY110" s="52">
        <v>0</v>
      </c>
      <c r="CZ110" s="64" t="s">
        <v>1052</v>
      </c>
    </row>
    <row r="111" spans="1:104" x14ac:dyDescent="0.25">
      <c r="A111" s="51" t="str">
        <f>D111&amp;C111</f>
        <v>mcasp_2</v>
      </c>
      <c r="B111" s="2" t="str">
        <f>UPPER(D111)&amp;" IOs"</f>
        <v>MCASP IOs</v>
      </c>
      <c r="C111" s="2" t="s">
        <v>20</v>
      </c>
      <c r="D111" s="2" t="s">
        <v>874</v>
      </c>
      <c r="E111" s="2" t="str">
        <f t="shared" si="10"/>
        <v>7 LVCMOS IO</v>
      </c>
      <c r="F111" s="2" t="str">
        <f t="shared" si="10"/>
        <v>McASP</v>
      </c>
      <c r="G111" s="52">
        <v>1</v>
      </c>
      <c r="H111" s="64" t="s">
        <v>869</v>
      </c>
      <c r="I111" s="52"/>
      <c r="J111" s="64" t="s">
        <v>1052</v>
      </c>
      <c r="K111" s="52"/>
      <c r="L111" s="64" t="s">
        <v>1052</v>
      </c>
      <c r="M111" s="52"/>
      <c r="N111" s="64" t="s">
        <v>1052</v>
      </c>
      <c r="O111" s="52"/>
      <c r="P111" s="64" t="s">
        <v>1052</v>
      </c>
      <c r="Q111" s="52"/>
      <c r="R111" s="64" t="s">
        <v>1052</v>
      </c>
      <c r="S111" s="52"/>
      <c r="T111" s="64" t="s">
        <v>1052</v>
      </c>
      <c r="U111" s="52"/>
      <c r="V111" s="64" t="s">
        <v>1052</v>
      </c>
      <c r="W111" s="52"/>
      <c r="X111" s="64" t="s">
        <v>1052</v>
      </c>
      <c r="Y111" s="52"/>
      <c r="Z111" s="64" t="s">
        <v>1052</v>
      </c>
      <c r="AA111" s="52"/>
      <c r="AB111" s="64" t="s">
        <v>1052</v>
      </c>
      <c r="AC111" s="52"/>
      <c r="AD111" s="64" t="s">
        <v>1052</v>
      </c>
      <c r="AE111" s="52"/>
      <c r="AF111" s="64" t="s">
        <v>1052</v>
      </c>
      <c r="AG111" s="52"/>
      <c r="AH111" s="64" t="s">
        <v>1052</v>
      </c>
      <c r="AI111" s="52"/>
      <c r="AJ111" s="64" t="s">
        <v>1052</v>
      </c>
      <c r="AK111" s="52"/>
      <c r="AL111" s="64" t="s">
        <v>1052</v>
      </c>
      <c r="AM111" s="52"/>
      <c r="AN111" s="64" t="s">
        <v>1052</v>
      </c>
      <c r="AO111" s="52"/>
      <c r="AP111" s="64" t="s">
        <v>1052</v>
      </c>
      <c r="AQ111" s="52"/>
      <c r="AR111" s="64" t="s">
        <v>1052</v>
      </c>
      <c r="AS111" s="52"/>
      <c r="AT111" s="64" t="s">
        <v>1052</v>
      </c>
      <c r="AU111" s="52"/>
      <c r="AV111" s="64" t="s">
        <v>1052</v>
      </c>
      <c r="AW111" s="52"/>
      <c r="AX111" s="64" t="s">
        <v>1052</v>
      </c>
      <c r="AY111" s="52"/>
      <c r="AZ111" s="64" t="s">
        <v>1052</v>
      </c>
      <c r="BA111" s="52"/>
      <c r="BB111" s="64" t="s">
        <v>1052</v>
      </c>
      <c r="BC111" s="52"/>
      <c r="BD111" s="64" t="s">
        <v>1052</v>
      </c>
      <c r="BE111" s="52"/>
      <c r="BF111" s="64" t="s">
        <v>1052</v>
      </c>
      <c r="BG111" s="52"/>
      <c r="BH111" s="64" t="s">
        <v>1052</v>
      </c>
      <c r="BI111" s="52"/>
      <c r="BJ111" s="64" t="s">
        <v>1052</v>
      </c>
      <c r="BK111" s="52">
        <v>0</v>
      </c>
      <c r="BL111" s="64" t="s">
        <v>1052</v>
      </c>
      <c r="BM111" s="52">
        <v>0</v>
      </c>
      <c r="BN111" s="64" t="s">
        <v>1052</v>
      </c>
      <c r="BO111" s="52">
        <v>0</v>
      </c>
      <c r="BP111" s="64" t="s">
        <v>1052</v>
      </c>
      <c r="BQ111" s="52">
        <v>0</v>
      </c>
      <c r="BR111" s="64" t="s">
        <v>1052</v>
      </c>
      <c r="BS111" s="52">
        <v>0</v>
      </c>
      <c r="BT111" s="64" t="s">
        <v>1052</v>
      </c>
      <c r="BU111" s="52">
        <v>0</v>
      </c>
      <c r="BV111" s="64" t="s">
        <v>1052</v>
      </c>
      <c r="BW111" s="52">
        <v>0</v>
      </c>
      <c r="BX111" s="64" t="s">
        <v>1052</v>
      </c>
      <c r="BY111" s="52">
        <v>0</v>
      </c>
      <c r="BZ111" s="64" t="s">
        <v>1052</v>
      </c>
      <c r="CA111" s="52">
        <v>0</v>
      </c>
      <c r="CB111" s="64" t="s">
        <v>1052</v>
      </c>
      <c r="CC111" s="52">
        <v>0</v>
      </c>
      <c r="CD111" s="64" t="s">
        <v>1052</v>
      </c>
      <c r="CE111" s="52">
        <v>0</v>
      </c>
      <c r="CF111" s="64" t="s">
        <v>1052</v>
      </c>
      <c r="CG111" s="52">
        <v>0</v>
      </c>
      <c r="CH111" s="64" t="s">
        <v>1052</v>
      </c>
      <c r="CI111" s="52">
        <v>0</v>
      </c>
      <c r="CJ111" s="64" t="s">
        <v>1052</v>
      </c>
      <c r="CK111" s="52">
        <v>0</v>
      </c>
      <c r="CL111" s="64" t="s">
        <v>1052</v>
      </c>
      <c r="CM111" s="52">
        <v>0</v>
      </c>
      <c r="CN111" s="64" t="s">
        <v>1052</v>
      </c>
      <c r="CO111" s="52">
        <v>0</v>
      </c>
      <c r="CP111" s="64" t="s">
        <v>1052</v>
      </c>
      <c r="CQ111" s="52">
        <v>0</v>
      </c>
      <c r="CR111" s="64" t="s">
        <v>1052</v>
      </c>
      <c r="CS111" s="52">
        <v>0</v>
      </c>
      <c r="CT111" s="64" t="s">
        <v>1052</v>
      </c>
      <c r="CU111" s="52">
        <v>0</v>
      </c>
      <c r="CV111" s="64" t="s">
        <v>1052</v>
      </c>
      <c r="CW111" s="52">
        <v>0</v>
      </c>
      <c r="CX111" s="64" t="s">
        <v>1052</v>
      </c>
      <c r="CY111" s="52">
        <v>0</v>
      </c>
      <c r="CZ111" s="64" t="s">
        <v>1052</v>
      </c>
    </row>
    <row r="112" spans="1:104" ht="11.1" customHeight="1" x14ac:dyDescent="0.25">
      <c r="A112" s="61"/>
      <c r="B112" s="60"/>
      <c r="C112" s="60"/>
      <c r="D112" s="60"/>
      <c r="E112" s="60"/>
      <c r="F112" s="60"/>
      <c r="G112" s="62"/>
      <c r="H112" s="63"/>
      <c r="I112" s="62"/>
      <c r="J112" s="63"/>
      <c r="K112" s="62"/>
      <c r="L112" s="63"/>
      <c r="M112" s="62"/>
      <c r="N112" s="63"/>
      <c r="O112" s="62"/>
      <c r="P112" s="63"/>
      <c r="Q112" s="62"/>
      <c r="R112" s="63"/>
      <c r="S112" s="62"/>
      <c r="T112" s="63"/>
      <c r="U112" s="62"/>
      <c r="V112" s="63"/>
      <c r="W112" s="62"/>
      <c r="X112" s="63"/>
      <c r="Y112" s="62"/>
      <c r="Z112" s="63"/>
      <c r="AA112" s="62"/>
      <c r="AB112" s="63"/>
      <c r="AC112" s="62"/>
      <c r="AD112" s="63"/>
      <c r="AE112" s="62"/>
      <c r="AF112" s="63"/>
      <c r="AG112" s="62"/>
      <c r="AH112" s="63"/>
      <c r="AI112" s="62"/>
      <c r="AJ112" s="63"/>
      <c r="AK112" s="62"/>
      <c r="AL112" s="63"/>
      <c r="AM112" s="62"/>
      <c r="AN112" s="63"/>
      <c r="AO112" s="62"/>
      <c r="AP112" s="63"/>
      <c r="AQ112" s="62"/>
      <c r="AR112" s="63"/>
      <c r="AS112" s="62"/>
      <c r="AT112" s="63"/>
      <c r="AU112" s="62"/>
      <c r="AV112" s="63"/>
      <c r="AW112" s="62"/>
      <c r="AX112" s="63"/>
      <c r="AY112" s="62"/>
      <c r="AZ112" s="63"/>
      <c r="BA112" s="62"/>
      <c r="BB112" s="63"/>
      <c r="BC112" s="62"/>
      <c r="BD112" s="63"/>
      <c r="BE112" s="62"/>
      <c r="BF112" s="63"/>
      <c r="BG112" s="62"/>
      <c r="BH112" s="63"/>
      <c r="BI112" s="62"/>
      <c r="BJ112" s="63"/>
      <c r="BK112" s="62"/>
      <c r="BL112" s="63"/>
      <c r="BM112" s="62"/>
      <c r="BN112" s="63"/>
      <c r="BO112" s="62"/>
      <c r="BP112" s="63"/>
      <c r="BQ112" s="62"/>
      <c r="BR112" s="63"/>
      <c r="BS112" s="62"/>
      <c r="BT112" s="63"/>
      <c r="BU112" s="62"/>
      <c r="BV112" s="63"/>
      <c r="BW112" s="62"/>
      <c r="BX112" s="63"/>
      <c r="BY112" s="62"/>
      <c r="BZ112" s="63"/>
      <c r="CA112" s="62"/>
      <c r="CB112" s="63"/>
      <c r="CC112" s="62"/>
      <c r="CD112" s="63"/>
      <c r="CE112" s="62"/>
      <c r="CF112" s="63"/>
      <c r="CG112" s="62"/>
      <c r="CH112" s="63"/>
      <c r="CI112" s="62"/>
      <c r="CJ112" s="63"/>
      <c r="CK112" s="62"/>
      <c r="CL112" s="63"/>
      <c r="CM112" s="62"/>
      <c r="CN112" s="63"/>
      <c r="CO112" s="62"/>
      <c r="CP112" s="63"/>
      <c r="CQ112" s="62"/>
      <c r="CR112" s="63"/>
      <c r="CS112" s="62"/>
      <c r="CT112" s="63"/>
      <c r="CU112" s="62"/>
      <c r="CV112" s="63"/>
      <c r="CW112" s="62"/>
      <c r="CX112" s="63"/>
      <c r="CY112" s="62"/>
      <c r="CZ112" s="63"/>
    </row>
    <row r="113" spans="1:104" x14ac:dyDescent="0.25">
      <c r="A113" s="51" t="str">
        <f>D113&amp;C113</f>
        <v>spi_0</v>
      </c>
      <c r="B113" s="2" t="str">
        <f>UPPER(D113)&amp;" IOs"</f>
        <v>SPI IOs</v>
      </c>
      <c r="C113" s="2" t="s">
        <v>18</v>
      </c>
      <c r="D113" s="2" t="s">
        <v>898</v>
      </c>
      <c r="E113" s="2" t="str">
        <f t="shared" ref="E113:F117" si="11">VLOOKUP($D113&amp;"_"&amp;E$3,MDB,6,0)</f>
        <v>7 LVCMOS IO</v>
      </c>
      <c r="F113" s="2" t="str">
        <f t="shared" si="11"/>
        <v>SPI</v>
      </c>
      <c r="G113" s="52">
        <v>1</v>
      </c>
      <c r="H113" s="64" t="s">
        <v>882</v>
      </c>
      <c r="I113" s="52"/>
      <c r="J113" s="64" t="s">
        <v>1052</v>
      </c>
      <c r="K113" s="52"/>
      <c r="L113" s="64" t="s">
        <v>1052</v>
      </c>
      <c r="M113" s="52"/>
      <c r="N113" s="64" t="s">
        <v>1052</v>
      </c>
      <c r="O113" s="52"/>
      <c r="P113" s="64" t="s">
        <v>1052</v>
      </c>
      <c r="Q113" s="52"/>
      <c r="R113" s="64" t="s">
        <v>1052</v>
      </c>
      <c r="S113" s="52"/>
      <c r="T113" s="64" t="s">
        <v>1052</v>
      </c>
      <c r="U113" s="52"/>
      <c r="V113" s="64" t="s">
        <v>1052</v>
      </c>
      <c r="W113" s="52"/>
      <c r="X113" s="64" t="s">
        <v>1052</v>
      </c>
      <c r="Y113" s="52"/>
      <c r="Z113" s="64" t="s">
        <v>1052</v>
      </c>
      <c r="AA113" s="52"/>
      <c r="AB113" s="64" t="s">
        <v>1052</v>
      </c>
      <c r="AC113" s="52"/>
      <c r="AD113" s="64" t="s">
        <v>1052</v>
      </c>
      <c r="AE113" s="52"/>
      <c r="AF113" s="64" t="s">
        <v>1052</v>
      </c>
      <c r="AG113" s="52"/>
      <c r="AH113" s="64" t="s">
        <v>1052</v>
      </c>
      <c r="AI113" s="52"/>
      <c r="AJ113" s="64" t="s">
        <v>1052</v>
      </c>
      <c r="AK113" s="52"/>
      <c r="AL113" s="64" t="s">
        <v>1052</v>
      </c>
      <c r="AM113" s="52"/>
      <c r="AN113" s="64" t="s">
        <v>1052</v>
      </c>
      <c r="AO113" s="52"/>
      <c r="AP113" s="64" t="s">
        <v>1052</v>
      </c>
      <c r="AQ113" s="52"/>
      <c r="AR113" s="64" t="s">
        <v>1052</v>
      </c>
      <c r="AS113" s="52"/>
      <c r="AT113" s="64" t="s">
        <v>1052</v>
      </c>
      <c r="AU113" s="52"/>
      <c r="AV113" s="64" t="s">
        <v>1052</v>
      </c>
      <c r="AW113" s="52"/>
      <c r="AX113" s="64" t="s">
        <v>1052</v>
      </c>
      <c r="AY113" s="52"/>
      <c r="AZ113" s="64" t="s">
        <v>1052</v>
      </c>
      <c r="BA113" s="52"/>
      <c r="BB113" s="64" t="s">
        <v>1052</v>
      </c>
      <c r="BC113" s="52"/>
      <c r="BD113" s="64" t="s">
        <v>1052</v>
      </c>
      <c r="BE113" s="52"/>
      <c r="BF113" s="64" t="s">
        <v>1052</v>
      </c>
      <c r="BG113" s="52"/>
      <c r="BH113" s="64" t="s">
        <v>1052</v>
      </c>
      <c r="BI113" s="52"/>
      <c r="BJ113" s="64" t="s">
        <v>1052</v>
      </c>
      <c r="BK113" s="52">
        <f>MCU_SPI0_Util</f>
        <v>1</v>
      </c>
      <c r="BL113" s="64" t="str">
        <f>mcu_spi_0_modes</f>
        <v>Master_25_Mbaud_3p3v</v>
      </c>
      <c r="BM113" s="52">
        <v>0</v>
      </c>
      <c r="BN113" s="64" t="s">
        <v>1052</v>
      </c>
      <c r="BO113" s="52">
        <v>0</v>
      </c>
      <c r="BP113" s="64" t="s">
        <v>1052</v>
      </c>
      <c r="BQ113" s="52">
        <v>0</v>
      </c>
      <c r="BR113" s="64" t="s">
        <v>1052</v>
      </c>
      <c r="BS113" s="52">
        <v>0</v>
      </c>
      <c r="BT113" s="64" t="s">
        <v>1052</v>
      </c>
      <c r="BU113" s="52">
        <v>0</v>
      </c>
      <c r="BV113" s="64" t="s">
        <v>1052</v>
      </c>
      <c r="BW113" s="52">
        <v>0</v>
      </c>
      <c r="BX113" s="64" t="s">
        <v>1052</v>
      </c>
      <c r="BY113" s="52">
        <v>0</v>
      </c>
      <c r="BZ113" s="64" t="s">
        <v>1052</v>
      </c>
      <c r="CA113" s="52">
        <v>0</v>
      </c>
      <c r="CB113" s="64" t="s">
        <v>1052</v>
      </c>
      <c r="CC113" s="52">
        <v>0</v>
      </c>
      <c r="CD113" s="64" t="s">
        <v>1052</v>
      </c>
      <c r="CE113" s="52">
        <v>0</v>
      </c>
      <c r="CF113" s="64" t="s">
        <v>1052</v>
      </c>
      <c r="CG113" s="52">
        <v>0</v>
      </c>
      <c r="CH113" s="64" t="s">
        <v>1052</v>
      </c>
      <c r="CI113" s="52">
        <v>0</v>
      </c>
      <c r="CJ113" s="64" t="s">
        <v>1052</v>
      </c>
      <c r="CK113" s="52">
        <v>0</v>
      </c>
      <c r="CL113" s="64" t="s">
        <v>1052</v>
      </c>
      <c r="CM113" s="52">
        <v>0</v>
      </c>
      <c r="CN113" s="64" t="s">
        <v>1052</v>
      </c>
      <c r="CO113" s="52">
        <v>0</v>
      </c>
      <c r="CP113" s="64" t="s">
        <v>1052</v>
      </c>
      <c r="CQ113" s="52">
        <v>0</v>
      </c>
      <c r="CR113" s="64" t="s">
        <v>1052</v>
      </c>
      <c r="CS113" s="52">
        <v>0</v>
      </c>
      <c r="CT113" s="64" t="s">
        <v>1052</v>
      </c>
      <c r="CU113" s="52">
        <v>0</v>
      </c>
      <c r="CV113" s="64" t="s">
        <v>1052</v>
      </c>
      <c r="CW113" s="52">
        <v>0</v>
      </c>
      <c r="CX113" s="64" t="s">
        <v>1052</v>
      </c>
      <c r="CY113" s="52">
        <v>0</v>
      </c>
      <c r="CZ113" s="64" t="s">
        <v>1052</v>
      </c>
    </row>
    <row r="114" spans="1:104" x14ac:dyDescent="0.25">
      <c r="A114" s="51" t="str">
        <f>D114&amp;C114</f>
        <v>spi_1</v>
      </c>
      <c r="B114" s="2" t="str">
        <f>UPPER(D114)&amp;" IOs"</f>
        <v>SPI IOs</v>
      </c>
      <c r="C114" s="2" t="s">
        <v>19</v>
      </c>
      <c r="D114" s="2" t="s">
        <v>898</v>
      </c>
      <c r="E114" s="2" t="str">
        <f t="shared" si="11"/>
        <v>7 LVCMOS IO</v>
      </c>
      <c r="F114" s="2" t="str">
        <f t="shared" si="11"/>
        <v>SPI</v>
      </c>
      <c r="G114" s="52">
        <v>1</v>
      </c>
      <c r="H114" s="64" t="s">
        <v>882</v>
      </c>
      <c r="I114" s="52"/>
      <c r="J114" s="64" t="s">
        <v>1052</v>
      </c>
      <c r="K114" s="52"/>
      <c r="L114" s="64" t="s">
        <v>1052</v>
      </c>
      <c r="M114" s="52"/>
      <c r="N114" s="64" t="s">
        <v>1052</v>
      </c>
      <c r="O114" s="52"/>
      <c r="P114" s="64" t="s">
        <v>1052</v>
      </c>
      <c r="Q114" s="52"/>
      <c r="R114" s="64" t="s">
        <v>1052</v>
      </c>
      <c r="S114" s="52"/>
      <c r="T114" s="64" t="s">
        <v>1052</v>
      </c>
      <c r="U114" s="52"/>
      <c r="V114" s="64" t="s">
        <v>1052</v>
      </c>
      <c r="W114" s="52"/>
      <c r="X114" s="64" t="s">
        <v>1052</v>
      </c>
      <c r="Y114" s="52"/>
      <c r="Z114" s="64" t="s">
        <v>1052</v>
      </c>
      <c r="AA114" s="52"/>
      <c r="AB114" s="64" t="s">
        <v>1052</v>
      </c>
      <c r="AC114" s="52"/>
      <c r="AD114" s="64" t="s">
        <v>1052</v>
      </c>
      <c r="AE114" s="52"/>
      <c r="AF114" s="64" t="s">
        <v>1052</v>
      </c>
      <c r="AG114" s="52"/>
      <c r="AH114" s="64" t="s">
        <v>1052</v>
      </c>
      <c r="AI114" s="52"/>
      <c r="AJ114" s="64" t="s">
        <v>1052</v>
      </c>
      <c r="AK114" s="52"/>
      <c r="AL114" s="64" t="s">
        <v>1052</v>
      </c>
      <c r="AM114" s="52"/>
      <c r="AN114" s="64" t="s">
        <v>1052</v>
      </c>
      <c r="AO114" s="52"/>
      <c r="AP114" s="64" t="s">
        <v>1052</v>
      </c>
      <c r="AQ114" s="52"/>
      <c r="AR114" s="64" t="s">
        <v>1052</v>
      </c>
      <c r="AS114" s="52"/>
      <c r="AT114" s="64" t="s">
        <v>1052</v>
      </c>
      <c r="AU114" s="52"/>
      <c r="AV114" s="64" t="s">
        <v>1052</v>
      </c>
      <c r="AW114" s="52"/>
      <c r="AX114" s="64" t="s">
        <v>1052</v>
      </c>
      <c r="AY114" s="52"/>
      <c r="AZ114" s="64" t="s">
        <v>1052</v>
      </c>
      <c r="BA114" s="52"/>
      <c r="BB114" s="64" t="s">
        <v>1052</v>
      </c>
      <c r="BC114" s="52"/>
      <c r="BD114" s="64" t="s">
        <v>1052</v>
      </c>
      <c r="BE114" s="52"/>
      <c r="BF114" s="64" t="s">
        <v>1052</v>
      </c>
      <c r="BG114" s="52"/>
      <c r="BH114" s="64" t="s">
        <v>1052</v>
      </c>
      <c r="BI114" s="52"/>
      <c r="BJ114" s="64" t="s">
        <v>1052</v>
      </c>
      <c r="BK114" s="52">
        <f>MCU_SPI1_Util</f>
        <v>1</v>
      </c>
      <c r="BL114" s="64" t="str">
        <f>mcu_spi_1_modes</f>
        <v>Master_12.5_Mbaud_1p8v</v>
      </c>
      <c r="BM114" s="52">
        <v>0</v>
      </c>
      <c r="BN114" s="64" t="s">
        <v>1052</v>
      </c>
      <c r="BO114" s="52">
        <v>0</v>
      </c>
      <c r="BP114" s="64" t="s">
        <v>1052</v>
      </c>
      <c r="BQ114" s="52">
        <v>0</v>
      </c>
      <c r="BR114" s="64" t="s">
        <v>1052</v>
      </c>
      <c r="BS114" s="52">
        <v>0</v>
      </c>
      <c r="BT114" s="64" t="s">
        <v>1052</v>
      </c>
      <c r="BU114" s="52">
        <v>0</v>
      </c>
      <c r="BV114" s="64" t="s">
        <v>1052</v>
      </c>
      <c r="BW114" s="52">
        <v>0</v>
      </c>
      <c r="BX114" s="64" t="s">
        <v>1052</v>
      </c>
      <c r="BY114" s="52">
        <v>0</v>
      </c>
      <c r="BZ114" s="64" t="s">
        <v>1052</v>
      </c>
      <c r="CA114" s="52">
        <v>0</v>
      </c>
      <c r="CB114" s="64" t="s">
        <v>1052</v>
      </c>
      <c r="CC114" s="52">
        <v>0</v>
      </c>
      <c r="CD114" s="64" t="s">
        <v>1052</v>
      </c>
      <c r="CE114" s="52">
        <v>0</v>
      </c>
      <c r="CF114" s="64" t="s">
        <v>1052</v>
      </c>
      <c r="CG114" s="52">
        <v>0</v>
      </c>
      <c r="CH114" s="64" t="s">
        <v>1052</v>
      </c>
      <c r="CI114" s="52">
        <v>0</v>
      </c>
      <c r="CJ114" s="64" t="s">
        <v>1052</v>
      </c>
      <c r="CK114" s="52">
        <v>0</v>
      </c>
      <c r="CL114" s="64" t="s">
        <v>1052</v>
      </c>
      <c r="CM114" s="52">
        <v>0</v>
      </c>
      <c r="CN114" s="64" t="s">
        <v>1052</v>
      </c>
      <c r="CO114" s="52">
        <v>0</v>
      </c>
      <c r="CP114" s="64" t="s">
        <v>1052</v>
      </c>
      <c r="CQ114" s="52">
        <v>0</v>
      </c>
      <c r="CR114" s="64" t="s">
        <v>1052</v>
      </c>
      <c r="CS114" s="52">
        <v>0</v>
      </c>
      <c r="CT114" s="64" t="s">
        <v>1052</v>
      </c>
      <c r="CU114" s="52">
        <v>0</v>
      </c>
      <c r="CV114" s="64" t="s">
        <v>1052</v>
      </c>
      <c r="CW114" s="52">
        <v>0</v>
      </c>
      <c r="CX114" s="64" t="s">
        <v>1052</v>
      </c>
      <c r="CY114" s="52">
        <v>0</v>
      </c>
      <c r="CZ114" s="64" t="s">
        <v>1052</v>
      </c>
    </row>
    <row r="115" spans="1:104" x14ac:dyDescent="0.25">
      <c r="A115" s="51" t="str">
        <f>D115&amp;C115</f>
        <v>spi_2</v>
      </c>
      <c r="B115" s="2" t="str">
        <f>UPPER(D115)&amp;" IOs"</f>
        <v>SPI IOs</v>
      </c>
      <c r="C115" s="2" t="s">
        <v>20</v>
      </c>
      <c r="D115" s="2" t="s">
        <v>898</v>
      </c>
      <c r="E115" s="2" t="str">
        <f t="shared" si="11"/>
        <v>7 LVCMOS IO</v>
      </c>
      <c r="F115" s="2" t="str">
        <f t="shared" si="11"/>
        <v>SPI</v>
      </c>
      <c r="G115" s="52">
        <v>1</v>
      </c>
      <c r="H115" s="64" t="s">
        <v>882</v>
      </c>
      <c r="I115" s="52"/>
      <c r="J115" s="64" t="s">
        <v>1052</v>
      </c>
      <c r="K115" s="52"/>
      <c r="L115" s="64" t="s">
        <v>1052</v>
      </c>
      <c r="M115" s="52"/>
      <c r="N115" s="64" t="s">
        <v>1052</v>
      </c>
      <c r="O115" s="52"/>
      <c r="P115" s="64" t="s">
        <v>1052</v>
      </c>
      <c r="Q115" s="52"/>
      <c r="R115" s="64" t="s">
        <v>1052</v>
      </c>
      <c r="S115" s="52"/>
      <c r="T115" s="64" t="s">
        <v>1052</v>
      </c>
      <c r="U115" s="52"/>
      <c r="V115" s="64" t="s">
        <v>1052</v>
      </c>
      <c r="W115" s="52"/>
      <c r="X115" s="64" t="s">
        <v>1052</v>
      </c>
      <c r="Y115" s="52"/>
      <c r="Z115" s="64" t="s">
        <v>1052</v>
      </c>
      <c r="AA115" s="52"/>
      <c r="AB115" s="64" t="s">
        <v>1052</v>
      </c>
      <c r="AC115" s="52"/>
      <c r="AD115" s="64" t="s">
        <v>1052</v>
      </c>
      <c r="AE115" s="52"/>
      <c r="AF115" s="64" t="s">
        <v>1052</v>
      </c>
      <c r="AG115" s="52"/>
      <c r="AH115" s="64" t="s">
        <v>1052</v>
      </c>
      <c r="AI115" s="52"/>
      <c r="AJ115" s="64" t="s">
        <v>1052</v>
      </c>
      <c r="AK115" s="52"/>
      <c r="AL115" s="64" t="s">
        <v>1052</v>
      </c>
      <c r="AM115" s="52"/>
      <c r="AN115" s="64" t="s">
        <v>1052</v>
      </c>
      <c r="AO115" s="52"/>
      <c r="AP115" s="64" t="s">
        <v>1052</v>
      </c>
      <c r="AQ115" s="52"/>
      <c r="AR115" s="64" t="s">
        <v>1052</v>
      </c>
      <c r="AS115" s="52"/>
      <c r="AT115" s="64" t="s">
        <v>1052</v>
      </c>
      <c r="AU115" s="52"/>
      <c r="AV115" s="64" t="s">
        <v>1052</v>
      </c>
      <c r="AW115" s="52"/>
      <c r="AX115" s="64" t="s">
        <v>1052</v>
      </c>
      <c r="AY115" s="52"/>
      <c r="AZ115" s="64" t="s">
        <v>1052</v>
      </c>
      <c r="BA115" s="52"/>
      <c r="BB115" s="64" t="s">
        <v>1052</v>
      </c>
      <c r="BC115" s="52"/>
      <c r="BD115" s="64" t="s">
        <v>1052</v>
      </c>
      <c r="BE115" s="52"/>
      <c r="BF115" s="64" t="s">
        <v>1052</v>
      </c>
      <c r="BG115" s="52"/>
      <c r="BH115" s="64" t="s">
        <v>1052</v>
      </c>
      <c r="BI115" s="52"/>
      <c r="BJ115" s="64" t="s">
        <v>1052</v>
      </c>
      <c r="BK115" s="52">
        <f>mcu_2_spi_util</f>
        <v>1</v>
      </c>
      <c r="BL115" s="64" t="str">
        <f>mcu_2_spi_modes</f>
        <v>Master_12.5_Mbaud_1p8v</v>
      </c>
      <c r="BM115" s="52">
        <v>0</v>
      </c>
      <c r="BN115" s="64" t="s">
        <v>1052</v>
      </c>
      <c r="BO115" s="52">
        <v>0</v>
      </c>
      <c r="BP115" s="64" t="s">
        <v>1052</v>
      </c>
      <c r="BQ115" s="52">
        <v>0</v>
      </c>
      <c r="BR115" s="64" t="s">
        <v>1052</v>
      </c>
      <c r="BS115" s="52">
        <v>0</v>
      </c>
      <c r="BT115" s="64" t="s">
        <v>1052</v>
      </c>
      <c r="BU115" s="52">
        <v>0</v>
      </c>
      <c r="BV115" s="64" t="s">
        <v>1052</v>
      </c>
      <c r="BW115" s="52">
        <v>0</v>
      </c>
      <c r="BX115" s="64" t="s">
        <v>1052</v>
      </c>
      <c r="BY115" s="52">
        <v>0</v>
      </c>
      <c r="BZ115" s="64" t="s">
        <v>1052</v>
      </c>
      <c r="CA115" s="52">
        <v>0</v>
      </c>
      <c r="CB115" s="64" t="s">
        <v>1052</v>
      </c>
      <c r="CC115" s="52">
        <v>0</v>
      </c>
      <c r="CD115" s="64" t="s">
        <v>1052</v>
      </c>
      <c r="CE115" s="52">
        <v>0</v>
      </c>
      <c r="CF115" s="64" t="s">
        <v>1052</v>
      </c>
      <c r="CG115" s="52">
        <v>0</v>
      </c>
      <c r="CH115" s="64" t="s">
        <v>1052</v>
      </c>
      <c r="CI115" s="52">
        <v>0</v>
      </c>
      <c r="CJ115" s="64" t="s">
        <v>1052</v>
      </c>
      <c r="CK115" s="52">
        <v>0</v>
      </c>
      <c r="CL115" s="64" t="s">
        <v>1052</v>
      </c>
      <c r="CM115" s="52">
        <v>0</v>
      </c>
      <c r="CN115" s="64" t="s">
        <v>1052</v>
      </c>
      <c r="CO115" s="52">
        <v>0</v>
      </c>
      <c r="CP115" s="64" t="s">
        <v>1052</v>
      </c>
      <c r="CQ115" s="52">
        <v>0</v>
      </c>
      <c r="CR115" s="64" t="s">
        <v>1052</v>
      </c>
      <c r="CS115" s="52">
        <v>0</v>
      </c>
      <c r="CT115" s="64" t="s">
        <v>1052</v>
      </c>
      <c r="CU115" s="52">
        <v>0</v>
      </c>
      <c r="CV115" s="64" t="s">
        <v>1052</v>
      </c>
      <c r="CW115" s="52">
        <v>0</v>
      </c>
      <c r="CX115" s="64" t="s">
        <v>1052</v>
      </c>
      <c r="CY115" s="52">
        <v>0</v>
      </c>
      <c r="CZ115" s="64" t="s">
        <v>1052</v>
      </c>
    </row>
    <row r="116" spans="1:104" x14ac:dyDescent="0.25">
      <c r="A116" s="51" t="str">
        <f>D116&amp;C116</f>
        <v>spi_3</v>
      </c>
      <c r="B116" s="2" t="str">
        <f>UPPER(D116)&amp;" IOs"</f>
        <v>SPI IOs</v>
      </c>
      <c r="C116" s="2" t="s">
        <v>22</v>
      </c>
      <c r="D116" s="2" t="s">
        <v>898</v>
      </c>
      <c r="E116" s="2" t="str">
        <f t="shared" si="11"/>
        <v>7 LVCMOS IO</v>
      </c>
      <c r="F116" s="2" t="str">
        <f t="shared" si="11"/>
        <v>SPI</v>
      </c>
      <c r="G116" s="52">
        <v>1</v>
      </c>
      <c r="H116" s="64" t="s">
        <v>882</v>
      </c>
      <c r="I116" s="52"/>
      <c r="J116" s="64" t="s">
        <v>1052</v>
      </c>
      <c r="K116" s="52"/>
      <c r="L116" s="64" t="s">
        <v>1052</v>
      </c>
      <c r="M116" s="52"/>
      <c r="N116" s="64" t="s">
        <v>1052</v>
      </c>
      <c r="O116" s="52"/>
      <c r="P116" s="64" t="s">
        <v>1052</v>
      </c>
      <c r="Q116" s="52"/>
      <c r="R116" s="64" t="s">
        <v>1052</v>
      </c>
      <c r="S116" s="52"/>
      <c r="T116" s="64" t="s">
        <v>1052</v>
      </c>
      <c r="U116" s="52"/>
      <c r="V116" s="64" t="s">
        <v>1052</v>
      </c>
      <c r="W116" s="52"/>
      <c r="X116" s="64" t="s">
        <v>1052</v>
      </c>
      <c r="Y116" s="52"/>
      <c r="Z116" s="64" t="s">
        <v>1052</v>
      </c>
      <c r="AA116" s="52"/>
      <c r="AB116" s="64" t="s">
        <v>1052</v>
      </c>
      <c r="AC116" s="52"/>
      <c r="AD116" s="64" t="s">
        <v>1052</v>
      </c>
      <c r="AE116" s="52"/>
      <c r="AF116" s="64" t="s">
        <v>1052</v>
      </c>
      <c r="AG116" s="52"/>
      <c r="AH116" s="64" t="s">
        <v>1052</v>
      </c>
      <c r="AI116" s="52"/>
      <c r="AJ116" s="64" t="s">
        <v>1052</v>
      </c>
      <c r="AK116" s="52"/>
      <c r="AL116" s="64" t="s">
        <v>1052</v>
      </c>
      <c r="AM116" s="52"/>
      <c r="AN116" s="64" t="s">
        <v>1052</v>
      </c>
      <c r="AO116" s="52"/>
      <c r="AP116" s="64" t="s">
        <v>1052</v>
      </c>
      <c r="AQ116" s="52"/>
      <c r="AR116" s="64" t="s">
        <v>1052</v>
      </c>
      <c r="AS116" s="52"/>
      <c r="AT116" s="64" t="s">
        <v>1052</v>
      </c>
      <c r="AU116" s="52"/>
      <c r="AV116" s="64" t="s">
        <v>1052</v>
      </c>
      <c r="AW116" s="52"/>
      <c r="AX116" s="64" t="s">
        <v>1052</v>
      </c>
      <c r="AY116" s="52"/>
      <c r="AZ116" s="64" t="s">
        <v>1052</v>
      </c>
      <c r="BA116" s="52"/>
      <c r="BB116" s="64" t="s">
        <v>1052</v>
      </c>
      <c r="BC116" s="52"/>
      <c r="BD116" s="64" t="s">
        <v>1052</v>
      </c>
      <c r="BE116" s="52"/>
      <c r="BF116" s="64" t="s">
        <v>1052</v>
      </c>
      <c r="BG116" s="52"/>
      <c r="BH116" s="64" t="s">
        <v>1052</v>
      </c>
      <c r="BI116" s="52"/>
      <c r="BJ116" s="64" t="s">
        <v>1052</v>
      </c>
      <c r="BK116" s="52">
        <v>0</v>
      </c>
      <c r="BL116" s="64" t="s">
        <v>1052</v>
      </c>
      <c r="BM116" s="52">
        <v>0</v>
      </c>
      <c r="BN116" s="64" t="s">
        <v>1052</v>
      </c>
      <c r="BO116" s="52">
        <v>0</v>
      </c>
      <c r="BP116" s="64" t="s">
        <v>1052</v>
      </c>
      <c r="BQ116" s="52">
        <v>0</v>
      </c>
      <c r="BR116" s="64" t="s">
        <v>1052</v>
      </c>
      <c r="BS116" s="52">
        <v>0</v>
      </c>
      <c r="BT116" s="64" t="s">
        <v>1052</v>
      </c>
      <c r="BU116" s="52">
        <v>0</v>
      </c>
      <c r="BV116" s="64" t="s">
        <v>1052</v>
      </c>
      <c r="BW116" s="52">
        <v>0</v>
      </c>
      <c r="BX116" s="64" t="s">
        <v>1052</v>
      </c>
      <c r="BY116" s="52">
        <v>0</v>
      </c>
      <c r="BZ116" s="64" t="s">
        <v>1052</v>
      </c>
      <c r="CA116" s="52">
        <v>0</v>
      </c>
      <c r="CB116" s="64" t="s">
        <v>1052</v>
      </c>
      <c r="CC116" s="52">
        <v>0</v>
      </c>
      <c r="CD116" s="64" t="s">
        <v>1052</v>
      </c>
      <c r="CE116" s="52">
        <v>0</v>
      </c>
      <c r="CF116" s="64" t="s">
        <v>1052</v>
      </c>
      <c r="CG116" s="52">
        <v>0</v>
      </c>
      <c r="CH116" s="64" t="s">
        <v>1052</v>
      </c>
      <c r="CI116" s="52">
        <v>0</v>
      </c>
      <c r="CJ116" s="64" t="s">
        <v>1052</v>
      </c>
      <c r="CK116" s="52">
        <v>0</v>
      </c>
      <c r="CL116" s="64" t="s">
        <v>1052</v>
      </c>
      <c r="CM116" s="52">
        <v>0</v>
      </c>
      <c r="CN116" s="64" t="s">
        <v>1052</v>
      </c>
      <c r="CO116" s="52">
        <v>0</v>
      </c>
      <c r="CP116" s="64" t="s">
        <v>1052</v>
      </c>
      <c r="CQ116" s="52">
        <v>0</v>
      </c>
      <c r="CR116" s="64" t="s">
        <v>1052</v>
      </c>
      <c r="CS116" s="52">
        <v>0</v>
      </c>
      <c r="CT116" s="64" t="s">
        <v>1052</v>
      </c>
      <c r="CU116" s="52">
        <v>0</v>
      </c>
      <c r="CV116" s="64" t="s">
        <v>1052</v>
      </c>
      <c r="CW116" s="52">
        <v>0</v>
      </c>
      <c r="CX116" s="64" t="s">
        <v>1052</v>
      </c>
      <c r="CY116" s="52">
        <v>0</v>
      </c>
      <c r="CZ116" s="64" t="s">
        <v>1052</v>
      </c>
    </row>
    <row r="117" spans="1:104" x14ac:dyDescent="0.25">
      <c r="A117" s="51" t="str">
        <f>D117&amp;C117</f>
        <v>spi_4</v>
      </c>
      <c r="B117" s="2" t="str">
        <f>UPPER(D117)&amp;" IOs"</f>
        <v>SPI IOs</v>
      </c>
      <c r="C117" s="2" t="s">
        <v>23</v>
      </c>
      <c r="D117" s="2" t="s">
        <v>898</v>
      </c>
      <c r="E117" s="2" t="str">
        <f t="shared" si="11"/>
        <v>7 LVCMOS IO</v>
      </c>
      <c r="F117" s="2" t="str">
        <f t="shared" si="11"/>
        <v>SPI</v>
      </c>
      <c r="G117" s="52">
        <v>1</v>
      </c>
      <c r="H117" s="64" t="s">
        <v>882</v>
      </c>
      <c r="I117" s="52"/>
      <c r="J117" s="64" t="s">
        <v>1052</v>
      </c>
      <c r="K117" s="52"/>
      <c r="L117" s="64" t="s">
        <v>1052</v>
      </c>
      <c r="M117" s="52"/>
      <c r="N117" s="64" t="s">
        <v>1052</v>
      </c>
      <c r="O117" s="52"/>
      <c r="P117" s="64" t="s">
        <v>1052</v>
      </c>
      <c r="Q117" s="52"/>
      <c r="R117" s="64" t="s">
        <v>1052</v>
      </c>
      <c r="S117" s="52"/>
      <c r="T117" s="64" t="s">
        <v>1052</v>
      </c>
      <c r="U117" s="52"/>
      <c r="V117" s="64" t="s">
        <v>1052</v>
      </c>
      <c r="W117" s="52"/>
      <c r="X117" s="64" t="s">
        <v>1052</v>
      </c>
      <c r="Y117" s="52"/>
      <c r="Z117" s="64" t="s">
        <v>1052</v>
      </c>
      <c r="AA117" s="52"/>
      <c r="AB117" s="64" t="s">
        <v>1052</v>
      </c>
      <c r="AC117" s="52"/>
      <c r="AD117" s="64" t="s">
        <v>1052</v>
      </c>
      <c r="AE117" s="52"/>
      <c r="AF117" s="64" t="s">
        <v>1052</v>
      </c>
      <c r="AG117" s="52"/>
      <c r="AH117" s="64" t="s">
        <v>1052</v>
      </c>
      <c r="AI117" s="52"/>
      <c r="AJ117" s="64" t="s">
        <v>1052</v>
      </c>
      <c r="AK117" s="52"/>
      <c r="AL117" s="64" t="s">
        <v>1052</v>
      </c>
      <c r="AM117" s="52"/>
      <c r="AN117" s="64" t="s">
        <v>1052</v>
      </c>
      <c r="AO117" s="52"/>
      <c r="AP117" s="64" t="s">
        <v>1052</v>
      </c>
      <c r="AQ117" s="52"/>
      <c r="AR117" s="64" t="s">
        <v>1052</v>
      </c>
      <c r="AS117" s="52"/>
      <c r="AT117" s="64" t="s">
        <v>1052</v>
      </c>
      <c r="AU117" s="52"/>
      <c r="AV117" s="64" t="s">
        <v>1052</v>
      </c>
      <c r="AW117" s="52"/>
      <c r="AX117" s="64" t="s">
        <v>1052</v>
      </c>
      <c r="AY117" s="52"/>
      <c r="AZ117" s="64" t="s">
        <v>1052</v>
      </c>
      <c r="BA117" s="52"/>
      <c r="BB117" s="64" t="s">
        <v>1052</v>
      </c>
      <c r="BC117" s="52"/>
      <c r="BD117" s="64" t="s">
        <v>1052</v>
      </c>
      <c r="BE117" s="52"/>
      <c r="BF117" s="64" t="s">
        <v>1052</v>
      </c>
      <c r="BG117" s="52"/>
      <c r="BH117" s="64" t="s">
        <v>1052</v>
      </c>
      <c r="BI117" s="52"/>
      <c r="BJ117" s="64" t="s">
        <v>1052</v>
      </c>
      <c r="BK117" s="52">
        <v>0</v>
      </c>
      <c r="BL117" s="64" t="s">
        <v>1052</v>
      </c>
      <c r="BM117" s="52">
        <v>0</v>
      </c>
      <c r="BN117" s="64" t="s">
        <v>1052</v>
      </c>
      <c r="BO117" s="52">
        <v>0</v>
      </c>
      <c r="BP117" s="64" t="s">
        <v>1052</v>
      </c>
      <c r="BQ117" s="52">
        <v>0</v>
      </c>
      <c r="BR117" s="64" t="s">
        <v>1052</v>
      </c>
      <c r="BS117" s="52">
        <v>0</v>
      </c>
      <c r="BT117" s="64" t="s">
        <v>1052</v>
      </c>
      <c r="BU117" s="52">
        <v>0</v>
      </c>
      <c r="BV117" s="64" t="s">
        <v>1052</v>
      </c>
      <c r="BW117" s="52">
        <v>0</v>
      </c>
      <c r="BX117" s="64" t="s">
        <v>1052</v>
      </c>
      <c r="BY117" s="52">
        <v>0</v>
      </c>
      <c r="BZ117" s="64" t="s">
        <v>1052</v>
      </c>
      <c r="CA117" s="52">
        <v>0</v>
      </c>
      <c r="CB117" s="64" t="s">
        <v>1052</v>
      </c>
      <c r="CC117" s="52">
        <v>0</v>
      </c>
      <c r="CD117" s="64" t="s">
        <v>1052</v>
      </c>
      <c r="CE117" s="52">
        <v>0</v>
      </c>
      <c r="CF117" s="64" t="s">
        <v>1052</v>
      </c>
      <c r="CG117" s="52">
        <v>0</v>
      </c>
      <c r="CH117" s="64" t="s">
        <v>1052</v>
      </c>
      <c r="CI117" s="52">
        <v>0</v>
      </c>
      <c r="CJ117" s="64" t="s">
        <v>1052</v>
      </c>
      <c r="CK117" s="52">
        <v>0</v>
      </c>
      <c r="CL117" s="64" t="s">
        <v>1052</v>
      </c>
      <c r="CM117" s="52">
        <v>0</v>
      </c>
      <c r="CN117" s="64" t="s">
        <v>1052</v>
      </c>
      <c r="CO117" s="52">
        <v>0</v>
      </c>
      <c r="CP117" s="64" t="s">
        <v>1052</v>
      </c>
      <c r="CQ117" s="52">
        <v>0</v>
      </c>
      <c r="CR117" s="64" t="s">
        <v>1052</v>
      </c>
      <c r="CS117" s="52">
        <v>0</v>
      </c>
      <c r="CT117" s="64" t="s">
        <v>1052</v>
      </c>
      <c r="CU117" s="52">
        <v>0</v>
      </c>
      <c r="CV117" s="64" t="s">
        <v>1052</v>
      </c>
      <c r="CW117" s="52">
        <v>0</v>
      </c>
      <c r="CX117" s="64" t="s">
        <v>1052</v>
      </c>
      <c r="CY117" s="52">
        <v>0</v>
      </c>
      <c r="CZ117" s="64" t="s">
        <v>1052</v>
      </c>
    </row>
    <row r="118" spans="1:104" ht="11.1" customHeight="1" x14ac:dyDescent="0.25">
      <c r="A118" s="61"/>
      <c r="B118" s="60"/>
      <c r="C118" s="60"/>
      <c r="D118" s="60"/>
      <c r="E118" s="60"/>
      <c r="F118" s="60"/>
      <c r="G118" s="62"/>
      <c r="H118" s="63"/>
      <c r="I118" s="62"/>
      <c r="J118" s="63"/>
      <c r="K118" s="62"/>
      <c r="L118" s="63"/>
      <c r="M118" s="62"/>
      <c r="N118" s="63"/>
      <c r="O118" s="62"/>
      <c r="P118" s="63"/>
      <c r="Q118" s="62"/>
      <c r="R118" s="63"/>
      <c r="S118" s="62"/>
      <c r="T118" s="63"/>
      <c r="U118" s="62"/>
      <c r="V118" s="63"/>
      <c r="W118" s="62"/>
      <c r="X118" s="63"/>
      <c r="Y118" s="62"/>
      <c r="Z118" s="63"/>
      <c r="AA118" s="62"/>
      <c r="AB118" s="63"/>
      <c r="AC118" s="62"/>
      <c r="AD118" s="63"/>
      <c r="AE118" s="62"/>
      <c r="AF118" s="63"/>
      <c r="AG118" s="62"/>
      <c r="AH118" s="63"/>
      <c r="AI118" s="62"/>
      <c r="AJ118" s="63"/>
      <c r="AK118" s="62"/>
      <c r="AL118" s="63"/>
      <c r="AM118" s="62"/>
      <c r="AN118" s="63"/>
      <c r="AO118" s="62"/>
      <c r="AP118" s="63"/>
      <c r="AQ118" s="62"/>
      <c r="AR118" s="63"/>
      <c r="AS118" s="62"/>
      <c r="AT118" s="63"/>
      <c r="AU118" s="62"/>
      <c r="AV118" s="63"/>
      <c r="AW118" s="62"/>
      <c r="AX118" s="63"/>
      <c r="AY118" s="62"/>
      <c r="AZ118" s="63"/>
      <c r="BA118" s="62"/>
      <c r="BB118" s="63"/>
      <c r="BC118" s="62"/>
      <c r="BD118" s="63"/>
      <c r="BE118" s="62"/>
      <c r="BF118" s="63"/>
      <c r="BG118" s="62"/>
      <c r="BH118" s="63"/>
      <c r="BI118" s="62"/>
      <c r="BJ118" s="63"/>
      <c r="BK118" s="62"/>
      <c r="BL118" s="63"/>
      <c r="BM118" s="62"/>
      <c r="BN118" s="63"/>
      <c r="BO118" s="62"/>
      <c r="BP118" s="63"/>
      <c r="BQ118" s="62"/>
      <c r="BR118" s="63"/>
      <c r="BS118" s="62"/>
      <c r="BT118" s="63"/>
      <c r="BU118" s="62"/>
      <c r="BV118" s="63"/>
      <c r="BW118" s="62"/>
      <c r="BX118" s="63"/>
      <c r="BY118" s="62"/>
      <c r="BZ118" s="63"/>
      <c r="CA118" s="62"/>
      <c r="CB118" s="63"/>
      <c r="CC118" s="62"/>
      <c r="CD118" s="63"/>
      <c r="CE118" s="62"/>
      <c r="CF118" s="63"/>
      <c r="CG118" s="62"/>
      <c r="CH118" s="63"/>
      <c r="CI118" s="62"/>
      <c r="CJ118" s="63"/>
      <c r="CK118" s="62"/>
      <c r="CL118" s="63"/>
      <c r="CM118" s="62"/>
      <c r="CN118" s="63"/>
      <c r="CO118" s="62"/>
      <c r="CP118" s="63"/>
      <c r="CQ118" s="62"/>
      <c r="CR118" s="63"/>
      <c r="CS118" s="62"/>
      <c r="CT118" s="63"/>
      <c r="CU118" s="62"/>
      <c r="CV118" s="63"/>
      <c r="CW118" s="62"/>
      <c r="CX118" s="63"/>
      <c r="CY118" s="62"/>
      <c r="CZ118" s="63"/>
    </row>
    <row r="119" spans="1:104" x14ac:dyDescent="0.25">
      <c r="A119" s="51" t="str">
        <f>D119&amp;C119</f>
        <v>i2c_od_0</v>
      </c>
      <c r="B119" s="2" t="str">
        <f>UPPER(D119)&amp;" IOs"</f>
        <v>I2C_OD IOs</v>
      </c>
      <c r="C119" s="2" t="s">
        <v>18</v>
      </c>
      <c r="D119" s="2" t="s">
        <v>907</v>
      </c>
      <c r="E119" s="2" t="str">
        <f>VLOOKUP($D119&amp;"_"&amp;E$3,MDB,6,0)</f>
        <v>7 LVCMOS IO</v>
      </c>
      <c r="F119" s="2" t="str">
        <f>VLOOKUP($D119&amp;"_"&amp;F$3,MDB,6,0)</f>
        <v>I2C with OD</v>
      </c>
      <c r="G119" s="52">
        <v>1</v>
      </c>
      <c r="H119" s="64" t="s">
        <v>911</v>
      </c>
      <c r="I119" s="52"/>
      <c r="J119" s="64" t="s">
        <v>69</v>
      </c>
      <c r="K119" s="52"/>
      <c r="L119" s="64" t="s">
        <v>69</v>
      </c>
      <c r="M119" s="52"/>
      <c r="N119" s="64" t="s">
        <v>69</v>
      </c>
      <c r="O119" s="52"/>
      <c r="P119" s="64" t="s">
        <v>69</v>
      </c>
      <c r="Q119" s="52"/>
      <c r="R119" s="64" t="s">
        <v>69</v>
      </c>
      <c r="S119" s="52"/>
      <c r="T119" s="64" t="s">
        <v>69</v>
      </c>
      <c r="U119" s="52"/>
      <c r="V119" s="64" t="s">
        <v>69</v>
      </c>
      <c r="W119" s="52"/>
      <c r="X119" s="64" t="s">
        <v>69</v>
      </c>
      <c r="Y119" s="52"/>
      <c r="Z119" s="64" t="s">
        <v>69</v>
      </c>
      <c r="AA119" s="52"/>
      <c r="AB119" s="64" t="s">
        <v>69</v>
      </c>
      <c r="AC119" s="52"/>
      <c r="AD119" s="64" t="s">
        <v>69</v>
      </c>
      <c r="AE119" s="52"/>
      <c r="AF119" s="64" t="s">
        <v>69</v>
      </c>
      <c r="AG119" s="52"/>
      <c r="AH119" s="64" t="s">
        <v>69</v>
      </c>
      <c r="AI119" s="52"/>
      <c r="AJ119" s="64" t="s">
        <v>69</v>
      </c>
      <c r="AK119" s="52"/>
      <c r="AL119" s="64" t="s">
        <v>69</v>
      </c>
      <c r="AM119" s="52"/>
      <c r="AN119" s="64" t="s">
        <v>69</v>
      </c>
      <c r="AO119" s="52"/>
      <c r="AP119" s="64" t="s">
        <v>69</v>
      </c>
      <c r="AQ119" s="52"/>
      <c r="AR119" s="64" t="s">
        <v>69</v>
      </c>
      <c r="AS119" s="52"/>
      <c r="AT119" s="64" t="s">
        <v>69</v>
      </c>
      <c r="AU119" s="52"/>
      <c r="AV119" s="64" t="s">
        <v>69</v>
      </c>
      <c r="AW119" s="52"/>
      <c r="AX119" s="64" t="s">
        <v>69</v>
      </c>
      <c r="AY119" s="52"/>
      <c r="AZ119" s="64" t="s">
        <v>69</v>
      </c>
      <c r="BA119" s="52"/>
      <c r="BB119" s="64" t="s">
        <v>69</v>
      </c>
      <c r="BC119" s="52"/>
      <c r="BD119" s="64" t="s">
        <v>69</v>
      </c>
      <c r="BE119" s="52"/>
      <c r="BF119" s="64" t="s">
        <v>69</v>
      </c>
      <c r="BG119" s="52"/>
      <c r="BH119" s="64" t="s">
        <v>69</v>
      </c>
      <c r="BI119" s="52"/>
      <c r="BJ119" s="64" t="s">
        <v>69</v>
      </c>
      <c r="BK119" s="52">
        <v>0</v>
      </c>
      <c r="BL119" s="64" t="s">
        <v>1052</v>
      </c>
      <c r="BM119" s="52">
        <v>0</v>
      </c>
      <c r="BN119" s="64" t="s">
        <v>1052</v>
      </c>
      <c r="BO119" s="52">
        <v>0</v>
      </c>
      <c r="BP119" s="64" t="s">
        <v>1052</v>
      </c>
      <c r="BQ119" s="52">
        <v>0</v>
      </c>
      <c r="BR119" s="64" t="s">
        <v>1052</v>
      </c>
      <c r="BS119" s="52">
        <v>0</v>
      </c>
      <c r="BT119" s="64" t="s">
        <v>1052</v>
      </c>
      <c r="BU119" s="52">
        <v>0</v>
      </c>
      <c r="BV119" s="64" t="s">
        <v>1052</v>
      </c>
      <c r="BW119" s="52">
        <v>0</v>
      </c>
      <c r="BX119" s="64" t="s">
        <v>1052</v>
      </c>
      <c r="BY119" s="52">
        <v>0</v>
      </c>
      <c r="BZ119" s="64" t="s">
        <v>1052</v>
      </c>
      <c r="CA119" s="52">
        <v>0</v>
      </c>
      <c r="CB119" s="64" t="s">
        <v>1052</v>
      </c>
      <c r="CC119" s="52">
        <v>0</v>
      </c>
      <c r="CD119" s="64" t="s">
        <v>1052</v>
      </c>
      <c r="CE119" s="52">
        <v>0</v>
      </c>
      <c r="CF119" s="64" t="s">
        <v>1052</v>
      </c>
      <c r="CG119" s="52">
        <v>0</v>
      </c>
      <c r="CH119" s="64" t="s">
        <v>1052</v>
      </c>
      <c r="CI119" s="52">
        <v>0</v>
      </c>
      <c r="CJ119" s="64" t="s">
        <v>1052</v>
      </c>
      <c r="CK119" s="52">
        <v>0</v>
      </c>
      <c r="CL119" s="64" t="s">
        <v>1052</v>
      </c>
      <c r="CM119" s="52">
        <v>0</v>
      </c>
      <c r="CN119" s="64" t="s">
        <v>1052</v>
      </c>
      <c r="CO119" s="52">
        <v>0</v>
      </c>
      <c r="CP119" s="64" t="s">
        <v>1052</v>
      </c>
      <c r="CQ119" s="52">
        <v>0</v>
      </c>
      <c r="CR119" s="64" t="s">
        <v>1052</v>
      </c>
      <c r="CS119" s="52">
        <v>0</v>
      </c>
      <c r="CT119" s="64" t="s">
        <v>1052</v>
      </c>
      <c r="CU119" s="52">
        <v>0</v>
      </c>
      <c r="CV119" s="64" t="s">
        <v>1052</v>
      </c>
      <c r="CW119" s="52">
        <v>0</v>
      </c>
      <c r="CX119" s="64" t="s">
        <v>1052</v>
      </c>
      <c r="CY119" s="52">
        <v>0</v>
      </c>
      <c r="CZ119" s="64" t="s">
        <v>1052</v>
      </c>
    </row>
    <row r="120" spans="1:104" x14ac:dyDescent="0.25">
      <c r="A120" s="51" t="str">
        <f>D120&amp;C120</f>
        <v>i2c_od_1</v>
      </c>
      <c r="B120" s="2" t="str">
        <f>UPPER(D120)&amp;" IOs"</f>
        <v>I2C_OD IOs</v>
      </c>
      <c r="C120" s="2" t="s">
        <v>19</v>
      </c>
      <c r="D120" s="2" t="s">
        <v>907</v>
      </c>
      <c r="E120" s="2" t="str">
        <f>VLOOKUP($D120&amp;"_"&amp;E$3,MDB,6,0)</f>
        <v>7 LVCMOS IO</v>
      </c>
      <c r="F120" s="2" t="str">
        <f>VLOOKUP($D120&amp;"_"&amp;F$3,MDB,6,0)</f>
        <v>I2C with OD</v>
      </c>
      <c r="G120" s="52">
        <v>1</v>
      </c>
      <c r="H120" s="64" t="s">
        <v>911</v>
      </c>
      <c r="I120" s="52"/>
      <c r="J120" s="64" t="s">
        <v>69</v>
      </c>
      <c r="K120" s="52"/>
      <c r="L120" s="64" t="s">
        <v>69</v>
      </c>
      <c r="M120" s="52"/>
      <c r="N120" s="64" t="s">
        <v>69</v>
      </c>
      <c r="O120" s="52"/>
      <c r="P120" s="64" t="s">
        <v>69</v>
      </c>
      <c r="Q120" s="52"/>
      <c r="R120" s="64" t="s">
        <v>69</v>
      </c>
      <c r="S120" s="52"/>
      <c r="T120" s="64" t="s">
        <v>69</v>
      </c>
      <c r="U120" s="52"/>
      <c r="V120" s="64" t="s">
        <v>69</v>
      </c>
      <c r="W120" s="52"/>
      <c r="X120" s="64" t="s">
        <v>69</v>
      </c>
      <c r="Y120" s="52"/>
      <c r="Z120" s="64" t="s">
        <v>69</v>
      </c>
      <c r="AA120" s="52"/>
      <c r="AB120" s="64" t="s">
        <v>69</v>
      </c>
      <c r="AC120" s="52"/>
      <c r="AD120" s="64" t="s">
        <v>69</v>
      </c>
      <c r="AE120" s="52"/>
      <c r="AF120" s="64" t="s">
        <v>69</v>
      </c>
      <c r="AG120" s="52"/>
      <c r="AH120" s="64" t="s">
        <v>69</v>
      </c>
      <c r="AI120" s="52"/>
      <c r="AJ120" s="64" t="s">
        <v>69</v>
      </c>
      <c r="AK120" s="52"/>
      <c r="AL120" s="64" t="s">
        <v>69</v>
      </c>
      <c r="AM120" s="52"/>
      <c r="AN120" s="64" t="s">
        <v>69</v>
      </c>
      <c r="AO120" s="52"/>
      <c r="AP120" s="64" t="s">
        <v>69</v>
      </c>
      <c r="AQ120" s="52"/>
      <c r="AR120" s="64" t="s">
        <v>69</v>
      </c>
      <c r="AS120" s="52"/>
      <c r="AT120" s="64" t="s">
        <v>69</v>
      </c>
      <c r="AU120" s="52"/>
      <c r="AV120" s="64" t="s">
        <v>69</v>
      </c>
      <c r="AW120" s="52"/>
      <c r="AX120" s="64" t="s">
        <v>69</v>
      </c>
      <c r="AY120" s="52"/>
      <c r="AZ120" s="64" t="s">
        <v>69</v>
      </c>
      <c r="BA120" s="52"/>
      <c r="BB120" s="64" t="s">
        <v>69</v>
      </c>
      <c r="BC120" s="52"/>
      <c r="BD120" s="64" t="s">
        <v>69</v>
      </c>
      <c r="BE120" s="52"/>
      <c r="BF120" s="64" t="s">
        <v>69</v>
      </c>
      <c r="BG120" s="52"/>
      <c r="BH120" s="64" t="s">
        <v>69</v>
      </c>
      <c r="BI120" s="52"/>
      <c r="BJ120" s="64" t="s">
        <v>69</v>
      </c>
      <c r="BK120" s="52">
        <v>0</v>
      </c>
      <c r="BL120" s="64" t="s">
        <v>1052</v>
      </c>
      <c r="BM120" s="52">
        <v>0</v>
      </c>
      <c r="BN120" s="64" t="s">
        <v>1052</v>
      </c>
      <c r="BO120" s="52">
        <v>0</v>
      </c>
      <c r="BP120" s="64" t="s">
        <v>1052</v>
      </c>
      <c r="BQ120" s="52">
        <v>0</v>
      </c>
      <c r="BR120" s="64" t="s">
        <v>1052</v>
      </c>
      <c r="BS120" s="52">
        <v>0</v>
      </c>
      <c r="BT120" s="64" t="s">
        <v>1052</v>
      </c>
      <c r="BU120" s="52">
        <v>0</v>
      </c>
      <c r="BV120" s="64" t="s">
        <v>1052</v>
      </c>
      <c r="BW120" s="52">
        <v>0</v>
      </c>
      <c r="BX120" s="64" t="s">
        <v>1052</v>
      </c>
      <c r="BY120" s="52">
        <v>0</v>
      </c>
      <c r="BZ120" s="64" t="s">
        <v>1052</v>
      </c>
      <c r="CA120" s="52">
        <v>0</v>
      </c>
      <c r="CB120" s="64" t="s">
        <v>1052</v>
      </c>
      <c r="CC120" s="52">
        <v>0</v>
      </c>
      <c r="CD120" s="64" t="s">
        <v>1052</v>
      </c>
      <c r="CE120" s="52">
        <v>0</v>
      </c>
      <c r="CF120" s="64" t="s">
        <v>1052</v>
      </c>
      <c r="CG120" s="52">
        <v>0</v>
      </c>
      <c r="CH120" s="64" t="s">
        <v>1052</v>
      </c>
      <c r="CI120" s="52">
        <v>0</v>
      </c>
      <c r="CJ120" s="64" t="s">
        <v>1052</v>
      </c>
      <c r="CK120" s="52">
        <v>0</v>
      </c>
      <c r="CL120" s="64" t="s">
        <v>1052</v>
      </c>
      <c r="CM120" s="52">
        <v>0</v>
      </c>
      <c r="CN120" s="64" t="s">
        <v>1052</v>
      </c>
      <c r="CO120" s="52">
        <v>0</v>
      </c>
      <c r="CP120" s="64" t="s">
        <v>1052</v>
      </c>
      <c r="CQ120" s="52">
        <v>0</v>
      </c>
      <c r="CR120" s="64" t="s">
        <v>1052</v>
      </c>
      <c r="CS120" s="52">
        <v>0</v>
      </c>
      <c r="CT120" s="64" t="s">
        <v>1052</v>
      </c>
      <c r="CU120" s="52">
        <v>0</v>
      </c>
      <c r="CV120" s="64" t="s">
        <v>1052</v>
      </c>
      <c r="CW120" s="52">
        <v>0</v>
      </c>
      <c r="CX120" s="64" t="s">
        <v>1052</v>
      </c>
      <c r="CY120" s="52">
        <v>0</v>
      </c>
      <c r="CZ120" s="64" t="s">
        <v>1052</v>
      </c>
    </row>
    <row r="121" spans="1:104" ht="11.1" customHeight="1" x14ac:dyDescent="0.25">
      <c r="A121" s="61"/>
      <c r="B121" s="60"/>
      <c r="C121" s="60"/>
      <c r="D121" s="60"/>
      <c r="E121" s="60"/>
      <c r="F121" s="60"/>
      <c r="G121" s="62"/>
      <c r="H121" s="63"/>
      <c r="I121" s="62"/>
      <c r="J121" s="63"/>
      <c r="K121" s="62"/>
      <c r="L121" s="63"/>
      <c r="M121" s="62"/>
      <c r="N121" s="63"/>
      <c r="O121" s="62"/>
      <c r="P121" s="63"/>
      <c r="Q121" s="62"/>
      <c r="R121" s="63"/>
      <c r="S121" s="62"/>
      <c r="T121" s="63"/>
      <c r="U121" s="62"/>
      <c r="V121" s="63"/>
      <c r="W121" s="62"/>
      <c r="X121" s="63"/>
      <c r="Y121" s="62"/>
      <c r="Z121" s="63"/>
      <c r="AA121" s="62"/>
      <c r="AB121" s="63"/>
      <c r="AC121" s="62"/>
      <c r="AD121" s="63"/>
      <c r="AE121" s="62"/>
      <c r="AF121" s="63"/>
      <c r="AG121" s="62"/>
      <c r="AH121" s="63"/>
      <c r="AI121" s="62"/>
      <c r="AJ121" s="63"/>
      <c r="AK121" s="62"/>
      <c r="AL121" s="63"/>
      <c r="AM121" s="62"/>
      <c r="AN121" s="63"/>
      <c r="AO121" s="62"/>
      <c r="AP121" s="63"/>
      <c r="AQ121" s="62"/>
      <c r="AR121" s="63"/>
      <c r="AS121" s="62"/>
      <c r="AT121" s="63"/>
      <c r="AU121" s="62"/>
      <c r="AV121" s="63"/>
      <c r="AW121" s="62"/>
      <c r="AX121" s="63"/>
      <c r="AY121" s="62"/>
      <c r="AZ121" s="63"/>
      <c r="BA121" s="62"/>
      <c r="BB121" s="63"/>
      <c r="BC121" s="62"/>
      <c r="BD121" s="63"/>
      <c r="BE121" s="62"/>
      <c r="BF121" s="63"/>
      <c r="BG121" s="62"/>
      <c r="BH121" s="63"/>
      <c r="BI121" s="62"/>
      <c r="BJ121" s="63"/>
      <c r="BK121" s="62"/>
      <c r="BL121" s="63"/>
      <c r="BM121" s="62"/>
      <c r="BN121" s="63"/>
      <c r="BO121" s="62"/>
      <c r="BP121" s="63"/>
      <c r="BQ121" s="62"/>
      <c r="BR121" s="63"/>
      <c r="BS121" s="62"/>
      <c r="BT121" s="63"/>
      <c r="BU121" s="62"/>
      <c r="BV121" s="63"/>
      <c r="BW121" s="62"/>
      <c r="BX121" s="63"/>
      <c r="BY121" s="62"/>
      <c r="BZ121" s="63"/>
      <c r="CA121" s="62"/>
      <c r="CB121" s="63"/>
      <c r="CC121" s="62"/>
      <c r="CD121" s="63"/>
      <c r="CE121" s="62"/>
      <c r="CF121" s="63"/>
      <c r="CG121" s="62"/>
      <c r="CH121" s="63"/>
      <c r="CI121" s="62"/>
      <c r="CJ121" s="63"/>
      <c r="CK121" s="62"/>
      <c r="CL121" s="63"/>
      <c r="CM121" s="62"/>
      <c r="CN121" s="63"/>
      <c r="CO121" s="62"/>
      <c r="CP121" s="63"/>
      <c r="CQ121" s="62"/>
      <c r="CR121" s="63"/>
      <c r="CS121" s="62"/>
      <c r="CT121" s="63"/>
      <c r="CU121" s="62"/>
      <c r="CV121" s="63"/>
      <c r="CW121" s="62"/>
      <c r="CX121" s="63"/>
      <c r="CY121" s="62"/>
      <c r="CZ121" s="63"/>
    </row>
    <row r="122" spans="1:104" x14ac:dyDescent="0.25">
      <c r="A122" s="51" t="str">
        <f>D122&amp;C122</f>
        <v>i2c_mcu_1</v>
      </c>
      <c r="B122" s="2" t="str">
        <f>UPPER(D122)&amp;" IOs"</f>
        <v>I2C IOs</v>
      </c>
      <c r="C122" s="2" t="s">
        <v>905</v>
      </c>
      <c r="D122" s="2" t="s">
        <v>906</v>
      </c>
      <c r="E122" s="2" t="str">
        <f t="shared" ref="E122:F125" si="12">VLOOKUP($D122&amp;"_"&amp;E$3,MDB,6,0)</f>
        <v>7 LVCMOS IO</v>
      </c>
      <c r="F122" s="2" t="str">
        <f t="shared" si="12"/>
        <v>I2C</v>
      </c>
      <c r="G122" s="52">
        <v>1</v>
      </c>
      <c r="H122" s="64" t="s">
        <v>901</v>
      </c>
      <c r="I122" s="52"/>
      <c r="J122" s="64" t="s">
        <v>1052</v>
      </c>
      <c r="K122" s="52"/>
      <c r="L122" s="64" t="s">
        <v>1052</v>
      </c>
      <c r="M122" s="52"/>
      <c r="N122" s="64" t="s">
        <v>1052</v>
      </c>
      <c r="O122" s="52"/>
      <c r="P122" s="64" t="s">
        <v>1052</v>
      </c>
      <c r="Q122" s="52"/>
      <c r="R122" s="64" t="s">
        <v>1052</v>
      </c>
      <c r="S122" s="52"/>
      <c r="T122" s="64" t="s">
        <v>1052</v>
      </c>
      <c r="U122" s="52"/>
      <c r="V122" s="64" t="s">
        <v>1052</v>
      </c>
      <c r="W122" s="52"/>
      <c r="X122" s="64" t="s">
        <v>1052</v>
      </c>
      <c r="Y122" s="52"/>
      <c r="Z122" s="64" t="s">
        <v>1052</v>
      </c>
      <c r="AA122" s="52"/>
      <c r="AB122" s="64" t="s">
        <v>1052</v>
      </c>
      <c r="AC122" s="52"/>
      <c r="AD122" s="64" t="s">
        <v>1052</v>
      </c>
      <c r="AE122" s="52"/>
      <c r="AF122" s="64" t="s">
        <v>1052</v>
      </c>
      <c r="AG122" s="52"/>
      <c r="AH122" s="64" t="s">
        <v>1052</v>
      </c>
      <c r="AI122" s="52"/>
      <c r="AJ122" s="64" t="s">
        <v>1052</v>
      </c>
      <c r="AK122" s="52"/>
      <c r="AL122" s="64" t="s">
        <v>1052</v>
      </c>
      <c r="AM122" s="52"/>
      <c r="AN122" s="64" t="s">
        <v>1052</v>
      </c>
      <c r="AO122" s="52"/>
      <c r="AP122" s="64" t="s">
        <v>1052</v>
      </c>
      <c r="AQ122" s="52"/>
      <c r="AR122" s="64" t="s">
        <v>1052</v>
      </c>
      <c r="AS122" s="52"/>
      <c r="AT122" s="64" t="s">
        <v>1052</v>
      </c>
      <c r="AU122" s="52"/>
      <c r="AV122" s="64" t="s">
        <v>1052</v>
      </c>
      <c r="AW122" s="52"/>
      <c r="AX122" s="64" t="s">
        <v>1052</v>
      </c>
      <c r="AY122" s="52"/>
      <c r="AZ122" s="64" t="s">
        <v>1052</v>
      </c>
      <c r="BA122" s="52"/>
      <c r="BB122" s="64" t="s">
        <v>1052</v>
      </c>
      <c r="BC122" s="52"/>
      <c r="BD122" s="64" t="s">
        <v>1052</v>
      </c>
      <c r="BE122" s="52"/>
      <c r="BF122" s="64" t="s">
        <v>1052</v>
      </c>
      <c r="BG122" s="52"/>
      <c r="BH122" s="64" t="s">
        <v>1052</v>
      </c>
      <c r="BI122" s="52"/>
      <c r="BJ122" s="64" t="s">
        <v>1052</v>
      </c>
      <c r="BK122" s="52">
        <v>0</v>
      </c>
      <c r="BL122" s="64" t="s">
        <v>1052</v>
      </c>
      <c r="BM122" s="52">
        <v>0</v>
      </c>
      <c r="BN122" s="64" t="s">
        <v>1052</v>
      </c>
      <c r="BO122" s="52">
        <v>0</v>
      </c>
      <c r="BP122" s="64" t="s">
        <v>1052</v>
      </c>
      <c r="BQ122" s="52">
        <v>0</v>
      </c>
      <c r="BR122" s="64" t="s">
        <v>1052</v>
      </c>
      <c r="BS122" s="52">
        <v>0</v>
      </c>
      <c r="BT122" s="64" t="s">
        <v>1052</v>
      </c>
      <c r="BU122" s="52">
        <v>0</v>
      </c>
      <c r="BV122" s="64" t="s">
        <v>1052</v>
      </c>
      <c r="BW122" s="52">
        <v>0</v>
      </c>
      <c r="BX122" s="64" t="s">
        <v>1052</v>
      </c>
      <c r="BY122" s="52">
        <v>0</v>
      </c>
      <c r="BZ122" s="64" t="s">
        <v>1052</v>
      </c>
      <c r="CA122" s="52">
        <v>0</v>
      </c>
      <c r="CB122" s="64" t="s">
        <v>1052</v>
      </c>
      <c r="CC122" s="52">
        <v>0</v>
      </c>
      <c r="CD122" s="64" t="s">
        <v>1052</v>
      </c>
      <c r="CE122" s="52">
        <v>0</v>
      </c>
      <c r="CF122" s="64" t="s">
        <v>1052</v>
      </c>
      <c r="CG122" s="52">
        <v>0</v>
      </c>
      <c r="CH122" s="64" t="s">
        <v>1052</v>
      </c>
      <c r="CI122" s="52">
        <v>0</v>
      </c>
      <c r="CJ122" s="64" t="s">
        <v>1052</v>
      </c>
      <c r="CK122" s="52">
        <v>0</v>
      </c>
      <c r="CL122" s="64" t="s">
        <v>1052</v>
      </c>
      <c r="CM122" s="52">
        <v>0</v>
      </c>
      <c r="CN122" s="64" t="s">
        <v>1052</v>
      </c>
      <c r="CO122" s="52">
        <v>0</v>
      </c>
      <c r="CP122" s="64" t="s">
        <v>1052</v>
      </c>
      <c r="CQ122" s="52">
        <v>0</v>
      </c>
      <c r="CR122" s="64" t="s">
        <v>1052</v>
      </c>
      <c r="CS122" s="52">
        <v>0</v>
      </c>
      <c r="CT122" s="64" t="s">
        <v>1052</v>
      </c>
      <c r="CU122" s="52">
        <v>0</v>
      </c>
      <c r="CV122" s="64" t="s">
        <v>1052</v>
      </c>
      <c r="CW122" s="52">
        <v>0</v>
      </c>
      <c r="CX122" s="64" t="s">
        <v>1052</v>
      </c>
      <c r="CY122" s="52">
        <v>0</v>
      </c>
      <c r="CZ122" s="64" t="s">
        <v>1052</v>
      </c>
    </row>
    <row r="123" spans="1:104" x14ac:dyDescent="0.25">
      <c r="A123" s="51" t="str">
        <f>D123&amp;C123</f>
        <v>i2c_2</v>
      </c>
      <c r="B123" s="2" t="str">
        <f>UPPER(D123)&amp;" IOs"</f>
        <v>I2C IOs</v>
      </c>
      <c r="C123" s="2" t="s">
        <v>20</v>
      </c>
      <c r="D123" s="2" t="s">
        <v>906</v>
      </c>
      <c r="E123" s="2" t="str">
        <f t="shared" si="12"/>
        <v>7 LVCMOS IO</v>
      </c>
      <c r="F123" s="2" t="str">
        <f t="shared" si="12"/>
        <v>I2C</v>
      </c>
      <c r="G123" s="52">
        <v>1</v>
      </c>
      <c r="H123" s="64" t="s">
        <v>901</v>
      </c>
      <c r="I123" s="52"/>
      <c r="J123" s="64" t="s">
        <v>1052</v>
      </c>
      <c r="K123" s="52"/>
      <c r="L123" s="64" t="s">
        <v>1052</v>
      </c>
      <c r="M123" s="52"/>
      <c r="N123" s="64" t="s">
        <v>1052</v>
      </c>
      <c r="O123" s="52"/>
      <c r="P123" s="64" t="s">
        <v>1052</v>
      </c>
      <c r="Q123" s="52"/>
      <c r="R123" s="64" t="s">
        <v>1052</v>
      </c>
      <c r="S123" s="52"/>
      <c r="T123" s="64" t="s">
        <v>1052</v>
      </c>
      <c r="U123" s="52"/>
      <c r="V123" s="64" t="s">
        <v>1052</v>
      </c>
      <c r="W123" s="52"/>
      <c r="X123" s="64" t="s">
        <v>1052</v>
      </c>
      <c r="Y123" s="52"/>
      <c r="Z123" s="64" t="s">
        <v>1052</v>
      </c>
      <c r="AA123" s="52"/>
      <c r="AB123" s="64" t="s">
        <v>1052</v>
      </c>
      <c r="AC123" s="52"/>
      <c r="AD123" s="64" t="s">
        <v>1052</v>
      </c>
      <c r="AE123" s="52"/>
      <c r="AF123" s="64" t="s">
        <v>1052</v>
      </c>
      <c r="AG123" s="52"/>
      <c r="AH123" s="64" t="s">
        <v>1052</v>
      </c>
      <c r="AI123" s="52"/>
      <c r="AJ123" s="64" t="s">
        <v>1052</v>
      </c>
      <c r="AK123" s="52"/>
      <c r="AL123" s="64" t="s">
        <v>1052</v>
      </c>
      <c r="AM123" s="52"/>
      <c r="AN123" s="64" t="s">
        <v>1052</v>
      </c>
      <c r="AO123" s="52"/>
      <c r="AP123" s="64" t="s">
        <v>1052</v>
      </c>
      <c r="AQ123" s="52"/>
      <c r="AR123" s="64" t="s">
        <v>1052</v>
      </c>
      <c r="AS123" s="52"/>
      <c r="AT123" s="64" t="s">
        <v>1052</v>
      </c>
      <c r="AU123" s="52"/>
      <c r="AV123" s="64" t="s">
        <v>1052</v>
      </c>
      <c r="AW123" s="52"/>
      <c r="AX123" s="64" t="s">
        <v>1052</v>
      </c>
      <c r="AY123" s="52"/>
      <c r="AZ123" s="64" t="s">
        <v>1052</v>
      </c>
      <c r="BA123" s="52"/>
      <c r="BB123" s="64" t="s">
        <v>1052</v>
      </c>
      <c r="BC123" s="52"/>
      <c r="BD123" s="64" t="s">
        <v>1052</v>
      </c>
      <c r="BE123" s="52"/>
      <c r="BF123" s="64" t="s">
        <v>1052</v>
      </c>
      <c r="BG123" s="52"/>
      <c r="BH123" s="64" t="s">
        <v>1052</v>
      </c>
      <c r="BI123" s="52"/>
      <c r="BJ123" s="64" t="s">
        <v>1052</v>
      </c>
      <c r="BK123" s="52">
        <v>0</v>
      </c>
      <c r="BL123" s="64" t="s">
        <v>1052</v>
      </c>
      <c r="BM123" s="52">
        <v>0</v>
      </c>
      <c r="BN123" s="64" t="s">
        <v>1052</v>
      </c>
      <c r="BO123" s="52">
        <v>0</v>
      </c>
      <c r="BP123" s="64" t="s">
        <v>1052</v>
      </c>
      <c r="BQ123" s="52">
        <v>0</v>
      </c>
      <c r="BR123" s="64" t="s">
        <v>1052</v>
      </c>
      <c r="BS123" s="52">
        <v>0</v>
      </c>
      <c r="BT123" s="64" t="s">
        <v>1052</v>
      </c>
      <c r="BU123" s="52">
        <v>0</v>
      </c>
      <c r="BV123" s="64" t="s">
        <v>1052</v>
      </c>
      <c r="BW123" s="52">
        <v>0</v>
      </c>
      <c r="BX123" s="64" t="s">
        <v>1052</v>
      </c>
      <c r="BY123" s="52">
        <v>0</v>
      </c>
      <c r="BZ123" s="64" t="s">
        <v>1052</v>
      </c>
      <c r="CA123" s="52">
        <v>0</v>
      </c>
      <c r="CB123" s="64" t="s">
        <v>1052</v>
      </c>
      <c r="CC123" s="52">
        <v>0</v>
      </c>
      <c r="CD123" s="64" t="s">
        <v>1052</v>
      </c>
      <c r="CE123" s="52">
        <v>0</v>
      </c>
      <c r="CF123" s="64" t="s">
        <v>1052</v>
      </c>
      <c r="CG123" s="52">
        <v>0</v>
      </c>
      <c r="CH123" s="64" t="s">
        <v>1052</v>
      </c>
      <c r="CI123" s="52">
        <v>0</v>
      </c>
      <c r="CJ123" s="64" t="s">
        <v>1052</v>
      </c>
      <c r="CK123" s="52">
        <v>0</v>
      </c>
      <c r="CL123" s="64" t="s">
        <v>1052</v>
      </c>
      <c r="CM123" s="52">
        <v>0</v>
      </c>
      <c r="CN123" s="64" t="s">
        <v>1052</v>
      </c>
      <c r="CO123" s="52">
        <v>0</v>
      </c>
      <c r="CP123" s="64" t="s">
        <v>1052</v>
      </c>
      <c r="CQ123" s="52">
        <v>0</v>
      </c>
      <c r="CR123" s="64" t="s">
        <v>1052</v>
      </c>
      <c r="CS123" s="52">
        <v>0</v>
      </c>
      <c r="CT123" s="64" t="s">
        <v>1052</v>
      </c>
      <c r="CU123" s="52">
        <v>0</v>
      </c>
      <c r="CV123" s="64" t="s">
        <v>1052</v>
      </c>
      <c r="CW123" s="52">
        <v>0</v>
      </c>
      <c r="CX123" s="64" t="s">
        <v>1052</v>
      </c>
      <c r="CY123" s="52">
        <v>0</v>
      </c>
      <c r="CZ123" s="64" t="s">
        <v>1052</v>
      </c>
    </row>
    <row r="124" spans="1:104" x14ac:dyDescent="0.25">
      <c r="A124" s="51" t="str">
        <f>D124&amp;C124</f>
        <v>i2c_3</v>
      </c>
      <c r="B124" s="2" t="str">
        <f>UPPER(D124)&amp;" IOs"</f>
        <v>I2C IOs</v>
      </c>
      <c r="C124" s="2" t="s">
        <v>22</v>
      </c>
      <c r="D124" s="2" t="s">
        <v>906</v>
      </c>
      <c r="E124" s="2" t="str">
        <f t="shared" si="12"/>
        <v>7 LVCMOS IO</v>
      </c>
      <c r="F124" s="2" t="str">
        <f t="shared" si="12"/>
        <v>I2C</v>
      </c>
      <c r="G124" s="52">
        <v>1</v>
      </c>
      <c r="H124" s="64" t="s">
        <v>901</v>
      </c>
      <c r="I124" s="52"/>
      <c r="J124" s="64" t="s">
        <v>1052</v>
      </c>
      <c r="K124" s="52"/>
      <c r="L124" s="64" t="s">
        <v>1052</v>
      </c>
      <c r="M124" s="52"/>
      <c r="N124" s="64" t="s">
        <v>1052</v>
      </c>
      <c r="O124" s="52"/>
      <c r="P124" s="64" t="s">
        <v>1052</v>
      </c>
      <c r="Q124" s="52"/>
      <c r="R124" s="64" t="s">
        <v>1052</v>
      </c>
      <c r="S124" s="52"/>
      <c r="T124" s="64" t="s">
        <v>1052</v>
      </c>
      <c r="U124" s="52"/>
      <c r="V124" s="64" t="s">
        <v>1052</v>
      </c>
      <c r="W124" s="52"/>
      <c r="X124" s="64" t="s">
        <v>1052</v>
      </c>
      <c r="Y124" s="52"/>
      <c r="Z124" s="64" t="s">
        <v>1052</v>
      </c>
      <c r="AA124" s="52"/>
      <c r="AB124" s="64" t="s">
        <v>1052</v>
      </c>
      <c r="AC124" s="52"/>
      <c r="AD124" s="64" t="s">
        <v>1052</v>
      </c>
      <c r="AE124" s="52"/>
      <c r="AF124" s="64" t="s">
        <v>1052</v>
      </c>
      <c r="AG124" s="52"/>
      <c r="AH124" s="64" t="s">
        <v>1052</v>
      </c>
      <c r="AI124" s="52"/>
      <c r="AJ124" s="64" t="s">
        <v>1052</v>
      </c>
      <c r="AK124" s="52"/>
      <c r="AL124" s="64" t="s">
        <v>1052</v>
      </c>
      <c r="AM124" s="52"/>
      <c r="AN124" s="64" t="s">
        <v>1052</v>
      </c>
      <c r="AO124" s="52"/>
      <c r="AP124" s="64" t="s">
        <v>1052</v>
      </c>
      <c r="AQ124" s="52"/>
      <c r="AR124" s="64" t="s">
        <v>1052</v>
      </c>
      <c r="AS124" s="52"/>
      <c r="AT124" s="64" t="s">
        <v>1052</v>
      </c>
      <c r="AU124" s="52"/>
      <c r="AV124" s="64" t="s">
        <v>1052</v>
      </c>
      <c r="AW124" s="52"/>
      <c r="AX124" s="64" t="s">
        <v>1052</v>
      </c>
      <c r="AY124" s="52"/>
      <c r="AZ124" s="64" t="s">
        <v>1052</v>
      </c>
      <c r="BA124" s="52"/>
      <c r="BB124" s="64" t="s">
        <v>1052</v>
      </c>
      <c r="BC124" s="52"/>
      <c r="BD124" s="64" t="s">
        <v>1052</v>
      </c>
      <c r="BE124" s="52"/>
      <c r="BF124" s="64" t="s">
        <v>1052</v>
      </c>
      <c r="BG124" s="52"/>
      <c r="BH124" s="64" t="s">
        <v>1052</v>
      </c>
      <c r="BI124" s="52"/>
      <c r="BJ124" s="64" t="s">
        <v>1052</v>
      </c>
      <c r="BK124" s="52">
        <v>0</v>
      </c>
      <c r="BL124" s="64" t="s">
        <v>1052</v>
      </c>
      <c r="BM124" s="52">
        <v>0</v>
      </c>
      <c r="BN124" s="64" t="s">
        <v>1052</v>
      </c>
      <c r="BO124" s="52">
        <v>0</v>
      </c>
      <c r="BP124" s="64" t="s">
        <v>1052</v>
      </c>
      <c r="BQ124" s="52">
        <v>0</v>
      </c>
      <c r="BR124" s="64" t="s">
        <v>1052</v>
      </c>
      <c r="BS124" s="52">
        <v>0</v>
      </c>
      <c r="BT124" s="64" t="s">
        <v>1052</v>
      </c>
      <c r="BU124" s="52">
        <v>0</v>
      </c>
      <c r="BV124" s="64" t="s">
        <v>1052</v>
      </c>
      <c r="BW124" s="52">
        <v>0</v>
      </c>
      <c r="BX124" s="64" t="s">
        <v>1052</v>
      </c>
      <c r="BY124" s="52">
        <v>0</v>
      </c>
      <c r="BZ124" s="64" t="s">
        <v>1052</v>
      </c>
      <c r="CA124" s="52">
        <v>0</v>
      </c>
      <c r="CB124" s="64" t="s">
        <v>1052</v>
      </c>
      <c r="CC124" s="52">
        <v>0</v>
      </c>
      <c r="CD124" s="64" t="s">
        <v>1052</v>
      </c>
      <c r="CE124" s="52">
        <v>0</v>
      </c>
      <c r="CF124" s="64" t="s">
        <v>1052</v>
      </c>
      <c r="CG124" s="52">
        <v>0</v>
      </c>
      <c r="CH124" s="64" t="s">
        <v>1052</v>
      </c>
      <c r="CI124" s="52">
        <v>0</v>
      </c>
      <c r="CJ124" s="64" t="s">
        <v>1052</v>
      </c>
      <c r="CK124" s="52">
        <v>0</v>
      </c>
      <c r="CL124" s="64" t="s">
        <v>1052</v>
      </c>
      <c r="CM124" s="52">
        <v>0</v>
      </c>
      <c r="CN124" s="64" t="s">
        <v>1052</v>
      </c>
      <c r="CO124" s="52">
        <v>0</v>
      </c>
      <c r="CP124" s="64" t="s">
        <v>1052</v>
      </c>
      <c r="CQ124" s="52">
        <v>0</v>
      </c>
      <c r="CR124" s="64" t="s">
        <v>1052</v>
      </c>
      <c r="CS124" s="52">
        <v>0</v>
      </c>
      <c r="CT124" s="64" t="s">
        <v>1052</v>
      </c>
      <c r="CU124" s="52">
        <v>0</v>
      </c>
      <c r="CV124" s="64" t="s">
        <v>1052</v>
      </c>
      <c r="CW124" s="52">
        <v>0</v>
      </c>
      <c r="CX124" s="64" t="s">
        <v>1052</v>
      </c>
      <c r="CY124" s="52">
        <v>0</v>
      </c>
      <c r="CZ124" s="64" t="s">
        <v>1052</v>
      </c>
    </row>
    <row r="125" spans="1:104" x14ac:dyDescent="0.25">
      <c r="A125" s="51" t="str">
        <f>D125&amp;C125</f>
        <v>i2c_4</v>
      </c>
      <c r="B125" s="2" t="str">
        <f>UPPER(D125)&amp;" IOs"</f>
        <v>I2C IOs</v>
      </c>
      <c r="C125" s="2" t="s">
        <v>23</v>
      </c>
      <c r="D125" s="2" t="s">
        <v>906</v>
      </c>
      <c r="E125" s="2" t="str">
        <f t="shared" si="12"/>
        <v>7 LVCMOS IO</v>
      </c>
      <c r="F125" s="2" t="str">
        <f t="shared" si="12"/>
        <v>I2C</v>
      </c>
      <c r="G125" s="52">
        <v>1</v>
      </c>
      <c r="H125" s="64" t="s">
        <v>901</v>
      </c>
      <c r="I125" s="52"/>
      <c r="J125" s="64" t="s">
        <v>1052</v>
      </c>
      <c r="K125" s="52"/>
      <c r="L125" s="64" t="s">
        <v>1052</v>
      </c>
      <c r="M125" s="52"/>
      <c r="N125" s="64" t="s">
        <v>1052</v>
      </c>
      <c r="O125" s="52"/>
      <c r="P125" s="64" t="s">
        <v>1052</v>
      </c>
      <c r="Q125" s="52"/>
      <c r="R125" s="64" t="s">
        <v>1052</v>
      </c>
      <c r="S125" s="52"/>
      <c r="T125" s="64" t="s">
        <v>1052</v>
      </c>
      <c r="U125" s="52"/>
      <c r="V125" s="64" t="s">
        <v>1052</v>
      </c>
      <c r="W125" s="52"/>
      <c r="X125" s="64" t="s">
        <v>1052</v>
      </c>
      <c r="Y125" s="52"/>
      <c r="Z125" s="64" t="s">
        <v>1052</v>
      </c>
      <c r="AA125" s="52"/>
      <c r="AB125" s="64" t="s">
        <v>1052</v>
      </c>
      <c r="AC125" s="52"/>
      <c r="AD125" s="64" t="s">
        <v>1052</v>
      </c>
      <c r="AE125" s="52"/>
      <c r="AF125" s="64" t="s">
        <v>1052</v>
      </c>
      <c r="AG125" s="52"/>
      <c r="AH125" s="64" t="s">
        <v>1052</v>
      </c>
      <c r="AI125" s="52"/>
      <c r="AJ125" s="64" t="s">
        <v>1052</v>
      </c>
      <c r="AK125" s="52"/>
      <c r="AL125" s="64" t="s">
        <v>1052</v>
      </c>
      <c r="AM125" s="52"/>
      <c r="AN125" s="64" t="s">
        <v>1052</v>
      </c>
      <c r="AO125" s="52"/>
      <c r="AP125" s="64" t="s">
        <v>1052</v>
      </c>
      <c r="AQ125" s="52"/>
      <c r="AR125" s="64" t="s">
        <v>1052</v>
      </c>
      <c r="AS125" s="52"/>
      <c r="AT125" s="64" t="s">
        <v>1052</v>
      </c>
      <c r="AU125" s="52"/>
      <c r="AV125" s="64" t="s">
        <v>1052</v>
      </c>
      <c r="AW125" s="52"/>
      <c r="AX125" s="64" t="s">
        <v>1052</v>
      </c>
      <c r="AY125" s="52"/>
      <c r="AZ125" s="64" t="s">
        <v>1052</v>
      </c>
      <c r="BA125" s="52"/>
      <c r="BB125" s="64" t="s">
        <v>1052</v>
      </c>
      <c r="BC125" s="52"/>
      <c r="BD125" s="64" t="s">
        <v>1052</v>
      </c>
      <c r="BE125" s="52"/>
      <c r="BF125" s="64" t="s">
        <v>1052</v>
      </c>
      <c r="BG125" s="52"/>
      <c r="BH125" s="64" t="s">
        <v>1052</v>
      </c>
      <c r="BI125" s="52"/>
      <c r="BJ125" s="64" t="s">
        <v>1052</v>
      </c>
      <c r="BK125" s="52">
        <v>0</v>
      </c>
      <c r="BL125" s="64" t="s">
        <v>1052</v>
      </c>
      <c r="BM125" s="52">
        <v>0</v>
      </c>
      <c r="BN125" s="64" t="s">
        <v>1052</v>
      </c>
      <c r="BO125" s="52">
        <v>0</v>
      </c>
      <c r="BP125" s="64" t="s">
        <v>1052</v>
      </c>
      <c r="BQ125" s="52">
        <v>0</v>
      </c>
      <c r="BR125" s="64" t="s">
        <v>1052</v>
      </c>
      <c r="BS125" s="52">
        <v>0</v>
      </c>
      <c r="BT125" s="64" t="s">
        <v>1052</v>
      </c>
      <c r="BU125" s="52">
        <v>0</v>
      </c>
      <c r="BV125" s="64" t="s">
        <v>1052</v>
      </c>
      <c r="BW125" s="52">
        <v>0</v>
      </c>
      <c r="BX125" s="64" t="s">
        <v>1052</v>
      </c>
      <c r="BY125" s="52">
        <v>0</v>
      </c>
      <c r="BZ125" s="64" t="s">
        <v>1052</v>
      </c>
      <c r="CA125" s="52">
        <v>0</v>
      </c>
      <c r="CB125" s="64" t="s">
        <v>1052</v>
      </c>
      <c r="CC125" s="52">
        <v>0</v>
      </c>
      <c r="CD125" s="64" t="s">
        <v>1052</v>
      </c>
      <c r="CE125" s="52">
        <v>0</v>
      </c>
      <c r="CF125" s="64" t="s">
        <v>1052</v>
      </c>
      <c r="CG125" s="52">
        <v>0</v>
      </c>
      <c r="CH125" s="64" t="s">
        <v>1052</v>
      </c>
      <c r="CI125" s="52">
        <v>0</v>
      </c>
      <c r="CJ125" s="64" t="s">
        <v>1052</v>
      </c>
      <c r="CK125" s="52">
        <v>0</v>
      </c>
      <c r="CL125" s="64" t="s">
        <v>1052</v>
      </c>
      <c r="CM125" s="52">
        <v>0</v>
      </c>
      <c r="CN125" s="64" t="s">
        <v>1052</v>
      </c>
      <c r="CO125" s="52">
        <v>0</v>
      </c>
      <c r="CP125" s="64" t="s">
        <v>1052</v>
      </c>
      <c r="CQ125" s="52">
        <v>0</v>
      </c>
      <c r="CR125" s="64" t="s">
        <v>1052</v>
      </c>
      <c r="CS125" s="52">
        <v>0</v>
      </c>
      <c r="CT125" s="64" t="s">
        <v>1052</v>
      </c>
      <c r="CU125" s="52">
        <v>0</v>
      </c>
      <c r="CV125" s="64" t="s">
        <v>1052</v>
      </c>
      <c r="CW125" s="52">
        <v>0</v>
      </c>
      <c r="CX125" s="64" t="s">
        <v>1052</v>
      </c>
      <c r="CY125" s="52">
        <v>0</v>
      </c>
      <c r="CZ125" s="64" t="s">
        <v>1052</v>
      </c>
    </row>
    <row r="126" spans="1:104" ht="11.1" customHeight="1" x14ac:dyDescent="0.25">
      <c r="A126" s="61"/>
      <c r="B126" s="60"/>
      <c r="C126" s="60"/>
      <c r="D126" s="60"/>
      <c r="E126" s="60"/>
      <c r="F126" s="60"/>
      <c r="G126" s="62"/>
      <c r="H126" s="63"/>
      <c r="I126" s="62"/>
      <c r="J126" s="63"/>
      <c r="K126" s="62"/>
      <c r="L126" s="63"/>
      <c r="M126" s="62"/>
      <c r="N126" s="63"/>
      <c r="O126" s="62"/>
      <c r="P126" s="63"/>
      <c r="Q126" s="62"/>
      <c r="R126" s="63"/>
      <c r="S126" s="62"/>
      <c r="T126" s="63"/>
      <c r="U126" s="62"/>
      <c r="V126" s="63"/>
      <c r="W126" s="62"/>
      <c r="X126" s="63"/>
      <c r="Y126" s="62"/>
      <c r="Z126" s="63"/>
      <c r="AA126" s="62"/>
      <c r="AB126" s="63"/>
      <c r="AC126" s="62"/>
      <c r="AD126" s="63"/>
      <c r="AE126" s="62"/>
      <c r="AF126" s="63"/>
      <c r="AG126" s="62"/>
      <c r="AH126" s="63"/>
      <c r="AI126" s="62"/>
      <c r="AJ126" s="63"/>
      <c r="AK126" s="62"/>
      <c r="AL126" s="63"/>
      <c r="AM126" s="62"/>
      <c r="AN126" s="63"/>
      <c r="AO126" s="62"/>
      <c r="AP126" s="63"/>
      <c r="AQ126" s="62"/>
      <c r="AR126" s="63"/>
      <c r="AS126" s="62"/>
      <c r="AT126" s="63"/>
      <c r="AU126" s="62"/>
      <c r="AV126" s="63"/>
      <c r="AW126" s="62"/>
      <c r="AX126" s="63"/>
      <c r="AY126" s="62"/>
      <c r="AZ126" s="63"/>
      <c r="BA126" s="62"/>
      <c r="BB126" s="63"/>
      <c r="BC126" s="62"/>
      <c r="BD126" s="63"/>
      <c r="BE126" s="62"/>
      <c r="BF126" s="63"/>
      <c r="BG126" s="62"/>
      <c r="BH126" s="63"/>
      <c r="BI126" s="62"/>
      <c r="BJ126" s="63"/>
      <c r="BK126" s="62"/>
      <c r="BL126" s="63"/>
      <c r="BM126" s="62"/>
      <c r="BN126" s="63"/>
      <c r="BO126" s="62"/>
      <c r="BP126" s="63"/>
      <c r="BQ126" s="62"/>
      <c r="BR126" s="63"/>
      <c r="BS126" s="62"/>
      <c r="BT126" s="63"/>
      <c r="BU126" s="62"/>
      <c r="BV126" s="63"/>
      <c r="BW126" s="62"/>
      <c r="BX126" s="63"/>
      <c r="BY126" s="62"/>
      <c r="BZ126" s="63"/>
      <c r="CA126" s="62"/>
      <c r="CB126" s="63"/>
      <c r="CC126" s="62"/>
      <c r="CD126" s="63"/>
      <c r="CE126" s="62"/>
      <c r="CF126" s="63"/>
      <c r="CG126" s="62"/>
      <c r="CH126" s="63"/>
      <c r="CI126" s="62"/>
      <c r="CJ126" s="63"/>
      <c r="CK126" s="62"/>
      <c r="CL126" s="63"/>
      <c r="CM126" s="62"/>
      <c r="CN126" s="63"/>
      <c r="CO126" s="62"/>
      <c r="CP126" s="63"/>
      <c r="CQ126" s="62"/>
      <c r="CR126" s="63"/>
      <c r="CS126" s="62"/>
      <c r="CT126" s="63"/>
      <c r="CU126" s="62"/>
      <c r="CV126" s="63"/>
      <c r="CW126" s="62"/>
      <c r="CX126" s="63"/>
      <c r="CY126" s="62"/>
      <c r="CZ126" s="63"/>
    </row>
    <row r="127" spans="1:104" x14ac:dyDescent="0.25">
      <c r="A127" s="51" t="str">
        <f t="shared" ref="A127:A137" si="13">D127&amp;C127</f>
        <v>uart_modem_0</v>
      </c>
      <c r="B127" s="2" t="str">
        <f t="shared" ref="B127:B137" si="14">UPPER(D127)&amp;" IOs"</f>
        <v>UART_MODEM IOs</v>
      </c>
      <c r="C127" s="2" t="s">
        <v>18</v>
      </c>
      <c r="D127" s="2" t="s">
        <v>928</v>
      </c>
      <c r="E127" s="2" t="str">
        <f t="shared" ref="E127:F137" si="15">VLOOKUP($D127&amp;"_"&amp;E$3,MDB,6,0)</f>
        <v>7 LVCMOS IO</v>
      </c>
      <c r="F127" s="2" t="str">
        <f t="shared" si="15"/>
        <v>uart_modem</v>
      </c>
      <c r="G127" s="52">
        <v>1</v>
      </c>
      <c r="H127" s="64" t="s">
        <v>921</v>
      </c>
      <c r="I127" s="52"/>
      <c r="J127" s="64" t="s">
        <v>1052</v>
      </c>
      <c r="K127" s="52"/>
      <c r="L127" s="64" t="s">
        <v>1052</v>
      </c>
      <c r="M127" s="52"/>
      <c r="N127" s="64" t="s">
        <v>1052</v>
      </c>
      <c r="O127" s="52"/>
      <c r="P127" s="64" t="s">
        <v>1052</v>
      </c>
      <c r="Q127" s="52"/>
      <c r="R127" s="64" t="s">
        <v>1052</v>
      </c>
      <c r="S127" s="52"/>
      <c r="T127" s="64" t="s">
        <v>1052</v>
      </c>
      <c r="U127" s="52"/>
      <c r="V127" s="64" t="s">
        <v>1052</v>
      </c>
      <c r="W127" s="52"/>
      <c r="X127" s="64" t="s">
        <v>1052</v>
      </c>
      <c r="Y127" s="52"/>
      <c r="Z127" s="64" t="s">
        <v>1052</v>
      </c>
      <c r="AA127" s="52"/>
      <c r="AB127" s="64" t="s">
        <v>1052</v>
      </c>
      <c r="AC127" s="52"/>
      <c r="AD127" s="64" t="s">
        <v>1052</v>
      </c>
      <c r="AE127" s="52"/>
      <c r="AF127" s="64" t="s">
        <v>1052</v>
      </c>
      <c r="AG127" s="52"/>
      <c r="AH127" s="64" t="s">
        <v>1052</v>
      </c>
      <c r="AI127" s="52"/>
      <c r="AJ127" s="64" t="s">
        <v>1052</v>
      </c>
      <c r="AK127" s="52"/>
      <c r="AL127" s="64" t="s">
        <v>1052</v>
      </c>
      <c r="AM127" s="52"/>
      <c r="AN127" s="64" t="s">
        <v>1052</v>
      </c>
      <c r="AO127" s="52"/>
      <c r="AP127" s="64" t="s">
        <v>1052</v>
      </c>
      <c r="AQ127" s="52"/>
      <c r="AR127" s="64" t="s">
        <v>1052</v>
      </c>
      <c r="AS127" s="52"/>
      <c r="AT127" s="64" t="s">
        <v>1052</v>
      </c>
      <c r="AU127" s="52"/>
      <c r="AV127" s="64" t="s">
        <v>1052</v>
      </c>
      <c r="AW127" s="52"/>
      <c r="AX127" s="64" t="s">
        <v>1052</v>
      </c>
      <c r="AY127" s="52"/>
      <c r="AZ127" s="64" t="s">
        <v>1052</v>
      </c>
      <c r="BA127" s="52"/>
      <c r="BB127" s="64" t="s">
        <v>1052</v>
      </c>
      <c r="BC127" s="52"/>
      <c r="BD127" s="64" t="s">
        <v>1052</v>
      </c>
      <c r="BE127" s="52"/>
      <c r="BF127" s="64" t="s">
        <v>1052</v>
      </c>
      <c r="BG127" s="52"/>
      <c r="BH127" s="64" t="s">
        <v>1052</v>
      </c>
      <c r="BI127" s="52"/>
      <c r="BJ127" s="64" t="s">
        <v>1052</v>
      </c>
      <c r="BK127" s="52">
        <v>0</v>
      </c>
      <c r="BL127" s="64" t="s">
        <v>1052</v>
      </c>
      <c r="BM127" s="52">
        <v>0</v>
      </c>
      <c r="BN127" s="64" t="s">
        <v>1052</v>
      </c>
      <c r="BO127" s="52">
        <v>0</v>
      </c>
      <c r="BP127" s="64" t="s">
        <v>1052</v>
      </c>
      <c r="BQ127" s="52">
        <v>0</v>
      </c>
      <c r="BR127" s="64" t="s">
        <v>1052</v>
      </c>
      <c r="BS127" s="52">
        <v>0</v>
      </c>
      <c r="BT127" s="64" t="s">
        <v>1052</v>
      </c>
      <c r="BU127" s="52">
        <v>0</v>
      </c>
      <c r="BV127" s="64" t="s">
        <v>1052</v>
      </c>
      <c r="BW127" s="52">
        <v>0</v>
      </c>
      <c r="BX127" s="64" t="s">
        <v>1052</v>
      </c>
      <c r="BY127" s="52">
        <v>0</v>
      </c>
      <c r="BZ127" s="64" t="s">
        <v>1052</v>
      </c>
      <c r="CA127" s="52">
        <v>0</v>
      </c>
      <c r="CB127" s="64" t="s">
        <v>1052</v>
      </c>
      <c r="CC127" s="52">
        <v>0</v>
      </c>
      <c r="CD127" s="64" t="s">
        <v>1052</v>
      </c>
      <c r="CE127" s="52">
        <v>0</v>
      </c>
      <c r="CF127" s="64" t="s">
        <v>1052</v>
      </c>
      <c r="CG127" s="52">
        <v>0</v>
      </c>
      <c r="CH127" s="64" t="s">
        <v>1052</v>
      </c>
      <c r="CI127" s="52">
        <v>0</v>
      </c>
      <c r="CJ127" s="64" t="s">
        <v>1052</v>
      </c>
      <c r="CK127" s="52">
        <v>0</v>
      </c>
      <c r="CL127" s="64" t="s">
        <v>1052</v>
      </c>
      <c r="CM127" s="52">
        <v>0</v>
      </c>
      <c r="CN127" s="64" t="s">
        <v>1052</v>
      </c>
      <c r="CO127" s="52">
        <v>0</v>
      </c>
      <c r="CP127" s="64" t="s">
        <v>1052</v>
      </c>
      <c r="CQ127" s="52">
        <v>0</v>
      </c>
      <c r="CR127" s="64" t="s">
        <v>1052</v>
      </c>
      <c r="CS127" s="52">
        <v>0</v>
      </c>
      <c r="CT127" s="64" t="s">
        <v>1052</v>
      </c>
      <c r="CU127" s="52">
        <v>0</v>
      </c>
      <c r="CV127" s="64" t="s">
        <v>1052</v>
      </c>
      <c r="CW127" s="52">
        <v>0</v>
      </c>
      <c r="CX127" s="64" t="s">
        <v>1052</v>
      </c>
      <c r="CY127" s="52">
        <v>0</v>
      </c>
      <c r="CZ127" s="64" t="s">
        <v>1052</v>
      </c>
    </row>
    <row r="128" spans="1:104" x14ac:dyDescent="0.25">
      <c r="A128" s="51" t="str">
        <f t="shared" si="13"/>
        <v>uartwkp_0</v>
      </c>
      <c r="B128" s="2" t="str">
        <f t="shared" si="14"/>
        <v>UART IOs</v>
      </c>
      <c r="C128" s="2" t="s">
        <v>919</v>
      </c>
      <c r="D128" s="2" t="s">
        <v>918</v>
      </c>
      <c r="E128" s="2" t="str">
        <f t="shared" si="15"/>
        <v>7 LVCMOS IO</v>
      </c>
      <c r="F128" s="2" t="str">
        <f t="shared" si="15"/>
        <v>uart</v>
      </c>
      <c r="G128" s="52">
        <v>1</v>
      </c>
      <c r="H128" s="64" t="s">
        <v>921</v>
      </c>
      <c r="I128" s="52"/>
      <c r="J128" s="64" t="s">
        <v>1052</v>
      </c>
      <c r="K128" s="52"/>
      <c r="L128" s="64" t="s">
        <v>1052</v>
      </c>
      <c r="M128" s="52"/>
      <c r="N128" s="64" t="s">
        <v>1052</v>
      </c>
      <c r="O128" s="52"/>
      <c r="P128" s="64" t="s">
        <v>1052</v>
      </c>
      <c r="Q128" s="52"/>
      <c r="R128" s="64" t="s">
        <v>1052</v>
      </c>
      <c r="S128" s="52"/>
      <c r="T128" s="64" t="s">
        <v>1052</v>
      </c>
      <c r="U128" s="52"/>
      <c r="V128" s="64" t="s">
        <v>1052</v>
      </c>
      <c r="W128" s="52"/>
      <c r="X128" s="64" t="s">
        <v>1052</v>
      </c>
      <c r="Y128" s="52"/>
      <c r="Z128" s="64" t="s">
        <v>1052</v>
      </c>
      <c r="AA128" s="52"/>
      <c r="AB128" s="64" t="s">
        <v>1052</v>
      </c>
      <c r="AC128" s="52"/>
      <c r="AD128" s="64" t="s">
        <v>1052</v>
      </c>
      <c r="AE128" s="52"/>
      <c r="AF128" s="64" t="s">
        <v>1052</v>
      </c>
      <c r="AG128" s="52"/>
      <c r="AH128" s="64" t="s">
        <v>1052</v>
      </c>
      <c r="AI128" s="52"/>
      <c r="AJ128" s="64" t="s">
        <v>1052</v>
      </c>
      <c r="AK128" s="52"/>
      <c r="AL128" s="64" t="s">
        <v>1052</v>
      </c>
      <c r="AM128" s="52"/>
      <c r="AN128" s="64" t="s">
        <v>1052</v>
      </c>
      <c r="AO128" s="52"/>
      <c r="AP128" s="64" t="s">
        <v>1052</v>
      </c>
      <c r="AQ128" s="52"/>
      <c r="AR128" s="64" t="s">
        <v>1052</v>
      </c>
      <c r="AS128" s="52"/>
      <c r="AT128" s="64" t="s">
        <v>1052</v>
      </c>
      <c r="AU128" s="52"/>
      <c r="AV128" s="64" t="s">
        <v>1052</v>
      </c>
      <c r="AW128" s="52"/>
      <c r="AX128" s="64" t="s">
        <v>1052</v>
      </c>
      <c r="AY128" s="52"/>
      <c r="AZ128" s="64" t="s">
        <v>1052</v>
      </c>
      <c r="BA128" s="52"/>
      <c r="BB128" s="64" t="s">
        <v>1052</v>
      </c>
      <c r="BC128" s="52"/>
      <c r="BD128" s="64" t="s">
        <v>1052</v>
      </c>
      <c r="BE128" s="52"/>
      <c r="BF128" s="64" t="s">
        <v>1052</v>
      </c>
      <c r="BG128" s="52"/>
      <c r="BH128" s="64" t="s">
        <v>1052</v>
      </c>
      <c r="BI128" s="52"/>
      <c r="BJ128" s="64" t="s">
        <v>1052</v>
      </c>
      <c r="BK128" s="52">
        <f>WKUP_UART_Util</f>
        <v>1</v>
      </c>
      <c r="BL128" s="64" t="str">
        <f>WKUP_UART_mode</f>
        <v>3p6m_1p8v</v>
      </c>
      <c r="BM128" s="52">
        <v>0</v>
      </c>
      <c r="BN128" s="64" t="s">
        <v>1052</v>
      </c>
      <c r="BO128" s="52">
        <v>0</v>
      </c>
      <c r="BP128" s="64" t="s">
        <v>1052</v>
      </c>
      <c r="BQ128" s="52">
        <v>0</v>
      </c>
      <c r="BR128" s="64" t="s">
        <v>1052</v>
      </c>
      <c r="BS128" s="52">
        <v>0</v>
      </c>
      <c r="BT128" s="64" t="s">
        <v>1052</v>
      </c>
      <c r="BU128" s="52">
        <v>0</v>
      </c>
      <c r="BV128" s="64" t="s">
        <v>1052</v>
      </c>
      <c r="BW128" s="52">
        <v>0</v>
      </c>
      <c r="BX128" s="64" t="s">
        <v>1052</v>
      </c>
      <c r="BY128" s="52">
        <v>0</v>
      </c>
      <c r="BZ128" s="64" t="s">
        <v>1052</v>
      </c>
      <c r="CA128" s="52">
        <v>0</v>
      </c>
      <c r="CB128" s="64" t="s">
        <v>1052</v>
      </c>
      <c r="CC128" s="52">
        <v>0</v>
      </c>
      <c r="CD128" s="64" t="s">
        <v>1052</v>
      </c>
      <c r="CE128" s="52">
        <v>0</v>
      </c>
      <c r="CF128" s="64" t="s">
        <v>1052</v>
      </c>
      <c r="CG128" s="52">
        <v>0</v>
      </c>
      <c r="CH128" s="64" t="s">
        <v>1052</v>
      </c>
      <c r="CI128" s="52">
        <v>0</v>
      </c>
      <c r="CJ128" s="64" t="s">
        <v>1052</v>
      </c>
      <c r="CK128" s="52">
        <v>0</v>
      </c>
      <c r="CL128" s="64" t="s">
        <v>1052</v>
      </c>
      <c r="CM128" s="52">
        <v>0</v>
      </c>
      <c r="CN128" s="64" t="s">
        <v>1052</v>
      </c>
      <c r="CO128" s="52">
        <v>0</v>
      </c>
      <c r="CP128" s="64" t="s">
        <v>1052</v>
      </c>
      <c r="CQ128" s="52">
        <v>0</v>
      </c>
      <c r="CR128" s="64" t="s">
        <v>1052</v>
      </c>
      <c r="CS128" s="52">
        <v>0</v>
      </c>
      <c r="CT128" s="64" t="s">
        <v>1052</v>
      </c>
      <c r="CU128" s="52">
        <v>0</v>
      </c>
      <c r="CV128" s="64" t="s">
        <v>1052</v>
      </c>
      <c r="CW128" s="52">
        <v>0</v>
      </c>
      <c r="CX128" s="64" t="s">
        <v>1052</v>
      </c>
      <c r="CY128" s="52">
        <v>0</v>
      </c>
      <c r="CZ128" s="64" t="s">
        <v>1052</v>
      </c>
    </row>
    <row r="129" spans="1:104" x14ac:dyDescent="0.25">
      <c r="A129" s="51" t="str">
        <f t="shared" si="13"/>
        <v>uartmcu_0</v>
      </c>
      <c r="B129" s="2" t="str">
        <f t="shared" si="14"/>
        <v>UART IOs</v>
      </c>
      <c r="C129" s="2" t="s">
        <v>651</v>
      </c>
      <c r="D129" s="2" t="s">
        <v>918</v>
      </c>
      <c r="E129" s="2" t="str">
        <f t="shared" si="15"/>
        <v>7 LVCMOS IO</v>
      </c>
      <c r="F129" s="2" t="str">
        <f t="shared" si="15"/>
        <v>uart</v>
      </c>
      <c r="G129" s="52">
        <v>1</v>
      </c>
      <c r="H129" s="64" t="s">
        <v>921</v>
      </c>
      <c r="I129" s="52"/>
      <c r="J129" s="64" t="s">
        <v>1052</v>
      </c>
      <c r="K129" s="52"/>
      <c r="L129" s="64" t="s">
        <v>1052</v>
      </c>
      <c r="M129" s="52"/>
      <c r="N129" s="64" t="s">
        <v>1052</v>
      </c>
      <c r="O129" s="52"/>
      <c r="P129" s="64" t="s">
        <v>1052</v>
      </c>
      <c r="Q129" s="52"/>
      <c r="R129" s="64" t="s">
        <v>1052</v>
      </c>
      <c r="S129" s="52"/>
      <c r="T129" s="64" t="s">
        <v>1052</v>
      </c>
      <c r="U129" s="52"/>
      <c r="V129" s="64" t="s">
        <v>1052</v>
      </c>
      <c r="W129" s="52"/>
      <c r="X129" s="64" t="s">
        <v>1052</v>
      </c>
      <c r="Y129" s="52"/>
      <c r="Z129" s="64" t="s">
        <v>1052</v>
      </c>
      <c r="AA129" s="52"/>
      <c r="AB129" s="64" t="s">
        <v>1052</v>
      </c>
      <c r="AC129" s="52"/>
      <c r="AD129" s="64" t="s">
        <v>1052</v>
      </c>
      <c r="AE129" s="52"/>
      <c r="AF129" s="64" t="s">
        <v>1052</v>
      </c>
      <c r="AG129" s="52"/>
      <c r="AH129" s="64" t="s">
        <v>1052</v>
      </c>
      <c r="AI129" s="52"/>
      <c r="AJ129" s="64" t="s">
        <v>1052</v>
      </c>
      <c r="AK129" s="52"/>
      <c r="AL129" s="64" t="s">
        <v>1052</v>
      </c>
      <c r="AM129" s="52"/>
      <c r="AN129" s="64" t="s">
        <v>1052</v>
      </c>
      <c r="AO129" s="52"/>
      <c r="AP129" s="64" t="s">
        <v>1052</v>
      </c>
      <c r="AQ129" s="52"/>
      <c r="AR129" s="64" t="s">
        <v>1052</v>
      </c>
      <c r="AS129" s="52"/>
      <c r="AT129" s="64" t="s">
        <v>1052</v>
      </c>
      <c r="AU129" s="52"/>
      <c r="AV129" s="64" t="s">
        <v>1052</v>
      </c>
      <c r="AW129" s="52"/>
      <c r="AX129" s="64" t="s">
        <v>1052</v>
      </c>
      <c r="AY129" s="52"/>
      <c r="AZ129" s="64" t="s">
        <v>1052</v>
      </c>
      <c r="BA129" s="52"/>
      <c r="BB129" s="64" t="s">
        <v>1052</v>
      </c>
      <c r="BC129" s="52"/>
      <c r="BD129" s="64" t="s">
        <v>1052</v>
      </c>
      <c r="BE129" s="52"/>
      <c r="BF129" s="64" t="s">
        <v>1052</v>
      </c>
      <c r="BG129" s="52"/>
      <c r="BH129" s="64" t="s">
        <v>1052</v>
      </c>
      <c r="BI129" s="52"/>
      <c r="BJ129" s="64" t="s">
        <v>1052</v>
      </c>
      <c r="BK129" s="52">
        <f>MCU0_UART_Util</f>
        <v>1</v>
      </c>
      <c r="BL129" s="64" t="str">
        <f>MCU_UART_Mode</f>
        <v>3p6m_1p8v</v>
      </c>
      <c r="BM129" s="52">
        <v>0</v>
      </c>
      <c r="BN129" s="64" t="s">
        <v>1052</v>
      </c>
      <c r="BO129" s="52">
        <v>0</v>
      </c>
      <c r="BP129" s="64" t="s">
        <v>1052</v>
      </c>
      <c r="BQ129" s="52">
        <v>0</v>
      </c>
      <c r="BR129" s="64" t="s">
        <v>1052</v>
      </c>
      <c r="BS129" s="52">
        <v>0</v>
      </c>
      <c r="BT129" s="64" t="s">
        <v>1052</v>
      </c>
      <c r="BU129" s="52">
        <v>0</v>
      </c>
      <c r="BV129" s="64" t="s">
        <v>1052</v>
      </c>
      <c r="BW129" s="52">
        <v>0</v>
      </c>
      <c r="BX129" s="64" t="s">
        <v>1052</v>
      </c>
      <c r="BY129" s="52">
        <v>0</v>
      </c>
      <c r="BZ129" s="64" t="s">
        <v>1052</v>
      </c>
      <c r="CA129" s="52">
        <v>0</v>
      </c>
      <c r="CB129" s="64" t="s">
        <v>1052</v>
      </c>
      <c r="CC129" s="52">
        <v>0</v>
      </c>
      <c r="CD129" s="64" t="s">
        <v>1052</v>
      </c>
      <c r="CE129" s="52">
        <v>0</v>
      </c>
      <c r="CF129" s="64" t="s">
        <v>1052</v>
      </c>
      <c r="CG129" s="52">
        <v>0</v>
      </c>
      <c r="CH129" s="64" t="s">
        <v>1052</v>
      </c>
      <c r="CI129" s="52">
        <v>0</v>
      </c>
      <c r="CJ129" s="64" t="s">
        <v>1052</v>
      </c>
      <c r="CK129" s="52">
        <v>0</v>
      </c>
      <c r="CL129" s="64" t="s">
        <v>1052</v>
      </c>
      <c r="CM129" s="52">
        <v>0</v>
      </c>
      <c r="CN129" s="64" t="s">
        <v>1052</v>
      </c>
      <c r="CO129" s="52">
        <v>0</v>
      </c>
      <c r="CP129" s="64" t="s">
        <v>1052</v>
      </c>
      <c r="CQ129" s="52">
        <v>0</v>
      </c>
      <c r="CR129" s="64" t="s">
        <v>1052</v>
      </c>
      <c r="CS129" s="52">
        <v>0</v>
      </c>
      <c r="CT129" s="64" t="s">
        <v>1052</v>
      </c>
      <c r="CU129" s="52">
        <v>0</v>
      </c>
      <c r="CV129" s="64" t="s">
        <v>1052</v>
      </c>
      <c r="CW129" s="52">
        <v>0</v>
      </c>
      <c r="CX129" s="64" t="s">
        <v>1052</v>
      </c>
      <c r="CY129" s="52">
        <v>0</v>
      </c>
      <c r="CZ129" s="64" t="s">
        <v>1052</v>
      </c>
    </row>
    <row r="130" spans="1:104" x14ac:dyDescent="0.25">
      <c r="A130" s="51" t="str">
        <f t="shared" si="13"/>
        <v>uart_1</v>
      </c>
      <c r="B130" s="2" t="str">
        <f t="shared" si="14"/>
        <v>UART IOs</v>
      </c>
      <c r="C130" s="2" t="s">
        <v>19</v>
      </c>
      <c r="D130" s="2" t="s">
        <v>918</v>
      </c>
      <c r="E130" s="2" t="str">
        <f t="shared" si="15"/>
        <v>7 LVCMOS IO</v>
      </c>
      <c r="F130" s="2" t="str">
        <f t="shared" si="15"/>
        <v>uart</v>
      </c>
      <c r="G130" s="52">
        <v>1</v>
      </c>
      <c r="H130" s="64" t="s">
        <v>921</v>
      </c>
      <c r="I130" s="52"/>
      <c r="J130" s="64" t="s">
        <v>1052</v>
      </c>
      <c r="K130" s="52"/>
      <c r="L130" s="64" t="s">
        <v>1052</v>
      </c>
      <c r="M130" s="52"/>
      <c r="N130" s="64" t="s">
        <v>1052</v>
      </c>
      <c r="O130" s="52"/>
      <c r="P130" s="64" t="s">
        <v>1052</v>
      </c>
      <c r="Q130" s="52"/>
      <c r="R130" s="64" t="s">
        <v>1052</v>
      </c>
      <c r="S130" s="52"/>
      <c r="T130" s="64" t="s">
        <v>1052</v>
      </c>
      <c r="U130" s="52"/>
      <c r="V130" s="64" t="s">
        <v>1052</v>
      </c>
      <c r="W130" s="52"/>
      <c r="X130" s="64" t="s">
        <v>1052</v>
      </c>
      <c r="Y130" s="52"/>
      <c r="Z130" s="64" t="s">
        <v>1052</v>
      </c>
      <c r="AA130" s="52"/>
      <c r="AB130" s="64" t="s">
        <v>1052</v>
      </c>
      <c r="AC130" s="52"/>
      <c r="AD130" s="64" t="s">
        <v>1052</v>
      </c>
      <c r="AE130" s="52"/>
      <c r="AF130" s="64" t="s">
        <v>1052</v>
      </c>
      <c r="AG130" s="52"/>
      <c r="AH130" s="64" t="s">
        <v>1052</v>
      </c>
      <c r="AI130" s="52"/>
      <c r="AJ130" s="64" t="s">
        <v>1052</v>
      </c>
      <c r="AK130" s="52"/>
      <c r="AL130" s="64" t="s">
        <v>1052</v>
      </c>
      <c r="AM130" s="52"/>
      <c r="AN130" s="64" t="s">
        <v>1052</v>
      </c>
      <c r="AO130" s="52"/>
      <c r="AP130" s="64" t="s">
        <v>1052</v>
      </c>
      <c r="AQ130" s="52"/>
      <c r="AR130" s="64" t="s">
        <v>1052</v>
      </c>
      <c r="AS130" s="52"/>
      <c r="AT130" s="64" t="s">
        <v>1052</v>
      </c>
      <c r="AU130" s="52"/>
      <c r="AV130" s="64" t="s">
        <v>1052</v>
      </c>
      <c r="AW130" s="52"/>
      <c r="AX130" s="64" t="s">
        <v>1052</v>
      </c>
      <c r="AY130" s="52"/>
      <c r="AZ130" s="64" t="s">
        <v>1052</v>
      </c>
      <c r="BA130" s="52"/>
      <c r="BB130" s="64" t="s">
        <v>1052</v>
      </c>
      <c r="BC130" s="52"/>
      <c r="BD130" s="64" t="s">
        <v>1052</v>
      </c>
      <c r="BE130" s="52"/>
      <c r="BF130" s="64" t="s">
        <v>1052</v>
      </c>
      <c r="BG130" s="52"/>
      <c r="BH130" s="64" t="s">
        <v>1052</v>
      </c>
      <c r="BI130" s="52"/>
      <c r="BJ130" s="64" t="s">
        <v>1052</v>
      </c>
      <c r="BK130" s="52">
        <f>MAIN_UART_Util</f>
        <v>1</v>
      </c>
      <c r="BL130" s="64" t="str">
        <f>MAIN_UART_mode</f>
        <v>3p6m_1p8v</v>
      </c>
      <c r="BM130" s="52">
        <v>0</v>
      </c>
      <c r="BN130" s="64" t="s">
        <v>1052</v>
      </c>
      <c r="BO130" s="52">
        <v>0</v>
      </c>
      <c r="BP130" s="64" t="s">
        <v>1052</v>
      </c>
      <c r="BQ130" s="52">
        <v>0</v>
      </c>
      <c r="BR130" s="64" t="s">
        <v>1052</v>
      </c>
      <c r="BS130" s="52">
        <v>0</v>
      </c>
      <c r="BT130" s="64" t="s">
        <v>1052</v>
      </c>
      <c r="BU130" s="52">
        <v>0</v>
      </c>
      <c r="BV130" s="64" t="s">
        <v>1052</v>
      </c>
      <c r="BW130" s="52">
        <v>0</v>
      </c>
      <c r="BX130" s="64" t="s">
        <v>1052</v>
      </c>
      <c r="BY130" s="52">
        <v>0</v>
      </c>
      <c r="BZ130" s="64" t="s">
        <v>1052</v>
      </c>
      <c r="CA130" s="52">
        <v>0</v>
      </c>
      <c r="CB130" s="64" t="s">
        <v>1052</v>
      </c>
      <c r="CC130" s="52">
        <v>0</v>
      </c>
      <c r="CD130" s="64" t="s">
        <v>1052</v>
      </c>
      <c r="CE130" s="52">
        <v>0</v>
      </c>
      <c r="CF130" s="64" t="s">
        <v>1052</v>
      </c>
      <c r="CG130" s="52">
        <v>0</v>
      </c>
      <c r="CH130" s="64" t="s">
        <v>1052</v>
      </c>
      <c r="CI130" s="52">
        <v>0</v>
      </c>
      <c r="CJ130" s="64" t="s">
        <v>1052</v>
      </c>
      <c r="CK130" s="52">
        <v>0</v>
      </c>
      <c r="CL130" s="64" t="s">
        <v>1052</v>
      </c>
      <c r="CM130" s="52">
        <v>0</v>
      </c>
      <c r="CN130" s="64" t="s">
        <v>1052</v>
      </c>
      <c r="CO130" s="52">
        <v>0</v>
      </c>
      <c r="CP130" s="64" t="s">
        <v>1052</v>
      </c>
      <c r="CQ130" s="52">
        <v>0</v>
      </c>
      <c r="CR130" s="64" t="s">
        <v>1052</v>
      </c>
      <c r="CS130" s="52">
        <v>0</v>
      </c>
      <c r="CT130" s="64" t="s">
        <v>1052</v>
      </c>
      <c r="CU130" s="52">
        <v>0</v>
      </c>
      <c r="CV130" s="64" t="s">
        <v>1052</v>
      </c>
      <c r="CW130" s="52">
        <v>0</v>
      </c>
      <c r="CX130" s="64" t="s">
        <v>1052</v>
      </c>
      <c r="CY130" s="52">
        <v>0</v>
      </c>
      <c r="CZ130" s="64" t="s">
        <v>1052</v>
      </c>
    </row>
    <row r="131" spans="1:104" x14ac:dyDescent="0.25">
      <c r="A131" s="51" t="str">
        <f t="shared" si="13"/>
        <v>uart_2</v>
      </c>
      <c r="B131" s="2" t="str">
        <f t="shared" si="14"/>
        <v>UART IOs</v>
      </c>
      <c r="C131" s="2" t="s">
        <v>20</v>
      </c>
      <c r="D131" s="2" t="s">
        <v>918</v>
      </c>
      <c r="E131" s="2" t="str">
        <f t="shared" si="15"/>
        <v>7 LVCMOS IO</v>
      </c>
      <c r="F131" s="2" t="str">
        <f t="shared" si="15"/>
        <v>uart</v>
      </c>
      <c r="G131" s="52">
        <v>1</v>
      </c>
      <c r="H131" s="64" t="s">
        <v>921</v>
      </c>
      <c r="I131" s="52"/>
      <c r="J131" s="64" t="s">
        <v>1052</v>
      </c>
      <c r="K131" s="52"/>
      <c r="L131" s="64" t="s">
        <v>1052</v>
      </c>
      <c r="M131" s="52"/>
      <c r="N131" s="64" t="s">
        <v>1052</v>
      </c>
      <c r="O131" s="52"/>
      <c r="P131" s="64" t="s">
        <v>1052</v>
      </c>
      <c r="Q131" s="52"/>
      <c r="R131" s="64" t="s">
        <v>1052</v>
      </c>
      <c r="S131" s="52"/>
      <c r="T131" s="64" t="s">
        <v>1052</v>
      </c>
      <c r="U131" s="52"/>
      <c r="V131" s="64" t="s">
        <v>1052</v>
      </c>
      <c r="W131" s="52"/>
      <c r="X131" s="64" t="s">
        <v>1052</v>
      </c>
      <c r="Y131" s="52"/>
      <c r="Z131" s="64" t="s">
        <v>1052</v>
      </c>
      <c r="AA131" s="52"/>
      <c r="AB131" s="64" t="s">
        <v>1052</v>
      </c>
      <c r="AC131" s="52"/>
      <c r="AD131" s="64" t="s">
        <v>1052</v>
      </c>
      <c r="AE131" s="52"/>
      <c r="AF131" s="64" t="s">
        <v>1052</v>
      </c>
      <c r="AG131" s="52"/>
      <c r="AH131" s="64" t="s">
        <v>1052</v>
      </c>
      <c r="AI131" s="52"/>
      <c r="AJ131" s="64" t="s">
        <v>1052</v>
      </c>
      <c r="AK131" s="52"/>
      <c r="AL131" s="64" t="s">
        <v>1052</v>
      </c>
      <c r="AM131" s="52"/>
      <c r="AN131" s="64" t="s">
        <v>1052</v>
      </c>
      <c r="AO131" s="52"/>
      <c r="AP131" s="64" t="s">
        <v>1052</v>
      </c>
      <c r="AQ131" s="52"/>
      <c r="AR131" s="64" t="s">
        <v>1052</v>
      </c>
      <c r="AS131" s="52"/>
      <c r="AT131" s="64" t="s">
        <v>1052</v>
      </c>
      <c r="AU131" s="52"/>
      <c r="AV131" s="64" t="s">
        <v>1052</v>
      </c>
      <c r="AW131" s="52"/>
      <c r="AX131" s="64" t="s">
        <v>1052</v>
      </c>
      <c r="AY131" s="52"/>
      <c r="AZ131" s="64" t="s">
        <v>1052</v>
      </c>
      <c r="BA131" s="52"/>
      <c r="BB131" s="64" t="s">
        <v>1052</v>
      </c>
      <c r="BC131" s="52"/>
      <c r="BD131" s="64" t="s">
        <v>1052</v>
      </c>
      <c r="BE131" s="52"/>
      <c r="BF131" s="64" t="s">
        <v>1052</v>
      </c>
      <c r="BG131" s="52"/>
      <c r="BH131" s="64" t="s">
        <v>1052</v>
      </c>
      <c r="BI131" s="52"/>
      <c r="BJ131" s="64" t="s">
        <v>1052</v>
      </c>
      <c r="BK131" s="52">
        <v>0</v>
      </c>
      <c r="BL131" s="64" t="s">
        <v>1052</v>
      </c>
      <c r="BM131" s="52">
        <v>0</v>
      </c>
      <c r="BN131" s="64" t="s">
        <v>1052</v>
      </c>
      <c r="BO131" s="52">
        <v>0</v>
      </c>
      <c r="BP131" s="64" t="s">
        <v>1052</v>
      </c>
      <c r="BQ131" s="52">
        <v>0</v>
      </c>
      <c r="BR131" s="64" t="s">
        <v>1052</v>
      </c>
      <c r="BS131" s="52">
        <v>0</v>
      </c>
      <c r="BT131" s="64" t="s">
        <v>1052</v>
      </c>
      <c r="BU131" s="52">
        <v>0</v>
      </c>
      <c r="BV131" s="64" t="s">
        <v>1052</v>
      </c>
      <c r="BW131" s="52">
        <v>0</v>
      </c>
      <c r="BX131" s="64" t="s">
        <v>1052</v>
      </c>
      <c r="BY131" s="52">
        <v>0</v>
      </c>
      <c r="BZ131" s="64" t="s">
        <v>1052</v>
      </c>
      <c r="CA131" s="52">
        <v>0</v>
      </c>
      <c r="CB131" s="64" t="s">
        <v>1052</v>
      </c>
      <c r="CC131" s="52">
        <v>0</v>
      </c>
      <c r="CD131" s="64" t="s">
        <v>1052</v>
      </c>
      <c r="CE131" s="52">
        <v>0</v>
      </c>
      <c r="CF131" s="64" t="s">
        <v>1052</v>
      </c>
      <c r="CG131" s="52">
        <v>0</v>
      </c>
      <c r="CH131" s="64" t="s">
        <v>1052</v>
      </c>
      <c r="CI131" s="52">
        <v>0</v>
      </c>
      <c r="CJ131" s="64" t="s">
        <v>1052</v>
      </c>
      <c r="CK131" s="52">
        <v>0</v>
      </c>
      <c r="CL131" s="64" t="s">
        <v>1052</v>
      </c>
      <c r="CM131" s="52">
        <v>0</v>
      </c>
      <c r="CN131" s="64" t="s">
        <v>1052</v>
      </c>
      <c r="CO131" s="52">
        <v>0</v>
      </c>
      <c r="CP131" s="64" t="s">
        <v>1052</v>
      </c>
      <c r="CQ131" s="52">
        <v>0</v>
      </c>
      <c r="CR131" s="64" t="s">
        <v>1052</v>
      </c>
      <c r="CS131" s="52">
        <v>0</v>
      </c>
      <c r="CT131" s="64" t="s">
        <v>1052</v>
      </c>
      <c r="CU131" s="52">
        <v>0</v>
      </c>
      <c r="CV131" s="64" t="s">
        <v>1052</v>
      </c>
      <c r="CW131" s="52">
        <v>0</v>
      </c>
      <c r="CX131" s="64" t="s">
        <v>1052</v>
      </c>
      <c r="CY131" s="52">
        <v>0</v>
      </c>
      <c r="CZ131" s="64" t="s">
        <v>1052</v>
      </c>
    </row>
    <row r="132" spans="1:104" x14ac:dyDescent="0.25">
      <c r="A132" s="51" t="str">
        <f t="shared" si="13"/>
        <v>uart_3</v>
      </c>
      <c r="B132" s="2" t="str">
        <f t="shared" si="14"/>
        <v>UART IOs</v>
      </c>
      <c r="C132" s="2" t="s">
        <v>22</v>
      </c>
      <c r="D132" s="2" t="s">
        <v>918</v>
      </c>
      <c r="E132" s="2" t="str">
        <f t="shared" si="15"/>
        <v>7 LVCMOS IO</v>
      </c>
      <c r="F132" s="2" t="str">
        <f t="shared" si="15"/>
        <v>uart</v>
      </c>
      <c r="G132" s="52">
        <v>1</v>
      </c>
      <c r="H132" s="64" t="s">
        <v>921</v>
      </c>
      <c r="I132" s="52"/>
      <c r="J132" s="64" t="s">
        <v>1052</v>
      </c>
      <c r="K132" s="52"/>
      <c r="L132" s="64" t="s">
        <v>1052</v>
      </c>
      <c r="M132" s="52"/>
      <c r="N132" s="64" t="s">
        <v>1052</v>
      </c>
      <c r="O132" s="52"/>
      <c r="P132" s="64" t="s">
        <v>1052</v>
      </c>
      <c r="Q132" s="52"/>
      <c r="R132" s="64" t="s">
        <v>1052</v>
      </c>
      <c r="S132" s="52"/>
      <c r="T132" s="64" t="s">
        <v>1052</v>
      </c>
      <c r="U132" s="52"/>
      <c r="V132" s="64" t="s">
        <v>1052</v>
      </c>
      <c r="W132" s="52"/>
      <c r="X132" s="64" t="s">
        <v>1052</v>
      </c>
      <c r="Y132" s="52"/>
      <c r="Z132" s="64" t="s">
        <v>1052</v>
      </c>
      <c r="AA132" s="52"/>
      <c r="AB132" s="64" t="s">
        <v>1052</v>
      </c>
      <c r="AC132" s="52"/>
      <c r="AD132" s="64" t="s">
        <v>1052</v>
      </c>
      <c r="AE132" s="52"/>
      <c r="AF132" s="64" t="s">
        <v>1052</v>
      </c>
      <c r="AG132" s="52"/>
      <c r="AH132" s="64" t="s">
        <v>1052</v>
      </c>
      <c r="AI132" s="52"/>
      <c r="AJ132" s="64" t="s">
        <v>1052</v>
      </c>
      <c r="AK132" s="52"/>
      <c r="AL132" s="64" t="s">
        <v>1052</v>
      </c>
      <c r="AM132" s="52"/>
      <c r="AN132" s="64" t="s">
        <v>1052</v>
      </c>
      <c r="AO132" s="52"/>
      <c r="AP132" s="64" t="s">
        <v>1052</v>
      </c>
      <c r="AQ132" s="52"/>
      <c r="AR132" s="64" t="s">
        <v>1052</v>
      </c>
      <c r="AS132" s="52"/>
      <c r="AT132" s="64" t="s">
        <v>1052</v>
      </c>
      <c r="AU132" s="52"/>
      <c r="AV132" s="64" t="s">
        <v>1052</v>
      </c>
      <c r="AW132" s="52"/>
      <c r="AX132" s="64" t="s">
        <v>1052</v>
      </c>
      <c r="AY132" s="52"/>
      <c r="AZ132" s="64" t="s">
        <v>1052</v>
      </c>
      <c r="BA132" s="52"/>
      <c r="BB132" s="64" t="s">
        <v>1052</v>
      </c>
      <c r="BC132" s="52"/>
      <c r="BD132" s="64" t="s">
        <v>1052</v>
      </c>
      <c r="BE132" s="52"/>
      <c r="BF132" s="64" t="s">
        <v>1052</v>
      </c>
      <c r="BG132" s="52"/>
      <c r="BH132" s="64" t="s">
        <v>1052</v>
      </c>
      <c r="BI132" s="52"/>
      <c r="BJ132" s="64" t="s">
        <v>1052</v>
      </c>
      <c r="BK132" s="52">
        <v>0</v>
      </c>
      <c r="BL132" s="64" t="s">
        <v>1052</v>
      </c>
      <c r="BM132" s="52">
        <v>0</v>
      </c>
      <c r="BN132" s="64" t="s">
        <v>1052</v>
      </c>
      <c r="BO132" s="52">
        <v>0</v>
      </c>
      <c r="BP132" s="64" t="s">
        <v>1052</v>
      </c>
      <c r="BQ132" s="52">
        <v>0</v>
      </c>
      <c r="BR132" s="64" t="s">
        <v>1052</v>
      </c>
      <c r="BS132" s="52">
        <v>0</v>
      </c>
      <c r="BT132" s="64" t="s">
        <v>1052</v>
      </c>
      <c r="BU132" s="52">
        <v>0</v>
      </c>
      <c r="BV132" s="64" t="s">
        <v>1052</v>
      </c>
      <c r="BW132" s="52">
        <v>0</v>
      </c>
      <c r="BX132" s="64" t="s">
        <v>1052</v>
      </c>
      <c r="BY132" s="52">
        <v>0</v>
      </c>
      <c r="BZ132" s="64" t="s">
        <v>1052</v>
      </c>
      <c r="CA132" s="52">
        <v>0</v>
      </c>
      <c r="CB132" s="64" t="s">
        <v>1052</v>
      </c>
      <c r="CC132" s="52">
        <v>0</v>
      </c>
      <c r="CD132" s="64" t="s">
        <v>1052</v>
      </c>
      <c r="CE132" s="52">
        <v>0</v>
      </c>
      <c r="CF132" s="64" t="s">
        <v>1052</v>
      </c>
      <c r="CG132" s="52">
        <v>0</v>
      </c>
      <c r="CH132" s="64" t="s">
        <v>1052</v>
      </c>
      <c r="CI132" s="52">
        <v>0</v>
      </c>
      <c r="CJ132" s="64" t="s">
        <v>1052</v>
      </c>
      <c r="CK132" s="52">
        <v>0</v>
      </c>
      <c r="CL132" s="64" t="s">
        <v>1052</v>
      </c>
      <c r="CM132" s="52">
        <v>0</v>
      </c>
      <c r="CN132" s="64" t="s">
        <v>1052</v>
      </c>
      <c r="CO132" s="52">
        <v>0</v>
      </c>
      <c r="CP132" s="64" t="s">
        <v>1052</v>
      </c>
      <c r="CQ132" s="52">
        <v>0</v>
      </c>
      <c r="CR132" s="64" t="s">
        <v>1052</v>
      </c>
      <c r="CS132" s="52">
        <v>0</v>
      </c>
      <c r="CT132" s="64" t="s">
        <v>1052</v>
      </c>
      <c r="CU132" s="52">
        <v>0</v>
      </c>
      <c r="CV132" s="64" t="s">
        <v>1052</v>
      </c>
      <c r="CW132" s="52">
        <v>0</v>
      </c>
      <c r="CX132" s="64" t="s">
        <v>1052</v>
      </c>
      <c r="CY132" s="52">
        <v>0</v>
      </c>
      <c r="CZ132" s="64" t="s">
        <v>1052</v>
      </c>
    </row>
    <row r="133" spans="1:104" x14ac:dyDescent="0.25">
      <c r="A133" s="51" t="str">
        <f t="shared" si="13"/>
        <v>uart_4</v>
      </c>
      <c r="B133" s="2" t="str">
        <f t="shared" si="14"/>
        <v>UART IOs</v>
      </c>
      <c r="C133" s="2" t="s">
        <v>23</v>
      </c>
      <c r="D133" s="2" t="s">
        <v>918</v>
      </c>
      <c r="E133" s="2" t="str">
        <f t="shared" si="15"/>
        <v>7 LVCMOS IO</v>
      </c>
      <c r="F133" s="2" t="str">
        <f t="shared" si="15"/>
        <v>uart</v>
      </c>
      <c r="G133" s="52">
        <v>1</v>
      </c>
      <c r="H133" s="64" t="s">
        <v>921</v>
      </c>
      <c r="I133" s="52"/>
      <c r="J133" s="64" t="s">
        <v>1052</v>
      </c>
      <c r="K133" s="52"/>
      <c r="L133" s="64" t="s">
        <v>1052</v>
      </c>
      <c r="M133" s="52"/>
      <c r="N133" s="64" t="s">
        <v>1052</v>
      </c>
      <c r="O133" s="52"/>
      <c r="P133" s="64" t="s">
        <v>1052</v>
      </c>
      <c r="Q133" s="52"/>
      <c r="R133" s="64" t="s">
        <v>1052</v>
      </c>
      <c r="S133" s="52"/>
      <c r="T133" s="64" t="s">
        <v>1052</v>
      </c>
      <c r="U133" s="52"/>
      <c r="V133" s="64" t="s">
        <v>1052</v>
      </c>
      <c r="W133" s="52"/>
      <c r="X133" s="64" t="s">
        <v>1052</v>
      </c>
      <c r="Y133" s="52"/>
      <c r="Z133" s="64" t="s">
        <v>1052</v>
      </c>
      <c r="AA133" s="52"/>
      <c r="AB133" s="64" t="s">
        <v>1052</v>
      </c>
      <c r="AC133" s="52"/>
      <c r="AD133" s="64" t="s">
        <v>1052</v>
      </c>
      <c r="AE133" s="52"/>
      <c r="AF133" s="64" t="s">
        <v>1052</v>
      </c>
      <c r="AG133" s="52"/>
      <c r="AH133" s="64" t="s">
        <v>1052</v>
      </c>
      <c r="AI133" s="52"/>
      <c r="AJ133" s="64" t="s">
        <v>1052</v>
      </c>
      <c r="AK133" s="52"/>
      <c r="AL133" s="64" t="s">
        <v>1052</v>
      </c>
      <c r="AM133" s="52"/>
      <c r="AN133" s="64" t="s">
        <v>1052</v>
      </c>
      <c r="AO133" s="52"/>
      <c r="AP133" s="64" t="s">
        <v>1052</v>
      </c>
      <c r="AQ133" s="52"/>
      <c r="AR133" s="64" t="s">
        <v>1052</v>
      </c>
      <c r="AS133" s="52"/>
      <c r="AT133" s="64" t="s">
        <v>1052</v>
      </c>
      <c r="AU133" s="52"/>
      <c r="AV133" s="64" t="s">
        <v>1052</v>
      </c>
      <c r="AW133" s="52"/>
      <c r="AX133" s="64" t="s">
        <v>1052</v>
      </c>
      <c r="AY133" s="52"/>
      <c r="AZ133" s="64" t="s">
        <v>1052</v>
      </c>
      <c r="BA133" s="52"/>
      <c r="BB133" s="64" t="s">
        <v>1052</v>
      </c>
      <c r="BC133" s="52"/>
      <c r="BD133" s="64" t="s">
        <v>1052</v>
      </c>
      <c r="BE133" s="52"/>
      <c r="BF133" s="64" t="s">
        <v>1052</v>
      </c>
      <c r="BG133" s="52"/>
      <c r="BH133" s="64" t="s">
        <v>1052</v>
      </c>
      <c r="BI133" s="52"/>
      <c r="BJ133" s="64" t="s">
        <v>1052</v>
      </c>
      <c r="BK133" s="52">
        <v>0</v>
      </c>
      <c r="BL133" s="64" t="s">
        <v>1052</v>
      </c>
      <c r="BM133" s="52">
        <v>0</v>
      </c>
      <c r="BN133" s="64" t="s">
        <v>1052</v>
      </c>
      <c r="BO133" s="52">
        <v>0</v>
      </c>
      <c r="BP133" s="64" t="s">
        <v>1052</v>
      </c>
      <c r="BQ133" s="52">
        <v>0</v>
      </c>
      <c r="BR133" s="64" t="s">
        <v>1052</v>
      </c>
      <c r="BS133" s="52">
        <v>0</v>
      </c>
      <c r="BT133" s="64" t="s">
        <v>1052</v>
      </c>
      <c r="BU133" s="52">
        <v>0</v>
      </c>
      <c r="BV133" s="64" t="s">
        <v>1052</v>
      </c>
      <c r="BW133" s="52">
        <v>0</v>
      </c>
      <c r="BX133" s="64" t="s">
        <v>1052</v>
      </c>
      <c r="BY133" s="52">
        <v>0</v>
      </c>
      <c r="BZ133" s="64" t="s">
        <v>1052</v>
      </c>
      <c r="CA133" s="52">
        <v>0</v>
      </c>
      <c r="CB133" s="64" t="s">
        <v>1052</v>
      </c>
      <c r="CC133" s="52">
        <v>0</v>
      </c>
      <c r="CD133" s="64" t="s">
        <v>1052</v>
      </c>
      <c r="CE133" s="52">
        <v>0</v>
      </c>
      <c r="CF133" s="64" t="s">
        <v>1052</v>
      </c>
      <c r="CG133" s="52">
        <v>0</v>
      </c>
      <c r="CH133" s="64" t="s">
        <v>1052</v>
      </c>
      <c r="CI133" s="52">
        <v>0</v>
      </c>
      <c r="CJ133" s="64" t="s">
        <v>1052</v>
      </c>
      <c r="CK133" s="52">
        <v>0</v>
      </c>
      <c r="CL133" s="64" t="s">
        <v>1052</v>
      </c>
      <c r="CM133" s="52">
        <v>0</v>
      </c>
      <c r="CN133" s="64" t="s">
        <v>1052</v>
      </c>
      <c r="CO133" s="52">
        <v>0</v>
      </c>
      <c r="CP133" s="64" t="s">
        <v>1052</v>
      </c>
      <c r="CQ133" s="52">
        <v>0</v>
      </c>
      <c r="CR133" s="64" t="s">
        <v>1052</v>
      </c>
      <c r="CS133" s="52">
        <v>0</v>
      </c>
      <c r="CT133" s="64" t="s">
        <v>1052</v>
      </c>
      <c r="CU133" s="52">
        <v>0</v>
      </c>
      <c r="CV133" s="64" t="s">
        <v>1052</v>
      </c>
      <c r="CW133" s="52">
        <v>0</v>
      </c>
      <c r="CX133" s="64" t="s">
        <v>1052</v>
      </c>
      <c r="CY133" s="52">
        <v>0</v>
      </c>
      <c r="CZ133" s="64" t="s">
        <v>1052</v>
      </c>
    </row>
    <row r="134" spans="1:104" x14ac:dyDescent="0.25">
      <c r="A134" s="51" t="str">
        <f t="shared" si="13"/>
        <v>uart_5</v>
      </c>
      <c r="B134" s="2" t="str">
        <f t="shared" si="14"/>
        <v>UART IOs</v>
      </c>
      <c r="C134" s="2" t="s">
        <v>24</v>
      </c>
      <c r="D134" s="2" t="s">
        <v>918</v>
      </c>
      <c r="E134" s="2" t="str">
        <f t="shared" si="15"/>
        <v>7 LVCMOS IO</v>
      </c>
      <c r="F134" s="2" t="str">
        <f t="shared" si="15"/>
        <v>uart</v>
      </c>
      <c r="G134" s="52">
        <v>1</v>
      </c>
      <c r="H134" s="64" t="s">
        <v>921</v>
      </c>
      <c r="I134" s="52"/>
      <c r="J134" s="64" t="s">
        <v>1052</v>
      </c>
      <c r="K134" s="52"/>
      <c r="L134" s="64" t="s">
        <v>1052</v>
      </c>
      <c r="M134" s="52"/>
      <c r="N134" s="64" t="s">
        <v>1052</v>
      </c>
      <c r="O134" s="52"/>
      <c r="P134" s="64" t="s">
        <v>1052</v>
      </c>
      <c r="Q134" s="52"/>
      <c r="R134" s="64" t="s">
        <v>1052</v>
      </c>
      <c r="S134" s="52"/>
      <c r="T134" s="64" t="s">
        <v>1052</v>
      </c>
      <c r="U134" s="52"/>
      <c r="V134" s="64" t="s">
        <v>1052</v>
      </c>
      <c r="W134" s="52"/>
      <c r="X134" s="64" t="s">
        <v>1052</v>
      </c>
      <c r="Y134" s="52"/>
      <c r="Z134" s="64" t="s">
        <v>1052</v>
      </c>
      <c r="AA134" s="52"/>
      <c r="AB134" s="64" t="s">
        <v>1052</v>
      </c>
      <c r="AC134" s="52"/>
      <c r="AD134" s="64" t="s">
        <v>1052</v>
      </c>
      <c r="AE134" s="52"/>
      <c r="AF134" s="64" t="s">
        <v>1052</v>
      </c>
      <c r="AG134" s="52"/>
      <c r="AH134" s="64" t="s">
        <v>1052</v>
      </c>
      <c r="AI134" s="52"/>
      <c r="AJ134" s="64" t="s">
        <v>1052</v>
      </c>
      <c r="AK134" s="52"/>
      <c r="AL134" s="64" t="s">
        <v>1052</v>
      </c>
      <c r="AM134" s="52"/>
      <c r="AN134" s="64" t="s">
        <v>1052</v>
      </c>
      <c r="AO134" s="52"/>
      <c r="AP134" s="64" t="s">
        <v>1052</v>
      </c>
      <c r="AQ134" s="52"/>
      <c r="AR134" s="64" t="s">
        <v>1052</v>
      </c>
      <c r="AS134" s="52"/>
      <c r="AT134" s="64" t="s">
        <v>1052</v>
      </c>
      <c r="AU134" s="52"/>
      <c r="AV134" s="64" t="s">
        <v>1052</v>
      </c>
      <c r="AW134" s="52"/>
      <c r="AX134" s="64" t="s">
        <v>1052</v>
      </c>
      <c r="AY134" s="52"/>
      <c r="AZ134" s="64" t="s">
        <v>1052</v>
      </c>
      <c r="BA134" s="52"/>
      <c r="BB134" s="64" t="s">
        <v>1052</v>
      </c>
      <c r="BC134" s="52"/>
      <c r="BD134" s="64" t="s">
        <v>1052</v>
      </c>
      <c r="BE134" s="52"/>
      <c r="BF134" s="64" t="s">
        <v>1052</v>
      </c>
      <c r="BG134" s="52"/>
      <c r="BH134" s="64" t="s">
        <v>1052</v>
      </c>
      <c r="BI134" s="52"/>
      <c r="BJ134" s="64" t="s">
        <v>1052</v>
      </c>
      <c r="BK134" s="52">
        <v>0</v>
      </c>
      <c r="BL134" s="64" t="s">
        <v>1052</v>
      </c>
      <c r="BM134" s="52">
        <v>0</v>
      </c>
      <c r="BN134" s="64" t="s">
        <v>1052</v>
      </c>
      <c r="BO134" s="52">
        <v>0</v>
      </c>
      <c r="BP134" s="64" t="s">
        <v>1052</v>
      </c>
      <c r="BQ134" s="52">
        <v>0</v>
      </c>
      <c r="BR134" s="64" t="s">
        <v>1052</v>
      </c>
      <c r="BS134" s="52">
        <v>0</v>
      </c>
      <c r="BT134" s="64" t="s">
        <v>1052</v>
      </c>
      <c r="BU134" s="52">
        <v>0</v>
      </c>
      <c r="BV134" s="64" t="s">
        <v>1052</v>
      </c>
      <c r="BW134" s="52">
        <v>0</v>
      </c>
      <c r="BX134" s="64" t="s">
        <v>1052</v>
      </c>
      <c r="BY134" s="52">
        <v>0</v>
      </c>
      <c r="BZ134" s="64" t="s">
        <v>1052</v>
      </c>
      <c r="CA134" s="52">
        <v>0</v>
      </c>
      <c r="CB134" s="64" t="s">
        <v>1052</v>
      </c>
      <c r="CC134" s="52">
        <v>0</v>
      </c>
      <c r="CD134" s="64" t="s">
        <v>1052</v>
      </c>
      <c r="CE134" s="52">
        <v>0</v>
      </c>
      <c r="CF134" s="64" t="s">
        <v>1052</v>
      </c>
      <c r="CG134" s="52">
        <v>0</v>
      </c>
      <c r="CH134" s="64" t="s">
        <v>1052</v>
      </c>
      <c r="CI134" s="52">
        <v>0</v>
      </c>
      <c r="CJ134" s="64" t="s">
        <v>1052</v>
      </c>
      <c r="CK134" s="52">
        <v>0</v>
      </c>
      <c r="CL134" s="64" t="s">
        <v>1052</v>
      </c>
      <c r="CM134" s="52">
        <v>0</v>
      </c>
      <c r="CN134" s="64" t="s">
        <v>1052</v>
      </c>
      <c r="CO134" s="52">
        <v>0</v>
      </c>
      <c r="CP134" s="64" t="s">
        <v>1052</v>
      </c>
      <c r="CQ134" s="52">
        <v>0</v>
      </c>
      <c r="CR134" s="64" t="s">
        <v>1052</v>
      </c>
      <c r="CS134" s="52">
        <v>0</v>
      </c>
      <c r="CT134" s="64" t="s">
        <v>1052</v>
      </c>
      <c r="CU134" s="52">
        <v>0</v>
      </c>
      <c r="CV134" s="64" t="s">
        <v>1052</v>
      </c>
      <c r="CW134" s="52">
        <v>0</v>
      </c>
      <c r="CX134" s="64" t="s">
        <v>1052</v>
      </c>
      <c r="CY134" s="52">
        <v>0</v>
      </c>
      <c r="CZ134" s="64" t="s">
        <v>1052</v>
      </c>
    </row>
    <row r="135" spans="1:104" x14ac:dyDescent="0.25">
      <c r="A135" s="51" t="str">
        <f t="shared" si="13"/>
        <v>uart_6</v>
      </c>
      <c r="B135" s="2" t="str">
        <f t="shared" si="14"/>
        <v>UART IOs</v>
      </c>
      <c r="C135" s="2" t="s">
        <v>25</v>
      </c>
      <c r="D135" s="2" t="s">
        <v>918</v>
      </c>
      <c r="E135" s="2" t="str">
        <f t="shared" si="15"/>
        <v>7 LVCMOS IO</v>
      </c>
      <c r="F135" s="2" t="str">
        <f t="shared" si="15"/>
        <v>uart</v>
      </c>
      <c r="G135" s="52">
        <v>1</v>
      </c>
      <c r="H135" s="64" t="s">
        <v>921</v>
      </c>
      <c r="I135" s="52"/>
      <c r="J135" s="64" t="s">
        <v>1052</v>
      </c>
      <c r="K135" s="52"/>
      <c r="L135" s="64" t="s">
        <v>1052</v>
      </c>
      <c r="M135" s="52"/>
      <c r="N135" s="64" t="s">
        <v>1052</v>
      </c>
      <c r="O135" s="52"/>
      <c r="P135" s="64" t="s">
        <v>1052</v>
      </c>
      <c r="Q135" s="52"/>
      <c r="R135" s="64" t="s">
        <v>1052</v>
      </c>
      <c r="S135" s="52"/>
      <c r="T135" s="64" t="s">
        <v>1052</v>
      </c>
      <c r="U135" s="52"/>
      <c r="V135" s="64" t="s">
        <v>1052</v>
      </c>
      <c r="W135" s="52"/>
      <c r="X135" s="64" t="s">
        <v>1052</v>
      </c>
      <c r="Y135" s="52"/>
      <c r="Z135" s="64" t="s">
        <v>1052</v>
      </c>
      <c r="AA135" s="52"/>
      <c r="AB135" s="64" t="s">
        <v>1052</v>
      </c>
      <c r="AC135" s="52"/>
      <c r="AD135" s="64" t="s">
        <v>1052</v>
      </c>
      <c r="AE135" s="52"/>
      <c r="AF135" s="64" t="s">
        <v>1052</v>
      </c>
      <c r="AG135" s="52"/>
      <c r="AH135" s="64" t="s">
        <v>1052</v>
      </c>
      <c r="AI135" s="52"/>
      <c r="AJ135" s="64" t="s">
        <v>1052</v>
      </c>
      <c r="AK135" s="52"/>
      <c r="AL135" s="64" t="s">
        <v>1052</v>
      </c>
      <c r="AM135" s="52"/>
      <c r="AN135" s="64" t="s">
        <v>1052</v>
      </c>
      <c r="AO135" s="52"/>
      <c r="AP135" s="64" t="s">
        <v>1052</v>
      </c>
      <c r="AQ135" s="52"/>
      <c r="AR135" s="64" t="s">
        <v>1052</v>
      </c>
      <c r="AS135" s="52"/>
      <c r="AT135" s="64" t="s">
        <v>1052</v>
      </c>
      <c r="AU135" s="52"/>
      <c r="AV135" s="64" t="s">
        <v>1052</v>
      </c>
      <c r="AW135" s="52"/>
      <c r="AX135" s="64" t="s">
        <v>1052</v>
      </c>
      <c r="AY135" s="52"/>
      <c r="AZ135" s="64" t="s">
        <v>1052</v>
      </c>
      <c r="BA135" s="52"/>
      <c r="BB135" s="64" t="s">
        <v>1052</v>
      </c>
      <c r="BC135" s="52"/>
      <c r="BD135" s="64" t="s">
        <v>1052</v>
      </c>
      <c r="BE135" s="52"/>
      <c r="BF135" s="64" t="s">
        <v>1052</v>
      </c>
      <c r="BG135" s="52"/>
      <c r="BH135" s="64" t="s">
        <v>1052</v>
      </c>
      <c r="BI135" s="52"/>
      <c r="BJ135" s="64" t="s">
        <v>1052</v>
      </c>
      <c r="BK135" s="52">
        <v>0</v>
      </c>
      <c r="BL135" s="64" t="s">
        <v>1052</v>
      </c>
      <c r="BM135" s="52">
        <v>0</v>
      </c>
      <c r="BN135" s="64" t="s">
        <v>1052</v>
      </c>
      <c r="BO135" s="52">
        <v>0</v>
      </c>
      <c r="BP135" s="64" t="s">
        <v>1052</v>
      </c>
      <c r="BQ135" s="52">
        <v>0</v>
      </c>
      <c r="BR135" s="64" t="s">
        <v>1052</v>
      </c>
      <c r="BS135" s="52">
        <v>0</v>
      </c>
      <c r="BT135" s="64" t="s">
        <v>1052</v>
      </c>
      <c r="BU135" s="52">
        <v>0</v>
      </c>
      <c r="BV135" s="64" t="s">
        <v>1052</v>
      </c>
      <c r="BW135" s="52">
        <v>0</v>
      </c>
      <c r="BX135" s="64" t="s">
        <v>1052</v>
      </c>
      <c r="BY135" s="52">
        <v>0</v>
      </c>
      <c r="BZ135" s="64" t="s">
        <v>1052</v>
      </c>
      <c r="CA135" s="52">
        <v>0</v>
      </c>
      <c r="CB135" s="64" t="s">
        <v>1052</v>
      </c>
      <c r="CC135" s="52">
        <v>0</v>
      </c>
      <c r="CD135" s="64" t="s">
        <v>1052</v>
      </c>
      <c r="CE135" s="52">
        <v>0</v>
      </c>
      <c r="CF135" s="64" t="s">
        <v>1052</v>
      </c>
      <c r="CG135" s="52">
        <v>0</v>
      </c>
      <c r="CH135" s="64" t="s">
        <v>1052</v>
      </c>
      <c r="CI135" s="52">
        <v>0</v>
      </c>
      <c r="CJ135" s="64" t="s">
        <v>1052</v>
      </c>
      <c r="CK135" s="52">
        <v>0</v>
      </c>
      <c r="CL135" s="64" t="s">
        <v>1052</v>
      </c>
      <c r="CM135" s="52">
        <v>0</v>
      </c>
      <c r="CN135" s="64" t="s">
        <v>1052</v>
      </c>
      <c r="CO135" s="52">
        <v>0</v>
      </c>
      <c r="CP135" s="64" t="s">
        <v>1052</v>
      </c>
      <c r="CQ135" s="52">
        <v>0</v>
      </c>
      <c r="CR135" s="64" t="s">
        <v>1052</v>
      </c>
      <c r="CS135" s="52">
        <v>0</v>
      </c>
      <c r="CT135" s="64" t="s">
        <v>1052</v>
      </c>
      <c r="CU135" s="52">
        <v>0</v>
      </c>
      <c r="CV135" s="64" t="s">
        <v>1052</v>
      </c>
      <c r="CW135" s="52">
        <v>0</v>
      </c>
      <c r="CX135" s="64" t="s">
        <v>1052</v>
      </c>
      <c r="CY135" s="52">
        <v>0</v>
      </c>
      <c r="CZ135" s="64" t="s">
        <v>1052</v>
      </c>
    </row>
    <row r="136" spans="1:104" x14ac:dyDescent="0.25">
      <c r="A136" s="51" t="str">
        <f t="shared" si="13"/>
        <v>uart_7</v>
      </c>
      <c r="B136" s="2" t="str">
        <f t="shared" si="14"/>
        <v>UART IOs</v>
      </c>
      <c r="C136" s="2" t="s">
        <v>26</v>
      </c>
      <c r="D136" s="2" t="s">
        <v>918</v>
      </c>
      <c r="E136" s="2" t="str">
        <f t="shared" si="15"/>
        <v>7 LVCMOS IO</v>
      </c>
      <c r="F136" s="2" t="str">
        <f t="shared" si="15"/>
        <v>uart</v>
      </c>
      <c r="G136" s="52">
        <v>1</v>
      </c>
      <c r="H136" s="64" t="s">
        <v>921</v>
      </c>
      <c r="I136" s="52"/>
      <c r="J136" s="64" t="s">
        <v>1052</v>
      </c>
      <c r="K136" s="52"/>
      <c r="L136" s="64" t="s">
        <v>1052</v>
      </c>
      <c r="M136" s="52"/>
      <c r="N136" s="64" t="s">
        <v>1052</v>
      </c>
      <c r="O136" s="52"/>
      <c r="P136" s="64" t="s">
        <v>1052</v>
      </c>
      <c r="Q136" s="52"/>
      <c r="R136" s="64" t="s">
        <v>1052</v>
      </c>
      <c r="S136" s="52"/>
      <c r="T136" s="64" t="s">
        <v>1052</v>
      </c>
      <c r="U136" s="52"/>
      <c r="V136" s="64" t="s">
        <v>1052</v>
      </c>
      <c r="W136" s="52"/>
      <c r="X136" s="64" t="s">
        <v>1052</v>
      </c>
      <c r="Y136" s="52"/>
      <c r="Z136" s="64" t="s">
        <v>1052</v>
      </c>
      <c r="AA136" s="52"/>
      <c r="AB136" s="64" t="s">
        <v>1052</v>
      </c>
      <c r="AC136" s="52"/>
      <c r="AD136" s="64" t="s">
        <v>1052</v>
      </c>
      <c r="AE136" s="52"/>
      <c r="AF136" s="64" t="s">
        <v>1052</v>
      </c>
      <c r="AG136" s="52"/>
      <c r="AH136" s="64" t="s">
        <v>1052</v>
      </c>
      <c r="AI136" s="52"/>
      <c r="AJ136" s="64" t="s">
        <v>1052</v>
      </c>
      <c r="AK136" s="52"/>
      <c r="AL136" s="64" t="s">
        <v>1052</v>
      </c>
      <c r="AM136" s="52"/>
      <c r="AN136" s="64" t="s">
        <v>1052</v>
      </c>
      <c r="AO136" s="52"/>
      <c r="AP136" s="64" t="s">
        <v>1052</v>
      </c>
      <c r="AQ136" s="52"/>
      <c r="AR136" s="64" t="s">
        <v>1052</v>
      </c>
      <c r="AS136" s="52"/>
      <c r="AT136" s="64" t="s">
        <v>1052</v>
      </c>
      <c r="AU136" s="52"/>
      <c r="AV136" s="64" t="s">
        <v>1052</v>
      </c>
      <c r="AW136" s="52"/>
      <c r="AX136" s="64" t="s">
        <v>1052</v>
      </c>
      <c r="AY136" s="52"/>
      <c r="AZ136" s="64" t="s">
        <v>1052</v>
      </c>
      <c r="BA136" s="52"/>
      <c r="BB136" s="64" t="s">
        <v>1052</v>
      </c>
      <c r="BC136" s="52"/>
      <c r="BD136" s="64" t="s">
        <v>1052</v>
      </c>
      <c r="BE136" s="52"/>
      <c r="BF136" s="64" t="s">
        <v>1052</v>
      </c>
      <c r="BG136" s="52"/>
      <c r="BH136" s="64" t="s">
        <v>1052</v>
      </c>
      <c r="BI136" s="52"/>
      <c r="BJ136" s="64" t="s">
        <v>1052</v>
      </c>
      <c r="BK136" s="52">
        <v>0</v>
      </c>
      <c r="BL136" s="64" t="s">
        <v>1052</v>
      </c>
      <c r="BM136" s="52">
        <v>0</v>
      </c>
      <c r="BN136" s="64" t="s">
        <v>1052</v>
      </c>
      <c r="BO136" s="52">
        <v>0</v>
      </c>
      <c r="BP136" s="64" t="s">
        <v>1052</v>
      </c>
      <c r="BQ136" s="52">
        <v>0</v>
      </c>
      <c r="BR136" s="64" t="s">
        <v>1052</v>
      </c>
      <c r="BS136" s="52">
        <v>0</v>
      </c>
      <c r="BT136" s="64" t="s">
        <v>1052</v>
      </c>
      <c r="BU136" s="52">
        <v>0</v>
      </c>
      <c r="BV136" s="64" t="s">
        <v>1052</v>
      </c>
      <c r="BW136" s="52">
        <v>0</v>
      </c>
      <c r="BX136" s="64" t="s">
        <v>1052</v>
      </c>
      <c r="BY136" s="52">
        <v>0</v>
      </c>
      <c r="BZ136" s="64" t="s">
        <v>1052</v>
      </c>
      <c r="CA136" s="52">
        <v>0</v>
      </c>
      <c r="CB136" s="64" t="s">
        <v>1052</v>
      </c>
      <c r="CC136" s="52">
        <v>0</v>
      </c>
      <c r="CD136" s="64" t="s">
        <v>1052</v>
      </c>
      <c r="CE136" s="52">
        <v>0</v>
      </c>
      <c r="CF136" s="64" t="s">
        <v>1052</v>
      </c>
      <c r="CG136" s="52">
        <v>0</v>
      </c>
      <c r="CH136" s="64" t="s">
        <v>1052</v>
      </c>
      <c r="CI136" s="52">
        <v>0</v>
      </c>
      <c r="CJ136" s="64" t="s">
        <v>1052</v>
      </c>
      <c r="CK136" s="52">
        <v>0</v>
      </c>
      <c r="CL136" s="64" t="s">
        <v>1052</v>
      </c>
      <c r="CM136" s="52">
        <v>0</v>
      </c>
      <c r="CN136" s="64" t="s">
        <v>1052</v>
      </c>
      <c r="CO136" s="52">
        <v>0</v>
      </c>
      <c r="CP136" s="64" t="s">
        <v>1052</v>
      </c>
      <c r="CQ136" s="52">
        <v>0</v>
      </c>
      <c r="CR136" s="64" t="s">
        <v>1052</v>
      </c>
      <c r="CS136" s="52">
        <v>0</v>
      </c>
      <c r="CT136" s="64" t="s">
        <v>1052</v>
      </c>
      <c r="CU136" s="52">
        <v>0</v>
      </c>
      <c r="CV136" s="64" t="s">
        <v>1052</v>
      </c>
      <c r="CW136" s="52">
        <v>0</v>
      </c>
      <c r="CX136" s="64" t="s">
        <v>1052</v>
      </c>
      <c r="CY136" s="52">
        <v>0</v>
      </c>
      <c r="CZ136" s="64" t="s">
        <v>1052</v>
      </c>
    </row>
    <row r="137" spans="1:104" x14ac:dyDescent="0.25">
      <c r="A137" s="51" t="str">
        <f t="shared" si="13"/>
        <v>uart_8</v>
      </c>
      <c r="B137" s="2" t="str">
        <f t="shared" si="14"/>
        <v>UART IOs</v>
      </c>
      <c r="C137" s="2" t="s">
        <v>27</v>
      </c>
      <c r="D137" s="2" t="s">
        <v>918</v>
      </c>
      <c r="E137" s="2" t="str">
        <f t="shared" si="15"/>
        <v>7 LVCMOS IO</v>
      </c>
      <c r="F137" s="2" t="str">
        <f t="shared" si="15"/>
        <v>uart</v>
      </c>
      <c r="G137" s="52">
        <v>1</v>
      </c>
      <c r="H137" s="64" t="s">
        <v>921</v>
      </c>
      <c r="I137" s="52"/>
      <c r="J137" s="64" t="s">
        <v>1052</v>
      </c>
      <c r="K137" s="52"/>
      <c r="L137" s="64" t="s">
        <v>1052</v>
      </c>
      <c r="M137" s="52"/>
      <c r="N137" s="64" t="s">
        <v>1052</v>
      </c>
      <c r="O137" s="52"/>
      <c r="P137" s="64" t="s">
        <v>1052</v>
      </c>
      <c r="Q137" s="52"/>
      <c r="R137" s="64" t="s">
        <v>1052</v>
      </c>
      <c r="S137" s="52"/>
      <c r="T137" s="64" t="s">
        <v>1052</v>
      </c>
      <c r="U137" s="52"/>
      <c r="V137" s="64" t="s">
        <v>1052</v>
      </c>
      <c r="W137" s="52"/>
      <c r="X137" s="64" t="s">
        <v>1052</v>
      </c>
      <c r="Y137" s="52"/>
      <c r="Z137" s="64" t="s">
        <v>1052</v>
      </c>
      <c r="AA137" s="52"/>
      <c r="AB137" s="64" t="s">
        <v>1052</v>
      </c>
      <c r="AC137" s="52"/>
      <c r="AD137" s="64" t="s">
        <v>1052</v>
      </c>
      <c r="AE137" s="52"/>
      <c r="AF137" s="64" t="s">
        <v>1052</v>
      </c>
      <c r="AG137" s="52"/>
      <c r="AH137" s="64" t="s">
        <v>1052</v>
      </c>
      <c r="AI137" s="52"/>
      <c r="AJ137" s="64" t="s">
        <v>1052</v>
      </c>
      <c r="AK137" s="52"/>
      <c r="AL137" s="64" t="s">
        <v>1052</v>
      </c>
      <c r="AM137" s="52"/>
      <c r="AN137" s="64" t="s">
        <v>1052</v>
      </c>
      <c r="AO137" s="52"/>
      <c r="AP137" s="64" t="s">
        <v>1052</v>
      </c>
      <c r="AQ137" s="52"/>
      <c r="AR137" s="64" t="s">
        <v>1052</v>
      </c>
      <c r="AS137" s="52"/>
      <c r="AT137" s="64" t="s">
        <v>1052</v>
      </c>
      <c r="AU137" s="52"/>
      <c r="AV137" s="64" t="s">
        <v>1052</v>
      </c>
      <c r="AW137" s="52"/>
      <c r="AX137" s="64" t="s">
        <v>1052</v>
      </c>
      <c r="AY137" s="52"/>
      <c r="AZ137" s="64" t="s">
        <v>1052</v>
      </c>
      <c r="BA137" s="52"/>
      <c r="BB137" s="64" t="s">
        <v>1052</v>
      </c>
      <c r="BC137" s="52"/>
      <c r="BD137" s="64" t="s">
        <v>1052</v>
      </c>
      <c r="BE137" s="52"/>
      <c r="BF137" s="64" t="s">
        <v>1052</v>
      </c>
      <c r="BG137" s="52"/>
      <c r="BH137" s="64" t="s">
        <v>1052</v>
      </c>
      <c r="BI137" s="52"/>
      <c r="BJ137" s="64" t="s">
        <v>1052</v>
      </c>
      <c r="BK137" s="52">
        <v>0</v>
      </c>
      <c r="BL137" s="64" t="s">
        <v>1052</v>
      </c>
      <c r="BM137" s="52">
        <v>0</v>
      </c>
      <c r="BN137" s="64" t="s">
        <v>1052</v>
      </c>
      <c r="BO137" s="52">
        <v>0</v>
      </c>
      <c r="BP137" s="64" t="s">
        <v>1052</v>
      </c>
      <c r="BQ137" s="52">
        <v>0</v>
      </c>
      <c r="BR137" s="64" t="s">
        <v>1052</v>
      </c>
      <c r="BS137" s="52">
        <v>0</v>
      </c>
      <c r="BT137" s="64" t="s">
        <v>1052</v>
      </c>
      <c r="BU137" s="52">
        <v>0</v>
      </c>
      <c r="BV137" s="64" t="s">
        <v>1052</v>
      </c>
      <c r="BW137" s="52">
        <v>0</v>
      </c>
      <c r="BX137" s="64" t="s">
        <v>1052</v>
      </c>
      <c r="BY137" s="52">
        <v>0</v>
      </c>
      <c r="BZ137" s="64" t="s">
        <v>1052</v>
      </c>
      <c r="CA137" s="52">
        <v>0</v>
      </c>
      <c r="CB137" s="64" t="s">
        <v>1052</v>
      </c>
      <c r="CC137" s="52">
        <v>0</v>
      </c>
      <c r="CD137" s="64" t="s">
        <v>1052</v>
      </c>
      <c r="CE137" s="52">
        <v>0</v>
      </c>
      <c r="CF137" s="64" t="s">
        <v>1052</v>
      </c>
      <c r="CG137" s="52">
        <v>0</v>
      </c>
      <c r="CH137" s="64" t="s">
        <v>1052</v>
      </c>
      <c r="CI137" s="52">
        <v>0</v>
      </c>
      <c r="CJ137" s="64" t="s">
        <v>1052</v>
      </c>
      <c r="CK137" s="52">
        <v>0</v>
      </c>
      <c r="CL137" s="64" t="s">
        <v>1052</v>
      </c>
      <c r="CM137" s="52">
        <v>0</v>
      </c>
      <c r="CN137" s="64" t="s">
        <v>1052</v>
      </c>
      <c r="CO137" s="52">
        <v>0</v>
      </c>
      <c r="CP137" s="64" t="s">
        <v>1052</v>
      </c>
      <c r="CQ137" s="52">
        <v>0</v>
      </c>
      <c r="CR137" s="64" t="s">
        <v>1052</v>
      </c>
      <c r="CS137" s="52">
        <v>0</v>
      </c>
      <c r="CT137" s="64" t="s">
        <v>1052</v>
      </c>
      <c r="CU137" s="52">
        <v>0</v>
      </c>
      <c r="CV137" s="64" t="s">
        <v>1052</v>
      </c>
      <c r="CW137" s="52">
        <v>0</v>
      </c>
      <c r="CX137" s="64" t="s">
        <v>1052</v>
      </c>
      <c r="CY137" s="52">
        <v>0</v>
      </c>
      <c r="CZ137" s="64" t="s">
        <v>1052</v>
      </c>
    </row>
    <row r="138" spans="1:104" ht="11.1" customHeight="1" x14ac:dyDescent="0.25">
      <c r="A138" s="61"/>
      <c r="B138" s="60"/>
      <c r="C138" s="60"/>
      <c r="D138" s="60"/>
      <c r="E138" s="60"/>
      <c r="F138" s="60"/>
      <c r="G138" s="62"/>
      <c r="H138" s="63"/>
      <c r="I138" s="62"/>
      <c r="J138" s="63"/>
      <c r="K138" s="62"/>
      <c r="L138" s="63"/>
      <c r="M138" s="62"/>
      <c r="N138" s="63"/>
      <c r="O138" s="62"/>
      <c r="P138" s="63"/>
      <c r="Q138" s="62"/>
      <c r="R138" s="63"/>
      <c r="S138" s="62"/>
      <c r="T138" s="63"/>
      <c r="U138" s="62"/>
      <c r="V138" s="63"/>
      <c r="W138" s="62"/>
      <c r="X138" s="63"/>
      <c r="Y138" s="62"/>
      <c r="Z138" s="63"/>
      <c r="AA138" s="62"/>
      <c r="AB138" s="63"/>
      <c r="AC138" s="62"/>
      <c r="AD138" s="63"/>
      <c r="AE138" s="62"/>
      <c r="AF138" s="63"/>
      <c r="AG138" s="62"/>
      <c r="AH138" s="63"/>
      <c r="AI138" s="62"/>
      <c r="AJ138" s="63"/>
      <c r="AK138" s="62"/>
      <c r="AL138" s="63"/>
      <c r="AM138" s="62"/>
      <c r="AN138" s="63"/>
      <c r="AO138" s="62"/>
      <c r="AP138" s="63"/>
      <c r="AQ138" s="62"/>
      <c r="AR138" s="63"/>
      <c r="AS138" s="62"/>
      <c r="AT138" s="63"/>
      <c r="AU138" s="62"/>
      <c r="AV138" s="63"/>
      <c r="AW138" s="62"/>
      <c r="AX138" s="63"/>
      <c r="AY138" s="62"/>
      <c r="AZ138" s="63"/>
      <c r="BA138" s="62"/>
      <c r="BB138" s="63"/>
      <c r="BC138" s="62"/>
      <c r="BD138" s="63"/>
      <c r="BE138" s="62"/>
      <c r="BF138" s="63"/>
      <c r="BG138" s="62"/>
      <c r="BH138" s="63"/>
      <c r="BI138" s="62"/>
      <c r="BJ138" s="63"/>
      <c r="BK138" s="62"/>
      <c r="BL138" s="63"/>
      <c r="BM138" s="62"/>
      <c r="BN138" s="63"/>
      <c r="BO138" s="62"/>
      <c r="BP138" s="63"/>
      <c r="BQ138" s="62"/>
      <c r="BR138" s="63"/>
      <c r="BS138" s="62"/>
      <c r="BT138" s="63"/>
      <c r="BU138" s="62"/>
      <c r="BV138" s="63"/>
      <c r="BW138" s="62"/>
      <c r="BX138" s="63"/>
      <c r="BY138" s="62"/>
      <c r="BZ138" s="63"/>
      <c r="CA138" s="62"/>
      <c r="CB138" s="63"/>
      <c r="CC138" s="62"/>
      <c r="CD138" s="63"/>
      <c r="CE138" s="62"/>
      <c r="CF138" s="63"/>
      <c r="CG138" s="62"/>
      <c r="CH138" s="63"/>
      <c r="CI138" s="62"/>
      <c r="CJ138" s="63"/>
      <c r="CK138" s="62"/>
      <c r="CL138" s="63"/>
      <c r="CM138" s="62"/>
      <c r="CN138" s="63"/>
      <c r="CO138" s="62"/>
      <c r="CP138" s="63"/>
      <c r="CQ138" s="62"/>
      <c r="CR138" s="63"/>
      <c r="CS138" s="62"/>
      <c r="CT138" s="63"/>
      <c r="CU138" s="62"/>
      <c r="CV138" s="63"/>
      <c r="CW138" s="62"/>
      <c r="CX138" s="63"/>
      <c r="CY138" s="62"/>
      <c r="CZ138" s="63"/>
    </row>
    <row r="139" spans="1:104" x14ac:dyDescent="0.25">
      <c r="A139" s="51" t="str">
        <f>D139&amp;C139</f>
        <v>ecap_0</v>
      </c>
      <c r="B139" s="2" t="str">
        <f>UPPER(D139)&amp;" IOs"</f>
        <v>ECAP IOs</v>
      </c>
      <c r="C139" s="2" t="s">
        <v>18</v>
      </c>
      <c r="D139" s="2" t="s">
        <v>938</v>
      </c>
      <c r="E139" s="2" t="s">
        <v>648</v>
      </c>
      <c r="F139" s="2" t="str">
        <f>VLOOKUP($D139&amp;"_"&amp;F$3,MDB,6,0)</f>
        <v>eCAP</v>
      </c>
      <c r="G139" s="52">
        <v>1</v>
      </c>
      <c r="H139" s="64" t="s">
        <v>944</v>
      </c>
      <c r="I139" s="52"/>
      <c r="J139" s="64" t="s">
        <v>1052</v>
      </c>
      <c r="K139" s="52"/>
      <c r="L139" s="64" t="s">
        <v>1052</v>
      </c>
      <c r="M139" s="52"/>
      <c r="N139" s="64" t="s">
        <v>1052</v>
      </c>
      <c r="O139" s="52"/>
      <c r="P139" s="64" t="s">
        <v>1052</v>
      </c>
      <c r="Q139" s="52"/>
      <c r="R139" s="64" t="s">
        <v>1052</v>
      </c>
      <c r="S139" s="52"/>
      <c r="T139" s="64" t="s">
        <v>1052</v>
      </c>
      <c r="U139" s="52"/>
      <c r="V139" s="64" t="s">
        <v>1052</v>
      </c>
      <c r="W139" s="52"/>
      <c r="X139" s="64" t="s">
        <v>1052</v>
      </c>
      <c r="Y139" s="52"/>
      <c r="Z139" s="64" t="s">
        <v>1052</v>
      </c>
      <c r="AA139" s="52"/>
      <c r="AB139" s="64" t="s">
        <v>1052</v>
      </c>
      <c r="AC139" s="52"/>
      <c r="AD139" s="64" t="s">
        <v>1052</v>
      </c>
      <c r="AE139" s="52"/>
      <c r="AF139" s="64" t="s">
        <v>1052</v>
      </c>
      <c r="AG139" s="52"/>
      <c r="AH139" s="64" t="s">
        <v>1052</v>
      </c>
      <c r="AI139" s="52"/>
      <c r="AJ139" s="64" t="s">
        <v>1052</v>
      </c>
      <c r="AK139" s="52"/>
      <c r="AL139" s="64" t="s">
        <v>1052</v>
      </c>
      <c r="AM139" s="52"/>
      <c r="AN139" s="64" t="s">
        <v>1052</v>
      </c>
      <c r="AO139" s="52"/>
      <c r="AP139" s="64" t="s">
        <v>1052</v>
      </c>
      <c r="AQ139" s="52"/>
      <c r="AR139" s="64" t="s">
        <v>1052</v>
      </c>
      <c r="AS139" s="52"/>
      <c r="AT139" s="64" t="s">
        <v>1052</v>
      </c>
      <c r="AU139" s="52"/>
      <c r="AV139" s="64" t="s">
        <v>1052</v>
      </c>
      <c r="AW139" s="52"/>
      <c r="AX139" s="64" t="s">
        <v>1052</v>
      </c>
      <c r="AY139" s="52"/>
      <c r="AZ139" s="64" t="s">
        <v>1052</v>
      </c>
      <c r="BA139" s="52"/>
      <c r="BB139" s="64" t="s">
        <v>1052</v>
      </c>
      <c r="BC139" s="52"/>
      <c r="BD139" s="64" t="s">
        <v>1052</v>
      </c>
      <c r="BE139" s="52"/>
      <c r="BF139" s="64" t="s">
        <v>1052</v>
      </c>
      <c r="BG139" s="52"/>
      <c r="BH139" s="64" t="s">
        <v>1052</v>
      </c>
      <c r="BI139" s="52"/>
      <c r="BJ139" s="64" t="s">
        <v>1052</v>
      </c>
      <c r="BK139" s="52">
        <v>0</v>
      </c>
      <c r="BL139" s="64" t="s">
        <v>1052</v>
      </c>
      <c r="BM139" s="52">
        <v>0</v>
      </c>
      <c r="BN139" s="64" t="s">
        <v>1052</v>
      </c>
      <c r="BO139" s="52">
        <v>0</v>
      </c>
      <c r="BP139" s="64" t="s">
        <v>1052</v>
      </c>
      <c r="BQ139" s="52">
        <v>0</v>
      </c>
      <c r="BR139" s="64" t="s">
        <v>1052</v>
      </c>
      <c r="BS139" s="52">
        <v>0</v>
      </c>
      <c r="BT139" s="64" t="s">
        <v>1052</v>
      </c>
      <c r="BU139" s="52">
        <v>0</v>
      </c>
      <c r="BV139" s="64" t="s">
        <v>1052</v>
      </c>
      <c r="BW139" s="52">
        <v>0</v>
      </c>
      <c r="BX139" s="64" t="s">
        <v>1052</v>
      </c>
      <c r="BY139" s="52">
        <v>0</v>
      </c>
      <c r="BZ139" s="64" t="s">
        <v>1052</v>
      </c>
      <c r="CA139" s="52">
        <v>0</v>
      </c>
      <c r="CB139" s="64" t="s">
        <v>1052</v>
      </c>
      <c r="CC139" s="52">
        <v>0</v>
      </c>
      <c r="CD139" s="64" t="s">
        <v>1052</v>
      </c>
      <c r="CE139" s="52">
        <v>0</v>
      </c>
      <c r="CF139" s="64" t="s">
        <v>1052</v>
      </c>
      <c r="CG139" s="52">
        <v>0</v>
      </c>
      <c r="CH139" s="64" t="s">
        <v>1052</v>
      </c>
      <c r="CI139" s="52">
        <v>0</v>
      </c>
      <c r="CJ139" s="64" t="s">
        <v>1052</v>
      </c>
      <c r="CK139" s="52">
        <v>0</v>
      </c>
      <c r="CL139" s="64" t="s">
        <v>1052</v>
      </c>
      <c r="CM139" s="52">
        <v>0</v>
      </c>
      <c r="CN139" s="64" t="s">
        <v>1052</v>
      </c>
      <c r="CO139" s="52">
        <v>0</v>
      </c>
      <c r="CP139" s="64" t="s">
        <v>1052</v>
      </c>
      <c r="CQ139" s="52">
        <v>0</v>
      </c>
      <c r="CR139" s="64" t="s">
        <v>1052</v>
      </c>
      <c r="CS139" s="52">
        <v>0</v>
      </c>
      <c r="CT139" s="64" t="s">
        <v>1052</v>
      </c>
      <c r="CU139" s="52">
        <v>0</v>
      </c>
      <c r="CV139" s="64" t="s">
        <v>1052</v>
      </c>
      <c r="CW139" s="52">
        <v>0</v>
      </c>
      <c r="CX139" s="64" t="s">
        <v>1052</v>
      </c>
      <c r="CY139" s="52">
        <v>0</v>
      </c>
      <c r="CZ139" s="64" t="s">
        <v>1052</v>
      </c>
    </row>
    <row r="140" spans="1:104" x14ac:dyDescent="0.25">
      <c r="A140" s="51" t="str">
        <f>D140&amp;C140</f>
        <v>ecap_0</v>
      </c>
      <c r="B140" s="2" t="str">
        <f>UPPER(D140)&amp;" IOs"</f>
        <v>ECAP IOs</v>
      </c>
      <c r="C140" s="2" t="s">
        <v>18</v>
      </c>
      <c r="D140" s="2" t="s">
        <v>938</v>
      </c>
      <c r="E140" s="2" t="s">
        <v>648</v>
      </c>
      <c r="F140" s="2" t="str">
        <f>VLOOKUP($D140&amp;"_"&amp;F$3,MDB,6,0)</f>
        <v>eCAP</v>
      </c>
      <c r="G140" s="52">
        <v>1</v>
      </c>
      <c r="H140" s="64" t="s">
        <v>944</v>
      </c>
      <c r="I140" s="52"/>
      <c r="J140" s="64" t="s">
        <v>1052</v>
      </c>
      <c r="K140" s="52"/>
      <c r="L140" s="64" t="s">
        <v>1052</v>
      </c>
      <c r="M140" s="52"/>
      <c r="N140" s="64" t="s">
        <v>1052</v>
      </c>
      <c r="O140" s="52"/>
      <c r="P140" s="64" t="s">
        <v>1052</v>
      </c>
      <c r="Q140" s="52"/>
      <c r="R140" s="64" t="s">
        <v>1052</v>
      </c>
      <c r="S140" s="52"/>
      <c r="T140" s="64" t="s">
        <v>1052</v>
      </c>
      <c r="U140" s="52"/>
      <c r="V140" s="64" t="s">
        <v>1052</v>
      </c>
      <c r="W140" s="52"/>
      <c r="X140" s="64" t="s">
        <v>1052</v>
      </c>
      <c r="Y140" s="52"/>
      <c r="Z140" s="64" t="s">
        <v>1052</v>
      </c>
      <c r="AA140" s="52"/>
      <c r="AB140" s="64" t="s">
        <v>1052</v>
      </c>
      <c r="AC140" s="52"/>
      <c r="AD140" s="64" t="s">
        <v>1052</v>
      </c>
      <c r="AE140" s="52"/>
      <c r="AF140" s="64" t="s">
        <v>1052</v>
      </c>
      <c r="AG140" s="52"/>
      <c r="AH140" s="64" t="s">
        <v>1052</v>
      </c>
      <c r="AI140" s="52"/>
      <c r="AJ140" s="64" t="s">
        <v>1052</v>
      </c>
      <c r="AK140" s="52"/>
      <c r="AL140" s="64" t="s">
        <v>1052</v>
      </c>
      <c r="AM140" s="52"/>
      <c r="AN140" s="64" t="s">
        <v>1052</v>
      </c>
      <c r="AO140" s="52"/>
      <c r="AP140" s="64" t="s">
        <v>1052</v>
      </c>
      <c r="AQ140" s="52"/>
      <c r="AR140" s="64" t="s">
        <v>1052</v>
      </c>
      <c r="AS140" s="52"/>
      <c r="AT140" s="64" t="s">
        <v>1052</v>
      </c>
      <c r="AU140" s="52"/>
      <c r="AV140" s="64" t="s">
        <v>1052</v>
      </c>
      <c r="AW140" s="52"/>
      <c r="AX140" s="64" t="s">
        <v>1052</v>
      </c>
      <c r="AY140" s="52"/>
      <c r="AZ140" s="64" t="s">
        <v>1052</v>
      </c>
      <c r="BA140" s="52"/>
      <c r="BB140" s="64" t="s">
        <v>1052</v>
      </c>
      <c r="BC140" s="52"/>
      <c r="BD140" s="64" t="s">
        <v>1052</v>
      </c>
      <c r="BE140" s="52"/>
      <c r="BF140" s="64" t="s">
        <v>1052</v>
      </c>
      <c r="BG140" s="52"/>
      <c r="BH140" s="64" t="s">
        <v>1052</v>
      </c>
      <c r="BI140" s="52"/>
      <c r="BJ140" s="64" t="s">
        <v>1052</v>
      </c>
      <c r="BK140" s="52">
        <v>0</v>
      </c>
      <c r="BL140" s="64" t="s">
        <v>1052</v>
      </c>
      <c r="BM140" s="52">
        <v>0</v>
      </c>
      <c r="BN140" s="64" t="s">
        <v>1052</v>
      </c>
      <c r="BO140" s="52">
        <v>0</v>
      </c>
      <c r="BP140" s="64" t="s">
        <v>1052</v>
      </c>
      <c r="BQ140" s="52">
        <v>0</v>
      </c>
      <c r="BR140" s="64" t="s">
        <v>1052</v>
      </c>
      <c r="BS140" s="52">
        <v>0</v>
      </c>
      <c r="BT140" s="64" t="s">
        <v>1052</v>
      </c>
      <c r="BU140" s="52">
        <v>0</v>
      </c>
      <c r="BV140" s="64" t="s">
        <v>1052</v>
      </c>
      <c r="BW140" s="52">
        <v>0</v>
      </c>
      <c r="BX140" s="64" t="s">
        <v>1052</v>
      </c>
      <c r="BY140" s="52">
        <v>0</v>
      </c>
      <c r="BZ140" s="64" t="s">
        <v>1052</v>
      </c>
      <c r="CA140" s="52">
        <v>0</v>
      </c>
      <c r="CB140" s="64" t="s">
        <v>1052</v>
      </c>
      <c r="CC140" s="52">
        <v>0</v>
      </c>
      <c r="CD140" s="64" t="s">
        <v>1052</v>
      </c>
      <c r="CE140" s="52">
        <v>0</v>
      </c>
      <c r="CF140" s="64" t="s">
        <v>1052</v>
      </c>
      <c r="CG140" s="52">
        <v>0</v>
      </c>
      <c r="CH140" s="64" t="s">
        <v>1052</v>
      </c>
      <c r="CI140" s="52">
        <v>0</v>
      </c>
      <c r="CJ140" s="64" t="s">
        <v>1052</v>
      </c>
      <c r="CK140" s="52">
        <v>0</v>
      </c>
      <c r="CL140" s="64" t="s">
        <v>1052</v>
      </c>
      <c r="CM140" s="52">
        <v>0</v>
      </c>
      <c r="CN140" s="64" t="s">
        <v>1052</v>
      </c>
      <c r="CO140" s="52">
        <v>0</v>
      </c>
      <c r="CP140" s="64" t="s">
        <v>1052</v>
      </c>
      <c r="CQ140" s="52">
        <v>0</v>
      </c>
      <c r="CR140" s="64" t="s">
        <v>1052</v>
      </c>
      <c r="CS140" s="52">
        <v>0</v>
      </c>
      <c r="CT140" s="64" t="s">
        <v>1052</v>
      </c>
      <c r="CU140" s="52">
        <v>0</v>
      </c>
      <c r="CV140" s="64" t="s">
        <v>1052</v>
      </c>
      <c r="CW140" s="52">
        <v>0</v>
      </c>
      <c r="CX140" s="64" t="s">
        <v>1052</v>
      </c>
      <c r="CY140" s="52">
        <v>0</v>
      </c>
      <c r="CZ140" s="64" t="s">
        <v>1052</v>
      </c>
    </row>
    <row r="141" spans="1:104" x14ac:dyDescent="0.25">
      <c r="A141" s="51" t="str">
        <f>D141&amp;C141</f>
        <v>ecap_0</v>
      </c>
      <c r="B141" s="2" t="str">
        <f>UPPER(D141)&amp;" IOs"</f>
        <v>ECAP IOs</v>
      </c>
      <c r="C141" s="2" t="s">
        <v>18</v>
      </c>
      <c r="D141" s="2" t="s">
        <v>938</v>
      </c>
      <c r="E141" s="2" t="s">
        <v>648</v>
      </c>
      <c r="F141" s="2" t="str">
        <f>VLOOKUP($D141&amp;"_"&amp;F$3,MDB,6,0)</f>
        <v>eCAP</v>
      </c>
      <c r="G141" s="52">
        <v>1</v>
      </c>
      <c r="H141" s="64" t="s">
        <v>944</v>
      </c>
      <c r="I141" s="52"/>
      <c r="J141" s="64" t="s">
        <v>1052</v>
      </c>
      <c r="K141" s="52"/>
      <c r="L141" s="64" t="s">
        <v>1052</v>
      </c>
      <c r="M141" s="52"/>
      <c r="N141" s="64" t="s">
        <v>1052</v>
      </c>
      <c r="O141" s="52"/>
      <c r="P141" s="64" t="s">
        <v>1052</v>
      </c>
      <c r="Q141" s="52"/>
      <c r="R141" s="64" t="s">
        <v>1052</v>
      </c>
      <c r="S141" s="52"/>
      <c r="T141" s="64" t="s">
        <v>1052</v>
      </c>
      <c r="U141" s="52"/>
      <c r="V141" s="64" t="s">
        <v>1052</v>
      </c>
      <c r="W141" s="52"/>
      <c r="X141" s="64" t="s">
        <v>1052</v>
      </c>
      <c r="Y141" s="52"/>
      <c r="Z141" s="64" t="s">
        <v>1052</v>
      </c>
      <c r="AA141" s="52"/>
      <c r="AB141" s="64" t="s">
        <v>1052</v>
      </c>
      <c r="AC141" s="52"/>
      <c r="AD141" s="64" t="s">
        <v>1052</v>
      </c>
      <c r="AE141" s="52"/>
      <c r="AF141" s="64" t="s">
        <v>1052</v>
      </c>
      <c r="AG141" s="52"/>
      <c r="AH141" s="64" t="s">
        <v>1052</v>
      </c>
      <c r="AI141" s="52"/>
      <c r="AJ141" s="64" t="s">
        <v>1052</v>
      </c>
      <c r="AK141" s="52"/>
      <c r="AL141" s="64" t="s">
        <v>1052</v>
      </c>
      <c r="AM141" s="52"/>
      <c r="AN141" s="64" t="s">
        <v>1052</v>
      </c>
      <c r="AO141" s="52"/>
      <c r="AP141" s="64" t="s">
        <v>1052</v>
      </c>
      <c r="AQ141" s="52"/>
      <c r="AR141" s="64" t="s">
        <v>1052</v>
      </c>
      <c r="AS141" s="52"/>
      <c r="AT141" s="64" t="s">
        <v>1052</v>
      </c>
      <c r="AU141" s="52"/>
      <c r="AV141" s="64" t="s">
        <v>1052</v>
      </c>
      <c r="AW141" s="52"/>
      <c r="AX141" s="64" t="s">
        <v>1052</v>
      </c>
      <c r="AY141" s="52"/>
      <c r="AZ141" s="64" t="s">
        <v>1052</v>
      </c>
      <c r="BA141" s="52"/>
      <c r="BB141" s="64" t="s">
        <v>1052</v>
      </c>
      <c r="BC141" s="52"/>
      <c r="BD141" s="64" t="s">
        <v>1052</v>
      </c>
      <c r="BE141" s="52"/>
      <c r="BF141" s="64" t="s">
        <v>1052</v>
      </c>
      <c r="BG141" s="52"/>
      <c r="BH141" s="64" t="s">
        <v>1052</v>
      </c>
      <c r="BI141" s="52"/>
      <c r="BJ141" s="64" t="s">
        <v>1052</v>
      </c>
      <c r="BK141" s="52">
        <v>0</v>
      </c>
      <c r="BL141" s="64" t="s">
        <v>1052</v>
      </c>
      <c r="BM141" s="52">
        <v>0</v>
      </c>
      <c r="BN141" s="64" t="s">
        <v>1052</v>
      </c>
      <c r="BO141" s="52">
        <v>0</v>
      </c>
      <c r="BP141" s="64" t="s">
        <v>1052</v>
      </c>
      <c r="BQ141" s="52">
        <v>0</v>
      </c>
      <c r="BR141" s="64" t="s">
        <v>1052</v>
      </c>
      <c r="BS141" s="52">
        <v>0</v>
      </c>
      <c r="BT141" s="64" t="s">
        <v>1052</v>
      </c>
      <c r="BU141" s="52">
        <v>0</v>
      </c>
      <c r="BV141" s="64" t="s">
        <v>1052</v>
      </c>
      <c r="BW141" s="52">
        <v>0</v>
      </c>
      <c r="BX141" s="64" t="s">
        <v>1052</v>
      </c>
      <c r="BY141" s="52">
        <v>0</v>
      </c>
      <c r="BZ141" s="64" t="s">
        <v>1052</v>
      </c>
      <c r="CA141" s="52">
        <v>0</v>
      </c>
      <c r="CB141" s="64" t="s">
        <v>1052</v>
      </c>
      <c r="CC141" s="52">
        <v>0</v>
      </c>
      <c r="CD141" s="64" t="s">
        <v>1052</v>
      </c>
      <c r="CE141" s="52">
        <v>0</v>
      </c>
      <c r="CF141" s="64" t="s">
        <v>1052</v>
      </c>
      <c r="CG141" s="52">
        <v>0</v>
      </c>
      <c r="CH141" s="64" t="s">
        <v>1052</v>
      </c>
      <c r="CI141" s="52">
        <v>0</v>
      </c>
      <c r="CJ141" s="64" t="s">
        <v>1052</v>
      </c>
      <c r="CK141" s="52">
        <v>0</v>
      </c>
      <c r="CL141" s="64" t="s">
        <v>1052</v>
      </c>
      <c r="CM141" s="52">
        <v>0</v>
      </c>
      <c r="CN141" s="64" t="s">
        <v>1052</v>
      </c>
      <c r="CO141" s="52">
        <v>0</v>
      </c>
      <c r="CP141" s="64" t="s">
        <v>1052</v>
      </c>
      <c r="CQ141" s="52">
        <v>0</v>
      </c>
      <c r="CR141" s="64" t="s">
        <v>1052</v>
      </c>
      <c r="CS141" s="52">
        <v>0</v>
      </c>
      <c r="CT141" s="64" t="s">
        <v>1052</v>
      </c>
      <c r="CU141" s="52">
        <v>0</v>
      </c>
      <c r="CV141" s="64" t="s">
        <v>1052</v>
      </c>
      <c r="CW141" s="52">
        <v>0</v>
      </c>
      <c r="CX141" s="64" t="s">
        <v>1052</v>
      </c>
      <c r="CY141" s="52">
        <v>0</v>
      </c>
      <c r="CZ141" s="64" t="s">
        <v>1052</v>
      </c>
    </row>
    <row r="142" spans="1:104" ht="11.1" customHeight="1" x14ac:dyDescent="0.25">
      <c r="A142" s="61"/>
      <c r="B142" s="60"/>
      <c r="C142" s="60"/>
      <c r="D142" s="60"/>
      <c r="E142" s="60"/>
      <c r="F142" s="60"/>
      <c r="G142" s="62"/>
      <c r="H142" s="63"/>
      <c r="I142" s="62"/>
      <c r="J142" s="63"/>
      <c r="K142" s="62"/>
      <c r="L142" s="63"/>
      <c r="M142" s="62"/>
      <c r="N142" s="63"/>
      <c r="O142" s="62"/>
      <c r="P142" s="63"/>
      <c r="Q142" s="62"/>
      <c r="R142" s="63"/>
      <c r="S142" s="62"/>
      <c r="T142" s="63"/>
      <c r="U142" s="62"/>
      <c r="V142" s="63"/>
      <c r="W142" s="62"/>
      <c r="X142" s="63"/>
      <c r="Y142" s="62"/>
      <c r="Z142" s="63"/>
      <c r="AA142" s="62"/>
      <c r="AB142" s="63"/>
      <c r="AC142" s="62"/>
      <c r="AD142" s="63"/>
      <c r="AE142" s="62"/>
      <c r="AF142" s="63"/>
      <c r="AG142" s="62"/>
      <c r="AH142" s="63"/>
      <c r="AI142" s="62"/>
      <c r="AJ142" s="63"/>
      <c r="AK142" s="62"/>
      <c r="AL142" s="63"/>
      <c r="AM142" s="62"/>
      <c r="AN142" s="63"/>
      <c r="AO142" s="62"/>
      <c r="AP142" s="63"/>
      <c r="AQ142" s="62"/>
      <c r="AR142" s="63"/>
      <c r="AS142" s="62"/>
      <c r="AT142" s="63"/>
      <c r="AU142" s="62"/>
      <c r="AV142" s="63"/>
      <c r="AW142" s="62"/>
      <c r="AX142" s="63"/>
      <c r="AY142" s="62"/>
      <c r="AZ142" s="63"/>
      <c r="BA142" s="62"/>
      <c r="BB142" s="63"/>
      <c r="BC142" s="62"/>
      <c r="BD142" s="63"/>
      <c r="BE142" s="62"/>
      <c r="BF142" s="63"/>
      <c r="BG142" s="62"/>
      <c r="BH142" s="63"/>
      <c r="BI142" s="62"/>
      <c r="BJ142" s="63"/>
      <c r="BK142" s="62"/>
      <c r="BL142" s="63"/>
      <c r="BM142" s="62"/>
      <c r="BN142" s="63"/>
      <c r="BO142" s="62"/>
      <c r="BP142" s="63"/>
      <c r="BQ142" s="62"/>
      <c r="BR142" s="63"/>
      <c r="BS142" s="62"/>
      <c r="BT142" s="63"/>
      <c r="BU142" s="62"/>
      <c r="BV142" s="63"/>
      <c r="BW142" s="62"/>
      <c r="BX142" s="63"/>
      <c r="BY142" s="62"/>
      <c r="BZ142" s="63"/>
      <c r="CA142" s="62"/>
      <c r="CB142" s="63"/>
      <c r="CC142" s="62"/>
      <c r="CD142" s="63"/>
      <c r="CE142" s="62"/>
      <c r="CF142" s="63"/>
      <c r="CG142" s="62"/>
      <c r="CH142" s="63"/>
      <c r="CI142" s="62"/>
      <c r="CJ142" s="63"/>
      <c r="CK142" s="62"/>
      <c r="CL142" s="63"/>
      <c r="CM142" s="62"/>
      <c r="CN142" s="63"/>
      <c r="CO142" s="62"/>
      <c r="CP142" s="63"/>
      <c r="CQ142" s="62"/>
      <c r="CR142" s="63"/>
      <c r="CS142" s="62"/>
      <c r="CT142" s="63"/>
      <c r="CU142" s="62"/>
      <c r="CV142" s="63"/>
      <c r="CW142" s="62"/>
      <c r="CX142" s="63"/>
      <c r="CY142" s="62"/>
      <c r="CZ142" s="63"/>
    </row>
    <row r="143" spans="1:104" x14ac:dyDescent="0.25">
      <c r="A143" s="51" t="str">
        <f>D143&amp;C143</f>
        <v>eqep_0</v>
      </c>
      <c r="B143" s="2" t="str">
        <f>UPPER(D143)&amp;" IOs"</f>
        <v>EQEP IOs</v>
      </c>
      <c r="C143" s="2" t="s">
        <v>18</v>
      </c>
      <c r="D143" s="2" t="s">
        <v>937</v>
      </c>
      <c r="E143" s="2" t="s">
        <v>648</v>
      </c>
      <c r="F143" s="2" t="str">
        <f>VLOOKUP($D143&amp;"_"&amp;F$3,MDB,6,0)</f>
        <v>eQEP</v>
      </c>
      <c r="G143" s="52">
        <v>1</v>
      </c>
      <c r="H143" s="64" t="s">
        <v>944</v>
      </c>
      <c r="I143" s="52"/>
      <c r="J143" s="64" t="s">
        <v>1052</v>
      </c>
      <c r="K143" s="52"/>
      <c r="L143" s="64" t="s">
        <v>1052</v>
      </c>
      <c r="M143" s="52"/>
      <c r="N143" s="64" t="s">
        <v>1052</v>
      </c>
      <c r="O143" s="52"/>
      <c r="P143" s="64" t="s">
        <v>1052</v>
      </c>
      <c r="Q143" s="52"/>
      <c r="R143" s="64" t="s">
        <v>1052</v>
      </c>
      <c r="S143" s="52"/>
      <c r="T143" s="64" t="s">
        <v>1052</v>
      </c>
      <c r="U143" s="52"/>
      <c r="V143" s="64" t="s">
        <v>1052</v>
      </c>
      <c r="W143" s="52"/>
      <c r="X143" s="64" t="s">
        <v>1052</v>
      </c>
      <c r="Y143" s="52"/>
      <c r="Z143" s="64" t="s">
        <v>1052</v>
      </c>
      <c r="AA143" s="52"/>
      <c r="AB143" s="64" t="s">
        <v>1052</v>
      </c>
      <c r="AC143" s="52"/>
      <c r="AD143" s="64" t="s">
        <v>1052</v>
      </c>
      <c r="AE143" s="52"/>
      <c r="AF143" s="64" t="s">
        <v>1052</v>
      </c>
      <c r="AG143" s="52"/>
      <c r="AH143" s="64" t="s">
        <v>1052</v>
      </c>
      <c r="AI143" s="52"/>
      <c r="AJ143" s="64" t="s">
        <v>1052</v>
      </c>
      <c r="AK143" s="52"/>
      <c r="AL143" s="64" t="s">
        <v>1052</v>
      </c>
      <c r="AM143" s="52"/>
      <c r="AN143" s="64" t="s">
        <v>1052</v>
      </c>
      <c r="AO143" s="52"/>
      <c r="AP143" s="64" t="s">
        <v>1052</v>
      </c>
      <c r="AQ143" s="52"/>
      <c r="AR143" s="64" t="s">
        <v>1052</v>
      </c>
      <c r="AS143" s="52"/>
      <c r="AT143" s="64" t="s">
        <v>1052</v>
      </c>
      <c r="AU143" s="52"/>
      <c r="AV143" s="64" t="s">
        <v>1052</v>
      </c>
      <c r="AW143" s="52"/>
      <c r="AX143" s="64" t="s">
        <v>1052</v>
      </c>
      <c r="AY143" s="52"/>
      <c r="AZ143" s="64" t="s">
        <v>1052</v>
      </c>
      <c r="BA143" s="52"/>
      <c r="BB143" s="64" t="s">
        <v>1052</v>
      </c>
      <c r="BC143" s="52"/>
      <c r="BD143" s="64" t="s">
        <v>1052</v>
      </c>
      <c r="BE143" s="52"/>
      <c r="BF143" s="64" t="s">
        <v>1052</v>
      </c>
      <c r="BG143" s="52"/>
      <c r="BH143" s="64" t="s">
        <v>1052</v>
      </c>
      <c r="BI143" s="52"/>
      <c r="BJ143" s="64" t="s">
        <v>1052</v>
      </c>
      <c r="BK143" s="52">
        <v>0</v>
      </c>
      <c r="BL143" s="64" t="s">
        <v>1052</v>
      </c>
      <c r="BM143" s="52">
        <v>0</v>
      </c>
      <c r="BN143" s="64" t="s">
        <v>1052</v>
      </c>
      <c r="BO143" s="52">
        <v>0</v>
      </c>
      <c r="BP143" s="64" t="s">
        <v>1052</v>
      </c>
      <c r="BQ143" s="52">
        <v>0</v>
      </c>
      <c r="BR143" s="64" t="s">
        <v>1052</v>
      </c>
      <c r="BS143" s="52">
        <v>0</v>
      </c>
      <c r="BT143" s="64" t="s">
        <v>1052</v>
      </c>
      <c r="BU143" s="52">
        <v>0</v>
      </c>
      <c r="BV143" s="64" t="s">
        <v>1052</v>
      </c>
      <c r="BW143" s="52">
        <v>0</v>
      </c>
      <c r="BX143" s="64" t="s">
        <v>1052</v>
      </c>
      <c r="BY143" s="52">
        <v>0</v>
      </c>
      <c r="BZ143" s="64" t="s">
        <v>1052</v>
      </c>
      <c r="CA143" s="52">
        <v>0</v>
      </c>
      <c r="CB143" s="64" t="s">
        <v>1052</v>
      </c>
      <c r="CC143" s="52">
        <v>0</v>
      </c>
      <c r="CD143" s="64" t="s">
        <v>1052</v>
      </c>
      <c r="CE143" s="52">
        <v>0</v>
      </c>
      <c r="CF143" s="64" t="s">
        <v>1052</v>
      </c>
      <c r="CG143" s="52">
        <v>0</v>
      </c>
      <c r="CH143" s="64" t="s">
        <v>1052</v>
      </c>
      <c r="CI143" s="52">
        <v>0</v>
      </c>
      <c r="CJ143" s="64" t="s">
        <v>1052</v>
      </c>
      <c r="CK143" s="52">
        <v>0</v>
      </c>
      <c r="CL143" s="64" t="s">
        <v>1052</v>
      </c>
      <c r="CM143" s="52">
        <v>0</v>
      </c>
      <c r="CN143" s="64" t="s">
        <v>1052</v>
      </c>
      <c r="CO143" s="52">
        <v>0</v>
      </c>
      <c r="CP143" s="64" t="s">
        <v>1052</v>
      </c>
      <c r="CQ143" s="52">
        <v>0</v>
      </c>
      <c r="CR143" s="64" t="s">
        <v>1052</v>
      </c>
      <c r="CS143" s="52">
        <v>0</v>
      </c>
      <c r="CT143" s="64" t="s">
        <v>1052</v>
      </c>
      <c r="CU143" s="52">
        <v>0</v>
      </c>
      <c r="CV143" s="64" t="s">
        <v>1052</v>
      </c>
      <c r="CW143" s="52">
        <v>0</v>
      </c>
      <c r="CX143" s="64" t="s">
        <v>1052</v>
      </c>
      <c r="CY143" s="52">
        <v>0</v>
      </c>
      <c r="CZ143" s="64" t="s">
        <v>1052</v>
      </c>
    </row>
    <row r="144" spans="1:104" x14ac:dyDescent="0.25">
      <c r="A144" s="51" t="str">
        <f>D144&amp;C144</f>
        <v>eqep_1</v>
      </c>
      <c r="B144" s="2" t="str">
        <f>UPPER(D144)&amp;" IOs"</f>
        <v>EQEP IOs</v>
      </c>
      <c r="C144" s="2" t="s">
        <v>19</v>
      </c>
      <c r="D144" s="2" t="s">
        <v>937</v>
      </c>
      <c r="E144" s="2" t="s">
        <v>648</v>
      </c>
      <c r="F144" s="2" t="str">
        <f>VLOOKUP($D144&amp;"_"&amp;F$3,MDB,6,0)</f>
        <v>eQEP</v>
      </c>
      <c r="G144" s="52">
        <v>1</v>
      </c>
      <c r="H144" s="64" t="s">
        <v>944</v>
      </c>
      <c r="I144" s="52"/>
      <c r="J144" s="64" t="s">
        <v>1052</v>
      </c>
      <c r="K144" s="52"/>
      <c r="L144" s="64" t="s">
        <v>1052</v>
      </c>
      <c r="M144" s="52"/>
      <c r="N144" s="64" t="s">
        <v>1052</v>
      </c>
      <c r="O144" s="52"/>
      <c r="P144" s="64" t="s">
        <v>1052</v>
      </c>
      <c r="Q144" s="52"/>
      <c r="R144" s="64" t="s">
        <v>1052</v>
      </c>
      <c r="S144" s="52"/>
      <c r="T144" s="64" t="s">
        <v>1052</v>
      </c>
      <c r="U144" s="52"/>
      <c r="V144" s="64" t="s">
        <v>1052</v>
      </c>
      <c r="W144" s="52"/>
      <c r="X144" s="64" t="s">
        <v>1052</v>
      </c>
      <c r="Y144" s="52"/>
      <c r="Z144" s="64" t="s">
        <v>1052</v>
      </c>
      <c r="AA144" s="52"/>
      <c r="AB144" s="64" t="s">
        <v>1052</v>
      </c>
      <c r="AC144" s="52"/>
      <c r="AD144" s="64" t="s">
        <v>1052</v>
      </c>
      <c r="AE144" s="52"/>
      <c r="AF144" s="64" t="s">
        <v>1052</v>
      </c>
      <c r="AG144" s="52"/>
      <c r="AH144" s="64" t="s">
        <v>1052</v>
      </c>
      <c r="AI144" s="52"/>
      <c r="AJ144" s="64" t="s">
        <v>1052</v>
      </c>
      <c r="AK144" s="52"/>
      <c r="AL144" s="64" t="s">
        <v>1052</v>
      </c>
      <c r="AM144" s="52"/>
      <c r="AN144" s="64" t="s">
        <v>1052</v>
      </c>
      <c r="AO144" s="52"/>
      <c r="AP144" s="64" t="s">
        <v>1052</v>
      </c>
      <c r="AQ144" s="52"/>
      <c r="AR144" s="64" t="s">
        <v>1052</v>
      </c>
      <c r="AS144" s="52"/>
      <c r="AT144" s="64" t="s">
        <v>1052</v>
      </c>
      <c r="AU144" s="52"/>
      <c r="AV144" s="64" t="s">
        <v>1052</v>
      </c>
      <c r="AW144" s="52"/>
      <c r="AX144" s="64" t="s">
        <v>1052</v>
      </c>
      <c r="AY144" s="52"/>
      <c r="AZ144" s="64" t="s">
        <v>1052</v>
      </c>
      <c r="BA144" s="52"/>
      <c r="BB144" s="64" t="s">
        <v>1052</v>
      </c>
      <c r="BC144" s="52"/>
      <c r="BD144" s="64" t="s">
        <v>1052</v>
      </c>
      <c r="BE144" s="52"/>
      <c r="BF144" s="64" t="s">
        <v>1052</v>
      </c>
      <c r="BG144" s="52"/>
      <c r="BH144" s="64" t="s">
        <v>1052</v>
      </c>
      <c r="BI144" s="52"/>
      <c r="BJ144" s="64" t="s">
        <v>1052</v>
      </c>
      <c r="BK144" s="52">
        <v>0</v>
      </c>
      <c r="BL144" s="64" t="s">
        <v>1052</v>
      </c>
      <c r="BM144" s="52">
        <v>0</v>
      </c>
      <c r="BN144" s="64" t="s">
        <v>1052</v>
      </c>
      <c r="BO144" s="52">
        <v>0</v>
      </c>
      <c r="BP144" s="64" t="s">
        <v>1052</v>
      </c>
      <c r="BQ144" s="52">
        <v>0</v>
      </c>
      <c r="BR144" s="64" t="s">
        <v>1052</v>
      </c>
      <c r="BS144" s="52">
        <v>0</v>
      </c>
      <c r="BT144" s="64" t="s">
        <v>1052</v>
      </c>
      <c r="BU144" s="52">
        <v>0</v>
      </c>
      <c r="BV144" s="64" t="s">
        <v>1052</v>
      </c>
      <c r="BW144" s="52">
        <v>0</v>
      </c>
      <c r="BX144" s="64" t="s">
        <v>1052</v>
      </c>
      <c r="BY144" s="52">
        <v>0</v>
      </c>
      <c r="BZ144" s="64" t="s">
        <v>1052</v>
      </c>
      <c r="CA144" s="52">
        <v>0</v>
      </c>
      <c r="CB144" s="64" t="s">
        <v>1052</v>
      </c>
      <c r="CC144" s="52">
        <v>0</v>
      </c>
      <c r="CD144" s="64" t="s">
        <v>1052</v>
      </c>
      <c r="CE144" s="52">
        <v>0</v>
      </c>
      <c r="CF144" s="64" t="s">
        <v>1052</v>
      </c>
      <c r="CG144" s="52">
        <v>0</v>
      </c>
      <c r="CH144" s="64" t="s">
        <v>1052</v>
      </c>
      <c r="CI144" s="52">
        <v>0</v>
      </c>
      <c r="CJ144" s="64" t="s">
        <v>1052</v>
      </c>
      <c r="CK144" s="52">
        <v>0</v>
      </c>
      <c r="CL144" s="64" t="s">
        <v>1052</v>
      </c>
      <c r="CM144" s="52">
        <v>0</v>
      </c>
      <c r="CN144" s="64" t="s">
        <v>1052</v>
      </c>
      <c r="CO144" s="52">
        <v>0</v>
      </c>
      <c r="CP144" s="64" t="s">
        <v>1052</v>
      </c>
      <c r="CQ144" s="52">
        <v>0</v>
      </c>
      <c r="CR144" s="64" t="s">
        <v>1052</v>
      </c>
      <c r="CS144" s="52">
        <v>0</v>
      </c>
      <c r="CT144" s="64" t="s">
        <v>1052</v>
      </c>
      <c r="CU144" s="52">
        <v>0</v>
      </c>
      <c r="CV144" s="64" t="s">
        <v>1052</v>
      </c>
      <c r="CW144" s="52">
        <v>0</v>
      </c>
      <c r="CX144" s="64" t="s">
        <v>1052</v>
      </c>
      <c r="CY144" s="52">
        <v>0</v>
      </c>
      <c r="CZ144" s="64" t="s">
        <v>1052</v>
      </c>
    </row>
    <row r="145" spans="1:104" x14ac:dyDescent="0.25">
      <c r="A145" s="51" t="str">
        <f>D145&amp;C145</f>
        <v>eqep_2</v>
      </c>
      <c r="B145" s="2" t="str">
        <f>UPPER(D145)&amp;" IOs"</f>
        <v>EQEP IOs</v>
      </c>
      <c r="C145" s="2" t="s">
        <v>20</v>
      </c>
      <c r="D145" s="2" t="s">
        <v>937</v>
      </c>
      <c r="E145" s="2" t="s">
        <v>648</v>
      </c>
      <c r="F145" s="2" t="str">
        <f>VLOOKUP($D145&amp;"_"&amp;F$3,MDB,6,0)</f>
        <v>eQEP</v>
      </c>
      <c r="G145" s="52">
        <v>1</v>
      </c>
      <c r="H145" s="64" t="s">
        <v>944</v>
      </c>
      <c r="I145" s="52"/>
      <c r="J145" s="64" t="s">
        <v>1052</v>
      </c>
      <c r="K145" s="52"/>
      <c r="L145" s="64" t="s">
        <v>1052</v>
      </c>
      <c r="M145" s="52"/>
      <c r="N145" s="64" t="s">
        <v>1052</v>
      </c>
      <c r="O145" s="52"/>
      <c r="P145" s="64" t="s">
        <v>1052</v>
      </c>
      <c r="Q145" s="52"/>
      <c r="R145" s="64" t="s">
        <v>1052</v>
      </c>
      <c r="S145" s="52"/>
      <c r="T145" s="64" t="s">
        <v>1052</v>
      </c>
      <c r="U145" s="52"/>
      <c r="V145" s="64" t="s">
        <v>1052</v>
      </c>
      <c r="W145" s="52"/>
      <c r="X145" s="64" t="s">
        <v>1052</v>
      </c>
      <c r="Y145" s="52"/>
      <c r="Z145" s="64" t="s">
        <v>1052</v>
      </c>
      <c r="AA145" s="52"/>
      <c r="AB145" s="64" t="s">
        <v>1052</v>
      </c>
      <c r="AC145" s="52"/>
      <c r="AD145" s="64" t="s">
        <v>1052</v>
      </c>
      <c r="AE145" s="52"/>
      <c r="AF145" s="64" t="s">
        <v>1052</v>
      </c>
      <c r="AG145" s="52"/>
      <c r="AH145" s="64" t="s">
        <v>1052</v>
      </c>
      <c r="AI145" s="52"/>
      <c r="AJ145" s="64" t="s">
        <v>1052</v>
      </c>
      <c r="AK145" s="52"/>
      <c r="AL145" s="64" t="s">
        <v>1052</v>
      </c>
      <c r="AM145" s="52"/>
      <c r="AN145" s="64" t="s">
        <v>1052</v>
      </c>
      <c r="AO145" s="52"/>
      <c r="AP145" s="64" t="s">
        <v>1052</v>
      </c>
      <c r="AQ145" s="52"/>
      <c r="AR145" s="64" t="s">
        <v>1052</v>
      </c>
      <c r="AS145" s="52"/>
      <c r="AT145" s="64" t="s">
        <v>1052</v>
      </c>
      <c r="AU145" s="52"/>
      <c r="AV145" s="64" t="s">
        <v>1052</v>
      </c>
      <c r="AW145" s="52"/>
      <c r="AX145" s="64" t="s">
        <v>1052</v>
      </c>
      <c r="AY145" s="52"/>
      <c r="AZ145" s="64" t="s">
        <v>1052</v>
      </c>
      <c r="BA145" s="52"/>
      <c r="BB145" s="64" t="s">
        <v>1052</v>
      </c>
      <c r="BC145" s="52"/>
      <c r="BD145" s="64" t="s">
        <v>1052</v>
      </c>
      <c r="BE145" s="52"/>
      <c r="BF145" s="64" t="s">
        <v>1052</v>
      </c>
      <c r="BG145" s="52"/>
      <c r="BH145" s="64" t="s">
        <v>1052</v>
      </c>
      <c r="BI145" s="52"/>
      <c r="BJ145" s="64" t="s">
        <v>1052</v>
      </c>
      <c r="BK145" s="52">
        <v>0</v>
      </c>
      <c r="BL145" s="64" t="s">
        <v>1052</v>
      </c>
      <c r="BM145" s="52">
        <v>0</v>
      </c>
      <c r="BN145" s="64" t="s">
        <v>1052</v>
      </c>
      <c r="BO145" s="52">
        <v>0</v>
      </c>
      <c r="BP145" s="64" t="s">
        <v>1052</v>
      </c>
      <c r="BQ145" s="52">
        <v>0</v>
      </c>
      <c r="BR145" s="64" t="s">
        <v>1052</v>
      </c>
      <c r="BS145" s="52">
        <v>0</v>
      </c>
      <c r="BT145" s="64" t="s">
        <v>1052</v>
      </c>
      <c r="BU145" s="52">
        <v>0</v>
      </c>
      <c r="BV145" s="64" t="s">
        <v>1052</v>
      </c>
      <c r="BW145" s="52">
        <v>0</v>
      </c>
      <c r="BX145" s="64" t="s">
        <v>1052</v>
      </c>
      <c r="BY145" s="52">
        <v>0</v>
      </c>
      <c r="BZ145" s="64" t="s">
        <v>1052</v>
      </c>
      <c r="CA145" s="52">
        <v>0</v>
      </c>
      <c r="CB145" s="64" t="s">
        <v>1052</v>
      </c>
      <c r="CC145" s="52">
        <v>0</v>
      </c>
      <c r="CD145" s="64" t="s">
        <v>1052</v>
      </c>
      <c r="CE145" s="52">
        <v>0</v>
      </c>
      <c r="CF145" s="64" t="s">
        <v>1052</v>
      </c>
      <c r="CG145" s="52">
        <v>0</v>
      </c>
      <c r="CH145" s="64" t="s">
        <v>1052</v>
      </c>
      <c r="CI145" s="52">
        <v>0</v>
      </c>
      <c r="CJ145" s="64" t="s">
        <v>1052</v>
      </c>
      <c r="CK145" s="52">
        <v>0</v>
      </c>
      <c r="CL145" s="64" t="s">
        <v>1052</v>
      </c>
      <c r="CM145" s="52">
        <v>0</v>
      </c>
      <c r="CN145" s="64" t="s">
        <v>1052</v>
      </c>
      <c r="CO145" s="52">
        <v>0</v>
      </c>
      <c r="CP145" s="64" t="s">
        <v>1052</v>
      </c>
      <c r="CQ145" s="52">
        <v>0</v>
      </c>
      <c r="CR145" s="64" t="s">
        <v>1052</v>
      </c>
      <c r="CS145" s="52">
        <v>0</v>
      </c>
      <c r="CT145" s="64" t="s">
        <v>1052</v>
      </c>
      <c r="CU145" s="52">
        <v>0</v>
      </c>
      <c r="CV145" s="64" t="s">
        <v>1052</v>
      </c>
      <c r="CW145" s="52">
        <v>0</v>
      </c>
      <c r="CX145" s="64" t="s">
        <v>1052</v>
      </c>
      <c r="CY145" s="52">
        <v>0</v>
      </c>
      <c r="CZ145" s="64" t="s">
        <v>1052</v>
      </c>
    </row>
    <row r="146" spans="1:104" ht="11.1" customHeight="1" x14ac:dyDescent="0.25">
      <c r="A146" s="61"/>
      <c r="B146" s="60"/>
      <c r="C146" s="60"/>
      <c r="D146" s="60"/>
      <c r="E146" s="60"/>
      <c r="F146" s="60"/>
      <c r="G146" s="62"/>
      <c r="H146" s="63"/>
      <c r="I146" s="62"/>
      <c r="J146" s="63"/>
      <c r="K146" s="62"/>
      <c r="L146" s="63"/>
      <c r="M146" s="62"/>
      <c r="N146" s="63"/>
      <c r="O146" s="62"/>
      <c r="P146" s="63"/>
      <c r="Q146" s="62"/>
      <c r="R146" s="63"/>
      <c r="S146" s="62"/>
      <c r="T146" s="63"/>
      <c r="U146" s="62"/>
      <c r="V146" s="63"/>
      <c r="W146" s="62"/>
      <c r="X146" s="63"/>
      <c r="Y146" s="62"/>
      <c r="Z146" s="63"/>
      <c r="AA146" s="62"/>
      <c r="AB146" s="63"/>
      <c r="AC146" s="62"/>
      <c r="AD146" s="63"/>
      <c r="AE146" s="62"/>
      <c r="AF146" s="63"/>
      <c r="AG146" s="62"/>
      <c r="AH146" s="63"/>
      <c r="AI146" s="62"/>
      <c r="AJ146" s="63"/>
      <c r="AK146" s="62"/>
      <c r="AL146" s="63"/>
      <c r="AM146" s="62"/>
      <c r="AN146" s="63"/>
      <c r="AO146" s="62"/>
      <c r="AP146" s="63"/>
      <c r="AQ146" s="62"/>
      <c r="AR146" s="63"/>
      <c r="AS146" s="62"/>
      <c r="AT146" s="63"/>
      <c r="AU146" s="62"/>
      <c r="AV146" s="63"/>
      <c r="AW146" s="62"/>
      <c r="AX146" s="63"/>
      <c r="AY146" s="62"/>
      <c r="AZ146" s="63"/>
      <c r="BA146" s="62"/>
      <c r="BB146" s="63"/>
      <c r="BC146" s="62"/>
      <c r="BD146" s="63"/>
      <c r="BE146" s="62"/>
      <c r="BF146" s="63"/>
      <c r="BG146" s="62"/>
      <c r="BH146" s="63"/>
      <c r="BI146" s="62"/>
      <c r="BJ146" s="63"/>
      <c r="BK146" s="62"/>
      <c r="BL146" s="63"/>
      <c r="BM146" s="62"/>
      <c r="BN146" s="63"/>
      <c r="BO146" s="62"/>
      <c r="BP146" s="63"/>
      <c r="BQ146" s="62"/>
      <c r="BR146" s="63"/>
      <c r="BS146" s="62"/>
      <c r="BT146" s="63"/>
      <c r="BU146" s="62"/>
      <c r="BV146" s="63"/>
      <c r="BW146" s="62"/>
      <c r="BX146" s="63"/>
      <c r="BY146" s="62"/>
      <c r="BZ146" s="63"/>
      <c r="CA146" s="62"/>
      <c r="CB146" s="63"/>
      <c r="CC146" s="62"/>
      <c r="CD146" s="63"/>
      <c r="CE146" s="62"/>
      <c r="CF146" s="63"/>
      <c r="CG146" s="62"/>
      <c r="CH146" s="63"/>
      <c r="CI146" s="62"/>
      <c r="CJ146" s="63"/>
      <c r="CK146" s="62"/>
      <c r="CL146" s="63"/>
      <c r="CM146" s="62"/>
      <c r="CN146" s="63"/>
      <c r="CO146" s="62"/>
      <c r="CP146" s="63"/>
      <c r="CQ146" s="62"/>
      <c r="CR146" s="63"/>
      <c r="CS146" s="62"/>
      <c r="CT146" s="63"/>
      <c r="CU146" s="62"/>
      <c r="CV146" s="63"/>
      <c r="CW146" s="62"/>
      <c r="CX146" s="63"/>
      <c r="CY146" s="62"/>
      <c r="CZ146" s="63"/>
    </row>
    <row r="147" spans="1:104" x14ac:dyDescent="0.25">
      <c r="A147" s="51" t="str">
        <f>D147&amp;C147</f>
        <v>epwm_0</v>
      </c>
      <c r="B147" s="2" t="str">
        <f>UPPER(D147)&amp;" IOs"</f>
        <v>EPWM IOs</v>
      </c>
      <c r="C147" s="2" t="s">
        <v>18</v>
      </c>
      <c r="D147" s="2" t="s">
        <v>967</v>
      </c>
      <c r="E147" s="2" t="s">
        <v>648</v>
      </c>
      <c r="F147" s="2" t="str">
        <f>VLOOKUP($D147&amp;"_"&amp;F$3,MDB,6,0)</f>
        <v>ePWM</v>
      </c>
      <c r="G147" s="52">
        <v>1</v>
      </c>
      <c r="H147" s="64" t="s">
        <v>956</v>
      </c>
      <c r="I147" s="52"/>
      <c r="J147" s="64" t="s">
        <v>1052</v>
      </c>
      <c r="K147" s="52"/>
      <c r="L147" s="64" t="s">
        <v>1052</v>
      </c>
      <c r="M147" s="52"/>
      <c r="N147" s="64" t="s">
        <v>1052</v>
      </c>
      <c r="O147" s="52"/>
      <c r="P147" s="64" t="s">
        <v>1052</v>
      </c>
      <c r="Q147" s="52"/>
      <c r="R147" s="64" t="s">
        <v>1052</v>
      </c>
      <c r="S147" s="52"/>
      <c r="T147" s="64" t="s">
        <v>1052</v>
      </c>
      <c r="U147" s="52"/>
      <c r="V147" s="64" t="s">
        <v>1052</v>
      </c>
      <c r="W147" s="52"/>
      <c r="X147" s="64" t="s">
        <v>1052</v>
      </c>
      <c r="Y147" s="52"/>
      <c r="Z147" s="64" t="s">
        <v>1052</v>
      </c>
      <c r="AA147" s="52"/>
      <c r="AB147" s="64" t="s">
        <v>1052</v>
      </c>
      <c r="AC147" s="52"/>
      <c r="AD147" s="64" t="s">
        <v>1052</v>
      </c>
      <c r="AE147" s="52"/>
      <c r="AF147" s="64" t="s">
        <v>1052</v>
      </c>
      <c r="AG147" s="52"/>
      <c r="AH147" s="64" t="s">
        <v>1052</v>
      </c>
      <c r="AI147" s="52"/>
      <c r="AJ147" s="64" t="s">
        <v>1052</v>
      </c>
      <c r="AK147" s="52"/>
      <c r="AL147" s="64" t="s">
        <v>1052</v>
      </c>
      <c r="AM147" s="52"/>
      <c r="AN147" s="64" t="s">
        <v>1052</v>
      </c>
      <c r="AO147" s="52"/>
      <c r="AP147" s="64" t="s">
        <v>1052</v>
      </c>
      <c r="AQ147" s="52"/>
      <c r="AR147" s="64" t="s">
        <v>1052</v>
      </c>
      <c r="AS147" s="52"/>
      <c r="AT147" s="64" t="s">
        <v>1052</v>
      </c>
      <c r="AU147" s="52"/>
      <c r="AV147" s="64" t="s">
        <v>1052</v>
      </c>
      <c r="AW147" s="52"/>
      <c r="AX147" s="64" t="s">
        <v>1052</v>
      </c>
      <c r="AY147" s="52"/>
      <c r="AZ147" s="64" t="s">
        <v>1052</v>
      </c>
      <c r="BA147" s="52"/>
      <c r="BB147" s="64" t="s">
        <v>1052</v>
      </c>
      <c r="BC147" s="52"/>
      <c r="BD147" s="64" t="s">
        <v>1052</v>
      </c>
      <c r="BE147" s="52"/>
      <c r="BF147" s="64" t="s">
        <v>1052</v>
      </c>
      <c r="BG147" s="52"/>
      <c r="BH147" s="64" t="s">
        <v>1052</v>
      </c>
      <c r="BI147" s="52"/>
      <c r="BJ147" s="64" t="s">
        <v>1052</v>
      </c>
      <c r="BK147" s="52">
        <v>0</v>
      </c>
      <c r="BL147" s="64" t="s">
        <v>1052</v>
      </c>
      <c r="BM147" s="52">
        <v>0</v>
      </c>
      <c r="BN147" s="64" t="s">
        <v>1052</v>
      </c>
      <c r="BO147" s="52">
        <v>0</v>
      </c>
      <c r="BP147" s="64" t="s">
        <v>1052</v>
      </c>
      <c r="BQ147" s="52">
        <v>0</v>
      </c>
      <c r="BR147" s="64" t="s">
        <v>1052</v>
      </c>
      <c r="BS147" s="52">
        <v>0</v>
      </c>
      <c r="BT147" s="64" t="s">
        <v>1052</v>
      </c>
      <c r="BU147" s="52">
        <v>0</v>
      </c>
      <c r="BV147" s="64" t="s">
        <v>1052</v>
      </c>
      <c r="BW147" s="52">
        <v>0</v>
      </c>
      <c r="BX147" s="64" t="s">
        <v>1052</v>
      </c>
      <c r="BY147" s="52">
        <v>0</v>
      </c>
      <c r="BZ147" s="64" t="s">
        <v>1052</v>
      </c>
      <c r="CA147" s="52">
        <v>0</v>
      </c>
      <c r="CB147" s="64" t="s">
        <v>1052</v>
      </c>
      <c r="CC147" s="52">
        <v>0</v>
      </c>
      <c r="CD147" s="64" t="s">
        <v>1052</v>
      </c>
      <c r="CE147" s="52">
        <v>0</v>
      </c>
      <c r="CF147" s="64" t="s">
        <v>1052</v>
      </c>
      <c r="CG147" s="52">
        <v>0</v>
      </c>
      <c r="CH147" s="64" t="s">
        <v>1052</v>
      </c>
      <c r="CI147" s="52">
        <v>0</v>
      </c>
      <c r="CJ147" s="64" t="s">
        <v>1052</v>
      </c>
      <c r="CK147" s="52">
        <v>0</v>
      </c>
      <c r="CL147" s="64" t="s">
        <v>1052</v>
      </c>
      <c r="CM147" s="52">
        <v>0</v>
      </c>
      <c r="CN147" s="64" t="s">
        <v>1052</v>
      </c>
      <c r="CO147" s="52">
        <v>0</v>
      </c>
      <c r="CP147" s="64" t="s">
        <v>1052</v>
      </c>
      <c r="CQ147" s="52">
        <v>0</v>
      </c>
      <c r="CR147" s="64" t="s">
        <v>1052</v>
      </c>
      <c r="CS147" s="52">
        <v>0</v>
      </c>
      <c r="CT147" s="64" t="s">
        <v>1052</v>
      </c>
      <c r="CU147" s="52">
        <v>0</v>
      </c>
      <c r="CV147" s="64" t="s">
        <v>1052</v>
      </c>
      <c r="CW147" s="52">
        <v>0</v>
      </c>
      <c r="CX147" s="64" t="s">
        <v>1052</v>
      </c>
      <c r="CY147" s="52">
        <v>0</v>
      </c>
      <c r="CZ147" s="64" t="s">
        <v>1052</v>
      </c>
    </row>
    <row r="148" spans="1:104" x14ac:dyDescent="0.25">
      <c r="A148" s="51" t="str">
        <f>D148&amp;C148</f>
        <v>epwm_1</v>
      </c>
      <c r="B148" s="2" t="str">
        <f>UPPER(D148)&amp;" IOs"</f>
        <v>EPWM IOs</v>
      </c>
      <c r="C148" s="2" t="s">
        <v>19</v>
      </c>
      <c r="D148" s="2" t="s">
        <v>967</v>
      </c>
      <c r="E148" s="2" t="s">
        <v>648</v>
      </c>
      <c r="F148" s="2" t="str">
        <f>VLOOKUP($D148&amp;"_"&amp;F$3,MDB,6,0)</f>
        <v>ePWM</v>
      </c>
      <c r="G148" s="52">
        <v>1</v>
      </c>
      <c r="H148" s="64" t="s">
        <v>956</v>
      </c>
      <c r="I148" s="52"/>
      <c r="J148" s="64" t="s">
        <v>1052</v>
      </c>
      <c r="K148" s="52"/>
      <c r="L148" s="64" t="s">
        <v>1052</v>
      </c>
      <c r="M148" s="52"/>
      <c r="N148" s="64" t="s">
        <v>1052</v>
      </c>
      <c r="O148" s="52"/>
      <c r="P148" s="64" t="s">
        <v>1052</v>
      </c>
      <c r="Q148" s="52"/>
      <c r="R148" s="64" t="s">
        <v>1052</v>
      </c>
      <c r="S148" s="52"/>
      <c r="T148" s="64" t="s">
        <v>1052</v>
      </c>
      <c r="U148" s="52"/>
      <c r="V148" s="64" t="s">
        <v>1052</v>
      </c>
      <c r="W148" s="52"/>
      <c r="X148" s="64" t="s">
        <v>1052</v>
      </c>
      <c r="Y148" s="52"/>
      <c r="Z148" s="64" t="s">
        <v>1052</v>
      </c>
      <c r="AA148" s="52"/>
      <c r="AB148" s="64" t="s">
        <v>1052</v>
      </c>
      <c r="AC148" s="52"/>
      <c r="AD148" s="64" t="s">
        <v>1052</v>
      </c>
      <c r="AE148" s="52"/>
      <c r="AF148" s="64" t="s">
        <v>1052</v>
      </c>
      <c r="AG148" s="52"/>
      <c r="AH148" s="64" t="s">
        <v>1052</v>
      </c>
      <c r="AI148" s="52"/>
      <c r="AJ148" s="64" t="s">
        <v>1052</v>
      </c>
      <c r="AK148" s="52"/>
      <c r="AL148" s="64" t="s">
        <v>1052</v>
      </c>
      <c r="AM148" s="52"/>
      <c r="AN148" s="64" t="s">
        <v>1052</v>
      </c>
      <c r="AO148" s="52"/>
      <c r="AP148" s="64" t="s">
        <v>1052</v>
      </c>
      <c r="AQ148" s="52"/>
      <c r="AR148" s="64" t="s">
        <v>1052</v>
      </c>
      <c r="AS148" s="52"/>
      <c r="AT148" s="64" t="s">
        <v>1052</v>
      </c>
      <c r="AU148" s="52"/>
      <c r="AV148" s="64" t="s">
        <v>1052</v>
      </c>
      <c r="AW148" s="52"/>
      <c r="AX148" s="64" t="s">
        <v>1052</v>
      </c>
      <c r="AY148" s="52"/>
      <c r="AZ148" s="64" t="s">
        <v>1052</v>
      </c>
      <c r="BA148" s="52"/>
      <c r="BB148" s="64" t="s">
        <v>1052</v>
      </c>
      <c r="BC148" s="52"/>
      <c r="BD148" s="64" t="s">
        <v>1052</v>
      </c>
      <c r="BE148" s="52"/>
      <c r="BF148" s="64" t="s">
        <v>1052</v>
      </c>
      <c r="BG148" s="52"/>
      <c r="BH148" s="64" t="s">
        <v>1052</v>
      </c>
      <c r="BI148" s="52"/>
      <c r="BJ148" s="64" t="s">
        <v>1052</v>
      </c>
      <c r="BK148" s="52">
        <v>0</v>
      </c>
      <c r="BL148" s="64" t="s">
        <v>1052</v>
      </c>
      <c r="BM148" s="52">
        <v>0</v>
      </c>
      <c r="BN148" s="64" t="s">
        <v>1052</v>
      </c>
      <c r="BO148" s="52">
        <v>0</v>
      </c>
      <c r="BP148" s="64" t="s">
        <v>1052</v>
      </c>
      <c r="BQ148" s="52">
        <v>0</v>
      </c>
      <c r="BR148" s="64" t="s">
        <v>1052</v>
      </c>
      <c r="BS148" s="52">
        <v>0</v>
      </c>
      <c r="BT148" s="64" t="s">
        <v>1052</v>
      </c>
      <c r="BU148" s="52">
        <v>0</v>
      </c>
      <c r="BV148" s="64" t="s">
        <v>1052</v>
      </c>
      <c r="BW148" s="52">
        <v>0</v>
      </c>
      <c r="BX148" s="64" t="s">
        <v>1052</v>
      </c>
      <c r="BY148" s="52">
        <v>0</v>
      </c>
      <c r="BZ148" s="64" t="s">
        <v>1052</v>
      </c>
      <c r="CA148" s="52">
        <v>0</v>
      </c>
      <c r="CB148" s="64" t="s">
        <v>1052</v>
      </c>
      <c r="CC148" s="52">
        <v>0</v>
      </c>
      <c r="CD148" s="64" t="s">
        <v>1052</v>
      </c>
      <c r="CE148" s="52">
        <v>0</v>
      </c>
      <c r="CF148" s="64" t="s">
        <v>1052</v>
      </c>
      <c r="CG148" s="52">
        <v>0</v>
      </c>
      <c r="CH148" s="64" t="s">
        <v>1052</v>
      </c>
      <c r="CI148" s="52">
        <v>0</v>
      </c>
      <c r="CJ148" s="64" t="s">
        <v>1052</v>
      </c>
      <c r="CK148" s="52">
        <v>0</v>
      </c>
      <c r="CL148" s="64" t="s">
        <v>1052</v>
      </c>
      <c r="CM148" s="52">
        <v>0</v>
      </c>
      <c r="CN148" s="64" t="s">
        <v>1052</v>
      </c>
      <c r="CO148" s="52">
        <v>0</v>
      </c>
      <c r="CP148" s="64" t="s">
        <v>1052</v>
      </c>
      <c r="CQ148" s="52">
        <v>0</v>
      </c>
      <c r="CR148" s="64" t="s">
        <v>1052</v>
      </c>
      <c r="CS148" s="52">
        <v>0</v>
      </c>
      <c r="CT148" s="64" t="s">
        <v>1052</v>
      </c>
      <c r="CU148" s="52">
        <v>0</v>
      </c>
      <c r="CV148" s="64" t="s">
        <v>1052</v>
      </c>
      <c r="CW148" s="52">
        <v>0</v>
      </c>
      <c r="CX148" s="64" t="s">
        <v>1052</v>
      </c>
      <c r="CY148" s="52">
        <v>0</v>
      </c>
      <c r="CZ148" s="64" t="s">
        <v>1052</v>
      </c>
    </row>
    <row r="149" spans="1:104" x14ac:dyDescent="0.25">
      <c r="A149" s="51" t="str">
        <f>D149&amp;C149</f>
        <v>epwm_2</v>
      </c>
      <c r="B149" s="2" t="str">
        <f>UPPER(D149)&amp;" IOs"</f>
        <v>EPWM IOs</v>
      </c>
      <c r="C149" s="2" t="s">
        <v>20</v>
      </c>
      <c r="D149" s="2" t="s">
        <v>967</v>
      </c>
      <c r="E149" s="2" t="s">
        <v>648</v>
      </c>
      <c r="F149" s="2" t="str">
        <f>VLOOKUP($D149&amp;"_"&amp;F$3,MDB,6,0)</f>
        <v>ePWM</v>
      </c>
      <c r="G149" s="52">
        <v>1</v>
      </c>
      <c r="H149" s="64" t="s">
        <v>956</v>
      </c>
      <c r="I149" s="52"/>
      <c r="J149" s="64" t="s">
        <v>1052</v>
      </c>
      <c r="K149" s="52"/>
      <c r="L149" s="64" t="s">
        <v>1052</v>
      </c>
      <c r="M149" s="52"/>
      <c r="N149" s="64" t="s">
        <v>1052</v>
      </c>
      <c r="O149" s="52"/>
      <c r="P149" s="64" t="s">
        <v>1052</v>
      </c>
      <c r="Q149" s="52"/>
      <c r="R149" s="64" t="s">
        <v>1052</v>
      </c>
      <c r="S149" s="52"/>
      <c r="T149" s="64" t="s">
        <v>1052</v>
      </c>
      <c r="U149" s="52"/>
      <c r="V149" s="64" t="s">
        <v>1052</v>
      </c>
      <c r="W149" s="52"/>
      <c r="X149" s="64" t="s">
        <v>1052</v>
      </c>
      <c r="Y149" s="52"/>
      <c r="Z149" s="64" t="s">
        <v>1052</v>
      </c>
      <c r="AA149" s="52"/>
      <c r="AB149" s="64" t="s">
        <v>1052</v>
      </c>
      <c r="AC149" s="52"/>
      <c r="AD149" s="64" t="s">
        <v>1052</v>
      </c>
      <c r="AE149" s="52"/>
      <c r="AF149" s="64" t="s">
        <v>1052</v>
      </c>
      <c r="AG149" s="52"/>
      <c r="AH149" s="64" t="s">
        <v>1052</v>
      </c>
      <c r="AI149" s="52"/>
      <c r="AJ149" s="64" t="s">
        <v>1052</v>
      </c>
      <c r="AK149" s="52"/>
      <c r="AL149" s="64" t="s">
        <v>1052</v>
      </c>
      <c r="AM149" s="52"/>
      <c r="AN149" s="64" t="s">
        <v>1052</v>
      </c>
      <c r="AO149" s="52"/>
      <c r="AP149" s="64" t="s">
        <v>1052</v>
      </c>
      <c r="AQ149" s="52"/>
      <c r="AR149" s="64" t="s">
        <v>1052</v>
      </c>
      <c r="AS149" s="52"/>
      <c r="AT149" s="64" t="s">
        <v>1052</v>
      </c>
      <c r="AU149" s="52"/>
      <c r="AV149" s="64" t="s">
        <v>1052</v>
      </c>
      <c r="AW149" s="52"/>
      <c r="AX149" s="64" t="s">
        <v>1052</v>
      </c>
      <c r="AY149" s="52"/>
      <c r="AZ149" s="64" t="s">
        <v>1052</v>
      </c>
      <c r="BA149" s="52"/>
      <c r="BB149" s="64" t="s">
        <v>1052</v>
      </c>
      <c r="BC149" s="52"/>
      <c r="BD149" s="64" t="s">
        <v>1052</v>
      </c>
      <c r="BE149" s="52"/>
      <c r="BF149" s="64" t="s">
        <v>1052</v>
      </c>
      <c r="BG149" s="52"/>
      <c r="BH149" s="64" t="s">
        <v>1052</v>
      </c>
      <c r="BI149" s="52"/>
      <c r="BJ149" s="64" t="s">
        <v>1052</v>
      </c>
      <c r="BK149" s="52">
        <v>0</v>
      </c>
      <c r="BL149" s="64" t="s">
        <v>1052</v>
      </c>
      <c r="BM149" s="52">
        <v>0</v>
      </c>
      <c r="BN149" s="64" t="s">
        <v>1052</v>
      </c>
      <c r="BO149" s="52">
        <v>0</v>
      </c>
      <c r="BP149" s="64" t="s">
        <v>1052</v>
      </c>
      <c r="BQ149" s="52">
        <v>0</v>
      </c>
      <c r="BR149" s="64" t="s">
        <v>1052</v>
      </c>
      <c r="BS149" s="52">
        <v>0</v>
      </c>
      <c r="BT149" s="64" t="s">
        <v>1052</v>
      </c>
      <c r="BU149" s="52">
        <v>0</v>
      </c>
      <c r="BV149" s="64" t="s">
        <v>1052</v>
      </c>
      <c r="BW149" s="52">
        <v>0</v>
      </c>
      <c r="BX149" s="64" t="s">
        <v>1052</v>
      </c>
      <c r="BY149" s="52">
        <v>0</v>
      </c>
      <c r="BZ149" s="64" t="s">
        <v>1052</v>
      </c>
      <c r="CA149" s="52">
        <v>0</v>
      </c>
      <c r="CB149" s="64" t="s">
        <v>1052</v>
      </c>
      <c r="CC149" s="52">
        <v>0</v>
      </c>
      <c r="CD149" s="64" t="s">
        <v>1052</v>
      </c>
      <c r="CE149" s="52">
        <v>0</v>
      </c>
      <c r="CF149" s="64" t="s">
        <v>1052</v>
      </c>
      <c r="CG149" s="52">
        <v>0</v>
      </c>
      <c r="CH149" s="64" t="s">
        <v>1052</v>
      </c>
      <c r="CI149" s="52">
        <v>0</v>
      </c>
      <c r="CJ149" s="64" t="s">
        <v>1052</v>
      </c>
      <c r="CK149" s="52">
        <v>0</v>
      </c>
      <c r="CL149" s="64" t="s">
        <v>1052</v>
      </c>
      <c r="CM149" s="52">
        <v>0</v>
      </c>
      <c r="CN149" s="64" t="s">
        <v>1052</v>
      </c>
      <c r="CO149" s="52">
        <v>0</v>
      </c>
      <c r="CP149" s="64" t="s">
        <v>1052</v>
      </c>
      <c r="CQ149" s="52">
        <v>0</v>
      </c>
      <c r="CR149" s="64" t="s">
        <v>1052</v>
      </c>
      <c r="CS149" s="52">
        <v>0</v>
      </c>
      <c r="CT149" s="64" t="s">
        <v>1052</v>
      </c>
      <c r="CU149" s="52">
        <v>0</v>
      </c>
      <c r="CV149" s="64" t="s">
        <v>1052</v>
      </c>
      <c r="CW149" s="52">
        <v>0</v>
      </c>
      <c r="CX149" s="64" t="s">
        <v>1052</v>
      </c>
      <c r="CY149" s="52">
        <v>0</v>
      </c>
      <c r="CZ149" s="64" t="s">
        <v>1052</v>
      </c>
    </row>
    <row r="150" spans="1:104" ht="11.1" customHeight="1" x14ac:dyDescent="0.25">
      <c r="A150" s="61"/>
      <c r="B150" s="60"/>
      <c r="C150" s="60"/>
      <c r="D150" s="60"/>
      <c r="E150" s="60"/>
      <c r="F150" s="60"/>
      <c r="G150" s="62"/>
      <c r="H150" s="63"/>
      <c r="I150" s="62"/>
      <c r="J150" s="63"/>
      <c r="K150" s="62"/>
      <c r="L150" s="63"/>
      <c r="M150" s="62"/>
      <c r="N150" s="63"/>
      <c r="O150" s="62"/>
      <c r="P150" s="63"/>
      <c r="Q150" s="62"/>
      <c r="R150" s="63"/>
      <c r="S150" s="62"/>
      <c r="T150" s="63"/>
      <c r="U150" s="62"/>
      <c r="V150" s="63"/>
      <c r="W150" s="62"/>
      <c r="X150" s="63"/>
      <c r="Y150" s="62"/>
      <c r="Z150" s="63"/>
      <c r="AA150" s="62"/>
      <c r="AB150" s="63"/>
      <c r="AC150" s="62"/>
      <c r="AD150" s="63"/>
      <c r="AE150" s="62"/>
      <c r="AF150" s="63"/>
      <c r="AG150" s="62"/>
      <c r="AH150" s="63"/>
      <c r="AI150" s="62"/>
      <c r="AJ150" s="63"/>
      <c r="AK150" s="62"/>
      <c r="AL150" s="63"/>
      <c r="AM150" s="62"/>
      <c r="AN150" s="63"/>
      <c r="AO150" s="62"/>
      <c r="AP150" s="63"/>
      <c r="AQ150" s="62"/>
      <c r="AR150" s="63"/>
      <c r="AS150" s="62"/>
      <c r="AT150" s="63"/>
      <c r="AU150" s="62"/>
      <c r="AV150" s="63"/>
      <c r="AW150" s="62"/>
      <c r="AX150" s="63"/>
      <c r="AY150" s="62"/>
      <c r="AZ150" s="63"/>
      <c r="BA150" s="62"/>
      <c r="BB150" s="63"/>
      <c r="BC150" s="62"/>
      <c r="BD150" s="63"/>
      <c r="BE150" s="62"/>
      <c r="BF150" s="63"/>
      <c r="BG150" s="62"/>
      <c r="BH150" s="63"/>
      <c r="BI150" s="62"/>
      <c r="BJ150" s="63"/>
      <c r="BK150" s="62"/>
      <c r="BL150" s="63"/>
      <c r="BM150" s="62"/>
      <c r="BN150" s="63"/>
      <c r="BO150" s="62"/>
      <c r="BP150" s="63"/>
      <c r="BQ150" s="62"/>
      <c r="BR150" s="63"/>
      <c r="BS150" s="62"/>
      <c r="BT150" s="63"/>
      <c r="BU150" s="62"/>
      <c r="BV150" s="63"/>
      <c r="BW150" s="62"/>
      <c r="BX150" s="63"/>
      <c r="BY150" s="62"/>
      <c r="BZ150" s="63"/>
      <c r="CA150" s="62"/>
      <c r="CB150" s="63"/>
      <c r="CC150" s="62"/>
      <c r="CD150" s="63"/>
      <c r="CE150" s="62"/>
      <c r="CF150" s="63"/>
      <c r="CG150" s="62"/>
      <c r="CH150" s="63"/>
      <c r="CI150" s="62"/>
      <c r="CJ150" s="63"/>
      <c r="CK150" s="62"/>
      <c r="CL150" s="63"/>
      <c r="CM150" s="62"/>
      <c r="CN150" s="63"/>
      <c r="CO150" s="62"/>
      <c r="CP150" s="63"/>
      <c r="CQ150" s="62"/>
      <c r="CR150" s="63"/>
      <c r="CS150" s="62"/>
      <c r="CT150" s="63"/>
      <c r="CU150" s="62"/>
      <c r="CV150" s="63"/>
      <c r="CW150" s="62"/>
      <c r="CX150" s="63"/>
      <c r="CY150" s="62"/>
      <c r="CZ150" s="63"/>
    </row>
    <row r="151" spans="1:104" x14ac:dyDescent="0.25">
      <c r="A151" s="51" t="str">
        <f>D151&amp;C151</f>
        <v>gpio_0</v>
      </c>
      <c r="B151" s="2" t="str">
        <f>UPPER(D151)&amp;" IOs"</f>
        <v>GPIO IOs</v>
      </c>
      <c r="C151" s="2" t="s">
        <v>18</v>
      </c>
      <c r="D151" s="2" t="s">
        <v>969</v>
      </c>
      <c r="E151" s="2" t="s">
        <v>648</v>
      </c>
      <c r="F151" s="2" t="str">
        <f>VLOOKUP($D151&amp;"_"&amp;F$3,MDB,6,0)</f>
        <v>GPIO</v>
      </c>
      <c r="G151" s="52">
        <v>240</v>
      </c>
      <c r="H151" s="64" t="s">
        <v>1052</v>
      </c>
      <c r="I151" s="52"/>
      <c r="J151" s="64" t="s">
        <v>1052</v>
      </c>
      <c r="K151" s="52"/>
      <c r="L151" s="64" t="s">
        <v>1052</v>
      </c>
      <c r="M151" s="52"/>
      <c r="N151" s="64" t="s">
        <v>1052</v>
      </c>
      <c r="O151" s="52"/>
      <c r="P151" s="64" t="s">
        <v>1052</v>
      </c>
      <c r="Q151" s="52"/>
      <c r="R151" s="64" t="s">
        <v>1052</v>
      </c>
      <c r="S151" s="52"/>
      <c r="T151" s="64" t="s">
        <v>1052</v>
      </c>
      <c r="U151" s="52"/>
      <c r="V151" s="64" t="s">
        <v>1052</v>
      </c>
      <c r="W151" s="52"/>
      <c r="X151" s="64" t="s">
        <v>1052</v>
      </c>
      <c r="Y151" s="52"/>
      <c r="Z151" s="64" t="s">
        <v>1052</v>
      </c>
      <c r="AA151" s="52"/>
      <c r="AB151" s="64" t="s">
        <v>1052</v>
      </c>
      <c r="AC151" s="52"/>
      <c r="AD151" s="64" t="s">
        <v>1052</v>
      </c>
      <c r="AE151" s="52"/>
      <c r="AF151" s="64" t="s">
        <v>1052</v>
      </c>
      <c r="AG151" s="52"/>
      <c r="AH151" s="64" t="s">
        <v>1052</v>
      </c>
      <c r="AI151" s="52"/>
      <c r="AJ151" s="64" t="s">
        <v>1052</v>
      </c>
      <c r="AK151" s="52"/>
      <c r="AL151" s="64" t="s">
        <v>1052</v>
      </c>
      <c r="AM151" s="52"/>
      <c r="AN151" s="64" t="s">
        <v>1052</v>
      </c>
      <c r="AO151" s="52"/>
      <c r="AP151" s="64" t="s">
        <v>1052</v>
      </c>
      <c r="AQ151" s="52"/>
      <c r="AR151" s="64" t="s">
        <v>1052</v>
      </c>
      <c r="AS151" s="52"/>
      <c r="AT151" s="64" t="s">
        <v>1052</v>
      </c>
      <c r="AU151" s="52"/>
      <c r="AV151" s="64" t="s">
        <v>1052</v>
      </c>
      <c r="AW151" s="52"/>
      <c r="AX151" s="64" t="s">
        <v>1052</v>
      </c>
      <c r="AY151" s="52"/>
      <c r="AZ151" s="64" t="s">
        <v>1052</v>
      </c>
      <c r="BA151" s="52"/>
      <c r="BB151" s="64" t="s">
        <v>1052</v>
      </c>
      <c r="BC151" s="52"/>
      <c r="BD151" s="64" t="s">
        <v>1052</v>
      </c>
      <c r="BE151" s="52"/>
      <c r="BF151" s="64" t="s">
        <v>1052</v>
      </c>
      <c r="BG151" s="52"/>
      <c r="BH151" s="64" t="s">
        <v>1052</v>
      </c>
      <c r="BI151" s="52"/>
      <c r="BJ151" s="64" t="s">
        <v>1052</v>
      </c>
      <c r="BK151" s="52">
        <v>0</v>
      </c>
      <c r="BL151" s="64" t="s">
        <v>1052</v>
      </c>
      <c r="BM151" s="52">
        <v>0</v>
      </c>
      <c r="BN151" s="64" t="s">
        <v>1052</v>
      </c>
      <c r="BO151" s="52">
        <v>0</v>
      </c>
      <c r="BP151" s="64" t="s">
        <v>1052</v>
      </c>
      <c r="BQ151" s="52">
        <v>0</v>
      </c>
      <c r="BR151" s="64" t="s">
        <v>1052</v>
      </c>
      <c r="BS151" s="52">
        <v>0</v>
      </c>
      <c r="BT151" s="64" t="s">
        <v>1052</v>
      </c>
      <c r="BU151" s="52">
        <v>0</v>
      </c>
      <c r="BV151" s="64" t="s">
        <v>1052</v>
      </c>
      <c r="BW151" s="52">
        <v>0</v>
      </c>
      <c r="BX151" s="64" t="s">
        <v>1052</v>
      </c>
      <c r="BY151" s="52">
        <v>0</v>
      </c>
      <c r="BZ151" s="64" t="s">
        <v>1052</v>
      </c>
      <c r="CA151" s="52">
        <v>0</v>
      </c>
      <c r="CB151" s="64" t="s">
        <v>1052</v>
      </c>
      <c r="CC151" s="52">
        <v>0</v>
      </c>
      <c r="CD151" s="64" t="s">
        <v>1052</v>
      </c>
      <c r="CE151" s="52">
        <v>0</v>
      </c>
      <c r="CF151" s="64" t="s">
        <v>1052</v>
      </c>
      <c r="CG151" s="52">
        <v>0</v>
      </c>
      <c r="CH151" s="64" t="s">
        <v>1052</v>
      </c>
      <c r="CI151" s="52">
        <v>0</v>
      </c>
      <c r="CJ151" s="64" t="s">
        <v>1052</v>
      </c>
      <c r="CK151" s="52">
        <v>0</v>
      </c>
      <c r="CL151" s="64" t="s">
        <v>1052</v>
      </c>
      <c r="CM151" s="52">
        <v>0</v>
      </c>
      <c r="CN151" s="64" t="s">
        <v>1052</v>
      </c>
      <c r="CO151" s="52">
        <v>0</v>
      </c>
      <c r="CP151" s="64" t="s">
        <v>1052</v>
      </c>
      <c r="CQ151" s="52">
        <v>0</v>
      </c>
      <c r="CR151" s="64" t="s">
        <v>1052</v>
      </c>
      <c r="CS151" s="52">
        <v>0</v>
      </c>
      <c r="CT151" s="64" t="s">
        <v>1052</v>
      </c>
      <c r="CU151" s="52">
        <v>0</v>
      </c>
      <c r="CV151" s="64" t="s">
        <v>1052</v>
      </c>
      <c r="CW151" s="52">
        <v>0</v>
      </c>
      <c r="CX151" s="64" t="s">
        <v>1052</v>
      </c>
      <c r="CY151" s="52">
        <v>0</v>
      </c>
      <c r="CZ151" s="64" t="s">
        <v>1052</v>
      </c>
    </row>
    <row r="152" spans="1:104" x14ac:dyDescent="0.25">
      <c r="A152" s="51" t="str">
        <f>D152&amp;C152</f>
        <v>gpio_1</v>
      </c>
      <c r="B152" s="2" t="str">
        <f>UPPER(D152)&amp;" IOs"</f>
        <v>GPIO IOs</v>
      </c>
      <c r="C152" s="2" t="s">
        <v>19</v>
      </c>
      <c r="D152" s="2" t="s">
        <v>969</v>
      </c>
      <c r="E152" s="2" t="s">
        <v>648</v>
      </c>
      <c r="F152" s="2" t="str">
        <f>VLOOKUP($D152&amp;"_"&amp;F$3,MDB,6,0)</f>
        <v>GPIO</v>
      </c>
      <c r="G152" s="52">
        <v>1</v>
      </c>
      <c r="H152" s="64" t="s">
        <v>1052</v>
      </c>
      <c r="I152" s="52"/>
      <c r="J152" s="64" t="s">
        <v>1052</v>
      </c>
      <c r="K152" s="52"/>
      <c r="L152" s="64" t="s">
        <v>1052</v>
      </c>
      <c r="M152" s="52"/>
      <c r="N152" s="64" t="s">
        <v>1052</v>
      </c>
      <c r="O152" s="52"/>
      <c r="P152" s="64" t="s">
        <v>1052</v>
      </c>
      <c r="Q152" s="52"/>
      <c r="R152" s="64" t="s">
        <v>1052</v>
      </c>
      <c r="S152" s="52"/>
      <c r="T152" s="64" t="s">
        <v>1052</v>
      </c>
      <c r="U152" s="52"/>
      <c r="V152" s="64" t="s">
        <v>1052</v>
      </c>
      <c r="W152" s="52"/>
      <c r="X152" s="64" t="s">
        <v>1052</v>
      </c>
      <c r="Y152" s="52"/>
      <c r="Z152" s="64" t="s">
        <v>1052</v>
      </c>
      <c r="AA152" s="52"/>
      <c r="AB152" s="64" t="s">
        <v>1052</v>
      </c>
      <c r="AC152" s="52"/>
      <c r="AD152" s="64" t="s">
        <v>1052</v>
      </c>
      <c r="AE152" s="52"/>
      <c r="AF152" s="64" t="s">
        <v>1052</v>
      </c>
      <c r="AG152" s="52"/>
      <c r="AH152" s="64" t="s">
        <v>1052</v>
      </c>
      <c r="AI152" s="52"/>
      <c r="AJ152" s="64" t="s">
        <v>1052</v>
      </c>
      <c r="AK152" s="52"/>
      <c r="AL152" s="64" t="s">
        <v>1052</v>
      </c>
      <c r="AM152" s="52"/>
      <c r="AN152" s="64" t="s">
        <v>1052</v>
      </c>
      <c r="AO152" s="52"/>
      <c r="AP152" s="64" t="s">
        <v>1052</v>
      </c>
      <c r="AQ152" s="52"/>
      <c r="AR152" s="64" t="s">
        <v>1052</v>
      </c>
      <c r="AS152" s="52"/>
      <c r="AT152" s="64" t="s">
        <v>1052</v>
      </c>
      <c r="AU152" s="52"/>
      <c r="AV152" s="64" t="s">
        <v>1052</v>
      </c>
      <c r="AW152" s="52"/>
      <c r="AX152" s="64" t="s">
        <v>1052</v>
      </c>
      <c r="AY152" s="52"/>
      <c r="AZ152" s="64" t="s">
        <v>1052</v>
      </c>
      <c r="BA152" s="52"/>
      <c r="BB152" s="64" t="s">
        <v>1052</v>
      </c>
      <c r="BC152" s="52"/>
      <c r="BD152" s="64" t="s">
        <v>1052</v>
      </c>
      <c r="BE152" s="52"/>
      <c r="BF152" s="64" t="s">
        <v>1052</v>
      </c>
      <c r="BG152" s="52"/>
      <c r="BH152" s="64" t="s">
        <v>1052</v>
      </c>
      <c r="BI152" s="52"/>
      <c r="BJ152" s="64" t="s">
        <v>1052</v>
      </c>
      <c r="BK152" s="52">
        <v>0</v>
      </c>
      <c r="BL152" s="64" t="s">
        <v>1052</v>
      </c>
      <c r="BM152" s="52">
        <v>0</v>
      </c>
      <c r="BN152" s="64" t="s">
        <v>1052</v>
      </c>
      <c r="BO152" s="52">
        <v>0</v>
      </c>
      <c r="BP152" s="64" t="s">
        <v>1052</v>
      </c>
      <c r="BQ152" s="52">
        <v>0</v>
      </c>
      <c r="BR152" s="64" t="s">
        <v>1052</v>
      </c>
      <c r="BS152" s="52">
        <v>0</v>
      </c>
      <c r="BT152" s="64" t="s">
        <v>1052</v>
      </c>
      <c r="BU152" s="52">
        <v>0</v>
      </c>
      <c r="BV152" s="64" t="s">
        <v>1052</v>
      </c>
      <c r="BW152" s="52">
        <v>0</v>
      </c>
      <c r="BX152" s="64" t="s">
        <v>1052</v>
      </c>
      <c r="BY152" s="52">
        <v>0</v>
      </c>
      <c r="BZ152" s="64" t="s">
        <v>1052</v>
      </c>
      <c r="CA152" s="52">
        <v>0</v>
      </c>
      <c r="CB152" s="64" t="s">
        <v>1052</v>
      </c>
      <c r="CC152" s="52">
        <v>0</v>
      </c>
      <c r="CD152" s="64" t="s">
        <v>1052</v>
      </c>
      <c r="CE152" s="52">
        <v>0</v>
      </c>
      <c r="CF152" s="64" t="s">
        <v>1052</v>
      </c>
      <c r="CG152" s="52">
        <v>0</v>
      </c>
      <c r="CH152" s="64" t="s">
        <v>1052</v>
      </c>
      <c r="CI152" s="52">
        <v>0</v>
      </c>
      <c r="CJ152" s="64" t="s">
        <v>1052</v>
      </c>
      <c r="CK152" s="52">
        <v>0</v>
      </c>
      <c r="CL152" s="64" t="s">
        <v>1052</v>
      </c>
      <c r="CM152" s="52">
        <v>0</v>
      </c>
      <c r="CN152" s="64" t="s">
        <v>1052</v>
      </c>
      <c r="CO152" s="52">
        <v>0</v>
      </c>
      <c r="CP152" s="64" t="s">
        <v>1052</v>
      </c>
      <c r="CQ152" s="52">
        <v>0</v>
      </c>
      <c r="CR152" s="64" t="s">
        <v>1052</v>
      </c>
      <c r="CS152" s="52">
        <v>0</v>
      </c>
      <c r="CT152" s="64" t="s">
        <v>1052</v>
      </c>
      <c r="CU152" s="52">
        <v>0</v>
      </c>
      <c r="CV152" s="64" t="s">
        <v>1052</v>
      </c>
      <c r="CW152" s="52">
        <v>0</v>
      </c>
      <c r="CX152" s="64" t="s">
        <v>1052</v>
      </c>
      <c r="CY152" s="52">
        <v>0</v>
      </c>
      <c r="CZ152" s="64" t="s">
        <v>1052</v>
      </c>
    </row>
  </sheetData>
  <autoFilter ref="B3:N45" xr:uid="{6235E50D-D76F-4E29-A20F-DA86CE2E39A6}"/>
  <sortState xmlns:xlrd2="http://schemas.microsoft.com/office/spreadsheetml/2017/richdata2" ref="B4:BJ45">
    <sortCondition ref="E4:E45"/>
    <sortCondition ref="F4:F45"/>
  </sortState>
  <dataValidations count="27">
    <dataValidation type="list" allowBlank="1" showInputMessage="1" showErrorMessage="1" sqref="H91 J91 L91 N91 P91 R91 T91 V91 X91 Z91 AB91 AD91 AF91 AH91 AJ91 AL91 AN91 AP91 AR91 AT91 AV91 AX91 AZ91 BB91 BD91 BF91 BH91 BJ91 BL91 BN91 BP91 BR91 BT91 BV91 BX91 BZ91 CB91 CD91 CF91 CH91 CJ91 CL91 CN91 CP91 CR91 CT91 CV91 CX91 CZ91" xr:uid="{CECAE39C-6CFB-4655-9A4C-7059146F40AD}">
      <formula1>fpdlink_lvds_modes</formula1>
    </dataValidation>
    <dataValidation type="list" allowBlank="1" showInputMessage="1" showErrorMessage="1" sqref="H50 J50 L50 N50 P50 R50 T50 V50 X50 Z50 AB50 AD50 AF50 AH50 AJ50 AL50 AN50 AP50 AR50 AT50 AV50 AX50 AZ50 BB50 BD50 BF50 BH50 BJ50 BL50 BN50 BP50 BR50 BT50 BV50 BX50 BZ50 CB50 CD50 CF50 CH50 CJ50 CL50 CN50 CP50 CR50 CT50 CV50 CX50 CZ50" xr:uid="{A29CFBB7-3CB2-4561-9227-34F50F4E731F}">
      <formula1>hsdiv_modes</formula1>
    </dataValidation>
    <dataValidation type="list" allowBlank="1" showInputMessage="1" showErrorMessage="1" sqref="H84 J84 L84 N84 P84 R84 T84 V84 X84 Z84 BJ84 AD84 AF84 AB84 AJ84 AH84 AL84 AP84 AR84 AT84 AN84 AX84 AZ84 BB84 BD84 BF84 BH84 AV84 BL84 BN84 BP84 BR84 BT84 BV84 BX84 BZ84 CB84 CD84 CF84 CH84 CJ84 CL84 CN84 CP84 CR84 CT84 CV84 CX84 CZ84" xr:uid="{757D5154-F560-4F31-9A03-B2AFF710A13A}">
      <formula1>dphy_rx_modes</formula1>
    </dataValidation>
    <dataValidation type="list" allowBlank="1" showInputMessage="1" showErrorMessage="1" sqref="H82:H83 J82:J83 L82:L83 BJ82:BJ83 P82:P83 R82:R83 T82:T83 V82:V83 X82:X83 Z82:Z83 AB82:AB83 AD82:AD83 AF82:AF83 AH82:AH83 AJ82:AJ83 N82:N83 AN82:AN83 AL82:AL83 AP82:AP83 AR82:AR83 AV82:AV83 AX82:AX83 AT82:AT83 AZ82:AZ83 BD82:BD83 BF82:BF83 BH82:BH83 BB82:BB83 BL82:BL83 BN82:BN83 BP82:BP83 BR82:BR83 BT82:BT83 BV82:BV83 BX82:BX83 BZ82:BZ83 CB82:CB83 CD82:CD83 CF82:CF83 CH82:CH83 CJ82:CJ83 CL82:CL83 CN82:CN83 CP82:CP83 CR82:CR83 CT82:CT83 CV82:CV83 CX82:CX83 CZ82:CZ83" xr:uid="{F72E2E14-FFFD-4173-81DF-2CADEA0F4FAD}">
      <formula1>LPDDR4_DDR4_16_1600_Modes</formula1>
    </dataValidation>
    <dataValidation type="list" allowBlank="1" showInputMessage="1" showErrorMessage="1" sqref="BJ146:BJ149 J146:J149 L146:L149 N146:N149 P146:P149 R146:R149 T146:T149 V146:V149 X146:X149 Z146:Z149 AB146:AB149 AD146:AD149 AF146:AF149 AH146:AH149 AJ146:AJ149 AL146:AL149 AN146:AN149 AP146:AP149 AR146:AR149 AT146:AT149 AV146:AV149 AX146:AX149 AZ146:AZ149 BB146:BB149 BD146:BD149 BF146:BF149 BH146:BH149 H146:H149 BL146:BL149 BN146:BN149 BP146:BP149 BR146:BR149 BT146:BT149 BV146:BV149 BX146:BX149 BZ146:BZ149 CB146:CB149 CD146:CD149 CF146:CF149 CH146:CH149 CJ146:CJ149 CL146:CL149 CN146:CN149 CP146:CP149 CR146:CR149 CT146:CT149 CV146:CV149 CX146:CX149 CZ146:CZ149" xr:uid="{90834566-61A7-4CB2-B098-76962BA1A258}">
      <formula1>epwm_modes</formula1>
    </dataValidation>
    <dataValidation type="list" allowBlank="1" showInputMessage="1" showErrorMessage="1" sqref="H106 J106 L106 N106 P106 R106 T106 V106 X106 Z106 AB106 AD106 AF106 AH106 AJ106 AL106 AN106 AP106 AR106 AT106 AV106 AX106 AZ106 BB106 BD106 BF106 BH106 BJ106 BL106 BN106 BP106 BR106 BT106 BV106 BX106 BZ106 CB106 CD106 CF106 CH106 CJ106 CL106 CN106 CP106 CR106 CT106 CV106 CX106 CZ106" xr:uid="{6BB42498-8DB5-4CFC-8E96-7034265152E9}">
      <formula1>fssul_modes</formula1>
    </dataValidation>
    <dataValidation type="list" allowBlank="1" showInputMessage="1" showErrorMessage="1" sqref="H96:H99 J96:J99 L96:L99 N96:N99 BH96:BH99 P96:P99 V96:V99 X96:X99 Z96:Z99 R96:R99 AD96:AD99 AF96:AF99 AH96:AH99 T96:T99 AL96:AL99 AN96:AN99 AP96:AP99 AB96:AB99 AX96:AX98 AT96:AT99 AV96:AV98 AU99:AX99 BB96:BB99 BF96:BF99 BD96:BD99 AR96:AR99 AZ96:AZ99 AJ96:AJ99 BJ96:BJ99 BL96:BL99 BN96:BN99 BP96:BP99 BR96:BR99 BT96:BT99 BV96:BV99 BX96:BX99 BZ96:BZ99 CB96:CB99 CD96:CD99 CF96:CF99 CH96:CH99 CJ96:CJ99 CL96:CL99 CN96:CN99 CP96:CP99 CR96:CR99 CT96:CT99 CV96:CV99 CX96:CX99 CZ96:CZ99" xr:uid="{9EFEB0B1-3DC1-40AE-BD35-B765356FAF84}">
      <formula1>ethernet_port_modes</formula1>
    </dataValidation>
    <dataValidation type="list" allowBlank="1" showInputMessage="1" showErrorMessage="1" sqref="H94:H95 J94:J95 L94:L95 N94:N95 P94:P95 R94:R95 T94:T95 V94:V95 X94:X95 Z94:Z95 AB94:AB95 AD94:AD95 AF94:AF95 AH94:AH95 AJ94:AJ95 AL94:AL95 AN94:AN95 AP94:AP95 AR94:AR95 AT94:AT95 AV94:AV95 AX94:AX95 AZ94:AZ95 BB94:BB95 BD94:BD95 BF94:BF95 BH94:BH95 BJ94:BJ95 BL94:BL95 BN94:BN95 BP94:BP95 BR94:BR95 BT94:BT95 BV94:BV95 BX94:BX95 BZ94:BZ95 CB94:CB95 CD94:CD95 CF94:CF95 CH94:CH95 CJ94:CJ95 CL94:CL95 CN94:CN95 CP94:CP95 CR94:CR95 CT94:CT95 CV94:CV95 CX94:CX95 CZ94:CZ95" xr:uid="{5AE9F8B2-9EEE-4562-8999-A67EA79A973E}">
      <formula1>icssm_modes</formula1>
    </dataValidation>
    <dataValidation type="list" allowBlank="1" showInputMessage="1" showErrorMessage="1" sqref="G86" xr:uid="{2031EF79-3392-4EBA-B7A4-E3164D8C3680}">
      <formula1>"strong,weak,nominal"</formula1>
    </dataValidation>
    <dataValidation type="list" allowBlank="1" showInputMessage="1" showErrorMessage="1" sqref="H34:H49 J34:J49 BB35:BB49 L47:L49 N51:N61 BJ51:BJ61 J51:J61 H51:H61 P34:P49 P51:P61 R34:R49 R51:R61 T34:T49 T51:T61 V34:V49 V51:V61 X34:X49 X51:X61 Z34:Z49 Z51:Z61 AB34:AB49 AB51:AB61 AD34:AD49 AD51:AD61 AF34:AF49 AF51:AF61 AH34:AH49 AH51:AH61 L51:L61 AJ51:AJ61 AL34:AL49 AL51:AL61 AJ37:AJ49 AN51:AN61 AP34:AP49 AP51:AP61 AR34:AR49 AR51:AR61 AT34:AT49 AT51:AT61 AV34:AV49 AV51:AV61 AX34:AX49 AX51:AX61 AZ34:AZ49 AZ51:AZ61 AN37:AN49 BB51:BB61 BD34:BD49 BD51:BD61 BF34:BF49 BF51:BF61 N47:N49 BH51:BH61 BJ34:BJ49 BH47:BH49 CZ34:CZ49 BL51:BL61 BN51:BN61 BN34:BN49 BP34:BP49 BP51:BP61 BR34:BR49 BR51:BR61 BT34:BT49 BT51:BT61 BV51:BV61 BV34:BV49 BX34:BX49 BX51:BX61 BZ51:BZ61 BZ34:BZ49 CB34:CB49 CB51:CB61 CD51:CD61 CD34:CD49 CF34:CF49 CF51:CF61 CH34:CH49 CH51:CH61 CJ34:CJ49 CJ51:CJ61 CL51:CL61 CL34:CL49 CN34:CN49 CN51:CN61 CP51:CP61 CP34:CP49 CR34:CR49 CR51:CR61 CT51:CT61 CT34:CT49 CV34:CV49 CV51:CV61 CX51:CX61 CX34:CX49 CZ51:CZ61 BL35:BL49" xr:uid="{D92CE2F5-55C8-4C20-B05E-32BB0A319E9D}">
      <formula1>pll_modes</formula1>
    </dataValidation>
    <dataValidation type="list" allowBlank="1" showInputMessage="1" showErrorMessage="1" sqref="H88:H90 J88:J90 L88:L90 N88:N90 P88:P90 R88:R90 T88:T90 V88:V90 X88:X90 Z88:Z90 AB88:AB90 AD88:AD90 AF88:AF90 AH88:AH90 AJ88:AJ90 AL88:AL90 AN88:AN90 AP88:AP90 AR88:AR90 AT88:AT90 AV88:AV90 AX88:AX90 AZ88:AZ90 BB88:BB90 BD88:BD90 BF88:BF90 BH88:BH90 BJ88:BJ90 BL88:BL90 BN88:BN90 BP88:BP90 BR88:BR90 BT88:BT90 BV88:BV90 BX88:BX90 BZ88:BZ90 CB88:CB90 CD88:CD90 CF88:CF90 CH88:CH90 CJ88:CJ90 CL88:CL90 CN88:CN90 CP88:CP90 CR88:CR90 CT88:CT90 CV88:CV90 CX88:CX90 CZ88:CZ90" xr:uid="{2F96769B-96CC-405C-9FF9-113D3A185A77}">
      <formula1>emmc4_modes</formula1>
    </dataValidation>
    <dataValidation type="list" allowBlank="1" showInputMessage="1" showErrorMessage="1" sqref="H86 J86 L86 N86 P86 R86 T86 V86 X86 Z86 AB86 AD86 AF86 AH86 AJ86 AL86 AN86 AP86 AR86 AT86 AV86 AX86 AZ86 BB86 BD86 BF86 BH86 BJ86 BL86 BN86 BP86 BR86 BT86 BV86 BX86 BZ86 CB86 CD86 CF86 CH86 CJ86 CL86 CN86 CP86 CR86 CT86 CV86 CX86 CZ86" xr:uid="{F21F6BAC-386D-4FD3-98FB-ACF90CB7F3C1}">
      <formula1>LVDS_Modes</formula1>
    </dataValidation>
    <dataValidation type="list" allowBlank="1" showInputMessage="1" showErrorMessage="1" sqref="H87 H85 J87 J85 L87 L85 N87 N85 P87 P85 R87 R85 T87 T85 V87 V85 X87 X85 Z87 Z85 AB87 AB85 AD87 AD85 AF87 AF85 AH87 AH85 AJ87 AJ85 AL87 AL85 AN87 AN85 AP87 AP85 AR87 AR85 AT87 AT85 AV87 AV85 AX87 AX85 AZ87 AZ85 BB87 BB85 BD87 BD85 BF87 BF85 BH87 BH85 BJ87 BJ85 BL85 BL87 BN87 BN85 BP85 BP87 BR85 BR87 BT85 BT87 BV87 BV85 BX85 BX87 BZ87 BZ85 CB85 CB87 CD87 CD85 CF85 CF87 CH85 CH87 CJ85 CJ87 CL87 CL85 CN85 CN87 CP87 CP85 CR85 CR87 CT87 CT85 CV85 CV87 CX87 CX85 CZ87 CZ85" xr:uid="{F1895BD9-BD12-45C6-A3F4-89CE4D194B8A}">
      <formula1>dphy_tx_modes</formula1>
    </dataValidation>
    <dataValidation type="list" allowBlank="1" showInputMessage="1" showErrorMessage="1" sqref="J92:J93 L92:L93 H92:H93 N92:N93 P92:P93 T92:T93 V92:V93 X92:X93 Z92:Z93 AB92:AB93 AD92:AD93 AF92:AF93 AH92:AH93 AJ92:AJ93 AL92:AL93 AN92:AN93 AP92:AP93 AR92:AR93 AT92:AT93 AV92:AV93 AX92:AX93 AZ92:AZ93 BB92:BB93 BD92:BD93 BF92:BF93 BH92:BH93 BJ92:BJ93 R92:R93 BL92:BL93 BN92:BN93 BP92:BP93 BR92:BR93 BT92:BT93 BV92:BV93 BX92:BX93 BZ92:BZ93 CB92:CB93 CD92:CD93 CF92:CF93 CH92:CH93 CJ92:CJ93 CL92:CL93 CN92:CN93 CP92:CP93 CR92:CR93 CT92:CT93 CV92:CV93 CX92:CX93 CZ92:CZ93" xr:uid="{CDF343A9-0BAB-4FD7-88C8-B8520BA382B3}">
      <formula1>usb2_modes</formula1>
    </dataValidation>
    <dataValidation type="list" allowBlank="1" showInputMessage="1" showErrorMessage="1" sqref="BJ112:BJ117 H112:H117 H142 J112:J117 J142 L112:L117 L142 N112:N117 N142 P112:P117 P142 R112:R117 R142 T112:T117 T142 V112:V117 V142 X112:X117 X142 Z112:Z117 Z142 AB112:AB117 AB142 AD112:AD117 AD142 AF112:AF117 AF142 AH112:AH117 AL142 AJ112:AJ117 AN142 AL112:AL117 AH142 AN112:AN117 AR142 AP112:AP117 AT142 AR112:AR117 AJ142 AT112:AT117 AX142 AV112:AV117 AZ142 AX112:AX117 AP142 AZ112:AZ117 BD142 BB112:BB117 BF142 BD112:BD117 AV142 BF112:BF117 BJ142 BH112:BH117 BB142 BH142 BL142 BL112:BL117 BN112:BN117 BN142 BP142 BP112:BP117 BR142 BR112:BR117 BT142 BT112:BT117 BV112:BV117 BV142 BX142 BX112:BX117 BZ112:BZ117 BZ142 CB142 CB112:CB117 CD112:CD117 CD142 CF142 CF112:CF117 CH142 CH112:CH117 CJ142 CJ112:CJ117 CL112:CL117 CL142 CN142 CN112:CN117 CP112:CP117 CP142 CR142 CR112:CR117 CT112:CT117 CT142 CV142 CV112:CV117 CX112:CX117 CX142 CZ112:CZ117 CZ142" xr:uid="{7F490BAD-5778-4B0E-960D-3C96571743AF}">
      <formula1>spi_modes</formula1>
    </dataValidation>
    <dataValidation type="list" allowBlank="1" showInputMessage="1" showErrorMessage="1" sqref="H121:H125 J121:J125 L121:L125 N121:N125 P121:P125 R121:R125 T121:T125 V121:V125 X121:X125 Z121:Z125 AB121:AB125 AD121:AD125 AF121:AF125 AH121:AH125 AJ121:AJ125 AL121:AL125 AN121:AN125 AP121:AP125 AR121:AR125 AT121:AT125 AV121:AV125 AX121:AX125 AZ121:AZ125 BB121:BB125 BD121:BD125 BF121:BF125 BH121:BH125 BJ121:BJ125 BL121:BL125 BN121:BN125 BP121:BP125 BR121:BR125 BT121:BT125 BV121:BV125 BX121:BX125 BZ121:BZ125 CB121:CB125 CD121:CD125 CF121:CF125 CH121:CH125 CJ121:CJ125 CL121:CL125 CN121:CN125 CP121:CP125 CR121:CR125 CT121:CT125 CV121:CV125 CX121:CX125 CZ121:CZ125" xr:uid="{12A1F7B1-8648-4BF3-82A7-D0288CFB2C21}">
      <formula1>i2c_modes</formula1>
    </dataValidation>
    <dataValidation type="list" allowBlank="1" showInputMessage="1" showErrorMessage="1" sqref="H107:H108 J107:J108 L107:L108 N107:N108 P107:P108 R107:R108 T107:T108 V107:V108 X107:X108 Z107:Z108 AB107:AB108 AD107:AD108 AF107:AF108 AH107:AH108 AJ107:AJ108 AL107:AL108 AN107:AN108 AP107:AP108 AR107:AR108 AT107:AT108 AV107:AV108 AX107:AX108 AZ107:AZ108 BB107:BB108 BD107:BD108 BF107:BF108 BH107:BH108 BJ107:BJ108 BL107:BL108 BN107:BN108 BP107:BP108 BR107:BR108 BT107:BT108 BV107:BV108 BX107:BX108 BZ107:BZ108 CB107:CB108 CD107:CD108 CF107:CF108 CH107:CH108 CJ107:CJ108 CL107:CL108 CN107:CN108 CP107:CP108 CR107:CR108 CT107:CT108 CV107:CV108 CX107:CX108 CZ107:CZ108" xr:uid="{FE038263-986F-4E79-A325-2F0F76774334}">
      <formula1>fss_modes</formula1>
    </dataValidation>
    <dataValidation type="list" allowBlank="1" showInputMessage="1" showErrorMessage="1" sqref="H138:H141 J138:J141 L138:L141 N138:N141 P138:P141 R138:R141 T138:T141 V138:V141 X138:X141 Z138:Z141 AB138:AB141 AD138:AD141 AF138:AF141 AH138:AH141 AJ138:AJ141 AL138:AL141 AN138:AN141 AP138:AP141 AR138:AR141 AT138:AT141 AV138:AV141 AX138:AX141 AZ138:AZ141 BB138:BB141 BD138:BD141 BF138:BF141 BH138:BH141 BJ138:BJ141 H143:H145 J143:J145 L143:L145 N143:N145 P143:P145 R143:R145 T143:T145 V143:V145 X143:X145 Z143:Z145 AB143:AB145 AD143:AD145 AF143:AF145 AH143:AH145 AJ143:AJ145 AL143:AL145 AN143:AN145 AP143:AP145 AR143:AR145 AT143:AT145 AV143:AV145 AX143:AX145 AZ143:AZ145 BB143:BB145 BD143:BD145 BF143:BF145 BH143:BH145 BJ143:BJ145 BL143:BL145 BL138:BL141 BN138:BN141 BN143:BN145 BP143:BP145 BP138:BP141 BR143:BR145 BR138:BR141 BT143:BT145 BT138:BT141 BV138:BV141 BV143:BV145 BX143:BX145 BX138:BX141 BZ138:BZ141 BZ143:BZ145 CB143:CB145 CB138:CB141 CD138:CD141 CD143:CD145 CF143:CF145 CF138:CF141 CH143:CH145 CH138:CH141 CJ143:CJ145 CJ138:CJ141 CL138:CL141 CL143:CL145 CN143:CN145 CN138:CN141 CP138:CP141 CP143:CP145 CR143:CR145 CR138:CR141 CT138:CT141 CT143:CT145 CV143:CV145 CV138:CV141 CX138:CX141 CX143:CX145 CZ138:CZ141 CZ143:CZ145" xr:uid="{6348C9AD-A590-4BB1-B4E0-AC64F5479447}">
      <formula1>ecap_modes</formula1>
    </dataValidation>
    <dataValidation type="list" allowBlank="1" showInputMessage="1" showErrorMessage="1" sqref="BH142:BH145 H142:H145 J142:J145 L142:L145 N142:N145 P142:P145 R142:R145 T142:T145 V142:V145 X142:X145 Z142:Z145 AB142:AB145 AD142:AD145 AF142:AF145 AL142:AL145 AN142:AN145 AH142:AH145 AR142:AR145 AT142:AT145 AJ142:AJ145 AX142:AX145 AZ142:AZ145 AP142:AP145 BD142:BD145 BF142:BF145 AV142:AV145 BB142:BB145 BJ142:BJ145 BL142:BL145 BN142:BN145 BP142:BP145 BR142:BR145 BT142:BT145 BV142:BV145 BX142:BX145 BZ142:BZ145 CB142:CB145 CD142:CD145 CF142:CF145 CH142:CH145 CJ142:CJ145 CL142:CL145 CN142:CN145 CP142:CP145 CR142:CR145 CT142:CT145 CV142:CV145 CX142:CX145 CZ142:CZ145" xr:uid="{55FE0C6D-A0CB-4FCC-B691-8034C9FD524A}">
      <formula1>eqep_modes</formula1>
    </dataValidation>
    <dataValidation type="list" allowBlank="1" showInputMessage="1" showErrorMessage="1" sqref="H101:H102 J101:J102 L101:L102 N101:N102 P101:P102 BJ101:BJ102 T101:T102 V101:V102 X101:X102 Z101:Z102 AB101:AB102 AD101:AD102 R101:R102 AF101:AF102 AJ101:AJ102 AL101:AL102 AN101:AN102 AP101:AP102 AR101:AR102 AT101:AT102 AH101:AH102 AV101:AV102 AZ101:AZ102 BB101:BB102 BD101:BD102 AX101:AX102 BH101:BH102 BF101:BF102 CZ101:CZ102 BN101:BN102 BP101:BP102 BR101:BR102 BT101:BT102 BV101:BV102 BX101:BX102 BZ101:BZ102 CB101:CB102 CD101:CD102 CF101:CF102 CH101:CH102 CJ101:CJ102 CL101:CL102 CN101:CN102 CP101:CP102 CR101:CR102 CT101:CT102 CV101:CV102 CX101:CX102 BL101:BL102" xr:uid="{14C9067B-50E7-4001-AE57-BFFDFC03342C}">
      <formula1>gpmc_modes</formula1>
    </dataValidation>
    <dataValidation type="list" allowBlank="1" showInputMessage="1" showErrorMessage="1" sqref="J103:J105 L103:L105 N103:N105 P103:P105 R103:R105 T103:T105 V103:V105 X103:X105 Z103:Z105 AB103:AB105 AD103:AD105 AF103:AF105 AH103:AH105 AJ103:AJ105 AL103:AL105 AN103:AN105 AP103:AP105 AR103:AR105 AT103:AT105 AV103:AV105 AX103:AX105 AZ103:AZ105 BB103:BB105 BD103:BD105 BF103:BF105 BH103:BH105 BJ103:BJ105 H103:H105 BL103:BL105 BN103:BN105 BP103:BP105 BR103:BR105 BT103:BT105 BV103:BV105 BX103:BX105 BZ103:BZ105 CB103:CB105 CD103:CD105 CF103:CF105 CH103:CH105 CJ103:CJ105 CL103:CL105 CN103:CN105 CP103:CP105 CR103:CR105 CT103:CT105 CV103:CV105 CX103:CX105 CZ103:CZ105" xr:uid="{C651FE9A-C682-4799-BC2D-2FC5ABC5DB48}">
      <formula1>canfd_modes</formula1>
    </dataValidation>
    <dataValidation type="list" allowBlank="1" showInputMessage="1" showErrorMessage="1" sqref="H109:H111 J109:J111 L109:L111 N109:N111 P109:P111 R109:R111 T109:T111 V109:V111 X109:X111 Z109:Z111 AB109:AB111 AD109:AD111 AF109:AF111 AH109:AH111 AJ109:AJ111 AL109:AL111 AN109:AN111 AP109:AP111 AR109:AR111 AT109:AT111 AV109:AV111 AX109:AX111 AZ109:AZ111 BB109:BB111 BD109:BD111 BF109:BF111 BH109:BH111 BJ109:BJ111 BL109:BL111 BN109:BN111 BP109:BP111 BR109:BR111 BT109:BT111 BV109:BV111 BX109:BX111 BZ109:BZ111 CB109:CB111 CD109:CD111 CF109:CF111 CH109:CH111 CJ109:CJ111 CL109:CL111 CN109:CN111 CP109:CP111 CR109:CR111 CT109:CT111 CV109:CV111 CX109:CX111 CZ109:CZ111" xr:uid="{294BF620-FF78-45A5-8174-3896E04690F3}">
      <formula1>mcasp_modes</formula1>
    </dataValidation>
    <dataValidation type="list" allowBlank="1" showInputMessage="1" showErrorMessage="1" sqref="H118:H120 J118:J120 L118:L120 N118:N120 P118:P120 R118:R120 T118:T120 V118:V120 X118:X120 Z118:Z120 AB118:AB120 AD118:AD120 AF118:AF120 AH118:AH120 AJ118:AJ120 AL118:AL120 AN118:AN120 AP118:AP120 AR118:AR120 AT118:AT120 AV118:AV120 AX118:AX120 AZ118:AZ120 BB118:BB120 BD118:BD120 BF118:BF120 BH118:BH120 BJ118:BJ120 BL118:BL120 BN118:BN120 BP118:BP120 BR118:BR120 BT118:BT120 BV118:BV120 BX118:BX120 BZ118:BZ120 CB118:CB120 CD118:CD120 CF118:CF120 CH118:CH120 CJ118:CJ120 CL118:CL120 CN118:CN120 CP118:CP120 CR118:CR120 CT118:CT120 CV118:CV120 CX118:CX120 CZ118:CZ120" xr:uid="{4E887E50-9C78-4F11-98A6-2FD5F6087D46}">
      <formula1>i2c_od_modes</formula1>
    </dataValidation>
    <dataValidation type="list" allowBlank="1" showInputMessage="1" showErrorMessage="1" sqref="H126:H141 J126:J141 L126:L141 N126:N141 P126:P141 R126:R141 T126:T141 V126:V141 X126:X141 Z126:Z141 AB126:AB141 AD126:AD141 AF126:AF141 AH126:AH141 AJ126:AJ141 AL126:AL141 AN126:AN141 AP126:AP141 AR126:AR141 AT126:AT141 AV126:AV141 AX126:AX141 AZ126:AZ141 BB126:BB141 BD126:BD141 BF126:BF141 BH126:BH141 BJ126:BJ141 BL126:BL141 BN126:BN141 BP126:BP141 BR126:BR141 BT126:BT141 BV126:BV141 BX126:BX141 BZ126:BZ141 CB126:CB141 CD126:CD141 CF126:CF141 CH126:CH141 CJ126:CJ141 CL126:CL141 CN126:CN141 CP126:CP141 CR126:CR141 CT126:CT141 CV126:CV141 CX126:CX141 CZ126:CZ141" xr:uid="{F1706CAE-581C-48F7-84A9-84261E299804}">
      <formula1>uart_modes</formula1>
    </dataValidation>
    <dataValidation type="list" allowBlank="1" showInputMessage="1" showErrorMessage="1" sqref="H150:H152 J150:J152 L150:L152 N150:N152 P150:P152 R150:R152 T150:T152 V150:V152 X150:X152 Z150:Z152 AB150:AB152 AD150:AD152 AF150:AF152 AH150:AH152 AJ150:AJ152 AL150:AL152 AN150:AN152 AP150:AP152 AR150:AR152 AT150:AT152 AV150:AV152 AX150:AX152 AZ150:AZ152 BB150:BB152 BD150:BD152 BF150:BF152 BH150:BH152 BJ150:BJ152 BL150:BL152 BN150:BN152 BP150:BP152 BR150:BR152 BT150:BT152 BV150:BV152 BX150:BX152 BZ150:BZ152 CB150:CB152 CD150:CD152 CF150:CF152 CH150:CH152 CJ150:CJ152 CL150:CL152 CN150:CN152 CP150:CP152 CR150:CR152 CT150:CT152 CV150:CV152 CX150:CX152 CZ150:CZ152" xr:uid="{508ECFAC-7AC8-4881-88C7-19B63974984B}">
      <formula1>gpio_modes</formula1>
    </dataValidation>
    <dataValidation type="list" allowBlank="1" showInputMessage="1" showErrorMessage="1" sqref="H99:H100 J99:J100 AX100 N99:N100 P99:P100 L99:L100 R99:R100 T99:T100 X99:X100 Z99:Z100 AB99:AB100 AD99:AD100 AF99:AF100 AH99:AH100 AJ99:AJ100 AL99:AL100 AN99:AN100 AP99:AP100 AR99:AR100 AZ99:AZ100 BB99:BB100 BD99:BD100 BF99:BF100 BH99:BH100 AT99:AX99 BJ99:BJ100 AT100 AV100 V99:V100 BL99:BL100 BN99:BN100 BP99:BP100 BR99:BR100 BT99:BT100 BV99:BV100 BX99:BX100 BZ99:BZ100 CB99:CB100 CD99:CD100 CF99:CF100 CH99:CH100 CJ99:CJ100 CL99:CL100 CN99:CN100 CP99:CP100 CR99:CR100 CT99:CT100 CV99:CV100 CX99:CX100 CZ99:CZ100" xr:uid="{52982DDF-1B1D-4C2F-BB07-9BAF19ED3BB6}">
      <formula1>dpi_modes</formula1>
    </dataValidation>
    <dataValidation type="list" allowBlank="1" showInputMessage="1" showErrorMessage="1" sqref="H62:H81 J62:J81 L62:L81 N62:N81 P62:P81 R62:R81 T62:T81 V62:V81 X62:X81 Z62:Z81 AB62:AB81 AD62:AD81 AF62:AF81 AH62:AH81 BJ62:BJ81 AL62:AL81 AN62:AN81 AP62:AP81 AR62:AR81 AT62:AT81 AV62:AV81 AX62:AX81 AZ62:AZ81 BB62:BB81 BD62:BD81 BF62:BF81 BH62:BH81 AJ62:AJ81 BL62:BL81 BN62:BN81 BP62:BP81 BR62:BR81 BT62:BT81 BV62:BV81 BX62:BX81 BZ62:BZ81 CB62:CB81 CD62:CD81 CF62:CF81 CH62:CH81 CJ62:CJ81 CL62:CL81 CN62:CN81 CP62:CP81 CR62:CR81 CT62:CT81 CV62:CV81 CX62:CX81 CZ62:CZ81" xr:uid="{A9D64AC1-B658-4ACB-8145-675BB105C82B}">
      <formula1>"on,off"</formula1>
    </dataValidation>
  </dataValidation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B52833-0C37-4EAF-900A-557FC0DDE3E9}">
  <sheetPr codeName="Sheet6">
    <tabColor theme="1" tint="0.499984740745262"/>
  </sheetPr>
  <dimension ref="A1:O77"/>
  <sheetViews>
    <sheetView topLeftCell="A25" workbookViewId="0">
      <selection activeCell="F81" sqref="F81"/>
    </sheetView>
  </sheetViews>
  <sheetFormatPr defaultColWidth="8.85546875" defaultRowHeight="15" x14ac:dyDescent="0.25"/>
  <cols>
    <col min="1" max="1" width="21" customWidth="1"/>
    <col min="2" max="5" width="10.5703125" customWidth="1"/>
    <col min="6" max="6" width="18.5703125" customWidth="1"/>
    <col min="9" max="9" width="17.85546875" bestFit="1" customWidth="1"/>
  </cols>
  <sheetData>
    <row r="1" spans="1:9" ht="18" thickBot="1" x14ac:dyDescent="0.35">
      <c r="A1" s="26" t="s">
        <v>1056</v>
      </c>
      <c r="B1" s="26" t="s">
        <v>312</v>
      </c>
      <c r="C1" s="26" t="str">
        <f>Use_Case</f>
        <v>Public PET UC</v>
      </c>
      <c r="D1" s="26" t="str">
        <f>UC_Description</f>
        <v>New use case submitted 2 Dec 2021.  C. Callaghan</v>
      </c>
      <c r="E1" s="26"/>
      <c r="F1" s="26"/>
      <c r="G1" s="26" t="s">
        <v>1197</v>
      </c>
      <c r="H1" s="26"/>
      <c r="I1" s="26" t="str">
        <f>UC_Target_mW</f>
        <v>N/A</v>
      </c>
    </row>
    <row r="2" spans="1:9" ht="15.75" thickTop="1" x14ac:dyDescent="0.25"/>
    <row r="3" spans="1:9" x14ac:dyDescent="0.25">
      <c r="A3" s="119" t="s">
        <v>1056</v>
      </c>
      <c r="B3" s="120" t="s">
        <v>169</v>
      </c>
      <c r="C3" s="120" t="s">
        <v>1100</v>
      </c>
      <c r="D3" s="121" t="s">
        <v>1099</v>
      </c>
      <c r="E3" s="121" t="s">
        <v>1101</v>
      </c>
      <c r="F3" s="120" t="s">
        <v>1</v>
      </c>
    </row>
    <row r="4" spans="1:9" x14ac:dyDescent="0.25">
      <c r="A4" s="124" t="s">
        <v>1092</v>
      </c>
      <c r="B4" s="132">
        <f>SUMIF(PWRCALC!$Y$1:$Y$126,B$3,PWRCALC!N$1:N$126)</f>
        <v>730.31945706708518</v>
      </c>
      <c r="C4" s="122">
        <f>SUM(PWRCALC!$P$2:$P$126)</f>
        <v>121.1502384336442</v>
      </c>
      <c r="D4" s="132">
        <f>SUM(PWRCALC!$Q$2:$Q$126)</f>
        <v>4.0058729808258746E-2</v>
      </c>
      <c r="E4" s="132">
        <f>SUM(PWRCALC!$S$2:$S$126)+SUM(PWRCALC!U2:U126)</f>
        <v>1.932650725729502</v>
      </c>
      <c r="F4" s="133">
        <f>SUM(B4:E4)</f>
        <v>853.44240495626718</v>
      </c>
    </row>
    <row r="5" spans="1:9" x14ac:dyDescent="0.25">
      <c r="A5" s="124" t="s">
        <v>1093</v>
      </c>
      <c r="B5" s="132">
        <f>SUM(PWRCALC!$O$2:$O$126)</f>
        <v>987.06640818966412</v>
      </c>
      <c r="C5" s="122">
        <v>0</v>
      </c>
      <c r="D5" s="132">
        <f>SUM(PWRCALC!$R$2:$R$126)</f>
        <v>7.3043646694214885</v>
      </c>
      <c r="E5" s="132">
        <f>SUM(PWRCALC!$T$2:$T$126)+SUM(PWRCALC!V3:V127)</f>
        <v>640.73650066369123</v>
      </c>
      <c r="F5" s="122">
        <f>SUM(B5:E5)</f>
        <v>1635.1072735227767</v>
      </c>
    </row>
    <row r="6" spans="1:9" x14ac:dyDescent="0.25">
      <c r="A6" s="119" t="s">
        <v>1</v>
      </c>
      <c r="B6" s="123">
        <f>B5+B4</f>
        <v>1717.3858652567492</v>
      </c>
      <c r="C6" s="123">
        <f>C5+C4</f>
        <v>121.1502384336442</v>
      </c>
      <c r="D6" s="123">
        <f>D5+D4</f>
        <v>7.344423399229747</v>
      </c>
      <c r="E6" s="123">
        <f>E5+E4</f>
        <v>642.66915138942068</v>
      </c>
      <c r="F6" s="123">
        <f>F5+F4</f>
        <v>2488.5496784790439</v>
      </c>
    </row>
    <row r="8" spans="1:9" ht="15.75" x14ac:dyDescent="0.25">
      <c r="A8" s="37" t="s">
        <v>585</v>
      </c>
      <c r="B8" s="40" t="s">
        <v>584</v>
      </c>
      <c r="C8" s="38" t="s">
        <v>588</v>
      </c>
      <c r="D8" s="40" t="s">
        <v>38</v>
      </c>
      <c r="E8" s="38"/>
      <c r="F8" s="38"/>
    </row>
    <row r="9" spans="1:9" x14ac:dyDescent="0.25">
      <c r="A9" s="41" t="s">
        <v>644</v>
      </c>
      <c r="B9" s="44">
        <f>B10+B11</f>
        <v>830.35151104303077</v>
      </c>
      <c r="C9" s="47">
        <f>IFERROR(B9/B$48,0)</f>
        <v>0.33366885066587321</v>
      </c>
      <c r="D9" s="47"/>
      <c r="E9" s="42"/>
      <c r="F9" s="42"/>
    </row>
    <row r="10" spans="1:9" x14ac:dyDescent="0.25">
      <c r="A10" s="36" t="s">
        <v>579</v>
      </c>
      <c r="B10" s="45">
        <f>SUMIF(PWRCALC!$F$1:$F$126,A10,PWRCALC!$H$1:$H$126)</f>
        <v>116.43135779650282</v>
      </c>
      <c r="C10" s="134">
        <f>IFERROR(B10/B$48,0)</f>
        <v>4.678683283014208E-2</v>
      </c>
      <c r="D10" s="86" t="s">
        <v>599</v>
      </c>
      <c r="E10" s="39"/>
      <c r="F10" s="39"/>
    </row>
    <row r="11" spans="1:9" x14ac:dyDescent="0.25">
      <c r="A11" s="36" t="s">
        <v>578</v>
      </c>
      <c r="B11" s="45">
        <f>SUMIF(PWRCALC!$F$1:$F$126,A11,PWRCALC!$H$1:$H$126)</f>
        <v>713.920153246528</v>
      </c>
      <c r="C11" s="134">
        <f t="shared" ref="C11:C46" si="0">IFERROR(B11/B$48,0)</f>
        <v>0.28688201783573114</v>
      </c>
      <c r="D11" s="86" t="s">
        <v>598</v>
      </c>
      <c r="E11" s="39"/>
      <c r="F11" s="39"/>
    </row>
    <row r="12" spans="1:9" x14ac:dyDescent="0.25">
      <c r="A12" s="41" t="s">
        <v>645</v>
      </c>
      <c r="B12" s="44">
        <f>SUM(B13:B17)</f>
        <v>284.00845182902827</v>
      </c>
      <c r="C12" s="47">
        <f>IFERROR(B12/B$48,0)</f>
        <v>0.11412609291473301</v>
      </c>
      <c r="D12" s="87"/>
      <c r="E12" s="42"/>
      <c r="F12" s="42"/>
    </row>
    <row r="13" spans="1:9" x14ac:dyDescent="0.25">
      <c r="A13" s="36" t="s">
        <v>247</v>
      </c>
      <c r="B13" s="45">
        <f>SUMIF(PWRCALC!$F$1:$F$126,A13,PWRCALC!$H$1:$H$126)</f>
        <v>0</v>
      </c>
      <c r="C13" s="134">
        <f t="shared" si="0"/>
        <v>0</v>
      </c>
      <c r="D13" s="86" t="s">
        <v>595</v>
      </c>
      <c r="E13" s="39"/>
      <c r="F13" s="39"/>
    </row>
    <row r="14" spans="1:9" x14ac:dyDescent="0.25">
      <c r="A14" s="36" t="s">
        <v>251</v>
      </c>
      <c r="B14" s="45">
        <f>SUMIF(PWRCALC!$F$1:$F$126,A14,PWRCALC!$H$1:$H$126)</f>
        <v>178.68502736610944</v>
      </c>
      <c r="C14" s="134">
        <f t="shared" si="0"/>
        <v>7.1802877359200837E-2</v>
      </c>
      <c r="D14" s="86" t="s">
        <v>594</v>
      </c>
      <c r="E14" s="39"/>
      <c r="F14" s="39"/>
    </row>
    <row r="15" spans="1:9" x14ac:dyDescent="0.25">
      <c r="A15" s="36" t="s">
        <v>249</v>
      </c>
      <c r="B15" s="45">
        <f>SUMIF(PWRCALC!$F$1:$F$126,A15,PWRCALC!$H$1:$H$126)</f>
        <v>0</v>
      </c>
      <c r="C15" s="134">
        <f t="shared" si="0"/>
        <v>0</v>
      </c>
      <c r="D15" s="86" t="s">
        <v>593</v>
      </c>
      <c r="E15" s="39"/>
      <c r="F15" s="39"/>
    </row>
    <row r="16" spans="1:9" x14ac:dyDescent="0.25">
      <c r="A16" s="36" t="s">
        <v>253</v>
      </c>
      <c r="B16" s="45">
        <f>SUMIF(PWRCALC!$F$1:$F$126,A16,PWRCALC!$H$1:$H$126)</f>
        <v>105.32342446291884</v>
      </c>
      <c r="C16" s="134">
        <f t="shared" si="0"/>
        <v>4.2323215555532173E-2</v>
      </c>
      <c r="D16" s="86" t="s">
        <v>1068</v>
      </c>
      <c r="E16" s="39"/>
      <c r="F16" s="39"/>
    </row>
    <row r="17" spans="1:9" x14ac:dyDescent="0.25">
      <c r="A17" s="36" t="s">
        <v>248</v>
      </c>
      <c r="B17" s="45">
        <f>SUMIF(PWRCALC!$F$1:$F$126,A17,PWRCALC!$H$1:$H$126)</f>
        <v>0</v>
      </c>
      <c r="C17" s="134">
        <f t="shared" si="0"/>
        <v>0</v>
      </c>
      <c r="D17" s="86" t="s">
        <v>1069</v>
      </c>
      <c r="E17" s="39"/>
      <c r="F17" s="39"/>
    </row>
    <row r="18" spans="1:9" x14ac:dyDescent="0.25">
      <c r="A18" s="41" t="s">
        <v>166</v>
      </c>
      <c r="B18" s="44">
        <f>SUM(B19:B24)</f>
        <v>259.53502537676161</v>
      </c>
      <c r="C18" s="47">
        <f>IFERROR(B18/B$48,0)</f>
        <v>0.10429167945539457</v>
      </c>
      <c r="D18" s="87"/>
      <c r="E18" s="42"/>
      <c r="F18" s="42"/>
    </row>
    <row r="19" spans="1:9" x14ac:dyDescent="0.25">
      <c r="A19" s="36" t="s">
        <v>254</v>
      </c>
      <c r="B19" s="45">
        <f>SUMIF(PWRCALC!$F$1:$F$126,A19,PWRCALC!$H$1:$H$126)</f>
        <v>5.7488049590981891</v>
      </c>
      <c r="C19" s="134">
        <f t="shared" si="0"/>
        <v>2.3101025504187462E-3</v>
      </c>
      <c r="D19" s="86" t="s">
        <v>597</v>
      </c>
      <c r="E19" s="39"/>
      <c r="F19" s="39"/>
    </row>
    <row r="20" spans="1:9" x14ac:dyDescent="0.25">
      <c r="A20" s="36" t="s">
        <v>261</v>
      </c>
      <c r="B20" s="45">
        <f>SUMIF(PWRCALC!$F$1:$F$126,A20,PWRCALC!$H$1:$H$126)</f>
        <v>31.987618924362405</v>
      </c>
      <c r="C20" s="134">
        <f t="shared" si="0"/>
        <v>1.2853920177278783E-2</v>
      </c>
      <c r="D20" s="86"/>
      <c r="E20" s="39"/>
      <c r="F20" s="39"/>
    </row>
    <row r="21" spans="1:9" x14ac:dyDescent="0.25">
      <c r="A21" s="36" t="s">
        <v>250</v>
      </c>
      <c r="B21" s="45">
        <f>SUMIF(PWRCALC!$F$1:$F$126,A21,PWRCALC!$H$1:$H$126)</f>
        <v>30.785740783567519</v>
      </c>
      <c r="C21" s="134">
        <f t="shared" si="0"/>
        <v>1.2370956886978124E-2</v>
      </c>
      <c r="D21" s="86" t="s">
        <v>596</v>
      </c>
      <c r="E21" s="39"/>
      <c r="F21" s="39"/>
      <c r="I21" s="113"/>
    </row>
    <row r="22" spans="1:9" x14ac:dyDescent="0.25">
      <c r="A22" s="36" t="s">
        <v>587</v>
      </c>
      <c r="B22" s="45">
        <f>SUMIF(PWRCALC!$F$1:$F$126,A22,PWRCALC!$H$1:$H$126)</f>
        <v>0</v>
      </c>
      <c r="C22" s="134">
        <f t="shared" si="0"/>
        <v>0</v>
      </c>
      <c r="D22" s="86" t="s">
        <v>592</v>
      </c>
      <c r="E22" s="39"/>
      <c r="F22" s="39"/>
    </row>
    <row r="23" spans="1:9" x14ac:dyDescent="0.25">
      <c r="A23" s="36" t="s">
        <v>900</v>
      </c>
      <c r="B23" s="45">
        <f>SUMIF(PWRCALC!$F$1:$F$126,A23,PWRCALC!$H$1:$H$126)</f>
        <v>9.7236497058491977</v>
      </c>
      <c r="C23" s="134">
        <f t="shared" si="0"/>
        <v>3.9073560756850622E-3</v>
      </c>
      <c r="D23" s="86" t="s">
        <v>1067</v>
      </c>
      <c r="E23" s="39"/>
      <c r="F23" s="39"/>
    </row>
    <row r="24" spans="1:9" x14ac:dyDescent="0.25">
      <c r="A24" s="36" t="s">
        <v>899</v>
      </c>
      <c r="B24" s="45">
        <f>SUMIF(PWRCALC!$F$1:$F$126,A24,PWRCALC!$H$1:$H$126)</f>
        <v>181.28921100388433</v>
      </c>
      <c r="C24" s="134">
        <f t="shared" si="0"/>
        <v>7.2849343765033867E-2</v>
      </c>
      <c r="D24" s="86" t="s">
        <v>591</v>
      </c>
      <c r="E24" s="39"/>
      <c r="F24" s="39"/>
    </row>
    <row r="25" spans="1:9" x14ac:dyDescent="0.25">
      <c r="A25" s="41" t="s">
        <v>167</v>
      </c>
      <c r="B25" s="44">
        <f>SUM(B26:B33)</f>
        <v>394.25917476170315</v>
      </c>
      <c r="C25" s="47">
        <f>IFERROR(B25/B$48,0)</f>
        <v>0.15842929645779352</v>
      </c>
      <c r="D25" s="87"/>
      <c r="E25" s="42"/>
      <c r="F25" s="42"/>
    </row>
    <row r="26" spans="1:9" x14ac:dyDescent="0.25">
      <c r="A26" s="36" t="s">
        <v>256</v>
      </c>
      <c r="B26" s="45">
        <f>SUMIF(PWRCALC!$F$1:$F$126,A26,PWRCALC!$H$1:$H$126)</f>
        <v>0</v>
      </c>
      <c r="C26" s="134">
        <f t="shared" si="0"/>
        <v>0</v>
      </c>
      <c r="D26" s="86" t="s">
        <v>1065</v>
      </c>
      <c r="E26" s="39"/>
      <c r="F26" s="39"/>
    </row>
    <row r="27" spans="1:9" x14ac:dyDescent="0.25">
      <c r="A27" s="36" t="s">
        <v>245</v>
      </c>
      <c r="B27" s="45">
        <f>SUMIF(PWRCALC!$F$1:$F$126,A27,PWRCALC!$H$1:$H$126)</f>
        <v>5.0220445986290416</v>
      </c>
      <c r="C27" s="134">
        <f t="shared" si="0"/>
        <v>2.0180608175354667E-3</v>
      </c>
      <c r="D27" s="86" t="s">
        <v>600</v>
      </c>
      <c r="E27" s="39"/>
      <c r="F27" s="39"/>
    </row>
    <row r="28" spans="1:9" x14ac:dyDescent="0.25">
      <c r="A28" s="36" t="s">
        <v>583</v>
      </c>
      <c r="B28" s="45">
        <f>SUMIF(PWRCALC!$F$1:$F$126,A28,PWRCALC!$H$1:$H$126)</f>
        <v>0</v>
      </c>
      <c r="C28" s="134">
        <f t="shared" si="0"/>
        <v>0</v>
      </c>
      <c r="D28" s="86" t="s">
        <v>601</v>
      </c>
      <c r="E28" s="39"/>
      <c r="F28" s="39"/>
    </row>
    <row r="29" spans="1:9" x14ac:dyDescent="0.25">
      <c r="A29" s="36" t="s">
        <v>582</v>
      </c>
      <c r="B29" s="45">
        <f>SUMIF(PWRCALC!$F$1:$F$126,A29,PWRCALC!$H$1:$H$126)</f>
        <v>0</v>
      </c>
      <c r="C29" s="134">
        <f t="shared" si="0"/>
        <v>0</v>
      </c>
      <c r="D29" s="86" t="s">
        <v>244</v>
      </c>
      <c r="E29" s="39"/>
      <c r="F29" s="39"/>
    </row>
    <row r="30" spans="1:9" x14ac:dyDescent="0.25">
      <c r="A30" s="36" t="s">
        <v>581</v>
      </c>
      <c r="B30" s="45">
        <f>SUMIF(PWRCALC!$F$1:$F$126,A30,PWRCALC!$H$1:$H$126)</f>
        <v>75.733471668540361</v>
      </c>
      <c r="C30" s="134">
        <f t="shared" si="0"/>
        <v>3.0432774689403544E-2</v>
      </c>
      <c r="D30" s="86" t="s">
        <v>602</v>
      </c>
      <c r="E30" s="39"/>
      <c r="F30" s="39"/>
    </row>
    <row r="31" spans="1:9" x14ac:dyDescent="0.25">
      <c r="A31" s="36" t="s">
        <v>252</v>
      </c>
      <c r="B31" s="45">
        <f>SUMIF(PWRCALC!$F$1:$F$126,A31,PWRCALC!$H$1:$H$126)</f>
        <v>0</v>
      </c>
      <c r="C31" s="134">
        <f t="shared" si="0"/>
        <v>0</v>
      </c>
      <c r="D31" s="86" t="s">
        <v>252</v>
      </c>
      <c r="E31" s="39"/>
      <c r="F31" s="39"/>
    </row>
    <row r="32" spans="1:9" x14ac:dyDescent="0.25">
      <c r="A32" s="36" t="s">
        <v>580</v>
      </c>
      <c r="B32" s="45">
        <f>SUMIF(PWRCALC!$F$1:$F$126,A32,PWRCALC!$H$1:$H$126)</f>
        <v>270.46419501826955</v>
      </c>
      <c r="C32" s="134">
        <f t="shared" si="0"/>
        <v>0.10868346224198039</v>
      </c>
      <c r="D32" s="86"/>
      <c r="E32" s="39"/>
      <c r="F32" s="39"/>
    </row>
    <row r="33" spans="1:15" x14ac:dyDescent="0.25">
      <c r="A33" s="36" t="s">
        <v>8</v>
      </c>
      <c r="B33" s="45">
        <f>SUMIF(PWRCALC!$F$1:$F$126,A33,PWRCALC!$H$1:$H$126)</f>
        <v>43.039463476264181</v>
      </c>
      <c r="C33" s="134">
        <f t="shared" si="0"/>
        <v>1.7294998708874128E-2</v>
      </c>
      <c r="D33" s="86" t="s">
        <v>603</v>
      </c>
      <c r="E33" s="39"/>
      <c r="F33" s="39"/>
    </row>
    <row r="34" spans="1:15" x14ac:dyDescent="0.25">
      <c r="A34" s="41" t="s">
        <v>646</v>
      </c>
      <c r="B34" s="44">
        <f>SUM(B35:B38)</f>
        <v>75.018954122941977</v>
      </c>
      <c r="C34" s="47">
        <f>IFERROR(B34/B$48,0)</f>
        <v>3.0145652615137748E-2</v>
      </c>
      <c r="D34" s="87"/>
      <c r="E34" s="42"/>
      <c r="F34" s="42"/>
    </row>
    <row r="35" spans="1:15" x14ac:dyDescent="0.25">
      <c r="A35" s="36" t="s">
        <v>257</v>
      </c>
      <c r="B35" s="45">
        <f>SUMIF(PWRCALC!$F$1:$F$126,A35,PWRCALC!$H$1:$H$126)</f>
        <v>71.125805533785439</v>
      </c>
      <c r="C35" s="134">
        <f t="shared" si="0"/>
        <v>2.8581227913141861E-2</v>
      </c>
      <c r="D35" s="85" t="s">
        <v>1063</v>
      </c>
    </row>
    <row r="36" spans="1:15" x14ac:dyDescent="0.25">
      <c r="A36" s="36" t="s">
        <v>260</v>
      </c>
      <c r="B36" s="45">
        <f>SUMIF(PWRCALC!$F$1:$F$126,A36,PWRCALC!$H$1:$H$126)</f>
        <v>0</v>
      </c>
      <c r="C36" s="134">
        <f t="shared" si="0"/>
        <v>0</v>
      </c>
      <c r="D36" s="85" t="s">
        <v>1064</v>
      </c>
    </row>
    <row r="37" spans="1:15" x14ac:dyDescent="0.25">
      <c r="A37" s="36" t="s">
        <v>71</v>
      </c>
      <c r="B37" s="45">
        <f>SUMIF(PWRCALC!$F$1:$F$126,A37,PWRCALC!$H$1:$H$126)</f>
        <v>3.8835344940025571</v>
      </c>
      <c r="C37" s="134">
        <f t="shared" si="0"/>
        <v>1.5605613693740296E-3</v>
      </c>
      <c r="D37" s="85" t="s">
        <v>1062</v>
      </c>
    </row>
    <row r="38" spans="1:15" x14ac:dyDescent="0.25">
      <c r="A38" s="36" t="s">
        <v>614</v>
      </c>
      <c r="B38" s="45">
        <f>SUMIF(PWRCALC!$F$1:$F$126,A38,PWRCALC!$H$1:$H$126)</f>
        <v>9.6140951539820992E-3</v>
      </c>
      <c r="C38" s="134">
        <f t="shared" si="0"/>
        <v>3.8633326218579093E-6</v>
      </c>
    </row>
    <row r="39" spans="1:15" x14ac:dyDescent="0.25">
      <c r="A39" s="41" t="s">
        <v>647</v>
      </c>
      <c r="B39" s="44">
        <f>SUM(B40:B46)</f>
        <v>369.45247763974629</v>
      </c>
      <c r="C39" s="47">
        <f>IFERROR(B39/B$48,0)</f>
        <v>0.14846096135221579</v>
      </c>
      <c r="D39" s="87"/>
      <c r="E39" s="42"/>
      <c r="F39" s="42"/>
    </row>
    <row r="40" spans="1:15" x14ac:dyDescent="0.25">
      <c r="A40" s="36" t="s">
        <v>174</v>
      </c>
      <c r="B40" s="45">
        <f>SUMIF(PWRCALC!$F$1:$F$126,A40,PWRCALC!$H$1:$H$126)</f>
        <v>0</v>
      </c>
      <c r="C40" s="134">
        <f t="shared" si="0"/>
        <v>0</v>
      </c>
      <c r="D40" t="s">
        <v>1057</v>
      </c>
      <c r="O40" s="113"/>
    </row>
    <row r="41" spans="1:15" x14ac:dyDescent="0.25">
      <c r="A41" s="36" t="s">
        <v>266</v>
      </c>
      <c r="B41" s="45">
        <f>SUMIF(PWRCALC!$F$1:$F$126,A41,PWRCALC!$H$1:$H$126)</f>
        <v>206.46795808982577</v>
      </c>
      <c r="C41" s="134">
        <f t="shared" si="0"/>
        <v>8.2967183607126238E-2</v>
      </c>
      <c r="D41" t="s">
        <v>1058</v>
      </c>
    </row>
    <row r="42" spans="1:15" x14ac:dyDescent="0.25">
      <c r="A42" s="36" t="s">
        <v>158</v>
      </c>
      <c r="B42" s="45">
        <f>SUMIF(PWRCALC!$F$1:$F$126,A42,PWRCALC!$H$1:$H$126)</f>
        <v>0</v>
      </c>
      <c r="C42" s="134">
        <f t="shared" si="0"/>
        <v>0</v>
      </c>
      <c r="D42" t="s">
        <v>1070</v>
      </c>
    </row>
    <row r="43" spans="1:15" x14ac:dyDescent="0.25">
      <c r="A43" s="36" t="s">
        <v>259</v>
      </c>
      <c r="B43" s="45">
        <f>SUMIF(PWRCALC!$F$1:$F$126,A43,PWRCALC!$H$1:$H$126)</f>
        <v>1.3520367772807038</v>
      </c>
      <c r="C43" s="134">
        <f t="shared" si="0"/>
        <v>5.4330310902494996E-4</v>
      </c>
      <c r="D43" t="s">
        <v>1066</v>
      </c>
    </row>
    <row r="44" spans="1:15" x14ac:dyDescent="0.25">
      <c r="A44" s="36" t="s">
        <v>590</v>
      </c>
      <c r="B44" s="45">
        <f>SUMIF(PWRCALC!$F$1:$F$126,A44,PWRCALC!$H$1:$H$126)</f>
        <v>4.1760944757219205</v>
      </c>
      <c r="C44" s="134">
        <f t="shared" si="0"/>
        <v>1.678123813173894E-3</v>
      </c>
      <c r="D44" t="s">
        <v>1059</v>
      </c>
    </row>
    <row r="45" spans="1:15" x14ac:dyDescent="0.25">
      <c r="A45" s="36" t="s">
        <v>255</v>
      </c>
      <c r="B45" s="45">
        <f>SUMIF(PWRCALC!$F$1:$F$126,A45,PWRCALC!$H$1:$H$126)</f>
        <v>0</v>
      </c>
      <c r="C45" s="134">
        <f t="shared" si="0"/>
        <v>0</v>
      </c>
      <c r="D45" t="s">
        <v>1060</v>
      </c>
    </row>
    <row r="46" spans="1:15" x14ac:dyDescent="0.25">
      <c r="A46" s="36" t="s">
        <v>258</v>
      </c>
      <c r="B46" s="45">
        <f>SUMIF(PWRCALC!$F$1:$F$126,A46,PWRCALC!$H$1:$H$126)</f>
        <v>157.45638829691788</v>
      </c>
      <c r="C46" s="134">
        <f t="shared" si="0"/>
        <v>6.3272350822890691E-2</v>
      </c>
      <c r="D46" t="s">
        <v>1061</v>
      </c>
    </row>
    <row r="47" spans="1:15" x14ac:dyDescent="0.25">
      <c r="A47" s="41" t="s">
        <v>648</v>
      </c>
      <c r="B47" s="44">
        <f>SUMIF(PWRCALC!$E$1:$E$126,$A47,PWRCALC!$H$1:$H$126)</f>
        <v>275.92408370583155</v>
      </c>
      <c r="C47" s="47">
        <f>IFERROR(B47/B$48,0)</f>
        <v>0.11087746653885221</v>
      </c>
      <c r="D47" s="87" t="s">
        <v>1137</v>
      </c>
      <c r="E47" s="42"/>
      <c r="F47" s="42"/>
    </row>
    <row r="48" spans="1:15" ht="15.75" x14ac:dyDescent="0.25">
      <c r="A48" s="37" t="s">
        <v>577</v>
      </c>
      <c r="B48" s="46">
        <f>B25+B18+B12+B9+B34+B39+B47</f>
        <v>2488.5496784790435</v>
      </c>
      <c r="C48" s="125">
        <f>IFERROR(B48/B$48,0)</f>
        <v>1</v>
      </c>
      <c r="D48" s="48"/>
      <c r="E48" s="38"/>
      <c r="F48" s="38"/>
    </row>
    <row r="49" spans="1:12" x14ac:dyDescent="0.25">
      <c r="A49" s="43" t="s">
        <v>586</v>
      </c>
    </row>
    <row r="50" spans="1:12" x14ac:dyDescent="0.25">
      <c r="L50" s="117"/>
    </row>
    <row r="52" spans="1:12" ht="18" thickBot="1" x14ac:dyDescent="0.35">
      <c r="A52" s="26" t="s">
        <v>1136</v>
      </c>
      <c r="B52" s="26"/>
      <c r="C52" s="26"/>
      <c r="D52" s="26"/>
      <c r="E52" s="26"/>
      <c r="F52" s="26"/>
      <c r="G52" s="26"/>
      <c r="H52" s="26"/>
      <c r="I52" s="26"/>
    </row>
    <row r="53" spans="1:12" ht="15.75" thickTop="1" x14ac:dyDescent="0.25"/>
    <row r="54" spans="1:12" x14ac:dyDescent="0.25">
      <c r="A54" t="s">
        <v>1134</v>
      </c>
    </row>
    <row r="55" spans="1:12" x14ac:dyDescent="0.25">
      <c r="A55" t="s">
        <v>1135</v>
      </c>
    </row>
    <row r="57" spans="1:12" x14ac:dyDescent="0.25">
      <c r="A57" s="96" t="s">
        <v>1114</v>
      </c>
      <c r="B57" s="96" t="s">
        <v>1132</v>
      </c>
      <c r="C57" s="96" t="s">
        <v>37</v>
      </c>
      <c r="D57" s="96" t="s">
        <v>126</v>
      </c>
      <c r="E57" s="96" t="s">
        <v>1085</v>
      </c>
      <c r="F57" s="96" t="s">
        <v>38</v>
      </c>
      <c r="G57" s="96" t="s">
        <v>1288</v>
      </c>
      <c r="I57" s="118"/>
    </row>
    <row r="58" spans="1:12" x14ac:dyDescent="0.25">
      <c r="A58" s="2" t="s">
        <v>116</v>
      </c>
      <c r="B58" s="112" t="str">
        <f>IF(IFERROR(MATCH($A58,#REF!,0),0)+IFERROR(MATCH($A58,#REF!,0),0)+IFERROR(MATCH($A58,#REF!,0),0)+IFERROR(MATCH($A58,#REF!,0),0)&gt;0,"Yes","-")</f>
        <v>-</v>
      </c>
      <c r="C58" s="112">
        <f>SUMIF(PWRCALC!$Y$1:$Y$148,A58,PWRCALC!N$1:N$148)+SUMIF(PWRCALC!$Y$1:$Y$148,A58,PWRCALC!O$1:O$148)+SUMIF(PWRCALC!$Z$1:$Z$148,A58,PWRCALC!Q$1:Q$148)+SUMIF(PWRCALC!$Z$1:$Z$148,A58,PWRCALC!R$1:R$148)+SUMIF(PWRCALC!$AA$1:$AA$148,A58,PWRCALC!S$1:S$148)+SUMIF(PWRCALC!$AA$1:$AA$148,A58,PWRCALC!T$1:T$148)+SUMIF(PWRCALC!$AB$1:$AB$148,A58,PWRCALC!U$1:U$148)+SUMIF(PWRCALC!$AB$1:$AB$148,A58,PWRCALC!V$1:V$148)</f>
        <v>1720.6219467138301</v>
      </c>
      <c r="D58" s="1">
        <f>VDD_Core</f>
        <v>0.75</v>
      </c>
      <c r="E58" s="112">
        <f t="shared" ref="E58:E76" si="1">IFERROR(C58/D58,0)</f>
        <v>2294.1625956184403</v>
      </c>
      <c r="F58" s="112" t="s">
        <v>1133</v>
      </c>
      <c r="G58" s="175">
        <f>C58*G77</f>
        <v>2064.7463360565962</v>
      </c>
      <c r="I58" s="117"/>
    </row>
    <row r="59" spans="1:12" x14ac:dyDescent="0.25">
      <c r="A59" s="2" t="s">
        <v>119</v>
      </c>
      <c r="B59" s="112" t="str">
        <f>IF(IFERROR(MATCH($A59,#REF!,0),0)+IFERROR(MATCH($A59,#REF!,0),0)+IFERROR(MATCH($A59,#REF!,0),0)+IFERROR(MATCH($A59,#REF!,0),0)&gt;0,"Yes","-")</f>
        <v>-</v>
      </c>
      <c r="C59" s="112">
        <f>SUMIF(PWRCALC!$Y$1:$Y$148,A59,PWRCALC!N$1:N$148)+SUMIF(PWRCALC!$Y$1:$Y$148,A59,PWRCALC!O$1:O$148)+SUMIF(PWRCALC!$Z$1:$Z$148,A59,PWRCALC!Q$1:Q$148)+SUMIF(PWRCALC!$Z$1:$Z$148,A59,PWRCALC!R$1:R$148)+SUMIF(PWRCALC!$AA$1:$AA$148,A59,PWRCALC!S$1:S$148)+SUMIF(PWRCALC!$AA$1:$AA$148,A59,PWRCALC!T$1:T$148)+SUMIF(PWRCALC!$AB$1:$AB$148,A59,PWRCALC!U$1:U$148)+SUMIF(PWRCALC!$AB$1:$AB$148,A59,PWRCALC!V$1:V$148)</f>
        <v>130.79200761896413</v>
      </c>
      <c r="D59" s="1">
        <v>1.1000000000000001</v>
      </c>
      <c r="E59" s="112">
        <f t="shared" si="1"/>
        <v>118.90182510814921</v>
      </c>
      <c r="F59" s="112" t="s">
        <v>119</v>
      </c>
      <c r="G59" s="175">
        <f>C59*G77</f>
        <v>156.95040914275697</v>
      </c>
    </row>
    <row r="60" spans="1:12" x14ac:dyDescent="0.25">
      <c r="A60" s="2" t="s">
        <v>1111</v>
      </c>
      <c r="B60" s="112" t="str">
        <f>IF(IFERROR(MATCH($A60,#REF!,0),0)+IFERROR(MATCH($A60,#REF!,0),0)+IFERROR(MATCH($A60,#REF!,0),0)+IFERROR(MATCH($A60,#REF!,0),0)&gt;0,"Yes","-")</f>
        <v>-</v>
      </c>
      <c r="C60" s="112">
        <f>SUMIF(PWRCALC!$Y$1:$Y$148,A60,PWRCALC!N$1:N$148)+SUMIF(PWRCALC!$Y$1:$Y$148,A60,PWRCALC!O$1:O$148)+SUMIF(PWRCALC!$Z$1:$Z$148,A60,PWRCALC!Q$1:Q$148)+SUMIF(PWRCALC!$Z$1:$Z$148,A60,PWRCALC!R$1:R$148)+SUMIF(PWRCALC!$AA$1:$AA$148,A60,PWRCALC!S$1:S$148)+SUMIF(PWRCALC!$AA$1:$AA$148,A60,PWRCALC!T$1:T$148)+SUMIF(PWRCALC!$AB$1:$AB$148,A60,PWRCALC!U$1:U$148)+SUMIF(PWRCALC!$AB$1:$AB$148,A60,PWRCALC!V$1:V$148)</f>
        <v>271.88564869687502</v>
      </c>
      <c r="D60" s="1">
        <v>3.3</v>
      </c>
      <c r="E60" s="112">
        <f t="shared" si="1"/>
        <v>82.389590514204556</v>
      </c>
      <c r="F60" s="112" t="s">
        <v>1273</v>
      </c>
    </row>
    <row r="61" spans="1:12" x14ac:dyDescent="0.25">
      <c r="A61" s="2" t="s">
        <v>360</v>
      </c>
      <c r="B61" s="112" t="str">
        <f>IF(IFERROR(MATCH($A61,#REF!,0),0)+IFERROR(MATCH($A61,#REF!,0),0)+IFERROR(MATCH($A61,#REF!,0),0)+IFERROR(MATCH($A61,#REF!,0),0)&gt;0,"Yes","-")</f>
        <v>-</v>
      </c>
      <c r="C61" s="112">
        <f>SUMIF(PWRCALC!$Y$1:$Y$148,A61,PWRCALC!N$1:N$148)+SUMIF(PWRCALC!$Y$1:$Y$148,A61,PWRCALC!O$1:O$148)+SUMIF(PWRCALC!$Z$1:$Z$148,A61,PWRCALC!Q$1:Q$148)+SUMIF(PWRCALC!$Z$1:$Z$148,A61,PWRCALC!R$1:R$148)+SUMIF(PWRCALC!$AA$1:$AA$148,A61,PWRCALC!S$1:S$148)+SUMIF(PWRCALC!$AA$1:$AA$148,A61,PWRCALC!T$1:T$148)+SUMIF(PWRCALC!$AB$1:$AB$148,A61,PWRCALC!U$1:U$148)+SUMIF(PWRCALC!$AB$1:$AB$148,A61,PWRCALC!V$1:V$148)</f>
        <v>107.93574809306773</v>
      </c>
      <c r="D61" s="1">
        <v>1.8</v>
      </c>
      <c r="E61" s="112">
        <f t="shared" si="1"/>
        <v>59.964304496148735</v>
      </c>
      <c r="F61" s="112" t="s">
        <v>1271</v>
      </c>
    </row>
    <row r="62" spans="1:12" x14ac:dyDescent="0.25">
      <c r="A62" s="2" t="s">
        <v>1112</v>
      </c>
      <c r="B62" s="112" t="str">
        <f>IF(IFERROR(MATCH($A62,#REF!,0),0)+IFERROR(MATCH($A62,#REF!,0),0)+IFERROR(MATCH($A62,#REF!,0),0)+IFERROR(MATCH($A62,#REF!,0),0)&gt;0,"Yes","-")</f>
        <v>-</v>
      </c>
      <c r="C62" s="112">
        <f>SUMIF(PWRCALC!$Y$1:$Y$148,A62,PWRCALC!N$1:N$148)+SUMIF(PWRCALC!$Y$1:$Y$148,A62,PWRCALC!O$1:O$148)+SUMIF(PWRCALC!$Z$1:$Z$148,A62,PWRCALC!Q$1:Q$148)+SUMIF(PWRCALC!$Z$1:$Z$148,A62,PWRCALC!R$1:R$148)+SUMIF(PWRCALC!$AA$1:$AA$148,A62,PWRCALC!S$1:S$148)+SUMIF(PWRCALC!$AA$1:$AA$148,A62,PWRCALC!T$1:T$148)+SUMIF(PWRCALC!$AB$1:$AB$148,A62,PWRCALC!U$1:U$148)+SUMIF(PWRCALC!$AB$1:$AB$148,A62,PWRCALC!V$1:V$148)</f>
        <v>20.308931698847498</v>
      </c>
      <c r="D62" s="1">
        <v>1.8</v>
      </c>
      <c r="E62" s="112">
        <f t="shared" si="1"/>
        <v>11.282739832693055</v>
      </c>
      <c r="F62" s="112" t="s">
        <v>1272</v>
      </c>
    </row>
    <row r="63" spans="1:12" x14ac:dyDescent="0.25">
      <c r="A63" s="2" t="s">
        <v>356</v>
      </c>
      <c r="B63" s="112" t="str">
        <f>IF(IFERROR(MATCH($A63,#REF!,0),0)+IFERROR(MATCH($A63,#REF!,0),0)+IFERROR(MATCH($A63,#REF!,0),0)+IFERROR(MATCH($A63,#REF!,0),0)&gt;0,"Yes","-")</f>
        <v>-</v>
      </c>
      <c r="C63" s="112">
        <f>SUMIF(PWRCALC!$Y$1:$Y$148,A63,PWRCALC!N$1:N$148)+SUMIF(PWRCALC!$Y$1:$Y$148,A63,PWRCALC!O$1:O$148)+SUMIF(PWRCALC!$Z$1:$Z$148,A63,PWRCALC!Q$1:Q$148)+SUMIF(PWRCALC!$Z$1:$Z$148,A63,PWRCALC!R$1:R$148)+SUMIF(PWRCALC!$AA$1:$AA$148,A63,PWRCALC!S$1:S$148)+SUMIF(PWRCALC!$AA$1:$AA$148,A63,PWRCALC!T$1:T$148)+SUMIF(PWRCALC!$AB$1:$AB$148,A63,PWRCALC!U$1:U$148)+SUMIF(PWRCALC!$AB$1:$AB$148,A63,PWRCALC!V$1:V$148)</f>
        <v>17.935522715027091</v>
      </c>
      <c r="D63" s="1">
        <v>1.8</v>
      </c>
      <c r="E63" s="112">
        <f t="shared" si="1"/>
        <v>9.9641792861261607</v>
      </c>
      <c r="F63" s="112" t="s">
        <v>1271</v>
      </c>
    </row>
    <row r="64" spans="1:12" x14ac:dyDescent="0.25">
      <c r="A64" s="2" t="s">
        <v>359</v>
      </c>
      <c r="B64" s="112" t="str">
        <f>IF(IFERROR(MATCH($A64,#REF!,0),0)+IFERROR(MATCH($A64,#REF!,0),0)+IFERROR(MATCH($A64,#REF!,0),0)+IFERROR(MATCH($A64,#REF!,0),0)&gt;0,"Yes","-")</f>
        <v>-</v>
      </c>
      <c r="C64" s="112">
        <f>SUMIF(PWRCALC!$Y$1:$Y$148,A64,PWRCALC!N$1:N$148)+SUMIF(PWRCALC!$Y$1:$Y$148,A64,PWRCALC!O$1:O$148)+SUMIF(PWRCALC!$Z$1:$Z$148,A64,PWRCALC!Q$1:Q$148)+SUMIF(PWRCALC!$Z$1:$Z$148,A64,PWRCALC!R$1:R$148)+SUMIF(PWRCALC!$AA$1:$AA$148,A64,PWRCALC!S$1:S$148)+SUMIF(PWRCALC!$AA$1:$AA$148,A64,PWRCALC!T$1:T$148)+SUMIF(PWRCALC!$AB$1:$AB$148,A64,PWRCALC!U$1:U$148)+SUMIF(PWRCALC!$AB$1:$AB$148,A64,PWRCALC!V$1:V$148)</f>
        <v>0</v>
      </c>
      <c r="D64" s="1">
        <v>1.8</v>
      </c>
      <c r="E64" s="112">
        <f t="shared" si="1"/>
        <v>0</v>
      </c>
      <c r="F64" s="112" t="s">
        <v>1271</v>
      </c>
    </row>
    <row r="65" spans="1:8" x14ac:dyDescent="0.25">
      <c r="A65" s="2" t="s">
        <v>361</v>
      </c>
      <c r="B65" s="112" t="str">
        <f>IF(IFERROR(MATCH($A65,#REF!,0),0)+IFERROR(MATCH($A65,#REF!,0),0)+IFERROR(MATCH($A65,#REF!,0),0)+IFERROR(MATCH($A65,#REF!,0),0)&gt;0,"Yes","-")</f>
        <v>-</v>
      </c>
      <c r="C65" s="112">
        <f>SUMIF(PWRCALC!$Y$1:$Y$148,A65,PWRCALC!N$1:N$148)+SUMIF(PWRCALC!$Y$1:$Y$148,A65,PWRCALC!O$1:O$148)+SUMIF(PWRCALC!$Z$1:$Z$148,A65,PWRCALC!Q$1:Q$148)+SUMIF(PWRCALC!$Z$1:$Z$148,A65,PWRCALC!R$1:R$148)+SUMIF(PWRCALC!$AA$1:$AA$148,A65,PWRCALC!S$1:S$148)+SUMIF(PWRCALC!$AA$1:$AA$148,A65,PWRCALC!T$1:T$148)+SUMIF(PWRCALC!$AB$1:$AB$148,A65,PWRCALC!U$1:U$148)+SUMIF(PWRCALC!$AB$1:$AB$148,A65,PWRCALC!V$1:V$148)</f>
        <v>0</v>
      </c>
      <c r="D65" s="1">
        <v>0.8</v>
      </c>
      <c r="E65" s="112">
        <f t="shared" si="1"/>
        <v>0</v>
      </c>
      <c r="F65" s="112" t="s">
        <v>116</v>
      </c>
    </row>
    <row r="66" spans="1:8" x14ac:dyDescent="0.25">
      <c r="A66" s="2" t="s">
        <v>117</v>
      </c>
      <c r="B66" s="112" t="str">
        <f>IF(IFERROR(MATCH($A66,#REF!,0),0)+IFERROR(MATCH($A66,#REF!,0),0)+IFERROR(MATCH($A66,#REF!,0),0)+IFERROR(MATCH($A66,#REF!,0),0)&gt;0,"Yes","-")</f>
        <v>-</v>
      </c>
      <c r="C66" s="112">
        <f>SUMIF(PWRCALC!$Y$1:$Y$148,A66,PWRCALC!N$1:N$148)+SUMIF(PWRCALC!$Y$1:$Y$148,A66,PWRCALC!O$1:O$148)+SUMIF(PWRCALC!$Z$1:$Z$148,A66,PWRCALC!Q$1:Q$148)+SUMIF(PWRCALC!$Z$1:$Z$148,A66,PWRCALC!R$1:R$148)+SUMIF(PWRCALC!$AA$1:$AA$148,A66,PWRCALC!S$1:S$148)+SUMIF(PWRCALC!$AA$1:$AA$148,A66,PWRCALC!T$1:T$148)+SUMIF(PWRCALC!$AB$1:$AB$148,A66,PWRCALC!U$1:U$148)+SUMIF(PWRCALC!$AB$1:$AB$148,A66,PWRCALC!V$1:V$148)</f>
        <v>13.453439759814051</v>
      </c>
      <c r="D66" s="1">
        <v>1.8</v>
      </c>
      <c r="E66" s="112">
        <f t="shared" si="1"/>
        <v>7.4741331998966949</v>
      </c>
      <c r="F66" s="112" t="s">
        <v>1271</v>
      </c>
    </row>
    <row r="67" spans="1:8" x14ac:dyDescent="0.25">
      <c r="A67" s="2" t="s">
        <v>358</v>
      </c>
      <c r="B67" s="112" t="str">
        <f>IF(IFERROR(MATCH($A67,#REF!,0),0)+IFERROR(MATCH($A67,#REF!,0),0)+IFERROR(MATCH($A67,#REF!,0),0)+IFERROR(MATCH($A67,#REF!,0),0)&gt;0,"Yes","-")</f>
        <v>-</v>
      </c>
      <c r="C67" s="112">
        <f>SUMIF(PWRCALC!$Y$1:$Y$148,A67,PWRCALC!N$1:N$148)+SUMIF(PWRCALC!$Y$1:$Y$148,A67,PWRCALC!O$1:O$148)+SUMIF(PWRCALC!$Z$1:$Z$148,A67,PWRCALC!Q$1:Q$148)+SUMIF(PWRCALC!$Z$1:$Z$148,A67,PWRCALC!R$1:R$148)+SUMIF(PWRCALC!$AA$1:$AA$148,A67,PWRCALC!S$1:S$148)+SUMIF(PWRCALC!$AA$1:$AA$148,A67,PWRCALC!T$1:T$148)+SUMIF(PWRCALC!$AB$1:$AB$148,A67,PWRCALC!U$1:U$148)+SUMIF(PWRCALC!$AB$1:$AB$148,A67,PWRCALC!V$1:V$148)</f>
        <v>12.387085482319744</v>
      </c>
      <c r="D67" s="1">
        <v>1.8</v>
      </c>
      <c r="E67" s="112">
        <f t="shared" si="1"/>
        <v>6.8817141568443017</v>
      </c>
      <c r="F67" s="112" t="s">
        <v>1271</v>
      </c>
    </row>
    <row r="68" spans="1:8" x14ac:dyDescent="0.25">
      <c r="A68" s="2" t="s">
        <v>118</v>
      </c>
      <c r="B68" s="112" t="str">
        <f>IF(IFERROR(MATCH($A68,#REF!,0),0)+IFERROR(MATCH($A68,#REF!,0),0)+IFERROR(MATCH($A68,#REF!,0),0)+IFERROR(MATCH($A68,#REF!,0),0)&gt;0,"Yes","-")</f>
        <v>-</v>
      </c>
      <c r="C68" s="112">
        <f>SUMIF(PWRCALC!$Y$1:$Y$148,A68,PWRCALC!N$1:N$148)+SUMIF(PWRCALC!$Y$1:$Y$148,A68,PWRCALC!O$1:O$148)+SUMIF(PWRCALC!$Z$1:$Z$148,A68,PWRCALC!Q$1:Q$148)+SUMIF(PWRCALC!$Z$1:$Z$148,A68,PWRCALC!R$1:R$148)+SUMIF(PWRCALC!$AA$1:$AA$148,A68,PWRCALC!S$1:S$148)+SUMIF(PWRCALC!$AA$1:$AA$148,A68,PWRCALC!T$1:T$148)+SUMIF(PWRCALC!$AB$1:$AB$148,A68,PWRCALC!U$1:U$148)+SUMIF(PWRCALC!$AB$1:$AB$148,A68,PWRCALC!V$1:V$148)</f>
        <v>8.0823056559917354</v>
      </c>
      <c r="D68" s="1">
        <v>3.3</v>
      </c>
      <c r="E68" s="112">
        <f t="shared" si="1"/>
        <v>2.4491835321187079</v>
      </c>
      <c r="F68" s="112" t="s">
        <v>1273</v>
      </c>
    </row>
    <row r="69" spans="1:8" x14ac:dyDescent="0.25">
      <c r="A69" s="2" t="s">
        <v>357</v>
      </c>
      <c r="B69" s="112" t="str">
        <f>IF(IFERROR(MATCH($A69,#REF!,0),0)+IFERROR(MATCH($A69,#REF!,0),0)+IFERROR(MATCH($A69,#REF!,0),0)+IFERROR(MATCH($A69,#REF!,0),0)&gt;0,"Yes","-")</f>
        <v>-</v>
      </c>
      <c r="C69" s="112">
        <f>SUMIF(PWRCALC!$Y$1:$Y$148,A69,PWRCALC!N$1:N$148)+SUMIF(PWRCALC!$Y$1:$Y$148,A69,PWRCALC!O$1:O$148)+SUMIF(PWRCALC!$Z$1:$Z$148,A69,PWRCALC!Q$1:Q$148)+SUMIF(PWRCALC!$Z$1:$Z$148,A69,PWRCALC!R$1:R$148)+SUMIF(PWRCALC!$AA$1:$AA$148,A69,PWRCALC!S$1:S$148)+SUMIF(PWRCALC!$AA$1:$AA$148,A69,PWRCALC!T$1:T$148)+SUMIF(PWRCALC!$AB$1:$AB$148,A69,PWRCALC!U$1:U$148)+SUMIF(PWRCALC!$AB$1:$AB$148,A69,PWRCALC!V$1:V$148)</f>
        <v>8.8634792122231882</v>
      </c>
      <c r="D69" s="1">
        <v>1.8</v>
      </c>
      <c r="E69" s="112">
        <f t="shared" si="1"/>
        <v>4.9241551179017709</v>
      </c>
      <c r="F69" s="112" t="s">
        <v>1271</v>
      </c>
    </row>
    <row r="70" spans="1:8" x14ac:dyDescent="0.25">
      <c r="A70" s="2" t="s">
        <v>355</v>
      </c>
      <c r="B70" s="112" t="str">
        <f>IF(IFERROR(MATCH($A70,#REF!,0),0)+IFERROR(MATCH($A70,#REF!,0),0)+IFERROR(MATCH($A70,#REF!,0),0)+IFERROR(MATCH($A70,#REF!,0),0)&gt;0,"Yes","-")</f>
        <v>-</v>
      </c>
      <c r="C70" s="112">
        <f>SUMIF(PWRCALC!$Y$1:$Y$148,A70,PWRCALC!N$1:N$148)+SUMIF(PWRCALC!$Y$1:$Y$148,A70,PWRCALC!O$1:O$148)+SUMIF(PWRCALC!$Z$1:$Z$148,A70,PWRCALC!Q$1:Q$148)+SUMIF(PWRCALC!$Z$1:$Z$148,A70,PWRCALC!R$1:R$148)+SUMIF(PWRCALC!$AA$1:$AA$148,A70,PWRCALC!S$1:S$148)+SUMIF(PWRCALC!$AA$1:$AA$148,A70,PWRCALC!T$1:T$148)+SUMIF(PWRCALC!$AB$1:$AB$148,A70,PWRCALC!U$1:U$148)+SUMIF(PWRCALC!$AB$1:$AB$148,A70,PWRCALC!V$1:V$148)</f>
        <v>7.3953903475974698</v>
      </c>
      <c r="D70" s="1">
        <v>1.8</v>
      </c>
      <c r="E70" s="112">
        <f t="shared" si="1"/>
        <v>4.1085501931097053</v>
      </c>
      <c r="F70" s="112" t="s">
        <v>1271</v>
      </c>
    </row>
    <row r="71" spans="1:8" x14ac:dyDescent="0.25">
      <c r="A71" s="2" t="s">
        <v>363</v>
      </c>
      <c r="B71" s="112" t="str">
        <f>IF(IFERROR(MATCH($A71,#REF!,0),0)+IFERROR(MATCH($A71,#REF!,0),0)+IFERROR(MATCH($A71,#REF!,0),0)+IFERROR(MATCH($A71,#REF!,0),0)&gt;0,"Yes","-")</f>
        <v>-</v>
      </c>
      <c r="C71" s="112">
        <f>SUMIF(PWRCALC!$Y$1:$Y$148,A71,PWRCALC!N$1:N$148)+SUMIF(PWRCALC!$Y$1:$Y$148,A71,PWRCALC!O$1:O$148)+SUMIF(PWRCALC!$Z$1:$Z$148,A71,PWRCALC!Q$1:Q$148)+SUMIF(PWRCALC!$Z$1:$Z$148,A71,PWRCALC!R$1:R$148)+SUMIF(PWRCALC!$AA$1:$AA$148,A71,PWRCALC!S$1:S$148)+SUMIF(PWRCALC!$AA$1:$AA$148,A71,PWRCALC!T$1:T$148)+SUMIF(PWRCALC!$AB$1:$AB$148,A71,PWRCALC!U$1:U$148)+SUMIF(PWRCALC!$AB$1:$AB$148,A71,PWRCALC!V$1:V$148)</f>
        <v>4.1760944757219196</v>
      </c>
      <c r="D71" s="1">
        <v>1.8</v>
      </c>
      <c r="E71" s="112">
        <f t="shared" si="1"/>
        <v>2.3200524865121777</v>
      </c>
      <c r="F71" s="112" t="s">
        <v>1271</v>
      </c>
    </row>
    <row r="72" spans="1:8" x14ac:dyDescent="0.25">
      <c r="A72" s="2" t="s">
        <v>362</v>
      </c>
      <c r="B72" s="112" t="str">
        <f>IF(IFERROR(MATCH($A72,#REF!,0),0)+IFERROR(MATCH($A72,#REF!,0),0)+IFERROR(MATCH($A72,#REF!,0),0)+IFERROR(MATCH($A72,#REF!,0),0)&gt;0,"Yes","-")</f>
        <v>-</v>
      </c>
      <c r="C72" s="112">
        <f>SUMIF(PWRCALC!$Y$1:$Y$148,A72,PWRCALC!N$1:N$148)+SUMIF(PWRCALC!$Y$1:$Y$148,A72,PWRCALC!O$1:O$148)+SUMIF(PWRCALC!$Z$1:$Z$148,A72,PWRCALC!Q$1:Q$148)+SUMIF(PWRCALC!$Z$1:$Z$148,A72,PWRCALC!R$1:R$148)+SUMIF(PWRCALC!$AA$1:$AA$148,A72,PWRCALC!S$1:S$148)+SUMIF(PWRCALC!$AA$1:$AA$148,A72,PWRCALC!T$1:T$148)+SUMIF(PWRCALC!$AB$1:$AB$148,A72,PWRCALC!U$1:U$148)+SUMIF(PWRCALC!$AB$1:$AB$148,A72,PWRCALC!V$1:V$148)</f>
        <v>4.108341942148761</v>
      </c>
      <c r="D72" s="1">
        <v>0.8</v>
      </c>
      <c r="E72" s="112">
        <f t="shared" si="1"/>
        <v>5.1354274276859506</v>
      </c>
      <c r="F72" s="112" t="s">
        <v>116</v>
      </c>
    </row>
    <row r="73" spans="1:8" x14ac:dyDescent="0.25">
      <c r="A73" s="2" t="s">
        <v>263</v>
      </c>
      <c r="B73" s="112" t="str">
        <f>IF(IFERROR(MATCH($A73,#REF!,0),0)+IFERROR(MATCH($A73,#REF!,0),0)+IFERROR(MATCH($A73,#REF!,0),0)+IFERROR(MATCH($A73,#REF!,0),0)&gt;0,"Yes","-")</f>
        <v>-</v>
      </c>
      <c r="C73" s="112">
        <f>SUMIF(PWRCALC!$Y$1:$Y$148,A73,PWRCALC!N$1:N$148)+SUMIF(PWRCALC!$Y$1:$Y$148,A73,PWRCALC!O$1:O$148)+SUMIF(PWRCALC!$Z$1:$Z$148,A73,PWRCALC!Q$1:Q$148)+SUMIF(PWRCALC!$Z$1:$Z$148,A73,PWRCALC!R$1:R$148)+SUMIF(PWRCALC!$AA$1:$AA$148,A73,PWRCALC!S$1:S$148)+SUMIF(PWRCALC!$AA$1:$AA$148,A73,PWRCALC!T$1:T$148)+SUMIF(PWRCALC!$AB$1:$AB$148,A73,PWRCALC!U$1:U$148)+SUMIF(PWRCALC!$AB$1:$AB$148,A73,PWRCALC!V$1:V$148)</f>
        <v>2.7067646278855304</v>
      </c>
      <c r="D73" s="1">
        <v>1.8</v>
      </c>
      <c r="E73" s="112">
        <f t="shared" si="1"/>
        <v>1.5037581266030724</v>
      </c>
      <c r="F73" s="112" t="s">
        <v>1271</v>
      </c>
    </row>
    <row r="74" spans="1:8" x14ac:dyDescent="0.25">
      <c r="A74" s="2" t="s">
        <v>264</v>
      </c>
      <c r="B74" s="112" t="str">
        <f>IF(IFERROR(MATCH($A74,#REF!,0),0)+IFERROR(MATCH($A74,#REF!,0),0)+IFERROR(MATCH($A74,#REF!,0),0)+IFERROR(MATCH($A74,#REF!,0),0)&gt;0,"Yes","-")</f>
        <v>-</v>
      </c>
      <c r="C74" s="112">
        <f>SUMIF(PWRCALC!$Y$1:$Y$148,A74,PWRCALC!N$1:N$148)+SUMIF(PWRCALC!$Y$1:$Y$148,A74,PWRCALC!O$1:O$148)+SUMIF(PWRCALC!$Z$1:$Z$148,A74,PWRCALC!Q$1:Q$148)+SUMIF(PWRCALC!$Z$1:$Z$148,A74,PWRCALC!R$1:R$148)+SUMIF(PWRCALC!$AA$1:$AA$148,A74,PWRCALC!S$1:S$148)+SUMIF(PWRCALC!$AA$1:$AA$148,A74,PWRCALC!T$1:T$148)+SUMIF(PWRCALC!$AB$1:$AB$148,A74,PWRCALC!U$1:U$148)+SUMIF(PWRCALC!$AB$1:$AB$148,A74,PWRCALC!V$1:V$148)</f>
        <v>1.6166149672629579</v>
      </c>
      <c r="D74" s="1">
        <v>1.8</v>
      </c>
      <c r="E74" s="112">
        <f t="shared" si="1"/>
        <v>0.89811942625719887</v>
      </c>
      <c r="F74" s="112" t="s">
        <v>1271</v>
      </c>
    </row>
    <row r="75" spans="1:8" x14ac:dyDescent="0.25">
      <c r="A75" s="2" t="s">
        <v>354</v>
      </c>
      <c r="B75" s="112" t="str">
        <f>IF(IFERROR(MATCH($A75,#REF!,0),0)+IFERROR(MATCH($A75,#REF!,0),0)+IFERROR(MATCH($A75,#REF!,0),0)+IFERROR(MATCH($A75,#REF!,0),0)&gt;0,"Yes","-")</f>
        <v>-</v>
      </c>
      <c r="C75" s="112">
        <f>SUMIF(PWRCALC!$Y$1:$Y$148,A75,PWRCALC!N$1:N$148)+SUMIF(PWRCALC!$Y$1:$Y$148,A75,PWRCALC!O$1:O$148)+SUMIF(PWRCALC!$Z$1:$Z$148,A75,PWRCALC!Q$1:Q$148)+SUMIF(PWRCALC!$Z$1:$Z$148,A75,PWRCALC!R$1:R$148)+SUMIF(PWRCALC!$AA$1:$AA$148,A75,PWRCALC!S$1:S$148)+SUMIF(PWRCALC!$AA$1:$AA$148,A75,PWRCALC!T$1:T$148)+SUMIF(PWRCALC!$AB$1:$AB$148,A75,PWRCALC!U$1:U$148)+SUMIF(PWRCALC!$AB$1:$AB$148,A75,PWRCALC!V$1:V$148)</f>
        <v>35.130118037822641</v>
      </c>
      <c r="D75" s="1">
        <v>0.8</v>
      </c>
      <c r="E75" s="112">
        <f t="shared" si="1"/>
        <v>43.912647547278297</v>
      </c>
      <c r="F75" s="112" t="s">
        <v>119</v>
      </c>
    </row>
    <row r="76" spans="1:8" x14ac:dyDescent="0.25">
      <c r="A76" s="2" t="s">
        <v>170</v>
      </c>
      <c r="B76" s="112" t="str">
        <f>IF(IFERROR(MATCH($A76,#REF!,0),0)+IFERROR(MATCH($A76,#REF!,0),0)+IFERROR(MATCH($A76,#REF!,0),0)+IFERROR(MATCH($A76,#REF!,0),0)&gt;0,"Yes","-")</f>
        <v>-</v>
      </c>
      <c r="C76" s="112">
        <f>SUMIF(PWRCALC!$Y$1:$Y$148,"VDD_CORE",PWRCALC!$P$1:$P$148)</f>
        <v>121.1502384336442</v>
      </c>
      <c r="D76" s="1">
        <v>0.85</v>
      </c>
      <c r="E76" s="112">
        <f t="shared" si="1"/>
        <v>142.52969227487554</v>
      </c>
      <c r="F76" s="112" t="s">
        <v>1268</v>
      </c>
    </row>
    <row r="77" spans="1:8" x14ac:dyDescent="0.25">
      <c r="G77">
        <v>1.2</v>
      </c>
      <c r="H77" t="s">
        <v>1289</v>
      </c>
    </row>
  </sheetData>
  <autoFilter ref="A57:E75" xr:uid="{87402D66-9348-47BD-AB97-92AF03BA2A62}">
    <sortState xmlns:xlrd2="http://schemas.microsoft.com/office/spreadsheetml/2017/richdata2" ref="A58:E75">
      <sortCondition descending="1" ref="C57:C75"/>
    </sortState>
  </autoFilter>
  <pageMargins left="0.7" right="0.7" top="0.75" bottom="0.75" header="0.3" footer="0.3"/>
  <pageSetup orientation="portrait" horizontalDpi="360" verticalDpi="360" r:id="rId1"/>
  <headerFooter>
    <oddHeader>&amp;LTexas Instruments Confidential
NDA Restrictions&amp;CSoC PPA Report
&amp;D&amp;RPage &amp;P of &amp;N</oddHead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0236D-0EE2-4A97-AA27-2F95148B84C2}">
  <sheetPr codeName="Sheet2">
    <tabColor theme="1"/>
  </sheetPr>
  <dimension ref="A1:AX128"/>
  <sheetViews>
    <sheetView topLeftCell="A46" zoomScale="70" zoomScaleNormal="70" workbookViewId="0">
      <selection activeCell="H128" sqref="H128"/>
    </sheetView>
  </sheetViews>
  <sheetFormatPr defaultColWidth="8.85546875" defaultRowHeight="15" outlineLevelCol="1" x14ac:dyDescent="0.25"/>
  <cols>
    <col min="1" max="1" width="20.5703125" style="3" customWidth="1"/>
    <col min="2" max="2" width="13.85546875" style="3" customWidth="1"/>
    <col min="3" max="3" width="24" style="3" customWidth="1"/>
    <col min="4" max="6" width="11.140625" style="3" customWidth="1"/>
    <col min="7" max="7" width="6.85546875" style="3" customWidth="1"/>
    <col min="8" max="8" width="7" style="3" customWidth="1"/>
    <col min="9" max="9" width="6.85546875" style="3" customWidth="1"/>
    <col min="10" max="10" width="12.5703125" style="3" customWidth="1"/>
    <col min="11" max="11" width="24" style="3" bestFit="1" customWidth="1"/>
    <col min="12" max="12" width="15.5703125" style="3" customWidth="1"/>
    <col min="13" max="23" width="6.85546875" style="3" customWidth="1" outlineLevel="1"/>
    <col min="24" max="24" width="17.140625" style="3" customWidth="1" outlineLevel="1"/>
    <col min="25" max="34" width="6.85546875" style="3" customWidth="1" outlineLevel="1"/>
    <col min="35" max="35" width="29.42578125" style="3" bestFit="1" customWidth="1"/>
    <col min="36" max="36" width="8.85546875" style="3"/>
    <col min="37" max="56" width="8.85546875" customWidth="1"/>
  </cols>
  <sheetData>
    <row r="1" spans="1:50" ht="82.35" customHeight="1" x14ac:dyDescent="0.25">
      <c r="A1" s="126" t="s">
        <v>16</v>
      </c>
      <c r="B1" s="126" t="s">
        <v>17</v>
      </c>
      <c r="C1" s="144" t="s">
        <v>1207</v>
      </c>
      <c r="D1" s="144" t="s">
        <v>70</v>
      </c>
      <c r="E1" s="144" t="s">
        <v>1204</v>
      </c>
      <c r="F1" s="144" t="s">
        <v>1205</v>
      </c>
      <c r="G1" s="126" t="s">
        <v>1206</v>
      </c>
      <c r="H1" s="127" t="s">
        <v>589</v>
      </c>
      <c r="I1" s="142" t="s">
        <v>1108</v>
      </c>
      <c r="J1" s="144" t="s">
        <v>1082</v>
      </c>
      <c r="K1" s="141" t="s">
        <v>51</v>
      </c>
      <c r="L1" s="141" t="s">
        <v>53</v>
      </c>
      <c r="M1" s="144" t="s">
        <v>933</v>
      </c>
      <c r="N1" s="144" t="s">
        <v>368</v>
      </c>
      <c r="O1" s="144" t="s">
        <v>369</v>
      </c>
      <c r="P1" s="144" t="s">
        <v>1055</v>
      </c>
      <c r="Q1" s="144" t="s">
        <v>503</v>
      </c>
      <c r="R1" s="144" t="s">
        <v>502</v>
      </c>
      <c r="S1" s="144" t="s">
        <v>499</v>
      </c>
      <c r="T1" s="144" t="s">
        <v>501</v>
      </c>
      <c r="U1" s="144" t="s">
        <v>500</v>
      </c>
      <c r="V1" s="144" t="s">
        <v>504</v>
      </c>
      <c r="W1" s="126" t="s">
        <v>1047</v>
      </c>
      <c r="X1" s="126" t="s">
        <v>1102</v>
      </c>
      <c r="Y1" s="126" t="s">
        <v>1103</v>
      </c>
      <c r="Z1" s="126" t="s">
        <v>1104</v>
      </c>
      <c r="AA1" s="126" t="s">
        <v>1105</v>
      </c>
      <c r="AB1" s="126" t="s">
        <v>1106</v>
      </c>
      <c r="AC1" s="126" t="s">
        <v>1107</v>
      </c>
      <c r="AD1" s="144" t="s">
        <v>1079</v>
      </c>
      <c r="AE1" s="144" t="s">
        <v>1078</v>
      </c>
      <c r="AF1" s="144" t="s">
        <v>1124</v>
      </c>
      <c r="AG1" s="144" t="s">
        <v>1122</v>
      </c>
      <c r="AH1" s="126" t="s">
        <v>488</v>
      </c>
      <c r="AI1" s="145" t="s">
        <v>1195</v>
      </c>
    </row>
    <row r="2" spans="1:50" x14ac:dyDescent="0.25">
      <c r="A2" s="130" t="s">
        <v>79</v>
      </c>
      <c r="B2" s="130" t="s">
        <v>29</v>
      </c>
      <c r="C2" s="128" t="str">
        <f t="shared" ref="C2:F21" si="0">VLOOKUP($A2&amp;"_"&amp;C$1,MDB,6,0)</f>
        <v>3.3V POWER ESD</v>
      </c>
      <c r="D2" s="146">
        <f t="shared" si="0"/>
        <v>44499</v>
      </c>
      <c r="E2" s="109" t="str">
        <f t="shared" si="0"/>
        <v>5 Analog</v>
      </c>
      <c r="F2" s="109" t="str">
        <f t="shared" si="0"/>
        <v>Passives</v>
      </c>
      <c r="G2" s="111">
        <v>1</v>
      </c>
      <c r="H2" s="109">
        <f t="shared" ref="H2:H33" si="1">SUM(N2:V2)</f>
        <v>0</v>
      </c>
      <c r="I2" s="111" t="str">
        <f t="shared" ref="I2:I33" si="2">INDEX(PD_State_Table,MATCH(X2,PD_Table_Row_Header,0),2)</f>
        <v>ON</v>
      </c>
      <c r="J2" s="129">
        <v>0</v>
      </c>
      <c r="K2" s="143" t="s">
        <v>68</v>
      </c>
      <c r="L2" s="147">
        <v>1</v>
      </c>
      <c r="M2" s="129">
        <v>0</v>
      </c>
      <c r="N2" s="109">
        <f t="shared" ref="N2:N47" si="3">IFERROR(VLOOKUP($A2&amp;"_"&amp;N$1,MDB,6,0)*$G2*VLOOKUP($Y2,pwr_scale_table,2,0)*IF(I2="OFF",0.06,1),0)</f>
        <v>0</v>
      </c>
      <c r="O2" s="109">
        <f t="shared" ref="O2:O47" si="4">IFERROR(VLOOKUP($A2&amp;"_"&amp;O$1&amp;"_"&amp;$K2&amp;"",MDB,6,0)*$G2*VLOOKUP($Y2,pwr_scale_table,4,0),0)</f>
        <v>0</v>
      </c>
      <c r="P2" s="129">
        <v>0</v>
      </c>
      <c r="Q2" s="109">
        <f t="shared" ref="Q2:Q47" si="5">IFERROR(VLOOKUP($A2&amp;"_"&amp;Q$1,MDB,6,0)*$G2*VLOOKUP($Y2,pwr_scale_table,2,0),0)</f>
        <v>0</v>
      </c>
      <c r="R2" s="109">
        <f t="shared" ref="R2:R47" si="6">IFERROR(VLOOKUP($A2&amp;"_"&amp;R$1&amp;"_"&amp;$K2&amp;"",MDB,6,0)*$G2*VLOOKUP($Y2,pwr_scale_table,4,0),0)</f>
        <v>0</v>
      </c>
      <c r="S2" s="109">
        <f t="shared" ref="S2:S33" si="7">IFERROR(VLOOKUP($A2&amp;"_"&amp;S$1,MDB,6,0)*$G2*VLOOKUP($Y2,pwr_scale_table,2,0),0)</f>
        <v>0</v>
      </c>
      <c r="T2" s="109">
        <f t="shared" ref="T2:T47" si="8">IFERROR(VLOOKUP($A2&amp;"_"&amp;T$1&amp;"_"&amp;$K2&amp;"",MDB,6,0)*$G2*VLOOKUP($Y2,pwr_scale_table,4,0),0)</f>
        <v>0</v>
      </c>
      <c r="U2" s="109">
        <f t="shared" ref="U2:U33" si="9">IFERROR(VLOOKUP($A2&amp;"_"&amp;U$1,MDB,6,0)*$G2*VLOOKUP($Y2,pwr_scale_table,2,0),0)</f>
        <v>0</v>
      </c>
      <c r="V2" s="109">
        <f t="shared" ref="V2:V47" si="10">IFERROR(VLOOKUP($A2&amp;"_"&amp;V$1&amp;"_"&amp;$K2&amp;"",MDB,6,0)*$G2*VLOOKUP($Y2,pwr_scale_table,4,0),0)</f>
        <v>0</v>
      </c>
      <c r="W2" s="109" t="s">
        <v>1049</v>
      </c>
      <c r="X2" s="111" t="s">
        <v>9</v>
      </c>
      <c r="Y2" s="111" t="s">
        <v>116</v>
      </c>
      <c r="Z2" s="111" t="s">
        <v>54</v>
      </c>
      <c r="AA2" s="111" t="s">
        <v>54</v>
      </c>
      <c r="AB2" s="111" t="s">
        <v>54</v>
      </c>
      <c r="AC2" s="111">
        <v>0</v>
      </c>
      <c r="AD2" s="129">
        <v>0</v>
      </c>
      <c r="AE2" s="129">
        <v>0</v>
      </c>
      <c r="AF2" s="129">
        <v>0</v>
      </c>
      <c r="AG2" s="129">
        <v>0</v>
      </c>
      <c r="AH2" s="5" t="s">
        <v>491</v>
      </c>
      <c r="AI2" s="137" t="str">
        <f t="shared" ref="AI2:AI33" si="11">A2&amp;B2</f>
        <v>n16_core_vdd3p3_clamp_multiple</v>
      </c>
    </row>
    <row r="3" spans="1:50" x14ac:dyDescent="0.25">
      <c r="A3" s="130" t="s">
        <v>110</v>
      </c>
      <c r="B3" s="130" t="s">
        <v>29</v>
      </c>
      <c r="C3" s="128" t="str">
        <f t="shared" si="0"/>
        <v>PRCUT</v>
      </c>
      <c r="D3" s="146">
        <f t="shared" si="0"/>
        <v>44499</v>
      </c>
      <c r="E3" s="109" t="str">
        <f t="shared" si="0"/>
        <v>5 Analog</v>
      </c>
      <c r="F3" s="109" t="str">
        <f t="shared" si="0"/>
        <v>Passives</v>
      </c>
      <c r="G3" s="111">
        <v>1</v>
      </c>
      <c r="H3" s="109">
        <f t="shared" si="1"/>
        <v>0</v>
      </c>
      <c r="I3" s="111" t="str">
        <f t="shared" si="2"/>
        <v>ON</v>
      </c>
      <c r="J3" s="129">
        <v>0</v>
      </c>
      <c r="K3" s="143" t="s">
        <v>68</v>
      </c>
      <c r="L3" s="147">
        <v>1</v>
      </c>
      <c r="M3" s="129">
        <v>0</v>
      </c>
      <c r="N3" s="109">
        <f t="shared" si="3"/>
        <v>0</v>
      </c>
      <c r="O3" s="109">
        <f t="shared" si="4"/>
        <v>0</v>
      </c>
      <c r="P3" s="129">
        <v>0</v>
      </c>
      <c r="Q3" s="109">
        <f t="shared" si="5"/>
        <v>0</v>
      </c>
      <c r="R3" s="109">
        <f t="shared" si="6"/>
        <v>0</v>
      </c>
      <c r="S3" s="109">
        <f t="shared" si="7"/>
        <v>0</v>
      </c>
      <c r="T3" s="109">
        <f t="shared" si="8"/>
        <v>0</v>
      </c>
      <c r="U3" s="109">
        <f t="shared" si="9"/>
        <v>0</v>
      </c>
      <c r="V3" s="109">
        <f t="shared" si="10"/>
        <v>0</v>
      </c>
      <c r="W3" s="109" t="s">
        <v>1049</v>
      </c>
      <c r="X3" s="111" t="s">
        <v>9</v>
      </c>
      <c r="Y3" s="111" t="s">
        <v>116</v>
      </c>
      <c r="Z3" s="111" t="s">
        <v>54</v>
      </c>
      <c r="AA3" s="111" t="s">
        <v>54</v>
      </c>
      <c r="AB3" s="111" t="s">
        <v>54</v>
      </c>
      <c r="AC3" s="111">
        <v>0</v>
      </c>
      <c r="AD3" s="129">
        <v>0</v>
      </c>
      <c r="AE3" s="129">
        <v>0</v>
      </c>
      <c r="AF3" s="129">
        <v>0</v>
      </c>
      <c r="AG3" s="129">
        <v>0</v>
      </c>
      <c r="AH3" s="5" t="s">
        <v>491</v>
      </c>
      <c r="AI3" s="137" t="str">
        <f t="shared" si="11"/>
        <v>PRCUTLvcMOS_multiple</v>
      </c>
    </row>
    <row r="4" spans="1:50" x14ac:dyDescent="0.25">
      <c r="A4" s="130" t="s">
        <v>398</v>
      </c>
      <c r="B4" s="130" t="s">
        <v>29</v>
      </c>
      <c r="C4" s="128" t="str">
        <f t="shared" si="0"/>
        <v>0.8V POWER ESD</v>
      </c>
      <c r="D4" s="146">
        <f t="shared" si="0"/>
        <v>44499</v>
      </c>
      <c r="E4" s="109" t="str">
        <f t="shared" si="0"/>
        <v>5 Analog</v>
      </c>
      <c r="F4" s="109" t="str">
        <f t="shared" si="0"/>
        <v>Passives</v>
      </c>
      <c r="G4" s="111">
        <v>6</v>
      </c>
      <c r="H4" s="109">
        <f t="shared" si="1"/>
        <v>0</v>
      </c>
      <c r="I4" s="111" t="str">
        <f t="shared" si="2"/>
        <v>ON</v>
      </c>
      <c r="J4" s="129">
        <v>0</v>
      </c>
      <c r="K4" s="143" t="s">
        <v>68</v>
      </c>
      <c r="L4" s="147">
        <v>1</v>
      </c>
      <c r="M4" s="129">
        <v>0</v>
      </c>
      <c r="N4" s="109">
        <f t="shared" si="3"/>
        <v>0</v>
      </c>
      <c r="O4" s="109">
        <f t="shared" si="4"/>
        <v>0</v>
      </c>
      <c r="P4" s="129">
        <v>0</v>
      </c>
      <c r="Q4" s="109">
        <f t="shared" si="5"/>
        <v>0</v>
      </c>
      <c r="R4" s="109">
        <f t="shared" si="6"/>
        <v>0</v>
      </c>
      <c r="S4" s="109">
        <f t="shared" si="7"/>
        <v>0</v>
      </c>
      <c r="T4" s="109">
        <f t="shared" si="8"/>
        <v>0</v>
      </c>
      <c r="U4" s="109">
        <f t="shared" si="9"/>
        <v>0</v>
      </c>
      <c r="V4" s="109">
        <f t="shared" si="10"/>
        <v>0</v>
      </c>
      <c r="W4" s="109" t="s">
        <v>1049</v>
      </c>
      <c r="X4" s="111" t="s">
        <v>9</v>
      </c>
      <c r="Y4" s="111" t="s">
        <v>116</v>
      </c>
      <c r="Z4" s="111" t="s">
        <v>54</v>
      </c>
      <c r="AA4" s="111" t="s">
        <v>54</v>
      </c>
      <c r="AB4" s="111" t="s">
        <v>54</v>
      </c>
      <c r="AC4" s="111">
        <v>0</v>
      </c>
      <c r="AD4" s="129">
        <v>0</v>
      </c>
      <c r="AE4" s="129">
        <v>0</v>
      </c>
      <c r="AF4" s="129">
        <v>0</v>
      </c>
      <c r="AG4" s="129">
        <v>0</v>
      </c>
      <c r="AH4" s="5" t="s">
        <v>491</v>
      </c>
      <c r="AI4" s="137" t="str">
        <f t="shared" si="11"/>
        <v>n16_core_vdd_clamp_multiple</v>
      </c>
    </row>
    <row r="5" spans="1:50" x14ac:dyDescent="0.25">
      <c r="A5" s="130" t="s">
        <v>399</v>
      </c>
      <c r="B5" s="130" t="s">
        <v>29</v>
      </c>
      <c r="C5" s="128" t="str">
        <f t="shared" si="0"/>
        <v>1.8V POWER ESD</v>
      </c>
      <c r="D5" s="146">
        <f t="shared" si="0"/>
        <v>44499</v>
      </c>
      <c r="E5" s="109" t="str">
        <f t="shared" si="0"/>
        <v>5 Analog</v>
      </c>
      <c r="F5" s="109" t="str">
        <f t="shared" si="0"/>
        <v>Passives</v>
      </c>
      <c r="G5" s="111">
        <v>10</v>
      </c>
      <c r="H5" s="109">
        <f t="shared" si="1"/>
        <v>0</v>
      </c>
      <c r="I5" s="111" t="str">
        <f t="shared" si="2"/>
        <v>ON</v>
      </c>
      <c r="J5" s="129">
        <v>0</v>
      </c>
      <c r="K5" s="143" t="s">
        <v>68</v>
      </c>
      <c r="L5" s="147">
        <v>1</v>
      </c>
      <c r="M5" s="129">
        <v>0</v>
      </c>
      <c r="N5" s="109">
        <f t="shared" si="3"/>
        <v>0</v>
      </c>
      <c r="O5" s="109">
        <f t="shared" si="4"/>
        <v>0</v>
      </c>
      <c r="P5" s="129">
        <v>0</v>
      </c>
      <c r="Q5" s="109">
        <f t="shared" si="5"/>
        <v>0</v>
      </c>
      <c r="R5" s="109">
        <f t="shared" si="6"/>
        <v>0</v>
      </c>
      <c r="S5" s="109">
        <f t="shared" si="7"/>
        <v>0</v>
      </c>
      <c r="T5" s="109">
        <f t="shared" si="8"/>
        <v>0</v>
      </c>
      <c r="U5" s="109">
        <f t="shared" si="9"/>
        <v>0</v>
      </c>
      <c r="V5" s="109">
        <f t="shared" si="10"/>
        <v>0</v>
      </c>
      <c r="W5" s="109" t="s">
        <v>1049</v>
      </c>
      <c r="X5" s="111" t="s">
        <v>9</v>
      </c>
      <c r="Y5" s="111" t="s">
        <v>116</v>
      </c>
      <c r="Z5" s="111" t="s">
        <v>54</v>
      </c>
      <c r="AA5" s="111" t="s">
        <v>54</v>
      </c>
      <c r="AB5" s="111" t="s">
        <v>54</v>
      </c>
      <c r="AC5" s="111">
        <v>0</v>
      </c>
      <c r="AD5" s="129">
        <v>0</v>
      </c>
      <c r="AE5" s="129">
        <v>0</v>
      </c>
      <c r="AF5" s="129">
        <v>0</v>
      </c>
      <c r="AG5" s="129">
        <v>0</v>
      </c>
      <c r="AH5" s="5" t="s">
        <v>491</v>
      </c>
      <c r="AI5" s="137" t="str">
        <f t="shared" si="11"/>
        <v>n16_core_vdda_clamp_multiple</v>
      </c>
    </row>
    <row r="6" spans="1:50" x14ac:dyDescent="0.25">
      <c r="A6" s="130" t="s">
        <v>400</v>
      </c>
      <c r="B6" s="130" t="s">
        <v>29</v>
      </c>
      <c r="C6" s="128" t="str">
        <f t="shared" si="0"/>
        <v>SIG ESD</v>
      </c>
      <c r="D6" s="146">
        <f t="shared" si="0"/>
        <v>44499</v>
      </c>
      <c r="E6" s="109" t="str">
        <f t="shared" si="0"/>
        <v>5 Analog</v>
      </c>
      <c r="F6" s="109" t="str">
        <f t="shared" si="0"/>
        <v>Passives</v>
      </c>
      <c r="G6" s="111">
        <v>24</v>
      </c>
      <c r="H6" s="109">
        <f t="shared" si="1"/>
        <v>0</v>
      </c>
      <c r="I6" s="111" t="str">
        <f t="shared" si="2"/>
        <v>ON</v>
      </c>
      <c r="J6" s="129">
        <v>0</v>
      </c>
      <c r="K6" s="143" t="s">
        <v>68</v>
      </c>
      <c r="L6" s="147">
        <v>1</v>
      </c>
      <c r="M6" s="129">
        <v>0</v>
      </c>
      <c r="N6" s="109">
        <f t="shared" si="3"/>
        <v>0</v>
      </c>
      <c r="O6" s="109">
        <f t="shared" si="4"/>
        <v>0</v>
      </c>
      <c r="P6" s="129">
        <v>0</v>
      </c>
      <c r="Q6" s="109">
        <f t="shared" si="5"/>
        <v>0</v>
      </c>
      <c r="R6" s="109">
        <f t="shared" si="6"/>
        <v>0</v>
      </c>
      <c r="S6" s="109">
        <f t="shared" si="7"/>
        <v>0</v>
      </c>
      <c r="T6" s="109">
        <f t="shared" si="8"/>
        <v>0</v>
      </c>
      <c r="U6" s="109">
        <f t="shared" si="9"/>
        <v>0</v>
      </c>
      <c r="V6" s="109">
        <f t="shared" si="10"/>
        <v>0</v>
      </c>
      <c r="W6" s="109" t="s">
        <v>1049</v>
      </c>
      <c r="X6" s="111" t="s">
        <v>9</v>
      </c>
      <c r="Y6" s="111" t="s">
        <v>116</v>
      </c>
      <c r="Z6" s="111" t="s">
        <v>54</v>
      </c>
      <c r="AA6" s="111" t="s">
        <v>54</v>
      </c>
      <c r="AB6" s="111" t="s">
        <v>54</v>
      </c>
      <c r="AC6" s="111">
        <v>0</v>
      </c>
      <c r="AD6" s="129">
        <v>0</v>
      </c>
      <c r="AE6" s="129">
        <v>0</v>
      </c>
      <c r="AF6" s="129">
        <v>0</v>
      </c>
      <c r="AG6" s="129">
        <v>0</v>
      </c>
      <c r="AH6" s="5" t="s">
        <v>491</v>
      </c>
      <c r="AI6" s="137" t="str">
        <f t="shared" si="11"/>
        <v>n16_core_sig_esd_secondary_multiple</v>
      </c>
    </row>
    <row r="7" spans="1:50" x14ac:dyDescent="0.25">
      <c r="A7" s="130" t="s">
        <v>397</v>
      </c>
      <c r="B7" s="130" t="s">
        <v>18</v>
      </c>
      <c r="C7" s="128" t="str">
        <f t="shared" si="0"/>
        <v>ODP IO</v>
      </c>
      <c r="D7" s="146">
        <f t="shared" si="0"/>
        <v>44499</v>
      </c>
      <c r="E7" s="109" t="str">
        <f t="shared" si="0"/>
        <v>6 IO</v>
      </c>
      <c r="F7" s="109" t="str">
        <f t="shared" si="0"/>
        <v>Special</v>
      </c>
      <c r="G7" s="111">
        <v>1</v>
      </c>
      <c r="H7" s="109">
        <f t="shared" si="1"/>
        <v>0</v>
      </c>
      <c r="I7" s="111" t="str">
        <f t="shared" si="2"/>
        <v>ON</v>
      </c>
      <c r="J7" s="129">
        <v>0</v>
      </c>
      <c r="K7" s="143" t="s">
        <v>68</v>
      </c>
      <c r="L7" s="147">
        <v>1</v>
      </c>
      <c r="M7" s="129">
        <v>0</v>
      </c>
      <c r="N7" s="109">
        <f t="shared" si="3"/>
        <v>0</v>
      </c>
      <c r="O7" s="109">
        <f t="shared" si="4"/>
        <v>0</v>
      </c>
      <c r="P7" s="129">
        <v>0</v>
      </c>
      <c r="Q7" s="109">
        <f t="shared" si="5"/>
        <v>0</v>
      </c>
      <c r="R7" s="109">
        <f t="shared" si="6"/>
        <v>0</v>
      </c>
      <c r="S7" s="109">
        <f t="shared" si="7"/>
        <v>0</v>
      </c>
      <c r="T7" s="109">
        <f t="shared" si="8"/>
        <v>0</v>
      </c>
      <c r="U7" s="109">
        <f t="shared" si="9"/>
        <v>0</v>
      </c>
      <c r="V7" s="109">
        <f t="shared" si="10"/>
        <v>0</v>
      </c>
      <c r="W7" s="109" t="s">
        <v>1049</v>
      </c>
      <c r="X7" s="111" t="s">
        <v>9</v>
      </c>
      <c r="Y7" s="111" t="s">
        <v>116</v>
      </c>
      <c r="Z7" s="111" t="s">
        <v>54</v>
      </c>
      <c r="AA7" s="111" t="s">
        <v>54</v>
      </c>
      <c r="AB7" s="111" t="s">
        <v>54</v>
      </c>
      <c r="AC7" s="111">
        <v>0</v>
      </c>
      <c r="AD7" s="129">
        <v>0</v>
      </c>
      <c r="AE7" s="129">
        <v>0</v>
      </c>
      <c r="AF7" s="129">
        <v>0</v>
      </c>
      <c r="AG7" s="129">
        <v>0</v>
      </c>
      <c r="AH7" s="5" t="s">
        <v>498</v>
      </c>
      <c r="AI7" s="137" t="str">
        <f t="shared" si="11"/>
        <v>PDBODPMACRO_0</v>
      </c>
    </row>
    <row r="8" spans="1:50" x14ac:dyDescent="0.25">
      <c r="A8" s="130" t="s">
        <v>394</v>
      </c>
      <c r="B8" s="130" t="s">
        <v>18</v>
      </c>
      <c r="C8" s="128" t="str">
        <f t="shared" si="0"/>
        <v>DDR Reset Input</v>
      </c>
      <c r="D8" s="146">
        <f t="shared" si="0"/>
        <v>44499</v>
      </c>
      <c r="E8" s="109" t="str">
        <f t="shared" si="0"/>
        <v>6 IO</v>
      </c>
      <c r="F8" s="109" t="str">
        <f t="shared" si="0"/>
        <v>LVCMOS</v>
      </c>
      <c r="G8" s="111">
        <v>1</v>
      </c>
      <c r="H8" s="109">
        <f t="shared" si="1"/>
        <v>0</v>
      </c>
      <c r="I8" s="111" t="str">
        <f t="shared" si="2"/>
        <v>ON</v>
      </c>
      <c r="J8" s="129">
        <v>0</v>
      </c>
      <c r="K8" s="143" t="s">
        <v>68</v>
      </c>
      <c r="L8" s="147">
        <v>1</v>
      </c>
      <c r="M8" s="129">
        <v>0</v>
      </c>
      <c r="N8" s="109">
        <f t="shared" si="3"/>
        <v>0</v>
      </c>
      <c r="O8" s="109">
        <f t="shared" si="4"/>
        <v>0</v>
      </c>
      <c r="P8" s="129">
        <v>0</v>
      </c>
      <c r="Q8" s="109">
        <f t="shared" si="5"/>
        <v>0</v>
      </c>
      <c r="R8" s="109">
        <f t="shared" si="6"/>
        <v>0</v>
      </c>
      <c r="S8" s="109">
        <f t="shared" si="7"/>
        <v>0</v>
      </c>
      <c r="T8" s="109">
        <f t="shared" si="8"/>
        <v>0</v>
      </c>
      <c r="U8" s="109">
        <f t="shared" si="9"/>
        <v>0</v>
      </c>
      <c r="V8" s="109">
        <f t="shared" si="10"/>
        <v>0</v>
      </c>
      <c r="W8" s="109" t="s">
        <v>1049</v>
      </c>
      <c r="X8" s="111" t="s">
        <v>9</v>
      </c>
      <c r="Y8" s="111" t="s">
        <v>116</v>
      </c>
      <c r="Z8" s="111" t="s">
        <v>54</v>
      </c>
      <c r="AA8" s="111" t="s">
        <v>1112</v>
      </c>
      <c r="AB8" s="111" t="s">
        <v>1111</v>
      </c>
      <c r="AC8" s="111">
        <v>0</v>
      </c>
      <c r="AD8" s="129">
        <v>0</v>
      </c>
      <c r="AE8" s="129">
        <v>0</v>
      </c>
      <c r="AF8" s="129">
        <v>0</v>
      </c>
      <c r="AG8" s="129">
        <v>0</v>
      </c>
      <c r="AH8" s="5" t="s">
        <v>625</v>
      </c>
      <c r="AI8" s="137" t="str">
        <f t="shared" si="11"/>
        <v>PDIDGZRESET_C161202_0</v>
      </c>
    </row>
    <row r="9" spans="1:50" x14ac:dyDescent="0.25">
      <c r="A9" s="130" t="s">
        <v>393</v>
      </c>
      <c r="B9" s="130" t="s">
        <v>62</v>
      </c>
      <c r="C9" s="128" t="str">
        <f t="shared" si="0"/>
        <v>IO Cell VDD PAD cell</v>
      </c>
      <c r="D9" s="146">
        <f t="shared" si="0"/>
        <v>44499</v>
      </c>
      <c r="E9" s="109" t="str">
        <f t="shared" si="0"/>
        <v>6 IO</v>
      </c>
      <c r="F9" s="109" t="str">
        <f t="shared" si="0"/>
        <v>LVCMOS</v>
      </c>
      <c r="G9" s="111">
        <v>2</v>
      </c>
      <c r="H9" s="109">
        <f t="shared" si="1"/>
        <v>0</v>
      </c>
      <c r="I9" s="111" t="str">
        <f t="shared" si="2"/>
        <v>ON</v>
      </c>
      <c r="J9" s="129">
        <v>0</v>
      </c>
      <c r="K9" s="143" t="s">
        <v>68</v>
      </c>
      <c r="L9" s="147">
        <v>1</v>
      </c>
      <c r="M9" s="129">
        <v>0</v>
      </c>
      <c r="N9" s="109">
        <f t="shared" si="3"/>
        <v>0</v>
      </c>
      <c r="O9" s="109">
        <f t="shared" si="4"/>
        <v>0</v>
      </c>
      <c r="P9" s="129">
        <v>0</v>
      </c>
      <c r="Q9" s="109">
        <f t="shared" si="5"/>
        <v>0</v>
      </c>
      <c r="R9" s="109">
        <f t="shared" si="6"/>
        <v>0</v>
      </c>
      <c r="S9" s="109">
        <f t="shared" si="7"/>
        <v>0</v>
      </c>
      <c r="T9" s="109">
        <f t="shared" si="8"/>
        <v>0</v>
      </c>
      <c r="U9" s="109">
        <f t="shared" si="9"/>
        <v>0</v>
      </c>
      <c r="V9" s="109">
        <f t="shared" si="10"/>
        <v>0</v>
      </c>
      <c r="W9" s="109" t="s">
        <v>1049</v>
      </c>
      <c r="X9" s="111" t="s">
        <v>9</v>
      </c>
      <c r="Y9" s="111" t="s">
        <v>116</v>
      </c>
      <c r="Z9" s="111" t="s">
        <v>54</v>
      </c>
      <c r="AA9" s="111" t="s">
        <v>1112</v>
      </c>
      <c r="AB9" s="111" t="s">
        <v>1111</v>
      </c>
      <c r="AC9" s="111">
        <v>0</v>
      </c>
      <c r="AD9" s="129">
        <v>0</v>
      </c>
      <c r="AE9" s="129">
        <v>0</v>
      </c>
      <c r="AF9" s="129">
        <v>0</v>
      </c>
      <c r="AG9" s="129">
        <v>0</v>
      </c>
      <c r="AH9" s="5" t="s">
        <v>625</v>
      </c>
      <c r="AI9" s="137" t="str">
        <f t="shared" si="11"/>
        <v>PVDD1CDGM_C161202_main</v>
      </c>
    </row>
    <row r="10" spans="1:50" x14ac:dyDescent="0.25">
      <c r="A10" s="130" t="s">
        <v>392</v>
      </c>
      <c r="B10" s="130" t="s">
        <v>62</v>
      </c>
      <c r="C10" s="128" t="str">
        <f t="shared" si="0"/>
        <v>IO Cell VDDS PAD cell</v>
      </c>
      <c r="D10" s="146">
        <f t="shared" si="0"/>
        <v>44499</v>
      </c>
      <c r="E10" s="109" t="str">
        <f t="shared" si="0"/>
        <v>6 IO</v>
      </c>
      <c r="F10" s="109" t="str">
        <f t="shared" si="0"/>
        <v>LVCMOS</v>
      </c>
      <c r="G10" s="111">
        <v>2</v>
      </c>
      <c r="H10" s="109">
        <f t="shared" si="1"/>
        <v>0</v>
      </c>
      <c r="I10" s="111" t="str">
        <f t="shared" si="2"/>
        <v>ON</v>
      </c>
      <c r="J10" s="129">
        <v>0</v>
      </c>
      <c r="K10" s="143" t="s">
        <v>68</v>
      </c>
      <c r="L10" s="147">
        <v>1</v>
      </c>
      <c r="M10" s="129">
        <v>0</v>
      </c>
      <c r="N10" s="109">
        <f t="shared" si="3"/>
        <v>0</v>
      </c>
      <c r="O10" s="109">
        <f t="shared" si="4"/>
        <v>0</v>
      </c>
      <c r="P10" s="129">
        <v>0</v>
      </c>
      <c r="Q10" s="109">
        <f t="shared" si="5"/>
        <v>0</v>
      </c>
      <c r="R10" s="109">
        <f t="shared" si="6"/>
        <v>0</v>
      </c>
      <c r="S10" s="109">
        <f t="shared" si="7"/>
        <v>0</v>
      </c>
      <c r="T10" s="109">
        <f t="shared" si="8"/>
        <v>0</v>
      </c>
      <c r="U10" s="109">
        <f t="shared" si="9"/>
        <v>0</v>
      </c>
      <c r="V10" s="109">
        <f t="shared" si="10"/>
        <v>0</v>
      </c>
      <c r="W10" s="109" t="s">
        <v>1049</v>
      </c>
      <c r="X10" s="111" t="s">
        <v>9</v>
      </c>
      <c r="Y10" s="111" t="s">
        <v>116</v>
      </c>
      <c r="Z10" s="111" t="s">
        <v>54</v>
      </c>
      <c r="AA10" s="111" t="s">
        <v>1112</v>
      </c>
      <c r="AB10" s="111" t="s">
        <v>1111</v>
      </c>
      <c r="AC10" s="111">
        <v>0</v>
      </c>
      <c r="AD10" s="129">
        <v>0</v>
      </c>
      <c r="AE10" s="129">
        <v>0</v>
      </c>
      <c r="AF10" s="129">
        <v>0</v>
      </c>
      <c r="AG10" s="129">
        <v>0</v>
      </c>
      <c r="AH10" s="5" t="s">
        <v>625</v>
      </c>
      <c r="AI10" s="137" t="str">
        <f t="shared" si="11"/>
        <v>PVDD2CDGM_C161202_main</v>
      </c>
    </row>
    <row r="11" spans="1:50" x14ac:dyDescent="0.25">
      <c r="A11" s="130" t="s">
        <v>386</v>
      </c>
      <c r="B11" s="130" t="s">
        <v>47</v>
      </c>
      <c r="C11" s="128" t="str">
        <f t="shared" si="0"/>
        <v>LVCMOS PVDD3LDO</v>
      </c>
      <c r="D11" s="146">
        <f t="shared" si="0"/>
        <v>44499</v>
      </c>
      <c r="E11" s="109" t="str">
        <f t="shared" si="0"/>
        <v>6 IO</v>
      </c>
      <c r="F11" s="109" t="str">
        <f t="shared" si="0"/>
        <v>LVCMOS</v>
      </c>
      <c r="G11" s="111">
        <v>2</v>
      </c>
      <c r="H11" s="109">
        <f t="shared" si="1"/>
        <v>0</v>
      </c>
      <c r="I11" s="111" t="str">
        <f t="shared" si="2"/>
        <v>ON</v>
      </c>
      <c r="J11" s="129">
        <v>0</v>
      </c>
      <c r="K11" s="143" t="s">
        <v>68</v>
      </c>
      <c r="L11" s="147">
        <v>1</v>
      </c>
      <c r="M11" s="129">
        <v>0</v>
      </c>
      <c r="N11" s="109">
        <f t="shared" si="3"/>
        <v>0</v>
      </c>
      <c r="O11" s="109">
        <f t="shared" si="4"/>
        <v>0</v>
      </c>
      <c r="P11" s="129">
        <v>0</v>
      </c>
      <c r="Q11" s="109">
        <f t="shared" si="5"/>
        <v>0</v>
      </c>
      <c r="R11" s="109">
        <f t="shared" si="6"/>
        <v>0</v>
      </c>
      <c r="S11" s="109">
        <f t="shared" si="7"/>
        <v>0</v>
      </c>
      <c r="T11" s="109">
        <f t="shared" si="8"/>
        <v>0</v>
      </c>
      <c r="U11" s="109">
        <f t="shared" si="9"/>
        <v>0</v>
      </c>
      <c r="V11" s="109">
        <f t="shared" si="10"/>
        <v>0</v>
      </c>
      <c r="W11" s="109" t="s">
        <v>1049</v>
      </c>
      <c r="X11" s="111" t="s">
        <v>9</v>
      </c>
      <c r="Y11" s="111" t="s">
        <v>116</v>
      </c>
      <c r="Z11" s="111" t="s">
        <v>54</v>
      </c>
      <c r="AA11" s="111" t="s">
        <v>1112</v>
      </c>
      <c r="AB11" s="111" t="s">
        <v>1111</v>
      </c>
      <c r="AC11" s="111">
        <v>0</v>
      </c>
      <c r="AD11" s="129">
        <v>0</v>
      </c>
      <c r="AE11" s="129">
        <v>0</v>
      </c>
      <c r="AF11" s="129">
        <v>0</v>
      </c>
      <c r="AG11" s="129">
        <v>0</v>
      </c>
      <c r="AH11" s="5" t="s">
        <v>625</v>
      </c>
      <c r="AI11" s="137" t="str">
        <f t="shared" si="11"/>
        <v>PVDD3LDOLVCMOS_Main</v>
      </c>
    </row>
    <row r="12" spans="1:50" x14ac:dyDescent="0.25">
      <c r="A12" s="130" t="s">
        <v>391</v>
      </c>
      <c r="B12" s="130" t="s">
        <v>47</v>
      </c>
      <c r="C12" s="128" t="str">
        <f t="shared" si="0"/>
        <v>Open Drain - 1 bit</v>
      </c>
      <c r="D12" s="146">
        <f t="shared" si="0"/>
        <v>44499</v>
      </c>
      <c r="E12" s="109" t="str">
        <f t="shared" si="0"/>
        <v>6 IO</v>
      </c>
      <c r="F12" s="109" t="str">
        <f t="shared" si="0"/>
        <v>LVCMOS</v>
      </c>
      <c r="G12" s="111">
        <v>5</v>
      </c>
      <c r="H12" s="109">
        <f t="shared" si="1"/>
        <v>0</v>
      </c>
      <c r="I12" s="111" t="str">
        <f t="shared" si="2"/>
        <v>ON</v>
      </c>
      <c r="J12" s="129">
        <v>0</v>
      </c>
      <c r="K12" s="143" t="s">
        <v>68</v>
      </c>
      <c r="L12" s="147">
        <v>1</v>
      </c>
      <c r="M12" s="129">
        <v>0</v>
      </c>
      <c r="N12" s="109">
        <f t="shared" si="3"/>
        <v>0</v>
      </c>
      <c r="O12" s="109">
        <f t="shared" si="4"/>
        <v>0</v>
      </c>
      <c r="P12" s="129">
        <v>0</v>
      </c>
      <c r="Q12" s="109">
        <f t="shared" si="5"/>
        <v>0</v>
      </c>
      <c r="R12" s="109">
        <f t="shared" si="6"/>
        <v>0</v>
      </c>
      <c r="S12" s="109">
        <f t="shared" si="7"/>
        <v>0</v>
      </c>
      <c r="T12" s="109">
        <f t="shared" si="8"/>
        <v>0</v>
      </c>
      <c r="U12" s="109">
        <f t="shared" si="9"/>
        <v>0</v>
      </c>
      <c r="V12" s="109">
        <f t="shared" si="10"/>
        <v>0</v>
      </c>
      <c r="W12" s="109" t="s">
        <v>1049</v>
      </c>
      <c r="X12" s="111" t="s">
        <v>9</v>
      </c>
      <c r="Y12" s="111" t="s">
        <v>116</v>
      </c>
      <c r="Z12" s="111" t="s">
        <v>54</v>
      </c>
      <c r="AA12" s="111" t="s">
        <v>1112</v>
      </c>
      <c r="AB12" s="111" t="s">
        <v>1111</v>
      </c>
      <c r="AC12" s="111">
        <v>0</v>
      </c>
      <c r="AD12" s="129">
        <v>0</v>
      </c>
      <c r="AE12" s="129">
        <v>0</v>
      </c>
      <c r="AF12" s="129">
        <v>0</v>
      </c>
      <c r="AG12" s="129">
        <v>0</v>
      </c>
      <c r="AH12" s="5" t="s">
        <v>625</v>
      </c>
      <c r="AI12" s="137" t="str">
        <f t="shared" si="11"/>
        <v>PRBOPDDGZIIC_Main</v>
      </c>
    </row>
    <row r="13" spans="1:50" x14ac:dyDescent="0.25">
      <c r="A13" s="130" t="s">
        <v>387</v>
      </c>
      <c r="B13" s="130" t="s">
        <v>47</v>
      </c>
      <c r="C13" s="128" t="str">
        <f t="shared" si="0"/>
        <v>LVCMOS POC</v>
      </c>
      <c r="D13" s="146">
        <f t="shared" si="0"/>
        <v>44499</v>
      </c>
      <c r="E13" s="109" t="str">
        <f t="shared" si="0"/>
        <v>6 IO</v>
      </c>
      <c r="F13" s="109" t="str">
        <f t="shared" si="0"/>
        <v>LVCMOS</v>
      </c>
      <c r="G13" s="111">
        <v>9</v>
      </c>
      <c r="H13" s="109">
        <f t="shared" si="1"/>
        <v>0</v>
      </c>
      <c r="I13" s="111" t="str">
        <f t="shared" si="2"/>
        <v>ON</v>
      </c>
      <c r="J13" s="129">
        <v>0</v>
      </c>
      <c r="K13" s="143" t="s">
        <v>68</v>
      </c>
      <c r="L13" s="147">
        <v>1</v>
      </c>
      <c r="M13" s="129">
        <v>0</v>
      </c>
      <c r="N13" s="109">
        <f t="shared" si="3"/>
        <v>0</v>
      </c>
      <c r="O13" s="109">
        <f t="shared" si="4"/>
        <v>0</v>
      </c>
      <c r="P13" s="129">
        <v>0</v>
      </c>
      <c r="Q13" s="109">
        <f t="shared" si="5"/>
        <v>0</v>
      </c>
      <c r="R13" s="109">
        <f t="shared" si="6"/>
        <v>0</v>
      </c>
      <c r="S13" s="109">
        <f t="shared" si="7"/>
        <v>0</v>
      </c>
      <c r="T13" s="109">
        <f t="shared" si="8"/>
        <v>0</v>
      </c>
      <c r="U13" s="109">
        <f t="shared" si="9"/>
        <v>0</v>
      </c>
      <c r="V13" s="109">
        <f t="shared" si="10"/>
        <v>0</v>
      </c>
      <c r="W13" s="109" t="s">
        <v>1049</v>
      </c>
      <c r="X13" s="111" t="s">
        <v>9</v>
      </c>
      <c r="Y13" s="111" t="s">
        <v>116</v>
      </c>
      <c r="Z13" s="111" t="s">
        <v>54</v>
      </c>
      <c r="AA13" s="111" t="s">
        <v>1112</v>
      </c>
      <c r="AB13" s="111" t="s">
        <v>1111</v>
      </c>
      <c r="AC13" s="111">
        <v>0</v>
      </c>
      <c r="AD13" s="129">
        <v>0</v>
      </c>
      <c r="AE13" s="129">
        <v>0</v>
      </c>
      <c r="AF13" s="129">
        <v>0</v>
      </c>
      <c r="AG13" s="129">
        <v>0</v>
      </c>
      <c r="AH13" s="5" t="s">
        <v>625</v>
      </c>
      <c r="AI13" s="137" t="str">
        <f t="shared" si="11"/>
        <v>PCBRTEPOCODIO_Main</v>
      </c>
    </row>
    <row r="14" spans="1:50" x14ac:dyDescent="0.25">
      <c r="A14" s="130" t="s">
        <v>388</v>
      </c>
      <c r="B14" s="130" t="s">
        <v>47</v>
      </c>
      <c r="C14" s="128" t="str">
        <f t="shared" si="0"/>
        <v>LVCMOS PVDD1</v>
      </c>
      <c r="D14" s="146">
        <f t="shared" si="0"/>
        <v>44499</v>
      </c>
      <c r="E14" s="109" t="str">
        <f t="shared" si="0"/>
        <v>6 IO</v>
      </c>
      <c r="F14" s="109" t="str">
        <f t="shared" si="0"/>
        <v>LVCMOS</v>
      </c>
      <c r="G14" s="111">
        <v>9</v>
      </c>
      <c r="H14" s="109">
        <f t="shared" si="1"/>
        <v>0</v>
      </c>
      <c r="I14" s="111" t="str">
        <f t="shared" si="2"/>
        <v>ON</v>
      </c>
      <c r="J14" s="129">
        <v>0</v>
      </c>
      <c r="K14" s="143" t="s">
        <v>68</v>
      </c>
      <c r="L14" s="147">
        <v>1</v>
      </c>
      <c r="M14" s="129">
        <v>0</v>
      </c>
      <c r="N14" s="109">
        <f t="shared" si="3"/>
        <v>0</v>
      </c>
      <c r="O14" s="109">
        <f t="shared" si="4"/>
        <v>0</v>
      </c>
      <c r="P14" s="129">
        <v>0</v>
      </c>
      <c r="Q14" s="109">
        <f t="shared" si="5"/>
        <v>0</v>
      </c>
      <c r="R14" s="109">
        <f t="shared" si="6"/>
        <v>0</v>
      </c>
      <c r="S14" s="109">
        <f t="shared" si="7"/>
        <v>0</v>
      </c>
      <c r="T14" s="109">
        <f t="shared" si="8"/>
        <v>0</v>
      </c>
      <c r="U14" s="109">
        <f t="shared" si="9"/>
        <v>0</v>
      </c>
      <c r="V14" s="109">
        <f t="shared" si="10"/>
        <v>0</v>
      </c>
      <c r="W14" s="109" t="s">
        <v>1049</v>
      </c>
      <c r="X14" s="111" t="s">
        <v>9</v>
      </c>
      <c r="Y14" s="111" t="s">
        <v>116</v>
      </c>
      <c r="Z14" s="111" t="s">
        <v>54</v>
      </c>
      <c r="AA14" s="111" t="s">
        <v>1112</v>
      </c>
      <c r="AB14" s="111" t="s">
        <v>1111</v>
      </c>
      <c r="AC14" s="111">
        <v>0</v>
      </c>
      <c r="AD14" s="129">
        <v>0</v>
      </c>
      <c r="AE14" s="129">
        <v>0</v>
      </c>
      <c r="AF14" s="129">
        <v>0</v>
      </c>
      <c r="AG14" s="129">
        <v>0</v>
      </c>
      <c r="AH14" s="5" t="s">
        <v>625</v>
      </c>
      <c r="AI14" s="137" t="str">
        <f t="shared" si="11"/>
        <v>PVDD1LVCMOSM_Main</v>
      </c>
    </row>
    <row r="15" spans="1:50" x14ac:dyDescent="0.25">
      <c r="A15" s="130" t="s">
        <v>389</v>
      </c>
      <c r="B15" s="130" t="s">
        <v>62</v>
      </c>
      <c r="C15" s="128" t="str">
        <f t="shared" si="0"/>
        <v>LVCMOS PVDD3 power cell</v>
      </c>
      <c r="D15" s="146">
        <f t="shared" si="0"/>
        <v>44499</v>
      </c>
      <c r="E15" s="109" t="str">
        <f t="shared" si="0"/>
        <v>6 IO</v>
      </c>
      <c r="F15" s="109" t="str">
        <f t="shared" si="0"/>
        <v>LVCMOS</v>
      </c>
      <c r="G15" s="111">
        <v>11</v>
      </c>
      <c r="H15" s="109">
        <f t="shared" si="1"/>
        <v>0</v>
      </c>
      <c r="I15" s="111" t="str">
        <f t="shared" si="2"/>
        <v>ON</v>
      </c>
      <c r="J15" s="129">
        <v>0</v>
      </c>
      <c r="K15" s="143" t="s">
        <v>68</v>
      </c>
      <c r="L15" s="147">
        <v>1</v>
      </c>
      <c r="M15" s="129">
        <v>0</v>
      </c>
      <c r="N15" s="109">
        <f t="shared" si="3"/>
        <v>0</v>
      </c>
      <c r="O15" s="109">
        <f t="shared" si="4"/>
        <v>0</v>
      </c>
      <c r="P15" s="129">
        <v>0</v>
      </c>
      <c r="Q15" s="109">
        <f t="shared" si="5"/>
        <v>0</v>
      </c>
      <c r="R15" s="109">
        <f t="shared" si="6"/>
        <v>0</v>
      </c>
      <c r="S15" s="109">
        <f t="shared" si="7"/>
        <v>0</v>
      </c>
      <c r="T15" s="109">
        <f t="shared" si="8"/>
        <v>0</v>
      </c>
      <c r="U15" s="109">
        <f t="shared" si="9"/>
        <v>0</v>
      </c>
      <c r="V15" s="109">
        <f t="shared" si="10"/>
        <v>0</v>
      </c>
      <c r="W15" s="109" t="s">
        <v>1049</v>
      </c>
      <c r="X15" s="111" t="s">
        <v>9</v>
      </c>
      <c r="Y15" s="111" t="s">
        <v>116</v>
      </c>
      <c r="Z15" s="111" t="s">
        <v>54</v>
      </c>
      <c r="AA15" s="111" t="s">
        <v>1112</v>
      </c>
      <c r="AB15" s="111" t="s">
        <v>1111</v>
      </c>
      <c r="AC15" s="111">
        <v>0</v>
      </c>
      <c r="AD15" s="129">
        <v>0</v>
      </c>
      <c r="AE15" s="129">
        <v>0</v>
      </c>
      <c r="AF15" s="129">
        <v>0</v>
      </c>
      <c r="AG15" s="129">
        <v>0</v>
      </c>
      <c r="AH15" s="5" t="s">
        <v>625</v>
      </c>
      <c r="AI15" s="137" t="str">
        <f t="shared" si="11"/>
        <v>PVDD3LVCMOSM_main</v>
      </c>
    </row>
    <row r="16" spans="1:50" x14ac:dyDescent="0.25">
      <c r="A16" s="130" t="s">
        <v>395</v>
      </c>
      <c r="B16" s="130" t="s">
        <v>47</v>
      </c>
      <c r="C16" s="128" t="str">
        <f t="shared" si="0"/>
        <v>LVCMOS IO</v>
      </c>
      <c r="D16" s="146">
        <f t="shared" si="0"/>
        <v>44499</v>
      </c>
      <c r="E16" s="109" t="str">
        <f t="shared" si="0"/>
        <v>6 IO</v>
      </c>
      <c r="F16" s="109" t="str">
        <f t="shared" si="0"/>
        <v>LVCMOS</v>
      </c>
      <c r="G16" s="111">
        <v>154</v>
      </c>
      <c r="H16" s="109">
        <f t="shared" si="1"/>
        <v>0</v>
      </c>
      <c r="I16" s="111" t="str">
        <f t="shared" si="2"/>
        <v>ON</v>
      </c>
      <c r="J16" s="129">
        <v>0</v>
      </c>
      <c r="K16" s="143" t="s">
        <v>68</v>
      </c>
      <c r="L16" s="147">
        <v>1</v>
      </c>
      <c r="M16" s="129">
        <v>0</v>
      </c>
      <c r="N16" s="109">
        <f t="shared" si="3"/>
        <v>0</v>
      </c>
      <c r="O16" s="109">
        <f t="shared" si="4"/>
        <v>0</v>
      </c>
      <c r="P16" s="129">
        <v>0</v>
      </c>
      <c r="Q16" s="109">
        <f t="shared" si="5"/>
        <v>0</v>
      </c>
      <c r="R16" s="109">
        <f t="shared" si="6"/>
        <v>0</v>
      </c>
      <c r="S16" s="109">
        <f t="shared" si="7"/>
        <v>0</v>
      </c>
      <c r="T16" s="109">
        <f t="shared" si="8"/>
        <v>0</v>
      </c>
      <c r="U16" s="109">
        <f t="shared" si="9"/>
        <v>0</v>
      </c>
      <c r="V16" s="109">
        <f t="shared" si="10"/>
        <v>0</v>
      </c>
      <c r="W16" s="109" t="s">
        <v>1049</v>
      </c>
      <c r="X16" s="111" t="s">
        <v>9</v>
      </c>
      <c r="Y16" s="111" t="s">
        <v>116</v>
      </c>
      <c r="Z16" s="111" t="s">
        <v>54</v>
      </c>
      <c r="AA16" s="111" t="s">
        <v>1112</v>
      </c>
      <c r="AB16" s="111" t="s">
        <v>1111</v>
      </c>
      <c r="AC16" s="111">
        <v>0</v>
      </c>
      <c r="AD16" s="129">
        <v>0</v>
      </c>
      <c r="AE16" s="129">
        <v>0</v>
      </c>
      <c r="AF16" s="129">
        <v>0</v>
      </c>
      <c r="AG16" s="129">
        <v>0</v>
      </c>
      <c r="AH16" s="5" t="s">
        <v>626</v>
      </c>
      <c r="AI16" s="137" t="str">
        <f t="shared" si="11"/>
        <v>PRWDWUWSWEWCDGLVCMOS_Main</v>
      </c>
    </row>
    <row r="17" spans="1:35" x14ac:dyDescent="0.25">
      <c r="A17" s="130" t="s">
        <v>78</v>
      </c>
      <c r="B17" s="130" t="s">
        <v>107</v>
      </c>
      <c r="C17" s="128" t="str">
        <f t="shared" si="0"/>
        <v>ADPLL - FRACF</v>
      </c>
      <c r="D17" s="146">
        <f t="shared" si="0"/>
        <v>44499</v>
      </c>
      <c r="E17" s="109" t="str">
        <f t="shared" si="0"/>
        <v>5 Analog</v>
      </c>
      <c r="F17" s="109" t="str">
        <f t="shared" si="0"/>
        <v>Clocking</v>
      </c>
      <c r="G17" s="111">
        <v>1</v>
      </c>
      <c r="H17" s="109">
        <f t="shared" si="1"/>
        <v>5.8478234870571599</v>
      </c>
      <c r="I17" s="111" t="str">
        <f t="shared" si="2"/>
        <v>ON</v>
      </c>
      <c r="J17" s="129">
        <v>0</v>
      </c>
      <c r="K17" s="143">
        <f>INDEX('Use Cases'!$A$3:$CZ$400,MATCH($A17&amp;$B17,'Use Cases'!$A$3:$A$400,0),MATCH(Use_Case,'Use Cases'!$A$3:$CZ$3,0)+1)</f>
        <v>2000</v>
      </c>
      <c r="L17" s="147">
        <f>INDEX('Use Cases'!$A$3:$CZ$400,MATCH($A17&amp;$B17,'Use Cases'!$A$3:$A$400,0),MATCH(Use_Case,'Use Cases'!$A$3:$CZ$3,0))</f>
        <v>0</v>
      </c>
      <c r="M17" s="129">
        <v>0</v>
      </c>
      <c r="N17" s="109">
        <f t="shared" si="3"/>
        <v>3.5402062763748084E-2</v>
      </c>
      <c r="O17" s="109">
        <f t="shared" si="4"/>
        <v>1.3806818181818183</v>
      </c>
      <c r="P17" s="129">
        <v>0</v>
      </c>
      <c r="Q17" s="109">
        <f t="shared" si="5"/>
        <v>0</v>
      </c>
      <c r="R17" s="109">
        <f t="shared" si="6"/>
        <v>0</v>
      </c>
      <c r="S17" s="109">
        <f t="shared" si="7"/>
        <v>4.1379034399186073E-6</v>
      </c>
      <c r="T17" s="109">
        <f t="shared" si="8"/>
        <v>4.4317354682081538</v>
      </c>
      <c r="U17" s="109">
        <f t="shared" si="9"/>
        <v>0</v>
      </c>
      <c r="V17" s="109">
        <f t="shared" si="10"/>
        <v>0</v>
      </c>
      <c r="W17" s="109" t="s">
        <v>1038</v>
      </c>
      <c r="X17" s="111" t="s">
        <v>9</v>
      </c>
      <c r="Y17" s="111" t="s">
        <v>116</v>
      </c>
      <c r="Z17" s="111" t="s">
        <v>54</v>
      </c>
      <c r="AA17" s="111" t="s">
        <v>356</v>
      </c>
      <c r="AB17" s="111" t="s">
        <v>54</v>
      </c>
      <c r="AC17" s="111">
        <v>0</v>
      </c>
      <c r="AD17" s="129">
        <v>0</v>
      </c>
      <c r="AE17" s="129">
        <v>0</v>
      </c>
      <c r="AF17" s="129">
        <v>0</v>
      </c>
      <c r="AG17" s="129">
        <v>0</v>
      </c>
      <c r="AH17" s="5" t="s">
        <v>489</v>
      </c>
      <c r="AI17" s="137" t="str">
        <f t="shared" si="11"/>
        <v>PLLTS16FFCLAFRACF_DSS0_PLL</v>
      </c>
    </row>
    <row r="18" spans="1:35" x14ac:dyDescent="0.25">
      <c r="A18" s="130" t="s">
        <v>78</v>
      </c>
      <c r="B18" s="130" t="s">
        <v>109</v>
      </c>
      <c r="C18" s="128" t="str">
        <f t="shared" si="0"/>
        <v>ADPLL - FRACF</v>
      </c>
      <c r="D18" s="146">
        <f t="shared" si="0"/>
        <v>44499</v>
      </c>
      <c r="E18" s="109" t="str">
        <f t="shared" si="0"/>
        <v>5 Analog</v>
      </c>
      <c r="F18" s="109" t="str">
        <f t="shared" si="0"/>
        <v>Clocking</v>
      </c>
      <c r="G18" s="111">
        <v>1</v>
      </c>
      <c r="H18" s="109">
        <f t="shared" si="1"/>
        <v>7.9547970766508929</v>
      </c>
      <c r="I18" s="111" t="str">
        <f t="shared" si="2"/>
        <v>ON</v>
      </c>
      <c r="J18" s="129">
        <v>0</v>
      </c>
      <c r="K18" s="143">
        <f>INDEX('Use Cases'!$A$3:$CZ$400,MATCH($A18&amp;$B18,'Use Cases'!$A$3:$A$400,0),MATCH(Use_Case,'Use Cases'!$A$3:$CZ$3,0)+1)</f>
        <v>2500</v>
      </c>
      <c r="L18" s="147">
        <f>INDEX('Use Cases'!$A$3:$CZ$400,MATCH($A18&amp;$B18,'Use Cases'!$A$3:$A$400,0),MATCH(Use_Case,'Use Cases'!$A$3:$CZ$3,0))</f>
        <v>0</v>
      </c>
      <c r="M18" s="129">
        <v>0</v>
      </c>
      <c r="N18" s="109">
        <f t="shared" si="3"/>
        <v>3.5402062763748084E-2</v>
      </c>
      <c r="O18" s="109">
        <f t="shared" si="4"/>
        <v>1.7258522727272732</v>
      </c>
      <c r="P18" s="129">
        <v>0</v>
      </c>
      <c r="Q18" s="109">
        <f t="shared" si="5"/>
        <v>0</v>
      </c>
      <c r="R18" s="109">
        <f t="shared" si="6"/>
        <v>0</v>
      </c>
      <c r="S18" s="109">
        <f t="shared" si="7"/>
        <v>4.1379034399186073E-6</v>
      </c>
      <c r="T18" s="109">
        <f t="shared" si="8"/>
        <v>6.1935386032564317</v>
      </c>
      <c r="U18" s="109">
        <f t="shared" si="9"/>
        <v>0</v>
      </c>
      <c r="V18" s="109">
        <f t="shared" si="10"/>
        <v>0</v>
      </c>
      <c r="W18" s="109" t="s">
        <v>1038</v>
      </c>
      <c r="X18" s="111" t="s">
        <v>9</v>
      </c>
      <c r="Y18" s="111" t="s">
        <v>116</v>
      </c>
      <c r="Z18" s="111" t="s">
        <v>54</v>
      </c>
      <c r="AA18" s="111" t="s">
        <v>355</v>
      </c>
      <c r="AB18" s="111" t="s">
        <v>54</v>
      </c>
      <c r="AC18" s="111">
        <v>0</v>
      </c>
      <c r="AD18" s="129">
        <v>0</v>
      </c>
      <c r="AE18" s="129">
        <v>0</v>
      </c>
      <c r="AF18" s="129">
        <v>0</v>
      </c>
      <c r="AG18" s="129">
        <v>0</v>
      </c>
      <c r="AH18" s="5" t="s">
        <v>489</v>
      </c>
      <c r="AI18" s="137" t="str">
        <f t="shared" si="11"/>
        <v>PLLTS16FFCLAFRACF_MCU_PERIPHERIAL</v>
      </c>
    </row>
    <row r="19" spans="1:35" x14ac:dyDescent="0.25">
      <c r="A19" s="130" t="s">
        <v>78</v>
      </c>
      <c r="B19" s="130" t="s">
        <v>103</v>
      </c>
      <c r="C19" s="128" t="str">
        <f t="shared" si="0"/>
        <v>ADPLL - FRACF</v>
      </c>
      <c r="D19" s="146">
        <f t="shared" si="0"/>
        <v>44499</v>
      </c>
      <c r="E19" s="109" t="str">
        <f t="shared" si="0"/>
        <v>5 Analog</v>
      </c>
      <c r="F19" s="109" t="str">
        <f t="shared" si="0"/>
        <v>Clocking</v>
      </c>
      <c r="G19" s="111">
        <v>1</v>
      </c>
      <c r="H19" s="109">
        <f t="shared" si="1"/>
        <v>5.8478234870571599</v>
      </c>
      <c r="I19" s="111" t="str">
        <f t="shared" si="2"/>
        <v>ON</v>
      </c>
      <c r="J19" s="129">
        <v>0</v>
      </c>
      <c r="K19" s="143">
        <f>INDEX('Use Cases'!$A$3:$CZ$400,MATCH($A19&amp;$B19,'Use Cases'!$A$3:$A$400,0),MATCH(Use_Case,'Use Cases'!$A$3:$CZ$3,0)+1)</f>
        <v>2000</v>
      </c>
      <c r="L19" s="147">
        <f>INDEX('Use Cases'!$A$3:$CZ$400,MATCH($A19&amp;$B19,'Use Cases'!$A$3:$A$400,0),MATCH(Use_Case,'Use Cases'!$A$3:$CZ$3,0))</f>
        <v>0</v>
      </c>
      <c r="M19" s="129">
        <v>0</v>
      </c>
      <c r="N19" s="109">
        <f t="shared" si="3"/>
        <v>3.5402062763748084E-2</v>
      </c>
      <c r="O19" s="109">
        <f t="shared" si="4"/>
        <v>1.3806818181818183</v>
      </c>
      <c r="P19" s="129">
        <v>0</v>
      </c>
      <c r="Q19" s="109">
        <f t="shared" si="5"/>
        <v>0</v>
      </c>
      <c r="R19" s="109">
        <f t="shared" si="6"/>
        <v>0</v>
      </c>
      <c r="S19" s="109">
        <f t="shared" si="7"/>
        <v>4.1379034399186073E-6</v>
      </c>
      <c r="T19" s="109">
        <f t="shared" si="8"/>
        <v>4.4317354682081538</v>
      </c>
      <c r="U19" s="109">
        <f t="shared" si="9"/>
        <v>0</v>
      </c>
      <c r="V19" s="109">
        <f t="shared" si="10"/>
        <v>0</v>
      </c>
      <c r="W19" s="109" t="s">
        <v>1038</v>
      </c>
      <c r="X19" s="111" t="s">
        <v>9</v>
      </c>
      <c r="Y19" s="111" t="s">
        <v>116</v>
      </c>
      <c r="Z19" s="111" t="s">
        <v>54</v>
      </c>
      <c r="AA19" s="111" t="s">
        <v>357</v>
      </c>
      <c r="AB19" s="111" t="s">
        <v>54</v>
      </c>
      <c r="AC19" s="111">
        <v>0</v>
      </c>
      <c r="AD19" s="129">
        <v>0</v>
      </c>
      <c r="AE19" s="129">
        <v>0</v>
      </c>
      <c r="AF19" s="129">
        <v>0</v>
      </c>
      <c r="AG19" s="129">
        <v>0</v>
      </c>
      <c r="AH19" s="5" t="s">
        <v>489</v>
      </c>
      <c r="AI19" s="137" t="str">
        <f t="shared" si="11"/>
        <v>PLLTS16FFCLAFRACF_Per0</v>
      </c>
    </row>
    <row r="20" spans="1:35" x14ac:dyDescent="0.25">
      <c r="A20" s="130" t="s">
        <v>78</v>
      </c>
      <c r="B20" s="130" t="s">
        <v>104</v>
      </c>
      <c r="C20" s="128" t="str">
        <f t="shared" si="0"/>
        <v>ADPLL - FRACF</v>
      </c>
      <c r="D20" s="146">
        <f t="shared" si="0"/>
        <v>44499</v>
      </c>
      <c r="E20" s="109" t="str">
        <f t="shared" si="0"/>
        <v>5 Analog</v>
      </c>
      <c r="F20" s="109" t="str">
        <f t="shared" si="0"/>
        <v>Clocking</v>
      </c>
      <c r="G20" s="111">
        <v>1</v>
      </c>
      <c r="H20" s="109">
        <f t="shared" si="1"/>
        <v>5.8478234870571599</v>
      </c>
      <c r="I20" s="111" t="str">
        <f t="shared" si="2"/>
        <v>ON</v>
      </c>
      <c r="J20" s="129">
        <v>0</v>
      </c>
      <c r="K20" s="143">
        <f>INDEX('Use Cases'!$A$3:$CZ$400,MATCH($A20&amp;$B20,'Use Cases'!$A$3:$A$400,0),MATCH(Use_Case,'Use Cases'!$A$3:$CZ$3,0)+1)</f>
        <v>2000</v>
      </c>
      <c r="L20" s="147">
        <f>INDEX('Use Cases'!$A$3:$CZ$400,MATCH($A20&amp;$B20,'Use Cases'!$A$3:$A$400,0),MATCH(Use_Case,'Use Cases'!$A$3:$CZ$3,0))</f>
        <v>0</v>
      </c>
      <c r="M20" s="129">
        <v>0</v>
      </c>
      <c r="N20" s="109">
        <f t="shared" si="3"/>
        <v>3.5402062763748084E-2</v>
      </c>
      <c r="O20" s="109">
        <f t="shared" si="4"/>
        <v>1.3806818181818183</v>
      </c>
      <c r="P20" s="129">
        <v>0</v>
      </c>
      <c r="Q20" s="109">
        <f t="shared" si="5"/>
        <v>0</v>
      </c>
      <c r="R20" s="109">
        <f t="shared" si="6"/>
        <v>0</v>
      </c>
      <c r="S20" s="109">
        <f t="shared" si="7"/>
        <v>4.1379034399186073E-6</v>
      </c>
      <c r="T20" s="109">
        <f t="shared" si="8"/>
        <v>4.4317354682081538</v>
      </c>
      <c r="U20" s="109">
        <f t="shared" si="9"/>
        <v>0</v>
      </c>
      <c r="V20" s="109">
        <f t="shared" si="10"/>
        <v>0</v>
      </c>
      <c r="W20" s="109" t="s">
        <v>1038</v>
      </c>
      <c r="X20" s="111" t="s">
        <v>9</v>
      </c>
      <c r="Y20" s="111" t="s">
        <v>116</v>
      </c>
      <c r="Z20" s="111" t="s">
        <v>54</v>
      </c>
      <c r="AA20" s="111" t="s">
        <v>357</v>
      </c>
      <c r="AB20" s="111" t="s">
        <v>54</v>
      </c>
      <c r="AC20" s="111">
        <v>0</v>
      </c>
      <c r="AD20" s="129">
        <v>0</v>
      </c>
      <c r="AE20" s="129">
        <v>0</v>
      </c>
      <c r="AF20" s="129">
        <v>0</v>
      </c>
      <c r="AG20" s="129">
        <v>0</v>
      </c>
      <c r="AH20" s="5" t="s">
        <v>489</v>
      </c>
      <c r="AI20" s="137" t="str">
        <f t="shared" si="11"/>
        <v>PLLTS16FFCLAFRACF_Per1</v>
      </c>
    </row>
    <row r="21" spans="1:35" x14ac:dyDescent="0.25">
      <c r="A21" s="130" t="s">
        <v>78</v>
      </c>
      <c r="B21" s="130" t="s">
        <v>343</v>
      </c>
      <c r="C21" s="128" t="str">
        <f t="shared" si="0"/>
        <v>ADPLL - FRACF</v>
      </c>
      <c r="D21" s="146">
        <f t="shared" si="0"/>
        <v>44499</v>
      </c>
      <c r="E21" s="109" t="str">
        <f t="shared" si="0"/>
        <v>5 Analog</v>
      </c>
      <c r="F21" s="109" t="str">
        <f t="shared" si="0"/>
        <v>Clocking</v>
      </c>
      <c r="G21" s="111">
        <v>1</v>
      </c>
      <c r="H21" s="109">
        <f t="shared" si="1"/>
        <v>7.9547970766508929</v>
      </c>
      <c r="I21" s="111" t="str">
        <f t="shared" si="2"/>
        <v>ON</v>
      </c>
      <c r="J21" s="129">
        <v>0</v>
      </c>
      <c r="K21" s="143">
        <f>INDEX('Use Cases'!$A$3:$CZ$400,MATCH($A21&amp;$B21,'Use Cases'!$A$3:$A$400,0),MATCH(Use_Case,'Use Cases'!$A$3:$CZ$3,0)+1)</f>
        <v>2500</v>
      </c>
      <c r="L21" s="147">
        <f>INDEX('Use Cases'!$A$3:$CZ$400,MATCH($A21&amp;$B21,'Use Cases'!$A$3:$A$400,0),MATCH(Use_Case,'Use Cases'!$A$3:$CZ$3,0))</f>
        <v>0</v>
      </c>
      <c r="M21" s="129">
        <v>0</v>
      </c>
      <c r="N21" s="109">
        <f t="shared" si="3"/>
        <v>3.5402062763748084E-2</v>
      </c>
      <c r="O21" s="109">
        <f t="shared" si="4"/>
        <v>1.7258522727272732</v>
      </c>
      <c r="P21" s="129">
        <v>0</v>
      </c>
      <c r="Q21" s="109">
        <f t="shared" si="5"/>
        <v>0</v>
      </c>
      <c r="R21" s="109">
        <f t="shared" si="6"/>
        <v>0</v>
      </c>
      <c r="S21" s="109">
        <f t="shared" si="7"/>
        <v>4.1379034399186073E-6</v>
      </c>
      <c r="T21" s="109">
        <f t="shared" si="8"/>
        <v>6.1935386032564317</v>
      </c>
      <c r="U21" s="109">
        <f t="shared" si="9"/>
        <v>0</v>
      </c>
      <c r="V21" s="109">
        <f t="shared" si="10"/>
        <v>0</v>
      </c>
      <c r="W21" s="109" t="s">
        <v>1038</v>
      </c>
      <c r="X21" s="111" t="s">
        <v>9</v>
      </c>
      <c r="Y21" s="111" t="s">
        <v>116</v>
      </c>
      <c r="Z21" s="111" t="s">
        <v>54</v>
      </c>
      <c r="AA21" s="111" t="s">
        <v>358</v>
      </c>
      <c r="AB21" s="111" t="s">
        <v>54</v>
      </c>
      <c r="AC21" s="111">
        <v>0</v>
      </c>
      <c r="AD21" s="129">
        <v>0</v>
      </c>
      <c r="AE21" s="129">
        <v>0</v>
      </c>
      <c r="AF21" s="129">
        <v>0</v>
      </c>
      <c r="AG21" s="129">
        <v>0</v>
      </c>
      <c r="AH21" s="5" t="s">
        <v>489</v>
      </c>
      <c r="AI21" s="137" t="str">
        <f t="shared" si="11"/>
        <v>PLLTS16FFCLAFRACF_SMS</v>
      </c>
    </row>
    <row r="22" spans="1:35" x14ac:dyDescent="0.25">
      <c r="A22" s="130" t="s">
        <v>78</v>
      </c>
      <c r="B22" s="130" t="s">
        <v>106</v>
      </c>
      <c r="C22" s="128" t="str">
        <f t="shared" ref="C22:F41" si="12">VLOOKUP($A22&amp;"_"&amp;C$1,MDB,6,0)</f>
        <v>ADPLL - FRACF</v>
      </c>
      <c r="D22" s="146">
        <f t="shared" si="12"/>
        <v>44499</v>
      </c>
      <c r="E22" s="109" t="str">
        <f t="shared" si="12"/>
        <v>5 Analog</v>
      </c>
      <c r="F22" s="109" t="str">
        <f t="shared" si="12"/>
        <v>Clocking</v>
      </c>
      <c r="G22" s="111">
        <v>1</v>
      </c>
      <c r="H22" s="109">
        <f t="shared" si="1"/>
        <v>3.9494141880441407</v>
      </c>
      <c r="I22" s="111" t="str">
        <f t="shared" si="2"/>
        <v>ON</v>
      </c>
      <c r="J22" s="129">
        <v>0</v>
      </c>
      <c r="K22" s="143">
        <f>INDEX('Use Cases'!$A$3:$CZ$400,MATCH($A22&amp;$B22,'Use Cases'!$A$3:$A$400,0),MATCH(Use_Case,'Use Cases'!$A$3:$CZ$3,0)+1)</f>
        <v>1500</v>
      </c>
      <c r="L22" s="147">
        <f>INDEX('Use Cases'!$A$3:$CZ$400,MATCH($A22&amp;$B22,'Use Cases'!$A$3:$A$400,0),MATCH(Use_Case,'Use Cases'!$A$3:$CZ$3,0))</f>
        <v>0</v>
      </c>
      <c r="M22" s="129">
        <v>0</v>
      </c>
      <c r="N22" s="109">
        <f t="shared" si="3"/>
        <v>3.5402062763748084E-2</v>
      </c>
      <c r="O22" s="109">
        <f t="shared" si="4"/>
        <v>1.035511363636364</v>
      </c>
      <c r="P22" s="129">
        <v>0</v>
      </c>
      <c r="Q22" s="109">
        <f t="shared" si="5"/>
        <v>0</v>
      </c>
      <c r="R22" s="109">
        <f t="shared" si="6"/>
        <v>0</v>
      </c>
      <c r="S22" s="109">
        <f t="shared" si="7"/>
        <v>4.1379034399186073E-6</v>
      </c>
      <c r="T22" s="109">
        <f t="shared" si="8"/>
        <v>2.8784966237405887</v>
      </c>
      <c r="U22" s="109">
        <f t="shared" si="9"/>
        <v>0</v>
      </c>
      <c r="V22" s="109">
        <f t="shared" si="10"/>
        <v>0</v>
      </c>
      <c r="W22" s="109" t="s">
        <v>1038</v>
      </c>
      <c r="X22" s="111" t="s">
        <v>9</v>
      </c>
      <c r="Y22" s="111" t="s">
        <v>116</v>
      </c>
      <c r="Z22" s="111" t="s">
        <v>54</v>
      </c>
      <c r="AA22" s="111" t="s">
        <v>356</v>
      </c>
      <c r="AB22" s="111" t="s">
        <v>54</v>
      </c>
      <c r="AC22" s="111">
        <v>0</v>
      </c>
      <c r="AD22" s="129">
        <v>0</v>
      </c>
      <c r="AE22" s="129">
        <v>0</v>
      </c>
      <c r="AF22" s="129">
        <v>0</v>
      </c>
      <c r="AG22" s="129">
        <v>0</v>
      </c>
      <c r="AH22" s="5" t="s">
        <v>489</v>
      </c>
      <c r="AI22" s="137" t="str">
        <f t="shared" si="11"/>
        <v>PLLTS16FFCLAFRACFDDR_PHY</v>
      </c>
    </row>
    <row r="23" spans="1:35" x14ac:dyDescent="0.25">
      <c r="A23" s="130" t="s">
        <v>78</v>
      </c>
      <c r="B23" s="130" t="s">
        <v>108</v>
      </c>
      <c r="C23" s="128" t="str">
        <f t="shared" si="12"/>
        <v>ADPLL - FRACF</v>
      </c>
      <c r="D23" s="146">
        <f t="shared" si="12"/>
        <v>44499</v>
      </c>
      <c r="E23" s="109" t="str">
        <f t="shared" si="12"/>
        <v>5 Analog</v>
      </c>
      <c r="F23" s="109" t="str">
        <f t="shared" si="12"/>
        <v>Clocking</v>
      </c>
      <c r="G23" s="111">
        <v>1</v>
      </c>
      <c r="H23" s="109">
        <f t="shared" si="1"/>
        <v>7.9547970766508929</v>
      </c>
      <c r="I23" s="111" t="str">
        <f t="shared" si="2"/>
        <v>ON</v>
      </c>
      <c r="J23" s="129">
        <v>0</v>
      </c>
      <c r="K23" s="143">
        <f>INDEX('Use Cases'!$A$3:$CZ$400,MATCH($A23&amp;$B23,'Use Cases'!$A$3:$A$400,0),MATCH(Use_Case,'Use Cases'!$A$3:$CZ$3,0)+1)</f>
        <v>2500</v>
      </c>
      <c r="L23" s="147">
        <f>INDEX('Use Cases'!$A$3:$CZ$400,MATCH($A23&amp;$B23,'Use Cases'!$A$3:$A$400,0),MATCH(Use_Case,'Use Cases'!$A$3:$CZ$3,0))</f>
        <v>0</v>
      </c>
      <c r="M23" s="129">
        <v>0</v>
      </c>
      <c r="N23" s="109">
        <f t="shared" si="3"/>
        <v>3.5402062763748084E-2</v>
      </c>
      <c r="O23" s="109">
        <f t="shared" si="4"/>
        <v>1.7258522727272732</v>
      </c>
      <c r="P23" s="129">
        <v>0</v>
      </c>
      <c r="Q23" s="109">
        <f t="shared" si="5"/>
        <v>0</v>
      </c>
      <c r="R23" s="109">
        <f t="shared" si="6"/>
        <v>0</v>
      </c>
      <c r="S23" s="109">
        <f t="shared" si="7"/>
        <v>4.1379034399186073E-6</v>
      </c>
      <c r="T23" s="109">
        <f t="shared" si="8"/>
        <v>6.1935386032564317</v>
      </c>
      <c r="U23" s="109">
        <f t="shared" si="9"/>
        <v>0</v>
      </c>
      <c r="V23" s="109">
        <f t="shared" si="10"/>
        <v>0</v>
      </c>
      <c r="W23" s="109" t="s">
        <v>1038</v>
      </c>
      <c r="X23" s="111" t="s">
        <v>9</v>
      </c>
      <c r="Y23" s="111" t="s">
        <v>116</v>
      </c>
      <c r="Z23" s="111" t="s">
        <v>54</v>
      </c>
      <c r="AA23" s="111" t="s">
        <v>356</v>
      </c>
      <c r="AB23" s="111" t="s">
        <v>54</v>
      </c>
      <c r="AC23" s="111">
        <v>0</v>
      </c>
      <c r="AD23" s="129">
        <v>0</v>
      </c>
      <c r="AE23" s="129">
        <v>0</v>
      </c>
      <c r="AF23" s="129">
        <v>0</v>
      </c>
      <c r="AG23" s="129">
        <v>0</v>
      </c>
      <c r="AH23" s="5" t="s">
        <v>489</v>
      </c>
      <c r="AI23" s="137" t="str">
        <f t="shared" si="11"/>
        <v>PLLTS16FFCLAFRACF_DSS1_PLL</v>
      </c>
    </row>
    <row r="24" spans="1:35" x14ac:dyDescent="0.25">
      <c r="A24" s="130" t="s">
        <v>78</v>
      </c>
      <c r="B24" s="130" t="s">
        <v>105</v>
      </c>
      <c r="C24" s="128" t="str">
        <f t="shared" si="12"/>
        <v>ADPLL - FRACF</v>
      </c>
      <c r="D24" s="146">
        <f t="shared" si="12"/>
        <v>44499</v>
      </c>
      <c r="E24" s="109" t="str">
        <f t="shared" si="12"/>
        <v>5 Analog</v>
      </c>
      <c r="F24" s="109" t="str">
        <f t="shared" si="12"/>
        <v>Clocking</v>
      </c>
      <c r="G24" s="111">
        <v>1</v>
      </c>
      <c r="H24" s="109">
        <f t="shared" si="1"/>
        <v>7.9547970766508929</v>
      </c>
      <c r="I24" s="111" t="str">
        <f t="shared" si="2"/>
        <v>ON</v>
      </c>
      <c r="J24" s="129">
        <v>0</v>
      </c>
      <c r="K24" s="143">
        <f>INDEX('Use Cases'!$A$3:$CZ$400,MATCH($A24&amp;$B24,'Use Cases'!$A$3:$A$400,0),MATCH(Use_Case,'Use Cases'!$A$3:$CZ$3,0)+1)</f>
        <v>2500</v>
      </c>
      <c r="L24" s="147">
        <f>INDEX('Use Cases'!$A$3:$CZ$400,MATCH($A24&amp;$B24,'Use Cases'!$A$3:$A$400,0),MATCH(Use_Case,'Use Cases'!$A$3:$CZ$3,0))</f>
        <v>0</v>
      </c>
      <c r="M24" s="129">
        <v>0</v>
      </c>
      <c r="N24" s="109">
        <f t="shared" si="3"/>
        <v>3.5402062763748084E-2</v>
      </c>
      <c r="O24" s="109">
        <f t="shared" si="4"/>
        <v>1.7258522727272732</v>
      </c>
      <c r="P24" s="129">
        <v>0</v>
      </c>
      <c r="Q24" s="109">
        <f t="shared" si="5"/>
        <v>0</v>
      </c>
      <c r="R24" s="109">
        <f t="shared" si="6"/>
        <v>0</v>
      </c>
      <c r="S24" s="109">
        <f t="shared" si="7"/>
        <v>4.1379034399186073E-6</v>
      </c>
      <c r="T24" s="109">
        <f t="shared" si="8"/>
        <v>6.1935386032564317</v>
      </c>
      <c r="U24" s="109">
        <f t="shared" si="9"/>
        <v>0</v>
      </c>
      <c r="V24" s="109">
        <f t="shared" si="10"/>
        <v>0</v>
      </c>
      <c r="W24" s="109" t="s">
        <v>1038</v>
      </c>
      <c r="X24" s="111" t="s">
        <v>9</v>
      </c>
      <c r="Y24" s="111" t="s">
        <v>116</v>
      </c>
      <c r="Z24" s="111" t="s">
        <v>54</v>
      </c>
      <c r="AA24" s="111" t="s">
        <v>358</v>
      </c>
      <c r="AB24" s="111" t="s">
        <v>54</v>
      </c>
      <c r="AC24" s="111">
        <v>0</v>
      </c>
      <c r="AD24" s="129">
        <v>0</v>
      </c>
      <c r="AE24" s="129">
        <v>0</v>
      </c>
      <c r="AF24" s="129">
        <v>0</v>
      </c>
      <c r="AG24" s="129">
        <v>0</v>
      </c>
      <c r="AH24" s="5" t="s">
        <v>489</v>
      </c>
      <c r="AI24" s="137" t="str">
        <f t="shared" si="11"/>
        <v>PLLTS16FFCLAFRACF_ARM0_PLL</v>
      </c>
    </row>
    <row r="25" spans="1:35" x14ac:dyDescent="0.25">
      <c r="A25" s="130" t="s">
        <v>78</v>
      </c>
      <c r="B25" s="130" t="s">
        <v>47</v>
      </c>
      <c r="C25" s="128" t="str">
        <f t="shared" si="12"/>
        <v>ADPLL - FRACF</v>
      </c>
      <c r="D25" s="146">
        <f t="shared" si="12"/>
        <v>44499</v>
      </c>
      <c r="E25" s="109" t="str">
        <f t="shared" si="12"/>
        <v>5 Analog</v>
      </c>
      <c r="F25" s="109" t="str">
        <f t="shared" si="12"/>
        <v>Clocking</v>
      </c>
      <c r="G25" s="111">
        <v>1</v>
      </c>
      <c r="H25" s="109">
        <f t="shared" si="1"/>
        <v>5.8478234870571599</v>
      </c>
      <c r="I25" s="111" t="str">
        <f t="shared" si="2"/>
        <v>ON</v>
      </c>
      <c r="J25" s="129">
        <v>0</v>
      </c>
      <c r="K25" s="143">
        <f>INDEX('Use Cases'!$A$3:$CZ$400,MATCH($A25&amp;$B25,'Use Cases'!$A$3:$A$400,0),MATCH(Use_Case,'Use Cases'!$A$3:$CZ$3,0)+1)</f>
        <v>2000</v>
      </c>
      <c r="L25" s="147">
        <f>INDEX('Use Cases'!$A$3:$CZ$400,MATCH($A25&amp;$B25,'Use Cases'!$A$3:$A$400,0),MATCH(Use_Case,'Use Cases'!$A$3:$CZ$3,0))</f>
        <v>0</v>
      </c>
      <c r="M25" s="129">
        <v>0</v>
      </c>
      <c r="N25" s="109">
        <f t="shared" si="3"/>
        <v>3.5402062763748084E-2</v>
      </c>
      <c r="O25" s="109">
        <f t="shared" si="4"/>
        <v>1.3806818181818183</v>
      </c>
      <c r="P25" s="129">
        <v>0</v>
      </c>
      <c r="Q25" s="109">
        <f t="shared" si="5"/>
        <v>0</v>
      </c>
      <c r="R25" s="109">
        <f t="shared" si="6"/>
        <v>0</v>
      </c>
      <c r="S25" s="109">
        <f t="shared" si="7"/>
        <v>4.1379034399186073E-6</v>
      </c>
      <c r="T25" s="109">
        <f t="shared" si="8"/>
        <v>4.4317354682081538</v>
      </c>
      <c r="U25" s="109">
        <f t="shared" si="9"/>
        <v>0</v>
      </c>
      <c r="V25" s="109">
        <f t="shared" si="10"/>
        <v>0</v>
      </c>
      <c r="W25" s="109" t="s">
        <v>1038</v>
      </c>
      <c r="X25" s="111" t="s">
        <v>9</v>
      </c>
      <c r="Y25" s="111" t="s">
        <v>116</v>
      </c>
      <c r="Z25" s="111" t="s">
        <v>54</v>
      </c>
      <c r="AA25" s="111" t="s">
        <v>356</v>
      </c>
      <c r="AB25" s="111" t="s">
        <v>54</v>
      </c>
      <c r="AC25" s="111">
        <v>0</v>
      </c>
      <c r="AD25" s="129">
        <v>0</v>
      </c>
      <c r="AE25" s="129">
        <v>0</v>
      </c>
      <c r="AF25" s="129">
        <v>0</v>
      </c>
      <c r="AG25" s="129">
        <v>0</v>
      </c>
      <c r="AH25" s="5" t="s">
        <v>489</v>
      </c>
      <c r="AI25" s="137" t="str">
        <f t="shared" si="11"/>
        <v>PLLTS16FFCLAFRACF_Main</v>
      </c>
    </row>
    <row r="26" spans="1:35" x14ac:dyDescent="0.25">
      <c r="A26" s="130" t="s">
        <v>11</v>
      </c>
      <c r="B26" s="130" t="s">
        <v>124</v>
      </c>
      <c r="C26" s="128" t="str">
        <f t="shared" si="12"/>
        <v>PGD</v>
      </c>
      <c r="D26" s="146">
        <f t="shared" si="12"/>
        <v>44499</v>
      </c>
      <c r="E26" s="109" t="str">
        <f t="shared" si="12"/>
        <v>5 Analog</v>
      </c>
      <c r="F26" s="109" t="str">
        <f t="shared" si="12"/>
        <v>Power</v>
      </c>
      <c r="G26" s="111">
        <v>1</v>
      </c>
      <c r="H26" s="109">
        <f t="shared" si="1"/>
        <v>3.2360814570809868</v>
      </c>
      <c r="I26" s="111" t="str">
        <f t="shared" si="2"/>
        <v>ON</v>
      </c>
      <c r="J26" s="129">
        <v>0</v>
      </c>
      <c r="K26" s="143" t="str">
        <f>INDEX('Use Cases'!$A$3:$CZ$400,MATCH($A26&amp;$B26,'Use Cases'!$A$3:$A$400,0),MATCH(Use_Case,'Use Cases'!$A$3:$CZ$3,0)+1)</f>
        <v>on</v>
      </c>
      <c r="L26" s="147">
        <f>INDEX('Use Cases'!$A$3:$CZ$400,MATCH($A26&amp;$B26,'Use Cases'!$A$3:$A$400,0),MATCH(Use_Case,'Use Cases'!$A$3:$CZ$3,0))</f>
        <v>0</v>
      </c>
      <c r="M26" s="129">
        <v>0</v>
      </c>
      <c r="N26" s="109">
        <f t="shared" si="3"/>
        <v>0</v>
      </c>
      <c r="O26" s="109">
        <f t="shared" si="4"/>
        <v>0</v>
      </c>
      <c r="P26" s="129">
        <v>0</v>
      </c>
      <c r="Q26" s="109">
        <f t="shared" si="5"/>
        <v>4.0058729808258746E-2</v>
      </c>
      <c r="R26" s="109">
        <f t="shared" si="6"/>
        <v>3.196022727272728</v>
      </c>
      <c r="S26" s="109">
        <f t="shared" si="7"/>
        <v>0</v>
      </c>
      <c r="T26" s="109">
        <f t="shared" si="8"/>
        <v>0</v>
      </c>
      <c r="U26" s="109">
        <f t="shared" si="9"/>
        <v>0</v>
      </c>
      <c r="V26" s="109">
        <f t="shared" si="10"/>
        <v>0</v>
      </c>
      <c r="W26" s="109" t="s">
        <v>1038</v>
      </c>
      <c r="X26" s="111" t="s">
        <v>9</v>
      </c>
      <c r="Y26" s="111" t="s">
        <v>116</v>
      </c>
      <c r="Z26" s="111" t="s">
        <v>116</v>
      </c>
      <c r="AA26" s="111" t="s">
        <v>54</v>
      </c>
      <c r="AB26" s="111" t="s">
        <v>54</v>
      </c>
      <c r="AC26" s="111">
        <v>0</v>
      </c>
      <c r="AD26" s="129">
        <v>0</v>
      </c>
      <c r="AE26" s="129">
        <v>0</v>
      </c>
      <c r="AF26" s="129">
        <v>0</v>
      </c>
      <c r="AG26" s="129">
        <v>0</v>
      </c>
      <c r="AH26" s="5" t="s">
        <v>492</v>
      </c>
      <c r="AI26" s="137" t="str">
        <f t="shared" si="11"/>
        <v>PGD_MAIN_CORE</v>
      </c>
    </row>
    <row r="27" spans="1:35" x14ac:dyDescent="0.25">
      <c r="A27" s="130" t="s">
        <v>80</v>
      </c>
      <c r="B27" s="130" t="s">
        <v>243</v>
      </c>
      <c r="C27" s="128" t="str">
        <f t="shared" si="12"/>
        <v>POK</v>
      </c>
      <c r="D27" s="146">
        <f t="shared" si="12"/>
        <v>44499</v>
      </c>
      <c r="E27" s="109" t="str">
        <f t="shared" si="12"/>
        <v>5 Analog</v>
      </c>
      <c r="F27" s="109" t="str">
        <f t="shared" si="12"/>
        <v>Power</v>
      </c>
      <c r="G27" s="111">
        <v>1</v>
      </c>
      <c r="H27" s="109">
        <f t="shared" si="1"/>
        <v>9.5228427117442602E-2</v>
      </c>
      <c r="I27" s="111" t="str">
        <f t="shared" si="2"/>
        <v>ON</v>
      </c>
      <c r="J27" s="129">
        <v>0</v>
      </c>
      <c r="K27" s="143" t="str">
        <f>INDEX('Use Cases'!$A$3:$CZ$400,MATCH($A27&amp;$B27,'Use Cases'!$A$3:$A$400,0),MATCH(Use_Case,'Use Cases'!$A$3:$CZ$3,0)+1)</f>
        <v>on</v>
      </c>
      <c r="L27" s="147">
        <f>INDEX('Use Cases'!$A$3:$CZ$400,MATCH($A27&amp;$B27,'Use Cases'!$A$3:$A$400,0),MATCH(Use_Case,'Use Cases'!$A$3:$CZ$3,0))</f>
        <v>0</v>
      </c>
      <c r="M27" s="129">
        <v>0</v>
      </c>
      <c r="N27" s="109">
        <f t="shared" si="3"/>
        <v>1.5222317327138323E-3</v>
      </c>
      <c r="O27" s="109">
        <f t="shared" si="4"/>
        <v>0</v>
      </c>
      <c r="P27" s="129">
        <v>0</v>
      </c>
      <c r="Q27" s="109">
        <f t="shared" si="5"/>
        <v>0</v>
      </c>
      <c r="R27" s="109">
        <f t="shared" si="6"/>
        <v>0</v>
      </c>
      <c r="S27" s="109">
        <f t="shared" si="7"/>
        <v>8.2200513566546951E-2</v>
      </c>
      <c r="T27" s="109">
        <f t="shared" si="8"/>
        <v>1.1505681818181819E-2</v>
      </c>
      <c r="U27" s="109">
        <f t="shared" si="9"/>
        <v>0</v>
      </c>
      <c r="V27" s="109">
        <f t="shared" si="10"/>
        <v>0</v>
      </c>
      <c r="W27" s="109" t="s">
        <v>1038</v>
      </c>
      <c r="X27" s="111" t="s">
        <v>9</v>
      </c>
      <c r="Y27" s="111" t="s">
        <v>116</v>
      </c>
      <c r="Z27" s="111" t="s">
        <v>54</v>
      </c>
      <c r="AA27" s="111" t="s">
        <v>355</v>
      </c>
      <c r="AB27" s="111" t="s">
        <v>54</v>
      </c>
      <c r="AC27" s="111">
        <v>0</v>
      </c>
      <c r="AD27" s="129">
        <v>0</v>
      </c>
      <c r="AE27" s="129">
        <v>0</v>
      </c>
      <c r="AF27" s="129">
        <v>0</v>
      </c>
      <c r="AG27" s="129">
        <v>0</v>
      </c>
      <c r="AH27" s="5" t="s">
        <v>492</v>
      </c>
      <c r="AI27" s="137" t="str">
        <f t="shared" si="11"/>
        <v>N16FFC_POK_PMIC_IN_OV</v>
      </c>
    </row>
    <row r="28" spans="1:35" x14ac:dyDescent="0.25">
      <c r="A28" s="130" t="s">
        <v>80</v>
      </c>
      <c r="B28" s="130" t="s">
        <v>121</v>
      </c>
      <c r="C28" s="128" t="str">
        <f t="shared" si="12"/>
        <v>POK</v>
      </c>
      <c r="D28" s="146">
        <f t="shared" si="12"/>
        <v>44499</v>
      </c>
      <c r="E28" s="109" t="str">
        <f t="shared" si="12"/>
        <v>5 Analog</v>
      </c>
      <c r="F28" s="109" t="str">
        <f t="shared" si="12"/>
        <v>Power</v>
      </c>
      <c r="G28" s="111">
        <v>1</v>
      </c>
      <c r="H28" s="109">
        <f t="shared" si="1"/>
        <v>9.5228427117442602E-2</v>
      </c>
      <c r="I28" s="111" t="str">
        <f t="shared" si="2"/>
        <v>ON</v>
      </c>
      <c r="J28" s="129">
        <v>0</v>
      </c>
      <c r="K28" s="143" t="str">
        <f>INDEX('Use Cases'!$A$3:$CZ$400,MATCH($A28&amp;$B28,'Use Cases'!$A$3:$A$400,0),MATCH(Use_Case,'Use Cases'!$A$3:$CZ$3,0)+1)</f>
        <v>on</v>
      </c>
      <c r="L28" s="147">
        <f>INDEX('Use Cases'!$A$3:$CZ$400,MATCH($A28&amp;$B28,'Use Cases'!$A$3:$A$400,0),MATCH(Use_Case,'Use Cases'!$A$3:$CZ$3,0))</f>
        <v>0</v>
      </c>
      <c r="M28" s="129">
        <v>0</v>
      </c>
      <c r="N28" s="109">
        <f t="shared" si="3"/>
        <v>1.5222317327138323E-3</v>
      </c>
      <c r="O28" s="109">
        <f t="shared" si="4"/>
        <v>0</v>
      </c>
      <c r="P28" s="129">
        <v>0</v>
      </c>
      <c r="Q28" s="109">
        <f t="shared" si="5"/>
        <v>0</v>
      </c>
      <c r="R28" s="109">
        <f t="shared" si="6"/>
        <v>0</v>
      </c>
      <c r="S28" s="109">
        <f t="shared" si="7"/>
        <v>8.2200513566546951E-2</v>
      </c>
      <c r="T28" s="109">
        <f t="shared" si="8"/>
        <v>1.1505681818181819E-2</v>
      </c>
      <c r="U28" s="109">
        <f t="shared" si="9"/>
        <v>0</v>
      </c>
      <c r="V28" s="109">
        <f t="shared" si="10"/>
        <v>0</v>
      </c>
      <c r="W28" s="109" t="s">
        <v>1038</v>
      </c>
      <c r="X28" s="111" t="s">
        <v>9</v>
      </c>
      <c r="Y28" s="111" t="s">
        <v>116</v>
      </c>
      <c r="Z28" s="111" t="s">
        <v>54</v>
      </c>
      <c r="AA28" s="111" t="s">
        <v>355</v>
      </c>
      <c r="AB28" s="111" t="s">
        <v>54</v>
      </c>
      <c r="AC28" s="111">
        <v>0</v>
      </c>
      <c r="AD28" s="129">
        <v>0</v>
      </c>
      <c r="AE28" s="129">
        <v>0</v>
      </c>
      <c r="AF28" s="129">
        <v>0</v>
      </c>
      <c r="AG28" s="129">
        <v>0</v>
      </c>
      <c r="AH28" s="5" t="s">
        <v>492</v>
      </c>
      <c r="AI28" s="137" t="str">
        <f t="shared" si="11"/>
        <v>N16FFC_POK_VDD_CORE_OV</v>
      </c>
    </row>
    <row r="29" spans="1:35" x14ac:dyDescent="0.25">
      <c r="A29" s="130" t="s">
        <v>80</v>
      </c>
      <c r="B29" s="130" t="s">
        <v>120</v>
      </c>
      <c r="C29" s="128" t="str">
        <f t="shared" si="12"/>
        <v>POK</v>
      </c>
      <c r="D29" s="146">
        <f t="shared" si="12"/>
        <v>44499</v>
      </c>
      <c r="E29" s="109" t="str">
        <f t="shared" si="12"/>
        <v>5 Analog</v>
      </c>
      <c r="F29" s="109" t="str">
        <f t="shared" si="12"/>
        <v>Power</v>
      </c>
      <c r="G29" s="111">
        <v>1</v>
      </c>
      <c r="H29" s="109">
        <f t="shared" si="1"/>
        <v>9.5228427117442602E-2</v>
      </c>
      <c r="I29" s="111" t="str">
        <f t="shared" si="2"/>
        <v>ON</v>
      </c>
      <c r="J29" s="129">
        <v>0</v>
      </c>
      <c r="K29" s="143" t="str">
        <f>INDEX('Use Cases'!$A$3:$CZ$400,MATCH($A29&amp;$B29,'Use Cases'!$A$3:$A$400,0),MATCH(Use_Case,'Use Cases'!$A$3:$CZ$3,0)+1)</f>
        <v>on</v>
      </c>
      <c r="L29" s="147">
        <f>INDEX('Use Cases'!$A$3:$CZ$400,MATCH($A29&amp;$B29,'Use Cases'!$A$3:$A$400,0),MATCH(Use_Case,'Use Cases'!$A$3:$CZ$3,0))</f>
        <v>0</v>
      </c>
      <c r="M29" s="129">
        <v>0</v>
      </c>
      <c r="N29" s="109">
        <f t="shared" si="3"/>
        <v>1.5222317327138323E-3</v>
      </c>
      <c r="O29" s="109">
        <f t="shared" si="4"/>
        <v>0</v>
      </c>
      <c r="P29" s="129">
        <v>0</v>
      </c>
      <c r="Q29" s="109">
        <f t="shared" si="5"/>
        <v>0</v>
      </c>
      <c r="R29" s="109">
        <f t="shared" si="6"/>
        <v>0</v>
      </c>
      <c r="S29" s="109">
        <f t="shared" si="7"/>
        <v>8.2200513566546951E-2</v>
      </c>
      <c r="T29" s="109">
        <f t="shared" si="8"/>
        <v>1.1505681818181819E-2</v>
      </c>
      <c r="U29" s="109">
        <f t="shared" si="9"/>
        <v>0</v>
      </c>
      <c r="V29" s="109">
        <f t="shared" si="10"/>
        <v>0</v>
      </c>
      <c r="W29" s="109" t="s">
        <v>1038</v>
      </c>
      <c r="X29" s="111" t="s">
        <v>9</v>
      </c>
      <c r="Y29" s="111" t="s">
        <v>116</v>
      </c>
      <c r="Z29" s="111" t="s">
        <v>54</v>
      </c>
      <c r="AA29" s="111" t="s">
        <v>355</v>
      </c>
      <c r="AB29" s="111" t="s">
        <v>54</v>
      </c>
      <c r="AC29" s="111">
        <v>0</v>
      </c>
      <c r="AD29" s="129">
        <v>0</v>
      </c>
      <c r="AE29" s="129">
        <v>0</v>
      </c>
      <c r="AF29" s="129">
        <v>0</v>
      </c>
      <c r="AG29" s="129">
        <v>0</v>
      </c>
      <c r="AH29" s="5" t="s">
        <v>492</v>
      </c>
      <c r="AI29" s="137" t="str">
        <f t="shared" si="11"/>
        <v>N16FFC_POK_VDD_CORE_UV</v>
      </c>
    </row>
    <row r="30" spans="1:35" x14ac:dyDescent="0.25">
      <c r="A30" s="130" t="s">
        <v>80</v>
      </c>
      <c r="B30" s="130" t="s">
        <v>123</v>
      </c>
      <c r="C30" s="128" t="str">
        <f t="shared" si="12"/>
        <v>POK</v>
      </c>
      <c r="D30" s="146">
        <f t="shared" si="12"/>
        <v>44499</v>
      </c>
      <c r="E30" s="109" t="str">
        <f t="shared" si="12"/>
        <v>5 Analog</v>
      </c>
      <c r="F30" s="109" t="str">
        <f t="shared" si="12"/>
        <v>Power</v>
      </c>
      <c r="G30" s="111">
        <v>1</v>
      </c>
      <c r="H30" s="109">
        <f t="shared" si="1"/>
        <v>9.5228427117442602E-2</v>
      </c>
      <c r="I30" s="111" t="str">
        <f t="shared" si="2"/>
        <v>ON</v>
      </c>
      <c r="J30" s="129">
        <v>0</v>
      </c>
      <c r="K30" s="143" t="str">
        <f>INDEX('Use Cases'!$A$3:$CZ$400,MATCH($A30&amp;$B30,'Use Cases'!$A$3:$A$400,0),MATCH(Use_Case,'Use Cases'!$A$3:$CZ$3,0)+1)</f>
        <v>on</v>
      </c>
      <c r="L30" s="147">
        <f>INDEX('Use Cases'!$A$3:$CZ$400,MATCH($A30&amp;$B30,'Use Cases'!$A$3:$A$400,0),MATCH(Use_Case,'Use Cases'!$A$3:$CZ$3,0))</f>
        <v>0</v>
      </c>
      <c r="M30" s="129">
        <v>0</v>
      </c>
      <c r="N30" s="109">
        <f t="shared" si="3"/>
        <v>1.5222317327138323E-3</v>
      </c>
      <c r="O30" s="109">
        <f t="shared" si="4"/>
        <v>0</v>
      </c>
      <c r="P30" s="129">
        <v>0</v>
      </c>
      <c r="Q30" s="109">
        <f t="shared" si="5"/>
        <v>0</v>
      </c>
      <c r="R30" s="109">
        <f t="shared" si="6"/>
        <v>0</v>
      </c>
      <c r="S30" s="109">
        <f t="shared" si="7"/>
        <v>8.2200513566546951E-2</v>
      </c>
      <c r="T30" s="109">
        <f t="shared" si="8"/>
        <v>1.1505681818181819E-2</v>
      </c>
      <c r="U30" s="109">
        <f t="shared" si="9"/>
        <v>0</v>
      </c>
      <c r="V30" s="109">
        <f t="shared" si="10"/>
        <v>0</v>
      </c>
      <c r="W30" s="109" t="s">
        <v>1038</v>
      </c>
      <c r="X30" s="111" t="s">
        <v>9</v>
      </c>
      <c r="Y30" s="111" t="s">
        <v>116</v>
      </c>
      <c r="Z30" s="111" t="s">
        <v>54</v>
      </c>
      <c r="AA30" s="111" t="s">
        <v>355</v>
      </c>
      <c r="AB30" s="111" t="s">
        <v>54</v>
      </c>
      <c r="AC30" s="111">
        <v>0</v>
      </c>
      <c r="AD30" s="129">
        <v>0</v>
      </c>
      <c r="AE30" s="129">
        <v>0</v>
      </c>
      <c r="AF30" s="129">
        <v>0</v>
      </c>
      <c r="AG30" s="129">
        <v>0</v>
      </c>
      <c r="AH30" s="5" t="s">
        <v>492</v>
      </c>
      <c r="AI30" s="137" t="str">
        <f t="shared" si="11"/>
        <v>N16FFC_POK_VDDR_CORE_OV</v>
      </c>
    </row>
    <row r="31" spans="1:35" x14ac:dyDescent="0.25">
      <c r="A31" s="130" t="s">
        <v>80</v>
      </c>
      <c r="B31" s="130" t="s">
        <v>122</v>
      </c>
      <c r="C31" s="128" t="str">
        <f t="shared" si="12"/>
        <v>POK</v>
      </c>
      <c r="D31" s="146">
        <f t="shared" si="12"/>
        <v>44499</v>
      </c>
      <c r="E31" s="109" t="str">
        <f t="shared" si="12"/>
        <v>5 Analog</v>
      </c>
      <c r="F31" s="109" t="str">
        <f t="shared" si="12"/>
        <v>Power</v>
      </c>
      <c r="G31" s="111">
        <v>1</v>
      </c>
      <c r="H31" s="109">
        <f t="shared" si="1"/>
        <v>9.5228427117442602E-2</v>
      </c>
      <c r="I31" s="111" t="str">
        <f t="shared" si="2"/>
        <v>ON</v>
      </c>
      <c r="J31" s="129">
        <v>0</v>
      </c>
      <c r="K31" s="143" t="str">
        <f>INDEX('Use Cases'!$A$3:$CZ$400,MATCH($A31&amp;$B31,'Use Cases'!$A$3:$A$400,0),MATCH(Use_Case,'Use Cases'!$A$3:$CZ$3,0)+1)</f>
        <v>on</v>
      </c>
      <c r="L31" s="147">
        <f>INDEX('Use Cases'!$A$3:$CZ$400,MATCH($A31&amp;$B31,'Use Cases'!$A$3:$A$400,0),MATCH(Use_Case,'Use Cases'!$A$3:$CZ$3,0))</f>
        <v>0</v>
      </c>
      <c r="M31" s="129">
        <v>0</v>
      </c>
      <c r="N31" s="109">
        <f t="shared" si="3"/>
        <v>1.5222317327138323E-3</v>
      </c>
      <c r="O31" s="109">
        <f t="shared" si="4"/>
        <v>0</v>
      </c>
      <c r="P31" s="129">
        <v>0</v>
      </c>
      <c r="Q31" s="109">
        <f t="shared" si="5"/>
        <v>0</v>
      </c>
      <c r="R31" s="109">
        <f t="shared" si="6"/>
        <v>0</v>
      </c>
      <c r="S31" s="109">
        <f t="shared" si="7"/>
        <v>8.2200513566546951E-2</v>
      </c>
      <c r="T31" s="109">
        <f t="shared" si="8"/>
        <v>1.1505681818181819E-2</v>
      </c>
      <c r="U31" s="109">
        <f t="shared" si="9"/>
        <v>0</v>
      </c>
      <c r="V31" s="109">
        <f t="shared" si="10"/>
        <v>0</v>
      </c>
      <c r="W31" s="109" t="s">
        <v>1038</v>
      </c>
      <c r="X31" s="111" t="s">
        <v>9</v>
      </c>
      <c r="Y31" s="111" t="s">
        <v>116</v>
      </c>
      <c r="Z31" s="111" t="s">
        <v>54</v>
      </c>
      <c r="AA31" s="111" t="s">
        <v>355</v>
      </c>
      <c r="AB31" s="111" t="s">
        <v>54</v>
      </c>
      <c r="AC31" s="111">
        <v>0</v>
      </c>
      <c r="AD31" s="129">
        <v>0</v>
      </c>
      <c r="AE31" s="129">
        <v>0</v>
      </c>
      <c r="AF31" s="129">
        <v>0</v>
      </c>
      <c r="AG31" s="129">
        <v>0</v>
      </c>
      <c r="AH31" s="5" t="s">
        <v>492</v>
      </c>
      <c r="AI31" s="137" t="str">
        <f t="shared" si="11"/>
        <v>N16FFC_POK_VDDR_CORE_UV</v>
      </c>
    </row>
    <row r="32" spans="1:35" x14ac:dyDescent="0.25">
      <c r="A32" s="130" t="s">
        <v>80</v>
      </c>
      <c r="B32" s="130" t="s">
        <v>125</v>
      </c>
      <c r="C32" s="128" t="str">
        <f t="shared" si="12"/>
        <v>POK</v>
      </c>
      <c r="D32" s="146">
        <f t="shared" si="12"/>
        <v>44499</v>
      </c>
      <c r="E32" s="109" t="str">
        <f t="shared" si="12"/>
        <v>5 Analog</v>
      </c>
      <c r="F32" s="109" t="str">
        <f t="shared" si="12"/>
        <v>Power</v>
      </c>
      <c r="G32" s="111">
        <v>1</v>
      </c>
      <c r="H32" s="109">
        <f t="shared" si="1"/>
        <v>9.5228427117442602E-2</v>
      </c>
      <c r="I32" s="111" t="str">
        <f t="shared" si="2"/>
        <v>ON</v>
      </c>
      <c r="J32" s="129">
        <v>0</v>
      </c>
      <c r="K32" s="143" t="str">
        <f>INDEX('Use Cases'!$A$3:$CZ$400,MATCH($A32&amp;$B32,'Use Cases'!$A$3:$A$400,0),MATCH(Use_Case,'Use Cases'!$A$3:$CZ$3,0)+1)</f>
        <v>on</v>
      </c>
      <c r="L32" s="147">
        <f>INDEX('Use Cases'!$A$3:$CZ$400,MATCH($A32&amp;$B32,'Use Cases'!$A$3:$A$400,0),MATCH(Use_Case,'Use Cases'!$A$3:$CZ$3,0))</f>
        <v>0</v>
      </c>
      <c r="M32" s="129">
        <v>0</v>
      </c>
      <c r="N32" s="109">
        <f t="shared" si="3"/>
        <v>1.5222317327138323E-3</v>
      </c>
      <c r="O32" s="109">
        <f t="shared" si="4"/>
        <v>0</v>
      </c>
      <c r="P32" s="129">
        <v>0</v>
      </c>
      <c r="Q32" s="109">
        <f t="shared" si="5"/>
        <v>0</v>
      </c>
      <c r="R32" s="109">
        <f t="shared" si="6"/>
        <v>0</v>
      </c>
      <c r="S32" s="109">
        <f t="shared" si="7"/>
        <v>8.2200513566546951E-2</v>
      </c>
      <c r="T32" s="109">
        <f t="shared" si="8"/>
        <v>1.1505681818181819E-2</v>
      </c>
      <c r="U32" s="109">
        <f t="shared" si="9"/>
        <v>0</v>
      </c>
      <c r="V32" s="109">
        <f t="shared" si="10"/>
        <v>0</v>
      </c>
      <c r="W32" s="109" t="s">
        <v>1038</v>
      </c>
      <c r="X32" s="111" t="s">
        <v>9</v>
      </c>
      <c r="Y32" s="111" t="s">
        <v>116</v>
      </c>
      <c r="Z32" s="111" t="s">
        <v>54</v>
      </c>
      <c r="AA32" s="111" t="s">
        <v>355</v>
      </c>
      <c r="AB32" s="111" t="s">
        <v>54</v>
      </c>
      <c r="AC32" s="111">
        <v>0</v>
      </c>
      <c r="AD32" s="129">
        <v>0</v>
      </c>
      <c r="AE32" s="129">
        <v>0</v>
      </c>
      <c r="AF32" s="129">
        <v>0</v>
      </c>
      <c r="AG32" s="129">
        <v>0</v>
      </c>
      <c r="AH32" s="5" t="s">
        <v>492</v>
      </c>
      <c r="AI32" s="137" t="str">
        <f t="shared" si="11"/>
        <v>N16FFC_POK_VMON_EXT_OV</v>
      </c>
    </row>
    <row r="33" spans="1:35" x14ac:dyDescent="0.25">
      <c r="A33" s="130" t="s">
        <v>83</v>
      </c>
      <c r="B33" s="130" t="s">
        <v>18</v>
      </c>
      <c r="C33" s="128" t="str">
        <f t="shared" si="12"/>
        <v>POKSA</v>
      </c>
      <c r="D33" s="146">
        <f t="shared" si="12"/>
        <v>44499</v>
      </c>
      <c r="E33" s="109" t="str">
        <f t="shared" si="12"/>
        <v>5 Analog</v>
      </c>
      <c r="F33" s="109" t="str">
        <f t="shared" si="12"/>
        <v>Power</v>
      </c>
      <c r="G33" s="111">
        <v>1</v>
      </c>
      <c r="H33" s="109">
        <f t="shared" si="1"/>
        <v>7.6082474216915996E-2</v>
      </c>
      <c r="I33" s="111" t="str">
        <f t="shared" si="2"/>
        <v>ON</v>
      </c>
      <c r="J33" s="129">
        <v>0</v>
      </c>
      <c r="K33" s="143" t="str">
        <f>INDEX('Use Cases'!$A$3:$CZ$400,MATCH($A33&amp;$B33,'Use Cases'!$A$3:$A$400,0),MATCH(Use_Case,'Use Cases'!$A$3:$CZ$3,0)+1)</f>
        <v>on</v>
      </c>
      <c r="L33" s="147">
        <f>INDEX('Use Cases'!$A$3:$CZ$400,MATCH($A33&amp;$B33,'Use Cases'!$A$3:$A$400,0),MATCH(Use_Case,'Use Cases'!$A$3:$CZ$3,0))</f>
        <v>0</v>
      </c>
      <c r="M33" s="129">
        <v>0</v>
      </c>
      <c r="N33" s="109">
        <f t="shared" si="3"/>
        <v>1.0721719033180453E-2</v>
      </c>
      <c r="O33" s="109">
        <f t="shared" si="4"/>
        <v>0</v>
      </c>
      <c r="P33" s="129">
        <v>0</v>
      </c>
      <c r="Q33" s="109">
        <f t="shared" si="5"/>
        <v>0</v>
      </c>
      <c r="R33" s="109">
        <f t="shared" si="6"/>
        <v>0</v>
      </c>
      <c r="S33" s="109">
        <f t="shared" si="7"/>
        <v>3.1628188034975198E-2</v>
      </c>
      <c r="T33" s="109">
        <f t="shared" si="8"/>
        <v>3.3732567148760335E-2</v>
      </c>
      <c r="U33" s="109">
        <f t="shared" si="9"/>
        <v>0</v>
      </c>
      <c r="V33" s="109">
        <f t="shared" si="10"/>
        <v>0</v>
      </c>
      <c r="W33" s="109" t="s">
        <v>1038</v>
      </c>
      <c r="X33" s="111" t="s">
        <v>9</v>
      </c>
      <c r="Y33" s="111" t="s">
        <v>116</v>
      </c>
      <c r="Z33" s="111" t="s">
        <v>54</v>
      </c>
      <c r="AA33" s="111" t="s">
        <v>355</v>
      </c>
      <c r="AB33" s="111" t="s">
        <v>54</v>
      </c>
      <c r="AC33" s="111">
        <v>0</v>
      </c>
      <c r="AD33" s="129">
        <v>0</v>
      </c>
      <c r="AE33" s="129">
        <v>0</v>
      </c>
      <c r="AF33" s="129">
        <v>0</v>
      </c>
      <c r="AG33" s="129">
        <v>0</v>
      </c>
      <c r="AH33" s="5" t="s">
        <v>492</v>
      </c>
      <c r="AI33" s="137" t="str">
        <f t="shared" si="11"/>
        <v>N16FFC_POKSA_0</v>
      </c>
    </row>
    <row r="34" spans="1:35" x14ac:dyDescent="0.25">
      <c r="A34" s="130" t="s">
        <v>74</v>
      </c>
      <c r="B34" s="130" t="s">
        <v>62</v>
      </c>
      <c r="C34" s="128" t="str">
        <f t="shared" si="12"/>
        <v>eFuse</v>
      </c>
      <c r="D34" s="146">
        <f t="shared" si="12"/>
        <v>44499</v>
      </c>
      <c r="E34" s="109" t="str">
        <f t="shared" si="12"/>
        <v>5 Analog</v>
      </c>
      <c r="F34" s="109" t="str">
        <f t="shared" si="12"/>
        <v>eFuse</v>
      </c>
      <c r="G34" s="111">
        <v>2</v>
      </c>
      <c r="H34" s="109">
        <f t="shared" ref="H34:H65" si="13">SUM(N34:V34)</f>
        <v>9.6140951539820992E-3</v>
      </c>
      <c r="I34" s="111" t="str">
        <f t="shared" ref="I34:I65" si="14">INDEX(PD_State_Table,MATCH(X34,PD_Table_Row_Header,0),2)</f>
        <v>ON</v>
      </c>
      <c r="J34" s="129">
        <v>0</v>
      </c>
      <c r="K34" s="143" t="s">
        <v>1284</v>
      </c>
      <c r="L34" s="147">
        <f>INDEX('Use Cases'!$A$3:$CZ$400,MATCH($A34&amp;$B34,'Use Cases'!$A$3:$A$400,0),MATCH(Use_Case,'Use Cases'!$A$3:$CZ$3,0))</f>
        <v>0</v>
      </c>
      <c r="M34" s="129">
        <v>0</v>
      </c>
      <c r="N34" s="109">
        <f t="shared" si="3"/>
        <v>9.6140951539820992E-3</v>
      </c>
      <c r="O34" s="109">
        <f t="shared" si="4"/>
        <v>0</v>
      </c>
      <c r="P34" s="129">
        <v>0</v>
      </c>
      <c r="Q34" s="109">
        <f t="shared" si="5"/>
        <v>0</v>
      </c>
      <c r="R34" s="109">
        <f t="shared" si="6"/>
        <v>0</v>
      </c>
      <c r="S34" s="109">
        <f t="shared" ref="S34:S65" si="15">IFERROR(VLOOKUP($A34&amp;"_"&amp;S$1,MDB,6,0)*$G34*VLOOKUP($Y34,pwr_scale_table,2,0),0)</f>
        <v>0</v>
      </c>
      <c r="T34" s="109">
        <f t="shared" si="8"/>
        <v>0</v>
      </c>
      <c r="U34" s="109">
        <f t="shared" ref="U34:U65" si="16">IFERROR(VLOOKUP($A34&amp;"_"&amp;U$1,MDB,6,0)*$G34*VLOOKUP($Y34,pwr_scale_table,2,0),0)</f>
        <v>0</v>
      </c>
      <c r="V34" s="109">
        <f t="shared" si="10"/>
        <v>0</v>
      </c>
      <c r="W34" s="109" t="s">
        <v>1038</v>
      </c>
      <c r="X34" s="111" t="s">
        <v>9</v>
      </c>
      <c r="Y34" s="111" t="s">
        <v>116</v>
      </c>
      <c r="Z34" s="111" t="s">
        <v>54</v>
      </c>
      <c r="AA34" s="111" t="s">
        <v>54</v>
      </c>
      <c r="AB34" s="111" t="s">
        <v>1113</v>
      </c>
      <c r="AC34" s="111">
        <v>0</v>
      </c>
      <c r="AD34" s="129">
        <v>0</v>
      </c>
      <c r="AE34" s="129">
        <v>0</v>
      </c>
      <c r="AF34" s="129">
        <v>0</v>
      </c>
      <c r="AG34" s="129">
        <v>0</v>
      </c>
      <c r="AH34" s="5" t="s">
        <v>490</v>
      </c>
      <c r="AI34" s="137" t="str">
        <f t="shared" ref="AI34:AI65" si="17">A34&amp;B34</f>
        <v>TEF16FCLL256X32HD18_PHRM_main</v>
      </c>
    </row>
    <row r="35" spans="1:35" x14ac:dyDescent="0.25">
      <c r="A35" s="130" t="s">
        <v>85</v>
      </c>
      <c r="B35" s="130" t="s">
        <v>62</v>
      </c>
      <c r="C35" s="128" t="str">
        <f t="shared" si="12"/>
        <v>HSDIVIDER</v>
      </c>
      <c r="D35" s="146">
        <f t="shared" si="12"/>
        <v>44499</v>
      </c>
      <c r="E35" s="109" t="str">
        <f t="shared" si="12"/>
        <v>5 Analog</v>
      </c>
      <c r="F35" s="109" t="str">
        <f t="shared" si="12"/>
        <v>Clocking</v>
      </c>
      <c r="G35" s="111">
        <v>39</v>
      </c>
      <c r="H35" s="109">
        <f t="shared" si="13"/>
        <v>11.965909090909093</v>
      </c>
      <c r="I35" s="111" t="str">
        <f t="shared" si="14"/>
        <v>ON</v>
      </c>
      <c r="J35" s="129">
        <v>0</v>
      </c>
      <c r="K35" s="143">
        <f>INDEX('Use Cases'!$A$3:$CZ$400,MATCH($A35&amp;$B35,'Use Cases'!$A$3:$A$400,0),MATCH(Use_Case,'Use Cases'!$A$3:$CZ$3,0)+1)</f>
        <v>300</v>
      </c>
      <c r="L35" s="147">
        <f>INDEX('Use Cases'!$A$3:$CZ$400,MATCH($A35&amp;$B35,'Use Cases'!$A$3:$A$400,0),MATCH(Use_Case,'Use Cases'!$A$3:$CZ$3,0))</f>
        <v>0</v>
      </c>
      <c r="M35" s="129">
        <v>0</v>
      </c>
      <c r="N35" s="109">
        <f t="shared" si="3"/>
        <v>0</v>
      </c>
      <c r="O35" s="109">
        <f t="shared" si="4"/>
        <v>11.965909090909093</v>
      </c>
      <c r="P35" s="129">
        <v>0</v>
      </c>
      <c r="Q35" s="109">
        <f t="shared" si="5"/>
        <v>0</v>
      </c>
      <c r="R35" s="109">
        <f t="shared" si="6"/>
        <v>0</v>
      </c>
      <c r="S35" s="109">
        <f t="shared" si="15"/>
        <v>0</v>
      </c>
      <c r="T35" s="109">
        <f t="shared" si="8"/>
        <v>0</v>
      </c>
      <c r="U35" s="109">
        <f t="shared" si="16"/>
        <v>0</v>
      </c>
      <c r="V35" s="109">
        <f t="shared" si="10"/>
        <v>0</v>
      </c>
      <c r="W35" s="109" t="s">
        <v>1038</v>
      </c>
      <c r="X35" s="111" t="s">
        <v>9</v>
      </c>
      <c r="Y35" s="111" t="s">
        <v>116</v>
      </c>
      <c r="Z35" s="111" t="s">
        <v>54</v>
      </c>
      <c r="AA35" s="111" t="s">
        <v>54</v>
      </c>
      <c r="AB35" s="111" t="s">
        <v>54</v>
      </c>
      <c r="AC35" s="111">
        <v>0</v>
      </c>
      <c r="AD35" s="129">
        <v>0</v>
      </c>
      <c r="AE35" s="129">
        <v>0</v>
      </c>
      <c r="AF35" s="129">
        <v>0</v>
      </c>
      <c r="AG35" s="129">
        <v>0</v>
      </c>
      <c r="AH35" s="5" t="s">
        <v>624</v>
      </c>
      <c r="AI35" s="137" t="str">
        <f t="shared" si="17"/>
        <v>DIVTS16FFC1TO128A_main</v>
      </c>
    </row>
    <row r="36" spans="1:35" x14ac:dyDescent="0.25">
      <c r="A36" s="130" t="s">
        <v>607</v>
      </c>
      <c r="B36" s="130" t="s">
        <v>18</v>
      </c>
      <c r="C36" s="128" t="str">
        <f t="shared" si="12"/>
        <v>DPHY 1.2 RX - 4L</v>
      </c>
      <c r="D36" s="146">
        <f t="shared" si="12"/>
        <v>44499</v>
      </c>
      <c r="E36" s="109" t="str">
        <f t="shared" si="12"/>
        <v>6 IO</v>
      </c>
      <c r="F36" s="109" t="str">
        <f t="shared" si="12"/>
        <v>SerDes</v>
      </c>
      <c r="G36" s="111">
        <v>1</v>
      </c>
      <c r="H36" s="109">
        <f t="shared" si="13"/>
        <v>0</v>
      </c>
      <c r="I36" s="111" t="str">
        <f t="shared" si="14"/>
        <v>ON</v>
      </c>
      <c r="J36" s="129">
        <v>0</v>
      </c>
      <c r="K36" s="143" t="str">
        <f>INDEX('Use Cases'!$A$3:$CZ$400,MATCH($A36&amp;$B36,'Use Cases'!$A$3:$A$400,0),MATCH(Use_Case,'Use Cases'!$A$3:$CZ$3,0)+1)</f>
        <v>2p5g4l_75pct</v>
      </c>
      <c r="L36" s="147">
        <f>INDEX('Use Cases'!$A$3:$CZ$400,MATCH($A36&amp;$B36,'Use Cases'!$A$3:$A$400,0),MATCH(Use_Case,'Use Cases'!$A$3:$CZ$3,0))</f>
        <v>0</v>
      </c>
      <c r="M36" s="129">
        <v>0</v>
      </c>
      <c r="N36" s="109">
        <f t="shared" si="3"/>
        <v>0</v>
      </c>
      <c r="O36" s="109">
        <f t="shared" si="4"/>
        <v>0</v>
      </c>
      <c r="P36" s="129">
        <v>0</v>
      </c>
      <c r="Q36" s="109">
        <f t="shared" si="5"/>
        <v>0</v>
      </c>
      <c r="R36" s="109">
        <f t="shared" si="6"/>
        <v>0</v>
      </c>
      <c r="S36" s="109">
        <f t="shared" si="15"/>
        <v>0</v>
      </c>
      <c r="T36" s="109">
        <f t="shared" si="8"/>
        <v>0</v>
      </c>
      <c r="U36" s="109">
        <f t="shared" si="16"/>
        <v>0</v>
      </c>
      <c r="V36" s="109">
        <f t="shared" si="10"/>
        <v>0</v>
      </c>
      <c r="W36" s="109" t="s">
        <v>1038</v>
      </c>
      <c r="X36" s="111" t="s">
        <v>9</v>
      </c>
      <c r="Y36" s="111" t="s">
        <v>116</v>
      </c>
      <c r="Z36" s="111" t="s">
        <v>361</v>
      </c>
      <c r="AA36" s="111" t="s">
        <v>359</v>
      </c>
      <c r="AB36" s="111" t="s">
        <v>54</v>
      </c>
      <c r="AC36" s="111">
        <v>0</v>
      </c>
      <c r="AD36" s="129">
        <v>0</v>
      </c>
      <c r="AE36" s="129">
        <v>0</v>
      </c>
      <c r="AF36" s="129">
        <v>0</v>
      </c>
      <c r="AG36" s="129">
        <v>0</v>
      </c>
      <c r="AH36" s="5" t="s">
        <v>493</v>
      </c>
      <c r="AI36" s="137" t="str">
        <f t="shared" si="17"/>
        <v>sd0901_rx4_0</v>
      </c>
    </row>
    <row r="37" spans="1:35" x14ac:dyDescent="0.25">
      <c r="A37" s="130" t="s">
        <v>608</v>
      </c>
      <c r="B37" s="130" t="s">
        <v>18</v>
      </c>
      <c r="C37" s="128" t="str">
        <f t="shared" si="12"/>
        <v>USB2 - PHY</v>
      </c>
      <c r="D37" s="146">
        <f t="shared" si="12"/>
        <v>44499</v>
      </c>
      <c r="E37" s="109" t="str">
        <f t="shared" si="12"/>
        <v>6 IO</v>
      </c>
      <c r="F37" s="109" t="str">
        <f t="shared" si="12"/>
        <v>Special</v>
      </c>
      <c r="G37" s="111">
        <v>1</v>
      </c>
      <c r="H37" s="109">
        <f t="shared" si="13"/>
        <v>12.077697249483473</v>
      </c>
      <c r="I37" s="111" t="str">
        <f t="shared" si="14"/>
        <v>ON</v>
      </c>
      <c r="J37" s="129">
        <v>0</v>
      </c>
      <c r="K37" s="143" t="str">
        <f>INDEX('Use Cases'!$A$3:$CZ$400,MATCH($A37&amp;$B37,'Use Cases'!$A$3:$A$400,0),MATCH(Use_Case,'Use Cases'!$A$3:$CZ$3,0)+1)</f>
        <v>host_fs</v>
      </c>
      <c r="L37" s="147">
        <f>INDEX('Use Cases'!$A$3:$CZ$400,MATCH($A37&amp;$B37,'Use Cases'!$A$3:$A$400,0),MATCH(Use_Case,'Use Cases'!$A$3:$CZ$3,0))</f>
        <v>1</v>
      </c>
      <c r="M37" s="129">
        <v>0</v>
      </c>
      <c r="N37" s="109">
        <f t="shared" si="3"/>
        <v>0</v>
      </c>
      <c r="O37" s="109">
        <f t="shared" si="4"/>
        <v>1.1534736570247937</v>
      </c>
      <c r="P37" s="129">
        <v>0</v>
      </c>
      <c r="Q37" s="109">
        <f t="shared" si="5"/>
        <v>0</v>
      </c>
      <c r="R37" s="109">
        <f t="shared" si="6"/>
        <v>0.13510459710743802</v>
      </c>
      <c r="S37" s="109">
        <f t="shared" si="15"/>
        <v>0</v>
      </c>
      <c r="T37" s="109">
        <f t="shared" si="8"/>
        <v>4.092725012913224</v>
      </c>
      <c r="U37" s="109">
        <f t="shared" si="16"/>
        <v>0</v>
      </c>
      <c r="V37" s="109">
        <f t="shared" si="10"/>
        <v>6.6963939824380168</v>
      </c>
      <c r="W37" s="109" t="s">
        <v>1038</v>
      </c>
      <c r="X37" s="111" t="s">
        <v>9</v>
      </c>
      <c r="Y37" s="111" t="s">
        <v>116</v>
      </c>
      <c r="Z37" s="111" t="s">
        <v>362</v>
      </c>
      <c r="AA37" s="111" t="s">
        <v>117</v>
      </c>
      <c r="AB37" s="111" t="s">
        <v>118</v>
      </c>
      <c r="AC37" s="111">
        <v>0</v>
      </c>
      <c r="AD37" s="129">
        <v>0</v>
      </c>
      <c r="AE37" s="129">
        <v>0</v>
      </c>
      <c r="AF37" s="129">
        <v>0</v>
      </c>
      <c r="AG37" s="129">
        <v>0</v>
      </c>
      <c r="AH37" s="5" t="s">
        <v>496</v>
      </c>
      <c r="AI37" s="137" t="str">
        <f t="shared" si="17"/>
        <v>sd1000_0</v>
      </c>
    </row>
    <row r="38" spans="1:35" x14ac:dyDescent="0.25">
      <c r="A38" s="130" t="s">
        <v>608</v>
      </c>
      <c r="B38" s="130" t="s">
        <v>19</v>
      </c>
      <c r="C38" s="128" t="str">
        <f t="shared" si="12"/>
        <v>USB2 - PHY</v>
      </c>
      <c r="D38" s="146">
        <f t="shared" si="12"/>
        <v>44499</v>
      </c>
      <c r="E38" s="109" t="str">
        <f t="shared" si="12"/>
        <v>6 IO</v>
      </c>
      <c r="F38" s="109" t="str">
        <f t="shared" si="12"/>
        <v>Special</v>
      </c>
      <c r="G38" s="111">
        <v>1</v>
      </c>
      <c r="H38" s="109">
        <f t="shared" si="13"/>
        <v>15.915103628615705</v>
      </c>
      <c r="I38" s="111" t="str">
        <f t="shared" si="14"/>
        <v>ON</v>
      </c>
      <c r="J38" s="129">
        <v>0</v>
      </c>
      <c r="K38" s="143" t="str">
        <f>INDEX('Use Cases'!$A$3:$CZ$400,MATCH($A38&amp;$B38,'Use Cases'!$A$3:$A$400,0),MATCH(Use_Case,'Use Cases'!$A$3:$CZ$3,0)+1)</f>
        <v>device_hs</v>
      </c>
      <c r="L38" s="147">
        <f>INDEX('Use Cases'!$A$3:$CZ$400,MATCH($A38&amp;$B38,'Use Cases'!$A$3:$A$400,0),MATCH(Use_Case,'Use Cases'!$A$3:$CZ$3,0))</f>
        <v>1</v>
      </c>
      <c r="M38" s="129">
        <v>0</v>
      </c>
      <c r="N38" s="109">
        <f t="shared" si="3"/>
        <v>0</v>
      </c>
      <c r="O38" s="109">
        <f t="shared" si="4"/>
        <v>1.1952398631198349</v>
      </c>
      <c r="P38" s="129">
        <v>0</v>
      </c>
      <c r="Q38" s="109">
        <f t="shared" si="5"/>
        <v>0</v>
      </c>
      <c r="R38" s="109">
        <f t="shared" si="6"/>
        <v>3.9732373450413228</v>
      </c>
      <c r="S38" s="109">
        <f t="shared" si="15"/>
        <v>0</v>
      </c>
      <c r="T38" s="109">
        <f t="shared" si="8"/>
        <v>9.3607147469008272</v>
      </c>
      <c r="U38" s="109">
        <f t="shared" si="16"/>
        <v>0</v>
      </c>
      <c r="V38" s="109">
        <f t="shared" si="10"/>
        <v>1.3859116735537191</v>
      </c>
      <c r="W38" s="109" t="s">
        <v>1038</v>
      </c>
      <c r="X38" s="111" t="s">
        <v>9</v>
      </c>
      <c r="Y38" s="111" t="s">
        <v>116</v>
      </c>
      <c r="Z38" s="111" t="s">
        <v>362</v>
      </c>
      <c r="AA38" s="111" t="s">
        <v>117</v>
      </c>
      <c r="AB38" s="111" t="s">
        <v>118</v>
      </c>
      <c r="AC38" s="111">
        <v>0</v>
      </c>
      <c r="AD38" s="129">
        <v>0</v>
      </c>
      <c r="AE38" s="129">
        <v>0</v>
      </c>
      <c r="AF38" s="129">
        <v>0</v>
      </c>
      <c r="AG38" s="129">
        <v>0</v>
      </c>
      <c r="AH38" s="5" t="s">
        <v>496</v>
      </c>
      <c r="AI38" s="137" t="str">
        <f t="shared" si="17"/>
        <v>sd1000_1</v>
      </c>
    </row>
    <row r="39" spans="1:35" x14ac:dyDescent="0.25">
      <c r="A39" s="130" t="s">
        <v>77</v>
      </c>
      <c r="B39" s="130" t="s">
        <v>18</v>
      </c>
      <c r="C39" s="128" t="str">
        <f t="shared" si="12"/>
        <v>HFOSC</v>
      </c>
      <c r="D39" s="146">
        <f t="shared" si="12"/>
        <v>44499</v>
      </c>
      <c r="E39" s="109" t="str">
        <f t="shared" si="12"/>
        <v>6 IO</v>
      </c>
      <c r="F39" s="109" t="str">
        <f t="shared" si="12"/>
        <v>OSC</v>
      </c>
      <c r="G39" s="111">
        <v>1</v>
      </c>
      <c r="H39" s="109">
        <f t="shared" si="13"/>
        <v>4.0693617722549016</v>
      </c>
      <c r="I39" s="111" t="str">
        <f t="shared" si="14"/>
        <v>ON</v>
      </c>
      <c r="J39" s="129">
        <v>0</v>
      </c>
      <c r="K39" s="143" t="str">
        <f>INDEX('Use Cases'!$A$3:$CZ$400,MATCH($A39&amp;$B39,'Use Cases'!$A$3:$A$400,0),MATCH(Use_Case,'Use Cases'!$A$3:$CZ$3,0)+1)</f>
        <v>on</v>
      </c>
      <c r="L39" s="147">
        <f>INDEX('Use Cases'!$A$3:$CZ$400,MATCH($A39&amp;$B39,'Use Cases'!$A$3:$A$400,0),MATCH(Use_Case,'Use Cases'!$A$3:$CZ$3,0))</f>
        <v>0</v>
      </c>
      <c r="M39" s="129">
        <v>0</v>
      </c>
      <c r="N39" s="109">
        <f t="shared" si="3"/>
        <v>0</v>
      </c>
      <c r="O39" s="109">
        <f t="shared" si="4"/>
        <v>0</v>
      </c>
      <c r="P39" s="129">
        <v>0</v>
      </c>
      <c r="Q39" s="109">
        <f t="shared" si="5"/>
        <v>0</v>
      </c>
      <c r="R39" s="109">
        <f t="shared" si="6"/>
        <v>0</v>
      </c>
      <c r="S39" s="109">
        <f t="shared" si="15"/>
        <v>1.6223859031760084E-2</v>
      </c>
      <c r="T39" s="109">
        <f t="shared" si="8"/>
        <v>4.0531379132231411</v>
      </c>
      <c r="U39" s="109">
        <f t="shared" si="16"/>
        <v>0</v>
      </c>
      <c r="V39" s="109">
        <f t="shared" si="10"/>
        <v>0</v>
      </c>
      <c r="W39" s="109" t="s">
        <v>1038</v>
      </c>
      <c r="X39" s="111" t="s">
        <v>9</v>
      </c>
      <c r="Y39" s="111" t="s">
        <v>116</v>
      </c>
      <c r="Z39" s="111" t="s">
        <v>54</v>
      </c>
      <c r="AA39" s="111" t="s">
        <v>363</v>
      </c>
      <c r="AB39" s="111" t="s">
        <v>54</v>
      </c>
      <c r="AC39" s="111">
        <v>0</v>
      </c>
      <c r="AD39" s="129">
        <v>0</v>
      </c>
      <c r="AE39" s="129">
        <v>0</v>
      </c>
      <c r="AF39" s="129">
        <v>0</v>
      </c>
      <c r="AG39" s="129">
        <v>0</v>
      </c>
      <c r="AH39" s="5" t="s">
        <v>492</v>
      </c>
      <c r="AI39" s="137" t="str">
        <f t="shared" si="17"/>
        <v>N16FFC_HFXOSC_0</v>
      </c>
    </row>
    <row r="40" spans="1:35" x14ac:dyDescent="0.25">
      <c r="A40" s="130" t="s">
        <v>76</v>
      </c>
      <c r="B40" s="130" t="s">
        <v>18</v>
      </c>
      <c r="C40" s="128" t="str">
        <f t="shared" si="12"/>
        <v>LFOSC</v>
      </c>
      <c r="D40" s="146">
        <f t="shared" si="12"/>
        <v>44499</v>
      </c>
      <c r="E40" s="109" t="str">
        <f t="shared" si="12"/>
        <v>6 IO</v>
      </c>
      <c r="F40" s="109" t="str">
        <f t="shared" si="12"/>
        <v>OSC</v>
      </c>
      <c r="G40" s="111">
        <v>1</v>
      </c>
      <c r="H40" s="109">
        <f t="shared" si="13"/>
        <v>6.7760549202718276E-3</v>
      </c>
      <c r="I40" s="111" t="str">
        <f t="shared" si="14"/>
        <v>ON</v>
      </c>
      <c r="J40" s="129">
        <v>0</v>
      </c>
      <c r="K40" s="143" t="str">
        <f>INDEX('Use Cases'!$A$3:$CZ$400,MATCH($A40&amp;$B40,'Use Cases'!$A$3:$A$400,0),MATCH(Use_Case,'Use Cases'!$A$3:$CZ$3,0)+1)</f>
        <v>on</v>
      </c>
      <c r="L40" s="147">
        <f>INDEX('Use Cases'!$A$3:$CZ$400,MATCH($A40&amp;$B40,'Use Cases'!$A$3:$A$400,0),MATCH(Use_Case,'Use Cases'!$A$3:$CZ$3,0))</f>
        <v>0</v>
      </c>
      <c r="M40" s="129">
        <v>0</v>
      </c>
      <c r="N40" s="109">
        <f t="shared" si="3"/>
        <v>0</v>
      </c>
      <c r="O40" s="109">
        <f t="shared" si="4"/>
        <v>0</v>
      </c>
      <c r="P40" s="129">
        <v>0</v>
      </c>
      <c r="Q40" s="109">
        <f t="shared" si="5"/>
        <v>0</v>
      </c>
      <c r="R40" s="109">
        <f t="shared" si="6"/>
        <v>0</v>
      </c>
      <c r="S40" s="109">
        <f t="shared" si="15"/>
        <v>4.8671577095280253E-3</v>
      </c>
      <c r="T40" s="109">
        <f t="shared" si="8"/>
        <v>1.9088972107438019E-3</v>
      </c>
      <c r="U40" s="109">
        <f t="shared" si="16"/>
        <v>0</v>
      </c>
      <c r="V40" s="109">
        <f t="shared" si="10"/>
        <v>0</v>
      </c>
      <c r="W40" s="109" t="s">
        <v>1038</v>
      </c>
      <c r="X40" s="111" t="s">
        <v>9</v>
      </c>
      <c r="Y40" s="111" t="s">
        <v>116</v>
      </c>
      <c r="Z40" s="111" t="s">
        <v>54</v>
      </c>
      <c r="AA40" s="111" t="s">
        <v>363</v>
      </c>
      <c r="AB40" s="111" t="s">
        <v>54</v>
      </c>
      <c r="AC40" s="111">
        <v>0</v>
      </c>
      <c r="AD40" s="129">
        <v>0</v>
      </c>
      <c r="AE40" s="129">
        <v>0</v>
      </c>
      <c r="AF40" s="129">
        <v>0</v>
      </c>
      <c r="AG40" s="129">
        <v>0</v>
      </c>
      <c r="AH40" s="5" t="s">
        <v>492</v>
      </c>
      <c r="AI40" s="137" t="str">
        <f t="shared" si="17"/>
        <v>N16FFC_LFXOSC_0</v>
      </c>
    </row>
    <row r="41" spans="1:35" x14ac:dyDescent="0.25">
      <c r="A41" s="130" t="s">
        <v>84</v>
      </c>
      <c r="B41" s="130" t="s">
        <v>18</v>
      </c>
      <c r="C41" s="128" t="str">
        <f t="shared" si="12"/>
        <v>RCOSC</v>
      </c>
      <c r="D41" s="146">
        <f t="shared" si="12"/>
        <v>44499</v>
      </c>
      <c r="E41" s="109" t="str">
        <f t="shared" si="12"/>
        <v>6 IO</v>
      </c>
      <c r="F41" s="109" t="str">
        <f t="shared" si="12"/>
        <v>OSC</v>
      </c>
      <c r="G41" s="111">
        <v>1</v>
      </c>
      <c r="H41" s="109">
        <f t="shared" si="13"/>
        <v>9.9956648546747018E-2</v>
      </c>
      <c r="I41" s="111" t="str">
        <f t="shared" si="14"/>
        <v>ON</v>
      </c>
      <c r="J41" s="129">
        <v>0</v>
      </c>
      <c r="K41" s="143" t="str">
        <f>INDEX('Use Cases'!$A$3:$CZ$400,MATCH($A41&amp;$B41,'Use Cases'!$A$3:$A$400,0),MATCH(Use_Case,'Use Cases'!$A$3:$CZ$3,0)+1)</f>
        <v>on</v>
      </c>
      <c r="L41" s="147">
        <f>INDEX('Use Cases'!$A$3:$CZ$400,MATCH($A41&amp;$B41,'Use Cases'!$A$3:$A$400,0),MATCH(Use_Case,'Use Cases'!$A$3:$CZ$3,0))</f>
        <v>0</v>
      </c>
      <c r="M41" s="129">
        <v>0</v>
      </c>
      <c r="N41" s="109">
        <f t="shared" si="3"/>
        <v>0</v>
      </c>
      <c r="O41" s="109">
        <f t="shared" si="4"/>
        <v>0</v>
      </c>
      <c r="P41" s="129">
        <v>0</v>
      </c>
      <c r="Q41" s="109">
        <f t="shared" si="5"/>
        <v>0</v>
      </c>
      <c r="R41" s="109">
        <f t="shared" si="6"/>
        <v>0</v>
      </c>
      <c r="S41" s="109">
        <f t="shared" si="15"/>
        <v>3.6544652162449488E-2</v>
      </c>
      <c r="T41" s="109">
        <f t="shared" si="8"/>
        <v>6.3411996384297523E-2</v>
      </c>
      <c r="U41" s="109">
        <f t="shared" si="16"/>
        <v>0</v>
      </c>
      <c r="V41" s="109">
        <f t="shared" si="10"/>
        <v>0</v>
      </c>
      <c r="W41" s="109" t="s">
        <v>1038</v>
      </c>
      <c r="X41" s="111" t="s">
        <v>9</v>
      </c>
      <c r="Y41" s="111" t="s">
        <v>116</v>
      </c>
      <c r="Z41" s="111" t="s">
        <v>54</v>
      </c>
      <c r="AA41" s="111" t="s">
        <v>363</v>
      </c>
      <c r="AB41" s="111" t="s">
        <v>54</v>
      </c>
      <c r="AC41" s="111">
        <v>0</v>
      </c>
      <c r="AD41" s="129">
        <v>0</v>
      </c>
      <c r="AE41" s="129">
        <v>0</v>
      </c>
      <c r="AF41" s="129">
        <v>0</v>
      </c>
      <c r="AG41" s="129">
        <v>0</v>
      </c>
      <c r="AH41" s="5" t="s">
        <v>492</v>
      </c>
      <c r="AI41" s="137" t="str">
        <f t="shared" si="17"/>
        <v>N16FFC_RCOSC_0</v>
      </c>
    </row>
    <row r="42" spans="1:35" x14ac:dyDescent="0.25">
      <c r="A42" s="130" t="s">
        <v>75</v>
      </c>
      <c r="B42" s="130" t="s">
        <v>18</v>
      </c>
      <c r="C42" s="128" t="str">
        <f t="shared" ref="C42:F61" si="18">VLOOKUP($A42&amp;"_"&amp;C$1,MDB,6,0)</f>
        <v>ODP</v>
      </c>
      <c r="D42" s="146">
        <f t="shared" si="18"/>
        <v>44499</v>
      </c>
      <c r="E42" s="109" t="str">
        <f t="shared" si="18"/>
        <v>6 IO</v>
      </c>
      <c r="F42" s="109" t="str">
        <f t="shared" si="18"/>
        <v>Special</v>
      </c>
      <c r="G42" s="111">
        <v>1</v>
      </c>
      <c r="H42" s="109">
        <f t="shared" si="13"/>
        <v>4.5521283873021304E-2</v>
      </c>
      <c r="I42" s="111" t="str">
        <f t="shared" si="14"/>
        <v>ON</v>
      </c>
      <c r="J42" s="129">
        <v>0</v>
      </c>
      <c r="K42" s="143" t="str">
        <f>INDEX('Use Cases'!$A$3:$CZ$400,MATCH($A42&amp;$B42,'Use Cases'!$A$3:$A$400,0),MATCH(Use_Case,'Use Cases'!$A$3:$CZ$3,0)+1)</f>
        <v>on</v>
      </c>
      <c r="L42" s="147">
        <f>INDEX('Use Cases'!$A$3:$CZ$400,MATCH($A42&amp;$B42,'Use Cases'!$A$3:$A$400,0),MATCH(Use_Case,'Use Cases'!$A$3:$CZ$3,0))</f>
        <v>0</v>
      </c>
      <c r="M42" s="129">
        <v>0</v>
      </c>
      <c r="N42" s="109">
        <f t="shared" si="3"/>
        <v>4.5521283873021304E-2</v>
      </c>
      <c r="O42" s="109">
        <f t="shared" si="4"/>
        <v>0</v>
      </c>
      <c r="P42" s="129">
        <v>0</v>
      </c>
      <c r="Q42" s="109">
        <f t="shared" si="5"/>
        <v>0</v>
      </c>
      <c r="R42" s="109">
        <f t="shared" si="6"/>
        <v>0</v>
      </c>
      <c r="S42" s="109">
        <f t="shared" si="15"/>
        <v>0</v>
      </c>
      <c r="T42" s="109">
        <f t="shared" si="8"/>
        <v>0</v>
      </c>
      <c r="U42" s="109">
        <f t="shared" si="16"/>
        <v>0</v>
      </c>
      <c r="V42" s="109">
        <f t="shared" si="10"/>
        <v>0</v>
      </c>
      <c r="W42" s="109" t="s">
        <v>1038</v>
      </c>
      <c r="X42" s="111" t="s">
        <v>9</v>
      </c>
      <c r="Y42" s="111" t="s">
        <v>116</v>
      </c>
      <c r="Z42" s="111" t="s">
        <v>54</v>
      </c>
      <c r="AA42" s="111" t="s">
        <v>54</v>
      </c>
      <c r="AB42" s="111" t="s">
        <v>54</v>
      </c>
      <c r="AC42" s="111">
        <v>0</v>
      </c>
      <c r="AD42" s="129">
        <v>0</v>
      </c>
      <c r="AE42" s="129">
        <v>0</v>
      </c>
      <c r="AF42" s="129">
        <v>0</v>
      </c>
      <c r="AG42" s="129">
        <v>0</v>
      </c>
      <c r="AH42" s="5" t="s">
        <v>495</v>
      </c>
      <c r="AI42" s="137" t="str">
        <f t="shared" si="17"/>
        <v>TODP16FFC18_C170915_0</v>
      </c>
    </row>
    <row r="43" spans="1:35" x14ac:dyDescent="0.25">
      <c r="A43" s="130" t="s">
        <v>73</v>
      </c>
      <c r="B43" s="130" t="s">
        <v>18</v>
      </c>
      <c r="C43" s="128" t="str">
        <f t="shared" si="18"/>
        <v>POR</v>
      </c>
      <c r="D43" s="146">
        <f t="shared" si="18"/>
        <v>44499</v>
      </c>
      <c r="E43" s="109" t="str">
        <f t="shared" si="18"/>
        <v>6 IO</v>
      </c>
      <c r="F43" s="109" t="str">
        <f t="shared" si="18"/>
        <v>Special</v>
      </c>
      <c r="G43" s="111">
        <v>1</v>
      </c>
      <c r="H43" s="109">
        <f t="shared" si="13"/>
        <v>0.58254331853616637</v>
      </c>
      <c r="I43" s="111" t="str">
        <f t="shared" si="14"/>
        <v>ON</v>
      </c>
      <c r="J43" s="129">
        <v>0</v>
      </c>
      <c r="K43" s="143" t="str">
        <f>INDEX('Use Cases'!$A$3:$CZ$400,MATCH($A43&amp;$B43,'Use Cases'!$A$3:$A$400,0),MATCH(Use_Case,'Use Cases'!$A$3:$CZ$3,0)+1)</f>
        <v>on</v>
      </c>
      <c r="L43" s="147">
        <f>INDEX('Use Cases'!$A$3:$CZ$400,MATCH($A43&amp;$B43,'Use Cases'!$A$3:$A$400,0),MATCH(Use_Case,'Use Cases'!$A$3:$CZ$3,0))</f>
        <v>0</v>
      </c>
      <c r="M43" s="129">
        <v>0</v>
      </c>
      <c r="N43" s="109">
        <f t="shared" si="3"/>
        <v>4.807069342743729E-3</v>
      </c>
      <c r="O43" s="109">
        <f t="shared" si="4"/>
        <v>3.4865702479338848E-3</v>
      </c>
      <c r="P43" s="129">
        <v>0</v>
      </c>
      <c r="Q43" s="109">
        <f t="shared" si="5"/>
        <v>0</v>
      </c>
      <c r="R43" s="109">
        <f t="shared" si="6"/>
        <v>0</v>
      </c>
      <c r="S43" s="109">
        <f t="shared" si="15"/>
        <v>0.22123444134218298</v>
      </c>
      <c r="T43" s="109">
        <f t="shared" si="8"/>
        <v>0.35301523760330583</v>
      </c>
      <c r="U43" s="109">
        <f t="shared" si="16"/>
        <v>0</v>
      </c>
      <c r="V43" s="109">
        <f t="shared" si="10"/>
        <v>0</v>
      </c>
      <c r="W43" s="109" t="s">
        <v>1038</v>
      </c>
      <c r="X43" s="111" t="s">
        <v>9</v>
      </c>
      <c r="Y43" s="111" t="s">
        <v>116</v>
      </c>
      <c r="Z43" s="111" t="s">
        <v>54</v>
      </c>
      <c r="AA43" s="111" t="s">
        <v>355</v>
      </c>
      <c r="AB43" s="111" t="s">
        <v>54</v>
      </c>
      <c r="AC43" s="111">
        <v>0</v>
      </c>
      <c r="AD43" s="129">
        <v>0</v>
      </c>
      <c r="AE43" s="129">
        <v>0</v>
      </c>
      <c r="AF43" s="129">
        <v>0</v>
      </c>
      <c r="AG43" s="129">
        <v>0</v>
      </c>
      <c r="AH43" s="5" t="s">
        <v>492</v>
      </c>
      <c r="AI43" s="137" t="str">
        <f t="shared" si="17"/>
        <v>N16FFC_POR_0</v>
      </c>
    </row>
    <row r="44" spans="1:35" x14ac:dyDescent="0.25">
      <c r="A44" s="130" t="s">
        <v>82</v>
      </c>
      <c r="B44" s="130" t="s">
        <v>18</v>
      </c>
      <c r="C44" s="128" t="str">
        <f t="shared" si="18"/>
        <v>Temp Sensing Diode</v>
      </c>
      <c r="D44" s="146">
        <f t="shared" si="18"/>
        <v>44499</v>
      </c>
      <c r="E44" s="109" t="str">
        <f t="shared" si="18"/>
        <v>6 IO</v>
      </c>
      <c r="F44" s="109" t="str">
        <f t="shared" si="18"/>
        <v>Special</v>
      </c>
      <c r="G44" s="111">
        <v>1</v>
      </c>
      <c r="H44" s="109">
        <f t="shared" si="13"/>
        <v>1.6166149672629579</v>
      </c>
      <c r="I44" s="111" t="str">
        <f t="shared" si="14"/>
        <v>ON</v>
      </c>
      <c r="J44" s="129">
        <v>0</v>
      </c>
      <c r="K44" s="143" t="str">
        <f>INDEX('Use Cases'!$A$3:$CZ$400,MATCH($A44&amp;$B44,'Use Cases'!$A$3:$A$400,0),MATCH(Use_Case,'Use Cases'!$A$3:$CZ$3,0)+1)</f>
        <v>on</v>
      </c>
      <c r="L44" s="147">
        <f>INDEX('Use Cases'!$A$3:$CZ$400,MATCH($A44&amp;$B44,'Use Cases'!$A$3:$A$400,0),MATCH(Use_Case,'Use Cases'!$A$3:$CZ$3,0))</f>
        <v>0</v>
      </c>
      <c r="M44" s="129">
        <v>0</v>
      </c>
      <c r="N44" s="109">
        <f t="shared" si="3"/>
        <v>0</v>
      </c>
      <c r="O44" s="109">
        <f t="shared" si="4"/>
        <v>0</v>
      </c>
      <c r="P44" s="129">
        <v>0</v>
      </c>
      <c r="Q44" s="109">
        <f t="shared" si="5"/>
        <v>0</v>
      </c>
      <c r="R44" s="109">
        <f t="shared" si="6"/>
        <v>0</v>
      </c>
      <c r="S44" s="109">
        <f t="shared" si="15"/>
        <v>0.16387736395717259</v>
      </c>
      <c r="T44" s="109">
        <f t="shared" si="8"/>
        <v>1.4527376033057853</v>
      </c>
      <c r="U44" s="109">
        <f t="shared" si="16"/>
        <v>0</v>
      </c>
      <c r="V44" s="109">
        <f t="shared" si="10"/>
        <v>0</v>
      </c>
      <c r="W44" s="109" t="s">
        <v>1038</v>
      </c>
      <c r="X44" s="111" t="s">
        <v>9</v>
      </c>
      <c r="Y44" s="111" t="s">
        <v>116</v>
      </c>
      <c r="Z44" s="111" t="s">
        <v>54</v>
      </c>
      <c r="AA44" s="111" t="s">
        <v>263</v>
      </c>
      <c r="AB44" s="111" t="s">
        <v>54</v>
      </c>
      <c r="AC44" s="111">
        <v>0</v>
      </c>
      <c r="AD44" s="129">
        <v>0</v>
      </c>
      <c r="AE44" s="129">
        <v>0</v>
      </c>
      <c r="AF44" s="129">
        <v>0</v>
      </c>
      <c r="AG44" s="129">
        <v>0</v>
      </c>
      <c r="AH44" s="5" t="s">
        <v>492</v>
      </c>
      <c r="AI44" s="137" t="str">
        <f t="shared" si="17"/>
        <v>N16FFC_TEMP_DIODE_TOP_0</v>
      </c>
    </row>
    <row r="45" spans="1:35" x14ac:dyDescent="0.25">
      <c r="A45" s="130" t="s">
        <v>82</v>
      </c>
      <c r="B45" s="130" t="s">
        <v>19</v>
      </c>
      <c r="C45" s="128" t="str">
        <f t="shared" si="18"/>
        <v>Temp Sensing Diode</v>
      </c>
      <c r="D45" s="146">
        <f t="shared" si="18"/>
        <v>44499</v>
      </c>
      <c r="E45" s="109" t="str">
        <f t="shared" si="18"/>
        <v>6 IO</v>
      </c>
      <c r="F45" s="109" t="str">
        <f t="shared" si="18"/>
        <v>Special</v>
      </c>
      <c r="G45" s="111">
        <v>1</v>
      </c>
      <c r="H45" s="109">
        <f t="shared" si="13"/>
        <v>1.6166149672629579</v>
      </c>
      <c r="I45" s="111" t="str">
        <f t="shared" si="14"/>
        <v>ON</v>
      </c>
      <c r="J45" s="129">
        <v>0</v>
      </c>
      <c r="K45" s="143" t="str">
        <f>INDEX('Use Cases'!$A$3:$CZ$400,MATCH($A45&amp;$B45,'Use Cases'!$A$3:$A$400,0),MATCH(Use_Case,'Use Cases'!$A$3:$CZ$3,0)+1)</f>
        <v>on</v>
      </c>
      <c r="L45" s="147">
        <f>INDEX('Use Cases'!$A$3:$CZ$400,MATCH($A45&amp;$B45,'Use Cases'!$A$3:$A$400,0),MATCH(Use_Case,'Use Cases'!$A$3:$CZ$3,0))</f>
        <v>0</v>
      </c>
      <c r="M45" s="129">
        <v>0</v>
      </c>
      <c r="N45" s="109">
        <f t="shared" si="3"/>
        <v>0</v>
      </c>
      <c r="O45" s="109">
        <f t="shared" si="4"/>
        <v>0</v>
      </c>
      <c r="P45" s="129">
        <v>0</v>
      </c>
      <c r="Q45" s="109">
        <f t="shared" si="5"/>
        <v>0</v>
      </c>
      <c r="R45" s="109">
        <f t="shared" si="6"/>
        <v>0</v>
      </c>
      <c r="S45" s="109">
        <f t="shared" si="15"/>
        <v>0.16387736395717259</v>
      </c>
      <c r="T45" s="109">
        <f t="shared" si="8"/>
        <v>1.4527376033057853</v>
      </c>
      <c r="U45" s="109">
        <f t="shared" si="16"/>
        <v>0</v>
      </c>
      <c r="V45" s="109">
        <f t="shared" si="10"/>
        <v>0</v>
      </c>
      <c r="W45" s="109" t="s">
        <v>1038</v>
      </c>
      <c r="X45" s="111" t="s">
        <v>9</v>
      </c>
      <c r="Y45" s="111" t="s">
        <v>116</v>
      </c>
      <c r="Z45" s="111" t="s">
        <v>54</v>
      </c>
      <c r="AA45" s="111" t="s">
        <v>264</v>
      </c>
      <c r="AB45" s="111" t="s">
        <v>54</v>
      </c>
      <c r="AC45" s="111">
        <v>0</v>
      </c>
      <c r="AD45" s="129">
        <v>0</v>
      </c>
      <c r="AE45" s="129">
        <v>0</v>
      </c>
      <c r="AF45" s="129">
        <v>0</v>
      </c>
      <c r="AG45" s="129">
        <v>0</v>
      </c>
      <c r="AH45" s="5" t="s">
        <v>492</v>
      </c>
      <c r="AI45" s="137" t="str">
        <f t="shared" si="17"/>
        <v>N16FFC_TEMP_DIODE_TOP_1</v>
      </c>
    </row>
    <row r="46" spans="1:35" x14ac:dyDescent="0.25">
      <c r="A46" s="130" t="s">
        <v>269</v>
      </c>
      <c r="B46" s="130" t="s">
        <v>29</v>
      </c>
      <c r="C46" s="128" t="str">
        <f t="shared" si="18"/>
        <v>PVT Sensor</v>
      </c>
      <c r="D46" s="146">
        <f t="shared" si="18"/>
        <v>44499</v>
      </c>
      <c r="E46" s="109" t="str">
        <f t="shared" si="18"/>
        <v>6 IO</v>
      </c>
      <c r="F46" s="109" t="str">
        <f t="shared" si="18"/>
        <v>Monitor</v>
      </c>
      <c r="G46" s="111">
        <v>2</v>
      </c>
      <c r="H46" s="109">
        <f t="shared" si="13"/>
        <v>1.3520367772807038</v>
      </c>
      <c r="I46" s="111" t="str">
        <f t="shared" si="14"/>
        <v>ON</v>
      </c>
      <c r="J46" s="129">
        <v>0</v>
      </c>
      <c r="K46" s="143" t="str">
        <f>INDEX('Use Cases'!$A$3:$CZ$400,MATCH($A46&amp;$B46,'Use Cases'!$A$3:$A$400,0),MATCH(Use_Case,'Use Cases'!$A$3:$CZ$3,0)+1)</f>
        <v>on</v>
      </c>
      <c r="L46" s="147">
        <f>INDEX('Use Cases'!$A$3:$CZ$400,MATCH($A46&amp;$B46,'Use Cases'!$A$3:$A$400,0),MATCH(Use_Case,'Use Cases'!$A$3:$CZ$3,0))</f>
        <v>0</v>
      </c>
      <c r="M46" s="129">
        <v>0</v>
      </c>
      <c r="N46" s="109">
        <f t="shared" si="3"/>
        <v>0.14566810839366817</v>
      </c>
      <c r="O46" s="109">
        <f t="shared" si="4"/>
        <v>0.11621900826446283</v>
      </c>
      <c r="P46" s="129">
        <v>0</v>
      </c>
      <c r="Q46" s="109">
        <f t="shared" si="5"/>
        <v>0</v>
      </c>
      <c r="R46" s="109">
        <f t="shared" si="6"/>
        <v>0</v>
      </c>
      <c r="S46" s="109">
        <f t="shared" si="15"/>
        <v>0.21850315194289677</v>
      </c>
      <c r="T46" s="109">
        <f t="shared" si="8"/>
        <v>0.87164650867967608</v>
      </c>
      <c r="U46" s="109">
        <f t="shared" si="16"/>
        <v>0</v>
      </c>
      <c r="V46" s="109">
        <f t="shared" si="10"/>
        <v>0</v>
      </c>
      <c r="W46" s="109" t="s">
        <v>1038</v>
      </c>
      <c r="X46" s="111" t="s">
        <v>9</v>
      </c>
      <c r="Y46" s="111" t="s">
        <v>116</v>
      </c>
      <c r="Z46" s="111" t="s">
        <v>54</v>
      </c>
      <c r="AA46" s="111" t="s">
        <v>263</v>
      </c>
      <c r="AB46" s="111" t="s">
        <v>54</v>
      </c>
      <c r="AC46" s="111">
        <v>0</v>
      </c>
      <c r="AD46" s="129">
        <v>0</v>
      </c>
      <c r="AE46" s="129">
        <v>0</v>
      </c>
      <c r="AF46" s="129">
        <v>0</v>
      </c>
      <c r="AG46" s="129">
        <v>0</v>
      </c>
      <c r="AH46" s="5" t="s">
        <v>492</v>
      </c>
      <c r="AI46" s="137" t="str">
        <f t="shared" si="17"/>
        <v>ABJSTBL5_multiple</v>
      </c>
    </row>
    <row r="47" spans="1:35" x14ac:dyDescent="0.25">
      <c r="A47" s="130" t="s">
        <v>81</v>
      </c>
      <c r="B47" s="130" t="s">
        <v>29</v>
      </c>
      <c r="C47" s="128" t="str">
        <f t="shared" si="18"/>
        <v>LVDS IO</v>
      </c>
      <c r="D47" s="146">
        <f t="shared" si="18"/>
        <v>44499</v>
      </c>
      <c r="E47" s="109" t="str">
        <f t="shared" si="18"/>
        <v>6 IO</v>
      </c>
      <c r="F47" s="109" t="str">
        <f t="shared" si="18"/>
        <v>Special</v>
      </c>
      <c r="G47" s="111">
        <v>10</v>
      </c>
      <c r="H47" s="109">
        <f t="shared" si="13"/>
        <v>109.33146064941478</v>
      </c>
      <c r="I47" s="111" t="str">
        <f t="shared" si="14"/>
        <v>ON</v>
      </c>
      <c r="J47" s="129">
        <v>0</v>
      </c>
      <c r="K47" s="143" t="str">
        <f>INDEX('Use Cases'!$A$3:$CZ$400,MATCH($A47&amp;$B47,'Use Cases'!$A$3:$A$400,0),MATCH(Use_Case,'Use Cases'!$A$3:$CZ$3,0)+1)</f>
        <v>oldi_dual_24b_modes</v>
      </c>
      <c r="L47" s="147">
        <f>INDEX('Use Cases'!$A$3:$CZ$400,MATCH($A47&amp;$B47,'Use Cases'!$A$3:$A$400,0),MATCH(Use_Case,'Use Cases'!$A$3:$CZ$3,0))</f>
        <v>0</v>
      </c>
      <c r="M47" s="129">
        <v>0</v>
      </c>
      <c r="N47" s="109">
        <f t="shared" si="3"/>
        <v>0.40058729808258753</v>
      </c>
      <c r="O47" s="109">
        <f t="shared" si="4"/>
        <v>0.99512525826446296</v>
      </c>
      <c r="P47" s="129">
        <v>0</v>
      </c>
      <c r="Q47" s="109">
        <f t="shared" si="5"/>
        <v>0</v>
      </c>
      <c r="R47" s="109">
        <f t="shared" si="6"/>
        <v>0</v>
      </c>
      <c r="S47" s="109">
        <f t="shared" si="15"/>
        <v>0.36052856827432872</v>
      </c>
      <c r="T47" s="109">
        <f t="shared" si="8"/>
        <v>107.5752195247934</v>
      </c>
      <c r="U47" s="109">
        <f t="shared" si="16"/>
        <v>0</v>
      </c>
      <c r="V47" s="109">
        <f t="shared" si="10"/>
        <v>0</v>
      </c>
      <c r="W47" s="109" t="s">
        <v>1038</v>
      </c>
      <c r="X47" s="111" t="s">
        <v>9</v>
      </c>
      <c r="Y47" s="111" t="s">
        <v>116</v>
      </c>
      <c r="Z47" s="111" t="s">
        <v>54</v>
      </c>
      <c r="AA47" s="111" t="s">
        <v>360</v>
      </c>
      <c r="AB47" s="111" t="s">
        <v>54</v>
      </c>
      <c r="AC47" s="111">
        <v>0</v>
      </c>
      <c r="AD47" s="129">
        <v>0</v>
      </c>
      <c r="AE47" s="129">
        <v>0</v>
      </c>
      <c r="AF47" s="129">
        <v>0</v>
      </c>
      <c r="AG47" s="129">
        <v>0</v>
      </c>
      <c r="AH47" s="5" t="s">
        <v>494</v>
      </c>
      <c r="AI47" s="137" t="str">
        <f t="shared" si="17"/>
        <v>LVDSTS16LLBI1E_multiple</v>
      </c>
    </row>
    <row r="48" spans="1:35" x14ac:dyDescent="0.25">
      <c r="A48" s="130" t="s">
        <v>655</v>
      </c>
      <c r="B48" s="130" t="s">
        <v>18</v>
      </c>
      <c r="C48" s="128" t="str">
        <f t="shared" si="18"/>
        <v>CANFD LVCMOS IO</v>
      </c>
      <c r="D48" s="146">
        <f t="shared" si="18"/>
        <v>44499</v>
      </c>
      <c r="E48" s="109" t="str">
        <f t="shared" si="18"/>
        <v>7 LVCMOS IO</v>
      </c>
      <c r="F48" s="109" t="str">
        <f t="shared" si="18"/>
        <v>CANFD</v>
      </c>
      <c r="G48" s="111">
        <v>1</v>
      </c>
      <c r="H48" s="109">
        <f t="shared" si="13"/>
        <v>0</v>
      </c>
      <c r="I48" s="111" t="str">
        <f t="shared" si="14"/>
        <v>ON</v>
      </c>
      <c r="J48" s="129">
        <v>0</v>
      </c>
      <c r="K48" s="143" t="str">
        <f>INDEX('Use Cases'!$A$3:$CZ$400,MATCH($A48&amp;$B48,'Use Cases'!$A$3:$A$400,0),MATCH(Use_Case,'Use Cases'!$A$3:$CZ$3,0)+1)</f>
        <v>unused</v>
      </c>
      <c r="L48" s="147">
        <f>INDEX('Use Cases'!$A$3:$CZ$400,MATCH($A48&amp;$B48,'Use Cases'!$A$3:$A$400,0),MATCH(Use_Case,'Use Cases'!$A$3:$CZ$3,0))</f>
        <v>0</v>
      </c>
      <c r="M48" s="111">
        <f t="shared" ref="M48:M89" si="19">IFERROR(VLOOKUP($A48&amp;"_"&amp;M$1,MDB,6,0),0)*IFERROR(IF(K48="unused",0,1),0)*G48</f>
        <v>0</v>
      </c>
      <c r="N48" s="109">
        <f t="shared" ref="N48:N93" si="20">IFERROR(VLOOKUP($A48&amp;"_"&amp;N$1,MDB,6,0)*$G48*VLOOKUP($Y48,pwr_scale_table,2,0),0)</f>
        <v>0</v>
      </c>
      <c r="O48" s="109">
        <f t="shared" ref="O48:O92" si="21">IFERROR(VLOOKUP($A48&amp;"_"&amp;O$1&amp;"_"&amp;$K48&amp;"",MDB,6,0)*$G48*$L48*VLOOKUP($Y48,pwr_scale_table,4,0),0)</f>
        <v>0</v>
      </c>
      <c r="P48" s="129">
        <v>0</v>
      </c>
      <c r="Q48" s="129">
        <v>0</v>
      </c>
      <c r="R48" s="129">
        <v>0</v>
      </c>
      <c r="S48" s="109">
        <f t="shared" si="15"/>
        <v>0</v>
      </c>
      <c r="T48" s="109">
        <f t="shared" ref="T48:T92" si="22">IFERROR(VLOOKUP($A48&amp;"_"&amp;T$1&amp;"_"&amp;$K48&amp;"",MDB,6,0)*$G48*$L48*VLOOKUP($Y48,pwr_scale_table,4,0),0)</f>
        <v>0</v>
      </c>
      <c r="U48" s="109">
        <f t="shared" si="16"/>
        <v>0</v>
      </c>
      <c r="V48" s="109">
        <f t="shared" ref="V48:V92" si="23">IFERROR(VLOOKUP($A48&amp;"_"&amp;V$1&amp;"_"&amp;$K48&amp;"",MDB,6,0)*$G48*$L48*VLOOKUP($Y48,pwr_scale_table,4,0),0)</f>
        <v>0</v>
      </c>
      <c r="W48" s="109" t="s">
        <v>1050</v>
      </c>
      <c r="X48" s="111" t="s">
        <v>1109</v>
      </c>
      <c r="Y48" s="111" t="s">
        <v>169</v>
      </c>
      <c r="Z48" s="111" t="s">
        <v>54</v>
      </c>
      <c r="AA48" s="111" t="s">
        <v>1112</v>
      </c>
      <c r="AB48" s="111" t="s">
        <v>1111</v>
      </c>
      <c r="AC48" s="129">
        <v>0</v>
      </c>
      <c r="AD48" s="129">
        <v>0</v>
      </c>
      <c r="AE48" s="129">
        <v>0</v>
      </c>
      <c r="AF48" s="129">
        <v>0</v>
      </c>
      <c r="AG48" s="129">
        <v>0</v>
      </c>
      <c r="AH48" s="5" t="s">
        <v>1110</v>
      </c>
      <c r="AI48" s="137" t="str">
        <f t="shared" si="17"/>
        <v>canfd_0</v>
      </c>
    </row>
    <row r="49" spans="1:35" x14ac:dyDescent="0.25">
      <c r="A49" s="130" t="s">
        <v>655</v>
      </c>
      <c r="B49" s="130" t="s">
        <v>19</v>
      </c>
      <c r="C49" s="128" t="str">
        <f t="shared" si="18"/>
        <v>CANFD LVCMOS IO</v>
      </c>
      <c r="D49" s="146">
        <f t="shared" si="18"/>
        <v>44499</v>
      </c>
      <c r="E49" s="109" t="str">
        <f t="shared" si="18"/>
        <v>7 LVCMOS IO</v>
      </c>
      <c r="F49" s="109" t="str">
        <f t="shared" si="18"/>
        <v>CANFD</v>
      </c>
      <c r="G49" s="111">
        <v>1</v>
      </c>
      <c r="H49" s="109">
        <f t="shared" si="13"/>
        <v>0</v>
      </c>
      <c r="I49" s="111" t="str">
        <f t="shared" si="14"/>
        <v>ON</v>
      </c>
      <c r="J49" s="129">
        <v>0</v>
      </c>
      <c r="K49" s="143" t="str">
        <f>INDEX('Use Cases'!$A$3:$CZ$400,MATCH($A49&amp;$B49,'Use Cases'!$A$3:$A$400,0),MATCH(Use_Case,'Use Cases'!$A$3:$CZ$3,0)+1)</f>
        <v>unused</v>
      </c>
      <c r="L49" s="147">
        <f>INDEX('Use Cases'!$A$3:$CZ$400,MATCH($A49&amp;$B49,'Use Cases'!$A$3:$A$400,0),MATCH(Use_Case,'Use Cases'!$A$3:$CZ$3,0))</f>
        <v>0</v>
      </c>
      <c r="M49" s="111">
        <f t="shared" si="19"/>
        <v>0</v>
      </c>
      <c r="N49" s="109">
        <f t="shared" si="20"/>
        <v>0</v>
      </c>
      <c r="O49" s="109">
        <f t="shared" si="21"/>
        <v>0</v>
      </c>
      <c r="P49" s="129">
        <v>0</v>
      </c>
      <c r="Q49" s="129">
        <v>0</v>
      </c>
      <c r="R49" s="129">
        <v>0</v>
      </c>
      <c r="S49" s="109">
        <f t="shared" si="15"/>
        <v>0</v>
      </c>
      <c r="T49" s="109">
        <f t="shared" si="22"/>
        <v>0</v>
      </c>
      <c r="U49" s="109">
        <f t="shared" si="16"/>
        <v>0</v>
      </c>
      <c r="V49" s="109">
        <f t="shared" si="23"/>
        <v>0</v>
      </c>
      <c r="W49" s="109" t="s">
        <v>1050</v>
      </c>
      <c r="X49" s="111" t="s">
        <v>1109</v>
      </c>
      <c r="Y49" s="111" t="s">
        <v>169</v>
      </c>
      <c r="Z49" s="111" t="s">
        <v>54</v>
      </c>
      <c r="AA49" s="111" t="s">
        <v>1112</v>
      </c>
      <c r="AB49" s="111" t="s">
        <v>1111</v>
      </c>
      <c r="AC49" s="129">
        <v>0</v>
      </c>
      <c r="AD49" s="129">
        <v>0</v>
      </c>
      <c r="AE49" s="129">
        <v>0</v>
      </c>
      <c r="AF49" s="129">
        <v>0</v>
      </c>
      <c r="AG49" s="129">
        <v>0</v>
      </c>
      <c r="AH49" s="5" t="s">
        <v>1110</v>
      </c>
      <c r="AI49" s="137" t="str">
        <f t="shared" si="17"/>
        <v>canfd_1</v>
      </c>
    </row>
    <row r="50" spans="1:35" x14ac:dyDescent="0.25">
      <c r="A50" s="130" t="s">
        <v>653</v>
      </c>
      <c r="B50" s="130" t="s">
        <v>18</v>
      </c>
      <c r="C50" s="128" t="str">
        <f t="shared" si="18"/>
        <v>GPMC LVCMOS IO</v>
      </c>
      <c r="D50" s="146">
        <f t="shared" si="18"/>
        <v>44499</v>
      </c>
      <c r="E50" s="109" t="str">
        <f t="shared" si="18"/>
        <v>7 LVCMOS IO</v>
      </c>
      <c r="F50" s="109" t="str">
        <f t="shared" si="18"/>
        <v>GPMC</v>
      </c>
      <c r="G50" s="111">
        <v>1</v>
      </c>
      <c r="H50" s="109">
        <f t="shared" si="13"/>
        <v>75.764121302435015</v>
      </c>
      <c r="I50" s="111" t="str">
        <f t="shared" si="14"/>
        <v>ON</v>
      </c>
      <c r="J50" s="129">
        <v>0</v>
      </c>
      <c r="K50" s="143" t="str">
        <f>INDEX('Use Cases'!$A$3:$CZ$400,MATCH($A50&amp;$B50,'Use Cases'!$A$3:$A$400,0),MATCH(Use_Case,'Use Cases'!$A$3:$CZ$3,0)+1)</f>
        <v>16b_133_MHz_3p3V</v>
      </c>
      <c r="L50" s="147">
        <f>INDEX('Use Cases'!$A$3:$CZ$400,MATCH($A50&amp;$B50,'Use Cases'!$A$3:$A$400,0),MATCH(Use_Case,'Use Cases'!$A$3:$CZ$3,0))</f>
        <v>1</v>
      </c>
      <c r="M50" s="111">
        <f t="shared" si="19"/>
        <v>34</v>
      </c>
      <c r="N50" s="109">
        <f t="shared" si="20"/>
        <v>0</v>
      </c>
      <c r="O50" s="109">
        <f t="shared" si="21"/>
        <v>5.306024750423012E-5</v>
      </c>
      <c r="P50" s="129">
        <v>0</v>
      </c>
      <c r="Q50" s="129">
        <v>0</v>
      </c>
      <c r="R50" s="129">
        <v>0</v>
      </c>
      <c r="S50" s="109">
        <f t="shared" si="15"/>
        <v>0</v>
      </c>
      <c r="T50" s="109">
        <f t="shared" si="22"/>
        <v>0</v>
      </c>
      <c r="U50" s="109">
        <f t="shared" si="16"/>
        <v>0</v>
      </c>
      <c r="V50" s="109">
        <f t="shared" si="23"/>
        <v>75.764068242187506</v>
      </c>
      <c r="W50" s="109" t="s">
        <v>1050</v>
      </c>
      <c r="X50" s="111" t="s">
        <v>1109</v>
      </c>
      <c r="Y50" s="111" t="s">
        <v>169</v>
      </c>
      <c r="Z50" s="111" t="s">
        <v>54</v>
      </c>
      <c r="AA50" s="111" t="s">
        <v>1112</v>
      </c>
      <c r="AB50" s="111" t="s">
        <v>1111</v>
      </c>
      <c r="AC50" s="129">
        <v>0</v>
      </c>
      <c r="AD50" s="129">
        <v>0</v>
      </c>
      <c r="AE50" s="129">
        <v>0</v>
      </c>
      <c r="AF50" s="129">
        <v>0</v>
      </c>
      <c r="AG50" s="129">
        <v>0</v>
      </c>
      <c r="AH50" s="5" t="s">
        <v>1110</v>
      </c>
      <c r="AI50" s="137" t="str">
        <f t="shared" si="17"/>
        <v>gpmc_0</v>
      </c>
    </row>
    <row r="51" spans="1:35" x14ac:dyDescent="0.25">
      <c r="A51" s="130" t="s">
        <v>874</v>
      </c>
      <c r="B51" s="130" t="s">
        <v>18</v>
      </c>
      <c r="C51" s="128" t="str">
        <f t="shared" si="18"/>
        <v>McASP LVCMOS IO</v>
      </c>
      <c r="D51" s="146">
        <f t="shared" si="18"/>
        <v>44499</v>
      </c>
      <c r="E51" s="109" t="str">
        <f t="shared" si="18"/>
        <v>7 LVCMOS IO</v>
      </c>
      <c r="F51" s="109" t="str">
        <f t="shared" si="18"/>
        <v>McASP</v>
      </c>
      <c r="G51" s="111">
        <v>1</v>
      </c>
      <c r="H51" s="109">
        <f t="shared" si="13"/>
        <v>0.80230113153834115</v>
      </c>
      <c r="I51" s="111" t="str">
        <f t="shared" si="14"/>
        <v>ON</v>
      </c>
      <c r="J51" s="129">
        <v>0</v>
      </c>
      <c r="K51" s="143" t="str">
        <f>INDEX('Use Cases'!$A$3:$CZ$400,MATCH($A51&amp;$B51,'Use Cases'!$A$3:$A$400,0),MATCH(Use_Case,'Use Cases'!$A$3:$CZ$3,0)+1)</f>
        <v>8Ch_RX_48_ksps_24b_3p3v</v>
      </c>
      <c r="L51" s="147">
        <f>INDEX('Use Cases'!$A$3:$CZ$400,MATCH($A51&amp;$B51,'Use Cases'!$A$3:$A$400,0),MATCH(Use_Case,'Use Cases'!$A$3:$CZ$3,0))</f>
        <v>1</v>
      </c>
      <c r="M51" s="111">
        <f t="shared" si="19"/>
        <v>10</v>
      </c>
      <c r="N51" s="109">
        <f t="shared" si="20"/>
        <v>0</v>
      </c>
      <c r="O51" s="109">
        <f t="shared" si="21"/>
        <v>1.8153834136363634E-7</v>
      </c>
      <c r="P51" s="129">
        <v>0</v>
      </c>
      <c r="Q51" s="129">
        <v>0</v>
      </c>
      <c r="R51" s="129">
        <v>0</v>
      </c>
      <c r="S51" s="109">
        <f t="shared" si="15"/>
        <v>0</v>
      </c>
      <c r="T51" s="109">
        <f t="shared" si="22"/>
        <v>0</v>
      </c>
      <c r="U51" s="109">
        <f t="shared" si="16"/>
        <v>0</v>
      </c>
      <c r="V51" s="109">
        <f t="shared" si="23"/>
        <v>0.80230094999999979</v>
      </c>
      <c r="W51" s="109" t="s">
        <v>1050</v>
      </c>
      <c r="X51" s="111" t="s">
        <v>1109</v>
      </c>
      <c r="Y51" s="111" t="s">
        <v>169</v>
      </c>
      <c r="Z51" s="111" t="s">
        <v>54</v>
      </c>
      <c r="AA51" s="111" t="s">
        <v>1112</v>
      </c>
      <c r="AB51" s="111" t="s">
        <v>1111</v>
      </c>
      <c r="AC51" s="129">
        <v>0</v>
      </c>
      <c r="AD51" s="129">
        <v>0</v>
      </c>
      <c r="AE51" s="129">
        <v>0</v>
      </c>
      <c r="AF51" s="129">
        <v>0</v>
      </c>
      <c r="AG51" s="129">
        <v>0</v>
      </c>
      <c r="AH51" s="5" t="s">
        <v>1110</v>
      </c>
      <c r="AI51" s="137" t="str">
        <f t="shared" si="17"/>
        <v>mcasp_0</v>
      </c>
    </row>
    <row r="52" spans="1:35" x14ac:dyDescent="0.25">
      <c r="A52" s="130" t="s">
        <v>874</v>
      </c>
      <c r="B52" s="130" t="s">
        <v>19</v>
      </c>
      <c r="C52" s="128" t="str">
        <f t="shared" si="18"/>
        <v>McASP LVCMOS IO</v>
      </c>
      <c r="D52" s="146">
        <f t="shared" si="18"/>
        <v>44499</v>
      </c>
      <c r="E52" s="109" t="str">
        <f t="shared" si="18"/>
        <v>7 LVCMOS IO</v>
      </c>
      <c r="F52" s="109" t="str">
        <f t="shared" si="18"/>
        <v>McASP</v>
      </c>
      <c r="G52" s="111">
        <v>1</v>
      </c>
      <c r="H52" s="109">
        <f t="shared" si="13"/>
        <v>0.80230113153834115</v>
      </c>
      <c r="I52" s="111" t="str">
        <f t="shared" si="14"/>
        <v>ON</v>
      </c>
      <c r="J52" s="129">
        <v>0</v>
      </c>
      <c r="K52" s="143" t="str">
        <f>INDEX('Use Cases'!$A$3:$CZ$400,MATCH($A52&amp;$B52,'Use Cases'!$A$3:$A$400,0),MATCH(Use_Case,'Use Cases'!$A$3:$CZ$3,0)+1)</f>
        <v>8Ch_RX_48_ksps_24b_3p3v</v>
      </c>
      <c r="L52" s="147">
        <f>INDEX('Use Cases'!$A$3:$CZ$400,MATCH($A52&amp;$B52,'Use Cases'!$A$3:$A$400,0),MATCH(Use_Case,'Use Cases'!$A$3:$CZ$3,0))</f>
        <v>1</v>
      </c>
      <c r="M52" s="111">
        <f t="shared" si="19"/>
        <v>10</v>
      </c>
      <c r="N52" s="109">
        <f t="shared" si="20"/>
        <v>0</v>
      </c>
      <c r="O52" s="109">
        <f t="shared" si="21"/>
        <v>1.8153834136363634E-7</v>
      </c>
      <c r="P52" s="129">
        <v>0</v>
      </c>
      <c r="Q52" s="129">
        <v>0</v>
      </c>
      <c r="R52" s="129">
        <v>0</v>
      </c>
      <c r="S52" s="109">
        <f t="shared" si="15"/>
        <v>0</v>
      </c>
      <c r="T52" s="109">
        <f t="shared" si="22"/>
        <v>0</v>
      </c>
      <c r="U52" s="109">
        <f t="shared" si="16"/>
        <v>0</v>
      </c>
      <c r="V52" s="109">
        <f t="shared" si="23"/>
        <v>0.80230094999999979</v>
      </c>
      <c r="W52" s="109" t="s">
        <v>1050</v>
      </c>
      <c r="X52" s="111" t="s">
        <v>1109</v>
      </c>
      <c r="Y52" s="111" t="s">
        <v>169</v>
      </c>
      <c r="Z52" s="111" t="s">
        <v>54</v>
      </c>
      <c r="AA52" s="111" t="s">
        <v>1112</v>
      </c>
      <c r="AB52" s="111" t="s">
        <v>1111</v>
      </c>
      <c r="AC52" s="129">
        <v>0</v>
      </c>
      <c r="AD52" s="129">
        <v>0</v>
      </c>
      <c r="AE52" s="129">
        <v>0</v>
      </c>
      <c r="AF52" s="129">
        <v>0</v>
      </c>
      <c r="AG52" s="129">
        <v>0</v>
      </c>
      <c r="AH52" s="5" t="s">
        <v>1110</v>
      </c>
      <c r="AI52" s="137" t="str">
        <f t="shared" si="17"/>
        <v>mcasp_1</v>
      </c>
    </row>
    <row r="53" spans="1:35" x14ac:dyDescent="0.25">
      <c r="A53" s="130" t="s">
        <v>874</v>
      </c>
      <c r="B53" s="130" t="s">
        <v>20</v>
      </c>
      <c r="C53" s="128" t="str">
        <f t="shared" si="18"/>
        <v>McASP LVCMOS IO</v>
      </c>
      <c r="D53" s="146">
        <f t="shared" si="18"/>
        <v>44499</v>
      </c>
      <c r="E53" s="109" t="str">
        <f t="shared" si="18"/>
        <v>7 LVCMOS IO</v>
      </c>
      <c r="F53" s="109" t="str">
        <f t="shared" si="18"/>
        <v>McASP</v>
      </c>
      <c r="G53" s="111">
        <v>1</v>
      </c>
      <c r="H53" s="109">
        <f t="shared" si="13"/>
        <v>0</v>
      </c>
      <c r="I53" s="111" t="str">
        <f t="shared" si="14"/>
        <v>ON</v>
      </c>
      <c r="J53" s="129">
        <v>0</v>
      </c>
      <c r="K53" s="143" t="str">
        <f>INDEX('Use Cases'!$A$3:$CZ$400,MATCH($A53&amp;$B53,'Use Cases'!$A$3:$A$400,0),MATCH(Use_Case,'Use Cases'!$A$3:$CZ$3,0)+1)</f>
        <v>unused</v>
      </c>
      <c r="L53" s="147">
        <f>INDEX('Use Cases'!$A$3:$CZ$400,MATCH($A53&amp;$B53,'Use Cases'!$A$3:$A$400,0),MATCH(Use_Case,'Use Cases'!$A$3:$CZ$3,0))</f>
        <v>0</v>
      </c>
      <c r="M53" s="111">
        <f t="shared" si="19"/>
        <v>0</v>
      </c>
      <c r="N53" s="109">
        <f t="shared" si="20"/>
        <v>0</v>
      </c>
      <c r="O53" s="109">
        <f t="shared" si="21"/>
        <v>0</v>
      </c>
      <c r="P53" s="129">
        <v>0</v>
      </c>
      <c r="Q53" s="129">
        <v>0</v>
      </c>
      <c r="R53" s="129">
        <v>0</v>
      </c>
      <c r="S53" s="109">
        <f t="shared" si="15"/>
        <v>0</v>
      </c>
      <c r="T53" s="109">
        <f t="shared" si="22"/>
        <v>0</v>
      </c>
      <c r="U53" s="109">
        <f t="shared" si="16"/>
        <v>0</v>
      </c>
      <c r="V53" s="109">
        <f t="shared" si="23"/>
        <v>0</v>
      </c>
      <c r="W53" s="109" t="s">
        <v>1050</v>
      </c>
      <c r="X53" s="111" t="s">
        <v>1109</v>
      </c>
      <c r="Y53" s="111" t="s">
        <v>169</v>
      </c>
      <c r="Z53" s="111" t="s">
        <v>54</v>
      </c>
      <c r="AA53" s="111" t="s">
        <v>1112</v>
      </c>
      <c r="AB53" s="111" t="s">
        <v>1111</v>
      </c>
      <c r="AC53" s="129">
        <v>0</v>
      </c>
      <c r="AD53" s="129">
        <v>0</v>
      </c>
      <c r="AE53" s="129">
        <v>0</v>
      </c>
      <c r="AF53" s="129">
        <v>0</v>
      </c>
      <c r="AG53" s="129">
        <v>0</v>
      </c>
      <c r="AH53" s="5" t="s">
        <v>1110</v>
      </c>
      <c r="AI53" s="137" t="str">
        <f t="shared" si="17"/>
        <v>mcasp_2</v>
      </c>
    </row>
    <row r="54" spans="1:35" x14ac:dyDescent="0.25">
      <c r="A54" s="130" t="s">
        <v>918</v>
      </c>
      <c r="B54" s="130" t="s">
        <v>19</v>
      </c>
      <c r="C54" s="128" t="str">
        <f t="shared" si="18"/>
        <v>UART LVCMOS IO</v>
      </c>
      <c r="D54" s="146">
        <f t="shared" si="18"/>
        <v>44499</v>
      </c>
      <c r="E54" s="109" t="str">
        <f t="shared" si="18"/>
        <v>7 LVCMOS IO</v>
      </c>
      <c r="F54" s="109" t="str">
        <f t="shared" si="18"/>
        <v>uart</v>
      </c>
      <c r="G54" s="111">
        <v>1</v>
      </c>
      <c r="H54" s="109">
        <f t="shared" si="13"/>
        <v>0.10901661582841411</v>
      </c>
      <c r="I54" s="111" t="str">
        <f t="shared" si="14"/>
        <v>ON</v>
      </c>
      <c r="J54" s="129">
        <v>0</v>
      </c>
      <c r="K54" s="143" t="str">
        <f>INDEX('Use Cases'!$A$3:$CZ$400,MATCH($A54&amp;$B54,'Use Cases'!$A$3:$A$400,0),MATCH(Use_Case,'Use Cases'!$A$3:$CZ$3,0)+1)</f>
        <v>3p6m_1p8v</v>
      </c>
      <c r="L54" s="147">
        <f>INDEX('Use Cases'!$A$3:$CZ$400,MATCH($A54&amp;$B54,'Use Cases'!$A$3:$A$400,0),MATCH(Use_Case,'Use Cases'!$A$3:$CZ$3,0))</f>
        <v>1</v>
      </c>
      <c r="M54" s="111">
        <f t="shared" si="19"/>
        <v>4</v>
      </c>
      <c r="N54" s="109">
        <f t="shared" si="20"/>
        <v>0</v>
      </c>
      <c r="O54" s="109">
        <f t="shared" si="21"/>
        <v>1.4462490170454543E-7</v>
      </c>
      <c r="P54" s="129">
        <v>0</v>
      </c>
      <c r="Q54" s="129">
        <v>0</v>
      </c>
      <c r="R54" s="129">
        <v>0</v>
      </c>
      <c r="S54" s="109">
        <f t="shared" si="15"/>
        <v>0</v>
      </c>
      <c r="T54" s="109">
        <f t="shared" si="22"/>
        <v>0.10901647120351241</v>
      </c>
      <c r="U54" s="109">
        <f t="shared" si="16"/>
        <v>0</v>
      </c>
      <c r="V54" s="109">
        <f t="shared" si="23"/>
        <v>0</v>
      </c>
      <c r="W54" s="109" t="s">
        <v>1050</v>
      </c>
      <c r="X54" s="111" t="s">
        <v>1109</v>
      </c>
      <c r="Y54" s="111" t="s">
        <v>169</v>
      </c>
      <c r="Z54" s="111" t="s">
        <v>54</v>
      </c>
      <c r="AA54" s="111" t="s">
        <v>1112</v>
      </c>
      <c r="AB54" s="111" t="s">
        <v>1111</v>
      </c>
      <c r="AC54" s="129">
        <v>0</v>
      </c>
      <c r="AD54" s="129">
        <v>0</v>
      </c>
      <c r="AE54" s="129">
        <v>0</v>
      </c>
      <c r="AF54" s="129">
        <v>0</v>
      </c>
      <c r="AG54" s="129">
        <v>0</v>
      </c>
      <c r="AH54" s="5" t="s">
        <v>1110</v>
      </c>
      <c r="AI54" s="137" t="str">
        <f t="shared" si="17"/>
        <v>uart_1</v>
      </c>
    </row>
    <row r="55" spans="1:35" x14ac:dyDescent="0.25">
      <c r="A55" s="130" t="s">
        <v>918</v>
      </c>
      <c r="B55" s="130" t="s">
        <v>20</v>
      </c>
      <c r="C55" s="128" t="str">
        <f t="shared" si="18"/>
        <v>UART LVCMOS IO</v>
      </c>
      <c r="D55" s="146">
        <f t="shared" si="18"/>
        <v>44499</v>
      </c>
      <c r="E55" s="109" t="str">
        <f t="shared" si="18"/>
        <v>7 LVCMOS IO</v>
      </c>
      <c r="F55" s="109" t="str">
        <f t="shared" si="18"/>
        <v>uart</v>
      </c>
      <c r="G55" s="111">
        <v>1</v>
      </c>
      <c r="H55" s="109">
        <f t="shared" si="13"/>
        <v>0</v>
      </c>
      <c r="I55" s="111" t="str">
        <f t="shared" si="14"/>
        <v>ON</v>
      </c>
      <c r="J55" s="129">
        <v>0</v>
      </c>
      <c r="K55" s="143" t="str">
        <f>INDEX('Use Cases'!$A$3:$CZ$400,MATCH($A55&amp;$B55,'Use Cases'!$A$3:$A$400,0),MATCH(Use_Case,'Use Cases'!$A$3:$CZ$3,0)+1)</f>
        <v>unused</v>
      </c>
      <c r="L55" s="147">
        <f>INDEX('Use Cases'!$A$3:$CZ$400,MATCH($A55&amp;$B55,'Use Cases'!$A$3:$A$400,0),MATCH(Use_Case,'Use Cases'!$A$3:$CZ$3,0))</f>
        <v>0</v>
      </c>
      <c r="M55" s="111">
        <f t="shared" si="19"/>
        <v>0</v>
      </c>
      <c r="N55" s="109">
        <f t="shared" si="20"/>
        <v>0</v>
      </c>
      <c r="O55" s="109">
        <f t="shared" si="21"/>
        <v>0</v>
      </c>
      <c r="P55" s="129">
        <v>0</v>
      </c>
      <c r="Q55" s="129">
        <v>0</v>
      </c>
      <c r="R55" s="129">
        <v>0</v>
      </c>
      <c r="S55" s="109">
        <f t="shared" si="15"/>
        <v>0</v>
      </c>
      <c r="T55" s="109">
        <f t="shared" si="22"/>
        <v>0</v>
      </c>
      <c r="U55" s="109">
        <f t="shared" si="16"/>
        <v>0</v>
      </c>
      <c r="V55" s="109">
        <f t="shared" si="23"/>
        <v>0</v>
      </c>
      <c r="W55" s="109" t="s">
        <v>1050</v>
      </c>
      <c r="X55" s="111" t="s">
        <v>1109</v>
      </c>
      <c r="Y55" s="111" t="s">
        <v>169</v>
      </c>
      <c r="Z55" s="111" t="s">
        <v>54</v>
      </c>
      <c r="AA55" s="111" t="s">
        <v>1112</v>
      </c>
      <c r="AB55" s="111" t="s">
        <v>1111</v>
      </c>
      <c r="AC55" s="129">
        <v>0</v>
      </c>
      <c r="AD55" s="129">
        <v>0</v>
      </c>
      <c r="AE55" s="129">
        <v>0</v>
      </c>
      <c r="AF55" s="129">
        <v>0</v>
      </c>
      <c r="AG55" s="129">
        <v>0</v>
      </c>
      <c r="AH55" s="5" t="s">
        <v>1110</v>
      </c>
      <c r="AI55" s="137" t="str">
        <f t="shared" si="17"/>
        <v>uart_2</v>
      </c>
    </row>
    <row r="56" spans="1:35" x14ac:dyDescent="0.25">
      <c r="A56" s="130" t="s">
        <v>918</v>
      </c>
      <c r="B56" s="130" t="s">
        <v>22</v>
      </c>
      <c r="C56" s="128" t="str">
        <f t="shared" si="18"/>
        <v>UART LVCMOS IO</v>
      </c>
      <c r="D56" s="146">
        <f t="shared" si="18"/>
        <v>44499</v>
      </c>
      <c r="E56" s="109" t="str">
        <f t="shared" si="18"/>
        <v>7 LVCMOS IO</v>
      </c>
      <c r="F56" s="109" t="str">
        <f t="shared" si="18"/>
        <v>uart</v>
      </c>
      <c r="G56" s="111">
        <v>1</v>
      </c>
      <c r="H56" s="109">
        <f t="shared" si="13"/>
        <v>0</v>
      </c>
      <c r="I56" s="111" t="str">
        <f t="shared" si="14"/>
        <v>ON</v>
      </c>
      <c r="J56" s="129">
        <v>0</v>
      </c>
      <c r="K56" s="143" t="str">
        <f>INDEX('Use Cases'!$A$3:$CZ$400,MATCH($A56&amp;$B56,'Use Cases'!$A$3:$A$400,0),MATCH(Use_Case,'Use Cases'!$A$3:$CZ$3,0)+1)</f>
        <v>unused</v>
      </c>
      <c r="L56" s="147">
        <f>INDEX('Use Cases'!$A$3:$CZ$400,MATCH($A56&amp;$B56,'Use Cases'!$A$3:$A$400,0),MATCH(Use_Case,'Use Cases'!$A$3:$CZ$3,0))</f>
        <v>0</v>
      </c>
      <c r="M56" s="111">
        <f t="shared" si="19"/>
        <v>0</v>
      </c>
      <c r="N56" s="109">
        <f t="shared" si="20"/>
        <v>0</v>
      </c>
      <c r="O56" s="109">
        <f t="shared" si="21"/>
        <v>0</v>
      </c>
      <c r="P56" s="129">
        <v>0</v>
      </c>
      <c r="Q56" s="129">
        <v>0</v>
      </c>
      <c r="R56" s="129">
        <v>0</v>
      </c>
      <c r="S56" s="109">
        <f t="shared" si="15"/>
        <v>0</v>
      </c>
      <c r="T56" s="109">
        <f t="shared" si="22"/>
        <v>0</v>
      </c>
      <c r="U56" s="109">
        <f t="shared" si="16"/>
        <v>0</v>
      </c>
      <c r="V56" s="109">
        <f t="shared" si="23"/>
        <v>0</v>
      </c>
      <c r="W56" s="109" t="s">
        <v>1050</v>
      </c>
      <c r="X56" s="111" t="s">
        <v>1109</v>
      </c>
      <c r="Y56" s="111" t="s">
        <v>169</v>
      </c>
      <c r="Z56" s="111" t="s">
        <v>54</v>
      </c>
      <c r="AA56" s="111" t="s">
        <v>1112</v>
      </c>
      <c r="AB56" s="111" t="s">
        <v>1111</v>
      </c>
      <c r="AC56" s="129">
        <v>0</v>
      </c>
      <c r="AD56" s="129">
        <v>0</v>
      </c>
      <c r="AE56" s="129">
        <v>0</v>
      </c>
      <c r="AF56" s="129">
        <v>0</v>
      </c>
      <c r="AG56" s="129">
        <v>0</v>
      </c>
      <c r="AH56" s="5" t="s">
        <v>1110</v>
      </c>
      <c r="AI56" s="137" t="str">
        <f t="shared" si="17"/>
        <v>uart_3</v>
      </c>
    </row>
    <row r="57" spans="1:35" x14ac:dyDescent="0.25">
      <c r="A57" s="130" t="s">
        <v>918</v>
      </c>
      <c r="B57" s="130" t="s">
        <v>23</v>
      </c>
      <c r="C57" s="128" t="str">
        <f t="shared" si="18"/>
        <v>UART LVCMOS IO</v>
      </c>
      <c r="D57" s="146">
        <f t="shared" si="18"/>
        <v>44499</v>
      </c>
      <c r="E57" s="109" t="str">
        <f t="shared" si="18"/>
        <v>7 LVCMOS IO</v>
      </c>
      <c r="F57" s="109" t="str">
        <f t="shared" si="18"/>
        <v>uart</v>
      </c>
      <c r="G57" s="111">
        <v>1</v>
      </c>
      <c r="H57" s="109">
        <f t="shared" si="13"/>
        <v>0</v>
      </c>
      <c r="I57" s="111" t="str">
        <f t="shared" si="14"/>
        <v>ON</v>
      </c>
      <c r="J57" s="129">
        <v>0</v>
      </c>
      <c r="K57" s="143" t="str">
        <f>INDEX('Use Cases'!$A$3:$CZ$400,MATCH($A57&amp;$B57,'Use Cases'!$A$3:$A$400,0),MATCH(Use_Case,'Use Cases'!$A$3:$CZ$3,0)+1)</f>
        <v>unused</v>
      </c>
      <c r="L57" s="147">
        <f>INDEX('Use Cases'!$A$3:$CZ$400,MATCH($A57&amp;$B57,'Use Cases'!$A$3:$A$400,0),MATCH(Use_Case,'Use Cases'!$A$3:$CZ$3,0))</f>
        <v>0</v>
      </c>
      <c r="M57" s="111">
        <f t="shared" si="19"/>
        <v>0</v>
      </c>
      <c r="N57" s="109">
        <f t="shared" si="20"/>
        <v>0</v>
      </c>
      <c r="O57" s="109">
        <f t="shared" si="21"/>
        <v>0</v>
      </c>
      <c r="P57" s="129">
        <v>0</v>
      </c>
      <c r="Q57" s="129">
        <v>0</v>
      </c>
      <c r="R57" s="129">
        <v>0</v>
      </c>
      <c r="S57" s="109">
        <f t="shared" si="15"/>
        <v>0</v>
      </c>
      <c r="T57" s="109">
        <f t="shared" si="22"/>
        <v>0</v>
      </c>
      <c r="U57" s="109">
        <f t="shared" si="16"/>
        <v>0</v>
      </c>
      <c r="V57" s="109">
        <f t="shared" si="23"/>
        <v>0</v>
      </c>
      <c r="W57" s="109" t="s">
        <v>1050</v>
      </c>
      <c r="X57" s="111" t="s">
        <v>1109</v>
      </c>
      <c r="Y57" s="111" t="s">
        <v>169</v>
      </c>
      <c r="Z57" s="111" t="s">
        <v>54</v>
      </c>
      <c r="AA57" s="111" t="s">
        <v>1112</v>
      </c>
      <c r="AB57" s="111" t="s">
        <v>1111</v>
      </c>
      <c r="AC57" s="129">
        <v>0</v>
      </c>
      <c r="AD57" s="129">
        <v>0</v>
      </c>
      <c r="AE57" s="129">
        <v>0</v>
      </c>
      <c r="AF57" s="129">
        <v>0</v>
      </c>
      <c r="AG57" s="129">
        <v>0</v>
      </c>
      <c r="AH57" s="5" t="s">
        <v>1110</v>
      </c>
      <c r="AI57" s="137" t="str">
        <f t="shared" si="17"/>
        <v>uart_4</v>
      </c>
    </row>
    <row r="58" spans="1:35" x14ac:dyDescent="0.25">
      <c r="A58" s="130" t="s">
        <v>918</v>
      </c>
      <c r="B58" s="130" t="s">
        <v>24</v>
      </c>
      <c r="C58" s="128" t="str">
        <f t="shared" si="18"/>
        <v>UART LVCMOS IO</v>
      </c>
      <c r="D58" s="146">
        <f t="shared" si="18"/>
        <v>44499</v>
      </c>
      <c r="E58" s="109" t="str">
        <f t="shared" si="18"/>
        <v>7 LVCMOS IO</v>
      </c>
      <c r="F58" s="109" t="str">
        <f t="shared" si="18"/>
        <v>uart</v>
      </c>
      <c r="G58" s="111">
        <v>1</v>
      </c>
      <c r="H58" s="109">
        <f t="shared" si="13"/>
        <v>0</v>
      </c>
      <c r="I58" s="111" t="str">
        <f t="shared" si="14"/>
        <v>ON</v>
      </c>
      <c r="J58" s="129">
        <v>0</v>
      </c>
      <c r="K58" s="143" t="str">
        <f>INDEX('Use Cases'!$A$3:$CZ$400,MATCH($A58&amp;$B58,'Use Cases'!$A$3:$A$400,0),MATCH(Use_Case,'Use Cases'!$A$3:$CZ$3,0)+1)</f>
        <v>unused</v>
      </c>
      <c r="L58" s="147">
        <f>INDEX('Use Cases'!$A$3:$CZ$400,MATCH($A58&amp;$B58,'Use Cases'!$A$3:$A$400,0),MATCH(Use_Case,'Use Cases'!$A$3:$CZ$3,0))</f>
        <v>0</v>
      </c>
      <c r="M58" s="111">
        <f t="shared" si="19"/>
        <v>0</v>
      </c>
      <c r="N58" s="109">
        <f t="shared" si="20"/>
        <v>0</v>
      </c>
      <c r="O58" s="109">
        <f t="shared" si="21"/>
        <v>0</v>
      </c>
      <c r="P58" s="129">
        <v>0</v>
      </c>
      <c r="Q58" s="129">
        <v>0</v>
      </c>
      <c r="R58" s="129">
        <v>0</v>
      </c>
      <c r="S58" s="109">
        <f t="shared" si="15"/>
        <v>0</v>
      </c>
      <c r="T58" s="109">
        <f t="shared" si="22"/>
        <v>0</v>
      </c>
      <c r="U58" s="109">
        <f t="shared" si="16"/>
        <v>0</v>
      </c>
      <c r="V58" s="109">
        <f t="shared" si="23"/>
        <v>0</v>
      </c>
      <c r="W58" s="109" t="s">
        <v>1050</v>
      </c>
      <c r="X58" s="111" t="s">
        <v>1109</v>
      </c>
      <c r="Y58" s="111" t="s">
        <v>169</v>
      </c>
      <c r="Z58" s="111" t="s">
        <v>54</v>
      </c>
      <c r="AA58" s="111" t="s">
        <v>1112</v>
      </c>
      <c r="AB58" s="111" t="s">
        <v>1111</v>
      </c>
      <c r="AC58" s="129">
        <v>0</v>
      </c>
      <c r="AD58" s="129">
        <v>0</v>
      </c>
      <c r="AE58" s="129">
        <v>0</v>
      </c>
      <c r="AF58" s="129">
        <v>0</v>
      </c>
      <c r="AG58" s="129">
        <v>0</v>
      </c>
      <c r="AH58" s="5" t="s">
        <v>1110</v>
      </c>
      <c r="AI58" s="137" t="str">
        <f t="shared" si="17"/>
        <v>uart_5</v>
      </c>
    </row>
    <row r="59" spans="1:35" x14ac:dyDescent="0.25">
      <c r="A59" s="130" t="s">
        <v>918</v>
      </c>
      <c r="B59" s="130" t="s">
        <v>25</v>
      </c>
      <c r="C59" s="128" t="str">
        <f t="shared" si="18"/>
        <v>UART LVCMOS IO</v>
      </c>
      <c r="D59" s="146">
        <f t="shared" si="18"/>
        <v>44499</v>
      </c>
      <c r="E59" s="109" t="str">
        <f t="shared" si="18"/>
        <v>7 LVCMOS IO</v>
      </c>
      <c r="F59" s="109" t="str">
        <f t="shared" si="18"/>
        <v>uart</v>
      </c>
      <c r="G59" s="111">
        <v>1</v>
      </c>
      <c r="H59" s="109">
        <f t="shared" si="13"/>
        <v>0</v>
      </c>
      <c r="I59" s="111" t="str">
        <f t="shared" si="14"/>
        <v>ON</v>
      </c>
      <c r="J59" s="129">
        <v>0</v>
      </c>
      <c r="K59" s="143" t="str">
        <f>INDEX('Use Cases'!$A$3:$CZ$400,MATCH($A59&amp;$B59,'Use Cases'!$A$3:$A$400,0),MATCH(Use_Case,'Use Cases'!$A$3:$CZ$3,0)+1)</f>
        <v>unused</v>
      </c>
      <c r="L59" s="147">
        <f>INDEX('Use Cases'!$A$3:$CZ$400,MATCH($A59&amp;$B59,'Use Cases'!$A$3:$A$400,0),MATCH(Use_Case,'Use Cases'!$A$3:$CZ$3,0))</f>
        <v>0</v>
      </c>
      <c r="M59" s="111">
        <f t="shared" si="19"/>
        <v>0</v>
      </c>
      <c r="N59" s="109">
        <f t="shared" si="20"/>
        <v>0</v>
      </c>
      <c r="O59" s="109">
        <f t="shared" si="21"/>
        <v>0</v>
      </c>
      <c r="P59" s="129">
        <v>0</v>
      </c>
      <c r="Q59" s="129">
        <v>0</v>
      </c>
      <c r="R59" s="129">
        <v>0</v>
      </c>
      <c r="S59" s="109">
        <f t="shared" si="15"/>
        <v>0</v>
      </c>
      <c r="T59" s="109">
        <f t="shared" si="22"/>
        <v>0</v>
      </c>
      <c r="U59" s="109">
        <f t="shared" si="16"/>
        <v>0</v>
      </c>
      <c r="V59" s="109">
        <f t="shared" si="23"/>
        <v>0</v>
      </c>
      <c r="W59" s="109" t="s">
        <v>1050</v>
      </c>
      <c r="X59" s="111" t="s">
        <v>1109</v>
      </c>
      <c r="Y59" s="111" t="s">
        <v>169</v>
      </c>
      <c r="Z59" s="111" t="s">
        <v>54</v>
      </c>
      <c r="AA59" s="111" t="s">
        <v>1112</v>
      </c>
      <c r="AB59" s="111" t="s">
        <v>1111</v>
      </c>
      <c r="AC59" s="129">
        <v>0</v>
      </c>
      <c r="AD59" s="129">
        <v>0</v>
      </c>
      <c r="AE59" s="129">
        <v>0</v>
      </c>
      <c r="AF59" s="129">
        <v>0</v>
      </c>
      <c r="AG59" s="129">
        <v>0</v>
      </c>
      <c r="AH59" s="5" t="s">
        <v>1110</v>
      </c>
      <c r="AI59" s="137" t="str">
        <f t="shared" si="17"/>
        <v>uart_6</v>
      </c>
    </row>
    <row r="60" spans="1:35" x14ac:dyDescent="0.25">
      <c r="A60" s="130" t="s">
        <v>918</v>
      </c>
      <c r="B60" s="130" t="s">
        <v>26</v>
      </c>
      <c r="C60" s="128" t="str">
        <f t="shared" si="18"/>
        <v>UART LVCMOS IO</v>
      </c>
      <c r="D60" s="146">
        <f t="shared" si="18"/>
        <v>44499</v>
      </c>
      <c r="E60" s="109" t="str">
        <f t="shared" si="18"/>
        <v>7 LVCMOS IO</v>
      </c>
      <c r="F60" s="109" t="str">
        <f t="shared" si="18"/>
        <v>uart</v>
      </c>
      <c r="G60" s="111">
        <v>1</v>
      </c>
      <c r="H60" s="109">
        <f t="shared" si="13"/>
        <v>0</v>
      </c>
      <c r="I60" s="111" t="str">
        <f t="shared" si="14"/>
        <v>ON</v>
      </c>
      <c r="J60" s="129">
        <v>0</v>
      </c>
      <c r="K60" s="143" t="str">
        <f>INDEX('Use Cases'!$A$3:$CZ$400,MATCH($A60&amp;$B60,'Use Cases'!$A$3:$A$400,0),MATCH(Use_Case,'Use Cases'!$A$3:$CZ$3,0)+1)</f>
        <v>unused</v>
      </c>
      <c r="L60" s="147">
        <f>INDEX('Use Cases'!$A$3:$CZ$400,MATCH($A60&amp;$B60,'Use Cases'!$A$3:$A$400,0),MATCH(Use_Case,'Use Cases'!$A$3:$CZ$3,0))</f>
        <v>0</v>
      </c>
      <c r="M60" s="111">
        <f t="shared" si="19"/>
        <v>0</v>
      </c>
      <c r="N60" s="109">
        <f t="shared" si="20"/>
        <v>0</v>
      </c>
      <c r="O60" s="109">
        <f t="shared" si="21"/>
        <v>0</v>
      </c>
      <c r="P60" s="129">
        <v>0</v>
      </c>
      <c r="Q60" s="129">
        <v>0</v>
      </c>
      <c r="R60" s="129">
        <v>0</v>
      </c>
      <c r="S60" s="109">
        <f t="shared" si="15"/>
        <v>0</v>
      </c>
      <c r="T60" s="109">
        <f t="shared" si="22"/>
        <v>0</v>
      </c>
      <c r="U60" s="109">
        <f t="shared" si="16"/>
        <v>0</v>
      </c>
      <c r="V60" s="109">
        <f t="shared" si="23"/>
        <v>0</v>
      </c>
      <c r="W60" s="109" t="s">
        <v>1050</v>
      </c>
      <c r="X60" s="111" t="s">
        <v>1109</v>
      </c>
      <c r="Y60" s="111" t="s">
        <v>169</v>
      </c>
      <c r="Z60" s="111" t="s">
        <v>54</v>
      </c>
      <c r="AA60" s="111" t="s">
        <v>1112</v>
      </c>
      <c r="AB60" s="111" t="s">
        <v>1111</v>
      </c>
      <c r="AC60" s="129">
        <v>0</v>
      </c>
      <c r="AD60" s="129">
        <v>0</v>
      </c>
      <c r="AE60" s="129">
        <v>0</v>
      </c>
      <c r="AF60" s="129">
        <v>0</v>
      </c>
      <c r="AG60" s="129">
        <v>0</v>
      </c>
      <c r="AH60" s="5" t="s">
        <v>1110</v>
      </c>
      <c r="AI60" s="137" t="str">
        <f t="shared" si="17"/>
        <v>uart_7</v>
      </c>
    </row>
    <row r="61" spans="1:35" x14ac:dyDescent="0.25">
      <c r="A61" s="130" t="s">
        <v>918</v>
      </c>
      <c r="B61" s="130" t="s">
        <v>27</v>
      </c>
      <c r="C61" s="128" t="str">
        <f t="shared" si="18"/>
        <v>UART LVCMOS IO</v>
      </c>
      <c r="D61" s="146">
        <f t="shared" si="18"/>
        <v>44499</v>
      </c>
      <c r="E61" s="109" t="str">
        <f t="shared" si="18"/>
        <v>7 LVCMOS IO</v>
      </c>
      <c r="F61" s="109" t="str">
        <f t="shared" si="18"/>
        <v>uart</v>
      </c>
      <c r="G61" s="111">
        <v>1</v>
      </c>
      <c r="H61" s="109">
        <f t="shared" si="13"/>
        <v>0</v>
      </c>
      <c r="I61" s="111" t="str">
        <f t="shared" si="14"/>
        <v>ON</v>
      </c>
      <c r="J61" s="129">
        <v>0</v>
      </c>
      <c r="K61" s="143" t="str">
        <f>INDEX('Use Cases'!$A$3:$CZ$400,MATCH($A61&amp;$B61,'Use Cases'!$A$3:$A$400,0),MATCH(Use_Case,'Use Cases'!$A$3:$CZ$3,0)+1)</f>
        <v>unused</v>
      </c>
      <c r="L61" s="147">
        <f>INDEX('Use Cases'!$A$3:$CZ$400,MATCH($A61&amp;$B61,'Use Cases'!$A$3:$A$400,0),MATCH(Use_Case,'Use Cases'!$A$3:$CZ$3,0))</f>
        <v>0</v>
      </c>
      <c r="M61" s="111">
        <f t="shared" si="19"/>
        <v>0</v>
      </c>
      <c r="N61" s="109">
        <f t="shared" si="20"/>
        <v>0</v>
      </c>
      <c r="O61" s="109">
        <f t="shared" si="21"/>
        <v>0</v>
      </c>
      <c r="P61" s="129">
        <v>0</v>
      </c>
      <c r="Q61" s="129">
        <v>0</v>
      </c>
      <c r="R61" s="129">
        <v>0</v>
      </c>
      <c r="S61" s="109">
        <f t="shared" si="15"/>
        <v>0</v>
      </c>
      <c r="T61" s="109">
        <f t="shared" si="22"/>
        <v>0</v>
      </c>
      <c r="U61" s="109">
        <f t="shared" si="16"/>
        <v>0</v>
      </c>
      <c r="V61" s="109">
        <f t="shared" si="23"/>
        <v>0</v>
      </c>
      <c r="W61" s="109" t="s">
        <v>1050</v>
      </c>
      <c r="X61" s="111" t="s">
        <v>1109</v>
      </c>
      <c r="Y61" s="111" t="s">
        <v>169</v>
      </c>
      <c r="Z61" s="111" t="s">
        <v>54</v>
      </c>
      <c r="AA61" s="111" t="s">
        <v>1112</v>
      </c>
      <c r="AB61" s="111" t="s">
        <v>1111</v>
      </c>
      <c r="AC61" s="129">
        <v>0</v>
      </c>
      <c r="AD61" s="129">
        <v>0</v>
      </c>
      <c r="AE61" s="129">
        <v>0</v>
      </c>
      <c r="AF61" s="129">
        <v>0</v>
      </c>
      <c r="AG61" s="129">
        <v>0</v>
      </c>
      <c r="AH61" s="5" t="s">
        <v>1110</v>
      </c>
      <c r="AI61" s="137" t="str">
        <f t="shared" si="17"/>
        <v>uart_8</v>
      </c>
    </row>
    <row r="62" spans="1:35" x14ac:dyDescent="0.25">
      <c r="A62" s="130" t="s">
        <v>918</v>
      </c>
      <c r="B62" s="130" t="s">
        <v>651</v>
      </c>
      <c r="C62" s="128" t="str">
        <f t="shared" ref="C62:F81" si="24">VLOOKUP($A62&amp;"_"&amp;C$1,MDB,6,0)</f>
        <v>UART LVCMOS IO</v>
      </c>
      <c r="D62" s="146">
        <f t="shared" si="24"/>
        <v>44499</v>
      </c>
      <c r="E62" s="109" t="str">
        <f t="shared" si="24"/>
        <v>7 LVCMOS IO</v>
      </c>
      <c r="F62" s="109" t="str">
        <f t="shared" si="24"/>
        <v>uart</v>
      </c>
      <c r="G62" s="111">
        <v>1</v>
      </c>
      <c r="H62" s="109">
        <f t="shared" si="13"/>
        <v>0.10901661582841411</v>
      </c>
      <c r="I62" s="111" t="str">
        <f t="shared" si="14"/>
        <v>ON</v>
      </c>
      <c r="J62" s="129">
        <v>0</v>
      </c>
      <c r="K62" s="143" t="str">
        <f>INDEX('Use Cases'!$A$3:$CZ$400,MATCH($A62&amp;$B62,'Use Cases'!$A$3:$A$400,0),MATCH(Use_Case,'Use Cases'!$A$3:$CZ$3,0)+1)</f>
        <v>3p6m_1p8v</v>
      </c>
      <c r="L62" s="147">
        <f>INDEX('Use Cases'!$A$3:$CZ$400,MATCH($A62&amp;$B62,'Use Cases'!$A$3:$A$400,0),MATCH(Use_Case,'Use Cases'!$A$3:$CZ$3,0))</f>
        <v>1</v>
      </c>
      <c r="M62" s="111">
        <f t="shared" si="19"/>
        <v>4</v>
      </c>
      <c r="N62" s="109">
        <f t="shared" si="20"/>
        <v>0</v>
      </c>
      <c r="O62" s="109">
        <f t="shared" si="21"/>
        <v>1.4462490170454543E-7</v>
      </c>
      <c r="P62" s="129">
        <v>0</v>
      </c>
      <c r="Q62" s="129">
        <v>0</v>
      </c>
      <c r="R62" s="129">
        <v>0</v>
      </c>
      <c r="S62" s="109">
        <f t="shared" si="15"/>
        <v>0</v>
      </c>
      <c r="T62" s="109">
        <f t="shared" si="22"/>
        <v>0.10901647120351241</v>
      </c>
      <c r="U62" s="109">
        <f t="shared" si="16"/>
        <v>0</v>
      </c>
      <c r="V62" s="109">
        <f t="shared" si="23"/>
        <v>0</v>
      </c>
      <c r="W62" s="109" t="s">
        <v>1050</v>
      </c>
      <c r="X62" s="111" t="s">
        <v>1109</v>
      </c>
      <c r="Y62" s="111" t="s">
        <v>169</v>
      </c>
      <c r="Z62" s="111" t="s">
        <v>54</v>
      </c>
      <c r="AA62" s="111" t="s">
        <v>1112</v>
      </c>
      <c r="AB62" s="111" t="s">
        <v>1111</v>
      </c>
      <c r="AC62" s="129">
        <v>0</v>
      </c>
      <c r="AD62" s="129">
        <v>0</v>
      </c>
      <c r="AE62" s="129">
        <v>0</v>
      </c>
      <c r="AF62" s="129">
        <v>0</v>
      </c>
      <c r="AG62" s="129">
        <v>0</v>
      </c>
      <c r="AH62" s="5" t="s">
        <v>1110</v>
      </c>
      <c r="AI62" s="137" t="str">
        <f t="shared" si="17"/>
        <v>uartmcu_0</v>
      </c>
    </row>
    <row r="63" spans="1:35" x14ac:dyDescent="0.25">
      <c r="A63" s="130" t="s">
        <v>918</v>
      </c>
      <c r="B63" s="130" t="s">
        <v>919</v>
      </c>
      <c r="C63" s="128" t="str">
        <f t="shared" si="24"/>
        <v>UART LVCMOS IO</v>
      </c>
      <c r="D63" s="146">
        <f t="shared" si="24"/>
        <v>44499</v>
      </c>
      <c r="E63" s="109" t="str">
        <f t="shared" si="24"/>
        <v>7 LVCMOS IO</v>
      </c>
      <c r="F63" s="109" t="str">
        <f t="shared" si="24"/>
        <v>uart</v>
      </c>
      <c r="G63" s="111">
        <v>1</v>
      </c>
      <c r="H63" s="109">
        <f t="shared" si="13"/>
        <v>0.10901661582841411</v>
      </c>
      <c r="I63" s="111" t="str">
        <f t="shared" si="14"/>
        <v>ON</v>
      </c>
      <c r="J63" s="129">
        <v>0</v>
      </c>
      <c r="K63" s="143" t="str">
        <f>INDEX('Use Cases'!$A$3:$CZ$400,MATCH($A63&amp;$B63,'Use Cases'!$A$3:$A$400,0),MATCH(Use_Case,'Use Cases'!$A$3:$CZ$3,0)+1)</f>
        <v>3p6m_1p8v</v>
      </c>
      <c r="L63" s="147">
        <f>INDEX('Use Cases'!$A$3:$CZ$400,MATCH($A63&amp;$B63,'Use Cases'!$A$3:$A$400,0),MATCH(Use_Case,'Use Cases'!$A$3:$CZ$3,0))</f>
        <v>1</v>
      </c>
      <c r="M63" s="111">
        <f t="shared" si="19"/>
        <v>4</v>
      </c>
      <c r="N63" s="109">
        <f t="shared" si="20"/>
        <v>0</v>
      </c>
      <c r="O63" s="109">
        <f t="shared" si="21"/>
        <v>1.4462490170454543E-7</v>
      </c>
      <c r="P63" s="129">
        <v>0</v>
      </c>
      <c r="Q63" s="129">
        <v>0</v>
      </c>
      <c r="R63" s="129">
        <v>0</v>
      </c>
      <c r="S63" s="109">
        <f t="shared" si="15"/>
        <v>0</v>
      </c>
      <c r="T63" s="109">
        <f t="shared" si="22"/>
        <v>0.10901647120351241</v>
      </c>
      <c r="U63" s="109">
        <f t="shared" si="16"/>
        <v>0</v>
      </c>
      <c r="V63" s="109">
        <f t="shared" si="23"/>
        <v>0</v>
      </c>
      <c r="W63" s="109" t="s">
        <v>1050</v>
      </c>
      <c r="X63" s="111" t="s">
        <v>1109</v>
      </c>
      <c r="Y63" s="111" t="s">
        <v>169</v>
      </c>
      <c r="Z63" s="111" t="s">
        <v>54</v>
      </c>
      <c r="AA63" s="111" t="s">
        <v>1112</v>
      </c>
      <c r="AB63" s="111" t="s">
        <v>1111</v>
      </c>
      <c r="AC63" s="129">
        <v>0</v>
      </c>
      <c r="AD63" s="129">
        <v>0</v>
      </c>
      <c r="AE63" s="129">
        <v>0</v>
      </c>
      <c r="AF63" s="129">
        <v>0</v>
      </c>
      <c r="AG63" s="129">
        <v>0</v>
      </c>
      <c r="AH63" s="5" t="s">
        <v>1110</v>
      </c>
      <c r="AI63" s="137" t="str">
        <f t="shared" si="17"/>
        <v>uartwkp_0</v>
      </c>
    </row>
    <row r="64" spans="1:35" x14ac:dyDescent="0.25">
      <c r="A64" s="130" t="s">
        <v>928</v>
      </c>
      <c r="B64" s="130" t="s">
        <v>18</v>
      </c>
      <c r="C64" s="128" t="str">
        <f t="shared" si="24"/>
        <v>UART Modem LVCMOS IO</v>
      </c>
      <c r="D64" s="146">
        <f t="shared" si="24"/>
        <v>44499</v>
      </c>
      <c r="E64" s="109" t="str">
        <f t="shared" si="24"/>
        <v>7 LVCMOS IO</v>
      </c>
      <c r="F64" s="109" t="str">
        <f t="shared" si="24"/>
        <v>uart_modem</v>
      </c>
      <c r="G64" s="111">
        <v>1</v>
      </c>
      <c r="H64" s="109">
        <f t="shared" si="13"/>
        <v>0</v>
      </c>
      <c r="I64" s="111" t="str">
        <f t="shared" si="14"/>
        <v>ON</v>
      </c>
      <c r="J64" s="129">
        <v>0</v>
      </c>
      <c r="K64" s="143" t="str">
        <f>INDEX('Use Cases'!$A$3:$CZ$400,MATCH($A64&amp;$B64,'Use Cases'!$A$3:$A$400,0),MATCH(Use_Case,'Use Cases'!$A$3:$CZ$3,0)+1)</f>
        <v>unused</v>
      </c>
      <c r="L64" s="147">
        <f>INDEX('Use Cases'!$A$3:$CZ$400,MATCH($A64&amp;$B64,'Use Cases'!$A$3:$A$400,0),MATCH(Use_Case,'Use Cases'!$A$3:$CZ$3,0))</f>
        <v>0</v>
      </c>
      <c r="M64" s="111">
        <f t="shared" si="19"/>
        <v>0</v>
      </c>
      <c r="N64" s="109">
        <f t="shared" si="20"/>
        <v>0</v>
      </c>
      <c r="O64" s="109">
        <f t="shared" si="21"/>
        <v>0</v>
      </c>
      <c r="P64" s="129">
        <v>0</v>
      </c>
      <c r="Q64" s="129">
        <v>0</v>
      </c>
      <c r="R64" s="129">
        <v>0</v>
      </c>
      <c r="S64" s="109">
        <f t="shared" si="15"/>
        <v>0</v>
      </c>
      <c r="T64" s="109">
        <f t="shared" si="22"/>
        <v>0</v>
      </c>
      <c r="U64" s="109">
        <f t="shared" si="16"/>
        <v>0</v>
      </c>
      <c r="V64" s="109">
        <f t="shared" si="23"/>
        <v>0</v>
      </c>
      <c r="W64" s="109" t="s">
        <v>1050</v>
      </c>
      <c r="X64" s="111" t="s">
        <v>1109</v>
      </c>
      <c r="Y64" s="111" t="s">
        <v>169</v>
      </c>
      <c r="Z64" s="111" t="s">
        <v>54</v>
      </c>
      <c r="AA64" s="111" t="s">
        <v>1112</v>
      </c>
      <c r="AB64" s="111" t="s">
        <v>1111</v>
      </c>
      <c r="AC64" s="129">
        <v>0</v>
      </c>
      <c r="AD64" s="129">
        <v>0</v>
      </c>
      <c r="AE64" s="129">
        <v>0</v>
      </c>
      <c r="AF64" s="129">
        <v>0</v>
      </c>
      <c r="AG64" s="129">
        <v>0</v>
      </c>
      <c r="AH64" s="5" t="s">
        <v>1110</v>
      </c>
      <c r="AI64" s="137" t="str">
        <f t="shared" si="17"/>
        <v>uart_modem_0</v>
      </c>
    </row>
    <row r="65" spans="1:35" x14ac:dyDescent="0.25">
      <c r="A65" s="130" t="s">
        <v>699</v>
      </c>
      <c r="B65" s="130" t="s">
        <v>18</v>
      </c>
      <c r="C65" s="128" t="str">
        <f t="shared" si="24"/>
        <v>DPI LVCMOS IO</v>
      </c>
      <c r="D65" s="146">
        <f t="shared" si="24"/>
        <v>44499</v>
      </c>
      <c r="E65" s="109" t="str">
        <f t="shared" si="24"/>
        <v>7 LVCMOS IO</v>
      </c>
      <c r="F65" s="109" t="str">
        <f t="shared" si="24"/>
        <v>DPI Display</v>
      </c>
      <c r="G65" s="111">
        <v>1</v>
      </c>
      <c r="H65" s="109">
        <f t="shared" si="13"/>
        <v>82.898271592453241</v>
      </c>
      <c r="I65" s="111" t="str">
        <f t="shared" si="14"/>
        <v>ON</v>
      </c>
      <c r="J65" s="129">
        <v>0</v>
      </c>
      <c r="K65" s="143" t="str">
        <f>INDEX('Use Cases'!$A$3:$CZ$400,MATCH($A65&amp;$B65,'Use Cases'!$A$3:$A$400,0),MATCH(Use_Case,'Use Cases'!$A$3:$CZ$3,0)+1)</f>
        <v>2K_|_2048x1080x60_fps_24b_|_3p3V</v>
      </c>
      <c r="L65" s="147">
        <f>INDEX('Use Cases'!$A$3:$CZ$400,MATCH($A65&amp;$B65,'Use Cases'!$A$3:$A$400,0),MATCH(Use_Case,'Use Cases'!$A$3:$CZ$3,0))</f>
        <v>1</v>
      </c>
      <c r="M65" s="111">
        <f t="shared" si="19"/>
        <v>28</v>
      </c>
      <c r="N65" s="109">
        <f t="shared" si="20"/>
        <v>0</v>
      </c>
      <c r="O65" s="109">
        <f t="shared" si="21"/>
        <v>3.6592453227272733E-5</v>
      </c>
      <c r="P65" s="129">
        <v>0</v>
      </c>
      <c r="Q65" s="129">
        <v>0</v>
      </c>
      <c r="R65" s="129">
        <v>0</v>
      </c>
      <c r="S65" s="109">
        <f t="shared" si="15"/>
        <v>0</v>
      </c>
      <c r="T65" s="109">
        <f t="shared" si="22"/>
        <v>0</v>
      </c>
      <c r="U65" s="109">
        <f t="shared" si="16"/>
        <v>0</v>
      </c>
      <c r="V65" s="109">
        <f t="shared" si="23"/>
        <v>82.898235000000014</v>
      </c>
      <c r="W65" s="109" t="s">
        <v>1050</v>
      </c>
      <c r="X65" s="111" t="s">
        <v>1109</v>
      </c>
      <c r="Y65" s="111" t="s">
        <v>169</v>
      </c>
      <c r="Z65" s="111" t="s">
        <v>54</v>
      </c>
      <c r="AA65" s="111" t="s">
        <v>1112</v>
      </c>
      <c r="AB65" s="111" t="s">
        <v>1111</v>
      </c>
      <c r="AC65" s="129">
        <v>0</v>
      </c>
      <c r="AD65" s="129">
        <v>0</v>
      </c>
      <c r="AE65" s="129">
        <v>0</v>
      </c>
      <c r="AF65" s="129">
        <v>0</v>
      </c>
      <c r="AG65" s="129">
        <v>0</v>
      </c>
      <c r="AH65" s="5" t="s">
        <v>1110</v>
      </c>
      <c r="AI65" s="137" t="str">
        <f t="shared" si="17"/>
        <v>dpi_0</v>
      </c>
    </row>
    <row r="66" spans="1:35" x14ac:dyDescent="0.25">
      <c r="A66" s="130" t="s">
        <v>907</v>
      </c>
      <c r="B66" s="130" t="s">
        <v>18</v>
      </c>
      <c r="C66" s="128" t="str">
        <f t="shared" si="24"/>
        <v>I2C_OD LVCMOS IO</v>
      </c>
      <c r="D66" s="146">
        <f t="shared" si="24"/>
        <v>44499</v>
      </c>
      <c r="E66" s="109" t="str">
        <f t="shared" si="24"/>
        <v>7 LVCMOS IO</v>
      </c>
      <c r="F66" s="109" t="str">
        <f t="shared" si="24"/>
        <v>I2C with OD</v>
      </c>
      <c r="G66" s="111">
        <v>1</v>
      </c>
      <c r="H66" s="109">
        <f t="shared" ref="H66:H97" si="25">SUM(N66:V66)</f>
        <v>0</v>
      </c>
      <c r="I66" s="111" t="str">
        <f t="shared" ref="I66:I97" si="26">INDEX(PD_State_Table,MATCH(X66,PD_Table_Row_Header,0),2)</f>
        <v>ON</v>
      </c>
      <c r="J66" s="129">
        <v>0</v>
      </c>
      <c r="K66" s="143" t="str">
        <f>INDEX('Use Cases'!$A$3:$CZ$400,MATCH($A66&amp;$B66,'Use Cases'!$A$3:$A$400,0),MATCH(Use_Case,'Use Cases'!$A$3:$CZ$3,0)+1)</f>
        <v>unused</v>
      </c>
      <c r="L66" s="147">
        <f>INDEX('Use Cases'!$A$3:$CZ$400,MATCH($A66&amp;$B66,'Use Cases'!$A$3:$A$400,0),MATCH(Use_Case,'Use Cases'!$A$3:$CZ$3,0))</f>
        <v>0</v>
      </c>
      <c r="M66" s="111">
        <f t="shared" si="19"/>
        <v>0</v>
      </c>
      <c r="N66" s="109">
        <f t="shared" si="20"/>
        <v>0</v>
      </c>
      <c r="O66" s="109">
        <f t="shared" si="21"/>
        <v>0</v>
      </c>
      <c r="P66" s="129">
        <v>0</v>
      </c>
      <c r="Q66" s="129">
        <v>0</v>
      </c>
      <c r="R66" s="129">
        <v>0</v>
      </c>
      <c r="S66" s="109">
        <f t="shared" ref="S66:S93" si="27">IFERROR(VLOOKUP($A66&amp;"_"&amp;S$1,MDB,6,0)*$G66*VLOOKUP($Y66,pwr_scale_table,2,0),0)</f>
        <v>0</v>
      </c>
      <c r="T66" s="109">
        <f t="shared" si="22"/>
        <v>0</v>
      </c>
      <c r="U66" s="109">
        <f t="shared" ref="U66:U93" si="28">IFERROR(VLOOKUP($A66&amp;"_"&amp;U$1,MDB,6,0)*$G66*VLOOKUP($Y66,pwr_scale_table,2,0),0)</f>
        <v>0</v>
      </c>
      <c r="V66" s="109">
        <f t="shared" si="23"/>
        <v>0</v>
      </c>
      <c r="W66" s="109" t="s">
        <v>1050</v>
      </c>
      <c r="X66" s="111" t="s">
        <v>1109</v>
      </c>
      <c r="Y66" s="111" t="s">
        <v>169</v>
      </c>
      <c r="Z66" s="111" t="s">
        <v>54</v>
      </c>
      <c r="AA66" s="111" t="s">
        <v>1112</v>
      </c>
      <c r="AB66" s="111" t="s">
        <v>1111</v>
      </c>
      <c r="AC66" s="129">
        <v>0</v>
      </c>
      <c r="AD66" s="129">
        <v>0</v>
      </c>
      <c r="AE66" s="129">
        <v>0</v>
      </c>
      <c r="AF66" s="129">
        <v>0</v>
      </c>
      <c r="AG66" s="129">
        <v>0</v>
      </c>
      <c r="AH66" s="5" t="s">
        <v>1110</v>
      </c>
      <c r="AI66" s="137" t="str">
        <f t="shared" ref="AI66:AI97" si="29">A66&amp;B66</f>
        <v>i2c_od_0</v>
      </c>
    </row>
    <row r="67" spans="1:35" x14ac:dyDescent="0.25">
      <c r="A67" s="130" t="s">
        <v>907</v>
      </c>
      <c r="B67" s="130" t="s">
        <v>19</v>
      </c>
      <c r="C67" s="128" t="str">
        <f t="shared" si="24"/>
        <v>I2C_OD LVCMOS IO</v>
      </c>
      <c r="D67" s="146">
        <f t="shared" si="24"/>
        <v>44499</v>
      </c>
      <c r="E67" s="109" t="str">
        <f t="shared" si="24"/>
        <v>7 LVCMOS IO</v>
      </c>
      <c r="F67" s="109" t="str">
        <f t="shared" si="24"/>
        <v>I2C with OD</v>
      </c>
      <c r="G67" s="111">
        <v>1</v>
      </c>
      <c r="H67" s="109">
        <f t="shared" si="25"/>
        <v>0</v>
      </c>
      <c r="I67" s="111" t="str">
        <f t="shared" si="26"/>
        <v>ON</v>
      </c>
      <c r="J67" s="129">
        <v>0</v>
      </c>
      <c r="K67" s="143" t="str">
        <f>INDEX('Use Cases'!$A$3:$CZ$400,MATCH($A67&amp;$B67,'Use Cases'!$A$3:$A$400,0),MATCH(Use_Case,'Use Cases'!$A$3:$CZ$3,0)+1)</f>
        <v>unused</v>
      </c>
      <c r="L67" s="147">
        <f>INDEX('Use Cases'!$A$3:$CZ$400,MATCH($A67&amp;$B67,'Use Cases'!$A$3:$A$400,0),MATCH(Use_Case,'Use Cases'!$A$3:$CZ$3,0))</f>
        <v>0</v>
      </c>
      <c r="M67" s="111">
        <f t="shared" si="19"/>
        <v>0</v>
      </c>
      <c r="N67" s="109">
        <f t="shared" si="20"/>
        <v>0</v>
      </c>
      <c r="O67" s="109">
        <f t="shared" si="21"/>
        <v>0</v>
      </c>
      <c r="P67" s="129">
        <v>0</v>
      </c>
      <c r="Q67" s="129">
        <v>0</v>
      </c>
      <c r="R67" s="129">
        <v>0</v>
      </c>
      <c r="S67" s="109">
        <f t="shared" si="27"/>
        <v>0</v>
      </c>
      <c r="T67" s="109">
        <f t="shared" si="22"/>
        <v>0</v>
      </c>
      <c r="U67" s="109">
        <f t="shared" si="28"/>
        <v>0</v>
      </c>
      <c r="V67" s="109">
        <f t="shared" si="23"/>
        <v>0</v>
      </c>
      <c r="W67" s="109" t="s">
        <v>1050</v>
      </c>
      <c r="X67" s="111" t="s">
        <v>1109</v>
      </c>
      <c r="Y67" s="111" t="s">
        <v>169</v>
      </c>
      <c r="Z67" s="111" t="s">
        <v>54</v>
      </c>
      <c r="AA67" s="111" t="s">
        <v>1112</v>
      </c>
      <c r="AB67" s="111" t="s">
        <v>1111</v>
      </c>
      <c r="AC67" s="129">
        <v>0</v>
      </c>
      <c r="AD67" s="129">
        <v>0</v>
      </c>
      <c r="AE67" s="129">
        <v>0</v>
      </c>
      <c r="AF67" s="129">
        <v>0</v>
      </c>
      <c r="AG67" s="129">
        <v>0</v>
      </c>
      <c r="AH67" s="5" t="s">
        <v>1110</v>
      </c>
      <c r="AI67" s="137" t="str">
        <f t="shared" si="29"/>
        <v>i2c_od_1</v>
      </c>
    </row>
    <row r="68" spans="1:35" x14ac:dyDescent="0.25">
      <c r="A68" s="130" t="s">
        <v>906</v>
      </c>
      <c r="B68" s="130" t="s">
        <v>20</v>
      </c>
      <c r="C68" s="128" t="str">
        <f t="shared" si="24"/>
        <v>I2C LVCMOS IO</v>
      </c>
      <c r="D68" s="146">
        <f t="shared" si="24"/>
        <v>44499</v>
      </c>
      <c r="E68" s="109" t="str">
        <f t="shared" si="24"/>
        <v>7 LVCMOS IO</v>
      </c>
      <c r="F68" s="109" t="str">
        <f t="shared" si="24"/>
        <v>I2C</v>
      </c>
      <c r="G68" s="111">
        <v>1</v>
      </c>
      <c r="H68" s="109">
        <f t="shared" si="25"/>
        <v>0</v>
      </c>
      <c r="I68" s="111" t="str">
        <f t="shared" si="26"/>
        <v>ON</v>
      </c>
      <c r="J68" s="129">
        <v>0</v>
      </c>
      <c r="K68" s="143" t="str">
        <f>INDEX('Use Cases'!$A$3:$CZ$400,MATCH($A68&amp;$B68,'Use Cases'!$A$3:$A$400,0),MATCH(Use_Case,'Use Cases'!$A$3:$CZ$3,0)+1)</f>
        <v>unused</v>
      </c>
      <c r="L68" s="147">
        <f>INDEX('Use Cases'!$A$3:$CZ$400,MATCH($A68&amp;$B68,'Use Cases'!$A$3:$A$400,0),MATCH(Use_Case,'Use Cases'!$A$3:$CZ$3,0))</f>
        <v>0</v>
      </c>
      <c r="M68" s="111">
        <f t="shared" si="19"/>
        <v>0</v>
      </c>
      <c r="N68" s="109">
        <f t="shared" si="20"/>
        <v>0</v>
      </c>
      <c r="O68" s="109">
        <f t="shared" si="21"/>
        <v>0</v>
      </c>
      <c r="P68" s="129">
        <v>0</v>
      </c>
      <c r="Q68" s="129">
        <v>0</v>
      </c>
      <c r="R68" s="129">
        <v>0</v>
      </c>
      <c r="S68" s="109">
        <f t="shared" si="27"/>
        <v>0</v>
      </c>
      <c r="T68" s="109">
        <f t="shared" si="22"/>
        <v>0</v>
      </c>
      <c r="U68" s="109">
        <f t="shared" si="28"/>
        <v>0</v>
      </c>
      <c r="V68" s="109">
        <f t="shared" si="23"/>
        <v>0</v>
      </c>
      <c r="W68" s="109" t="s">
        <v>1050</v>
      </c>
      <c r="X68" s="111" t="s">
        <v>1109</v>
      </c>
      <c r="Y68" s="111" t="s">
        <v>169</v>
      </c>
      <c r="Z68" s="111" t="s">
        <v>54</v>
      </c>
      <c r="AA68" s="111" t="s">
        <v>1112</v>
      </c>
      <c r="AB68" s="111" t="s">
        <v>1111</v>
      </c>
      <c r="AC68" s="129">
        <v>0</v>
      </c>
      <c r="AD68" s="129">
        <v>0</v>
      </c>
      <c r="AE68" s="129">
        <v>0</v>
      </c>
      <c r="AF68" s="129">
        <v>0</v>
      </c>
      <c r="AG68" s="129">
        <v>0</v>
      </c>
      <c r="AH68" s="5" t="s">
        <v>1110</v>
      </c>
      <c r="AI68" s="137" t="str">
        <f t="shared" si="29"/>
        <v>i2c_2</v>
      </c>
    </row>
    <row r="69" spans="1:35" x14ac:dyDescent="0.25">
      <c r="A69" s="130" t="s">
        <v>906</v>
      </c>
      <c r="B69" s="130" t="s">
        <v>22</v>
      </c>
      <c r="C69" s="128" t="str">
        <f t="shared" si="24"/>
        <v>I2C LVCMOS IO</v>
      </c>
      <c r="D69" s="146">
        <f t="shared" si="24"/>
        <v>44499</v>
      </c>
      <c r="E69" s="109" t="str">
        <f t="shared" si="24"/>
        <v>7 LVCMOS IO</v>
      </c>
      <c r="F69" s="109" t="str">
        <f t="shared" si="24"/>
        <v>I2C</v>
      </c>
      <c r="G69" s="111">
        <v>1</v>
      </c>
      <c r="H69" s="109">
        <f t="shared" si="25"/>
        <v>0</v>
      </c>
      <c r="I69" s="111" t="str">
        <f t="shared" si="26"/>
        <v>ON</v>
      </c>
      <c r="J69" s="129">
        <v>0</v>
      </c>
      <c r="K69" s="143" t="str">
        <f>INDEX('Use Cases'!$A$3:$CZ$400,MATCH($A69&amp;$B69,'Use Cases'!$A$3:$A$400,0),MATCH(Use_Case,'Use Cases'!$A$3:$CZ$3,0)+1)</f>
        <v>unused</v>
      </c>
      <c r="L69" s="147">
        <f>INDEX('Use Cases'!$A$3:$CZ$400,MATCH($A69&amp;$B69,'Use Cases'!$A$3:$A$400,0),MATCH(Use_Case,'Use Cases'!$A$3:$CZ$3,0))</f>
        <v>0</v>
      </c>
      <c r="M69" s="111">
        <f t="shared" si="19"/>
        <v>0</v>
      </c>
      <c r="N69" s="109">
        <f t="shared" si="20"/>
        <v>0</v>
      </c>
      <c r="O69" s="109">
        <f t="shared" si="21"/>
        <v>0</v>
      </c>
      <c r="P69" s="129">
        <v>0</v>
      </c>
      <c r="Q69" s="129">
        <v>0</v>
      </c>
      <c r="R69" s="129">
        <v>0</v>
      </c>
      <c r="S69" s="109">
        <f t="shared" si="27"/>
        <v>0</v>
      </c>
      <c r="T69" s="109">
        <f t="shared" si="22"/>
        <v>0</v>
      </c>
      <c r="U69" s="109">
        <f t="shared" si="28"/>
        <v>0</v>
      </c>
      <c r="V69" s="109">
        <f t="shared" si="23"/>
        <v>0</v>
      </c>
      <c r="W69" s="109" t="s">
        <v>1050</v>
      </c>
      <c r="X69" s="111" t="s">
        <v>1109</v>
      </c>
      <c r="Y69" s="111" t="s">
        <v>169</v>
      </c>
      <c r="Z69" s="111" t="s">
        <v>54</v>
      </c>
      <c r="AA69" s="111" t="s">
        <v>1112</v>
      </c>
      <c r="AB69" s="111" t="s">
        <v>1111</v>
      </c>
      <c r="AC69" s="129">
        <v>0</v>
      </c>
      <c r="AD69" s="129">
        <v>0</v>
      </c>
      <c r="AE69" s="129">
        <v>0</v>
      </c>
      <c r="AF69" s="129">
        <v>0</v>
      </c>
      <c r="AG69" s="129">
        <v>0</v>
      </c>
      <c r="AH69" s="5" t="s">
        <v>1110</v>
      </c>
      <c r="AI69" s="137" t="str">
        <f t="shared" si="29"/>
        <v>i2c_3</v>
      </c>
    </row>
    <row r="70" spans="1:35" x14ac:dyDescent="0.25">
      <c r="A70" s="130" t="s">
        <v>906</v>
      </c>
      <c r="B70" s="130" t="s">
        <v>23</v>
      </c>
      <c r="C70" s="128" t="str">
        <f t="shared" si="24"/>
        <v>I2C LVCMOS IO</v>
      </c>
      <c r="D70" s="146">
        <f t="shared" si="24"/>
        <v>44499</v>
      </c>
      <c r="E70" s="109" t="str">
        <f t="shared" si="24"/>
        <v>7 LVCMOS IO</v>
      </c>
      <c r="F70" s="109" t="str">
        <f t="shared" si="24"/>
        <v>I2C</v>
      </c>
      <c r="G70" s="111">
        <v>1</v>
      </c>
      <c r="H70" s="109">
        <f t="shared" si="25"/>
        <v>0</v>
      </c>
      <c r="I70" s="111" t="str">
        <f t="shared" si="26"/>
        <v>ON</v>
      </c>
      <c r="J70" s="129">
        <v>0</v>
      </c>
      <c r="K70" s="143" t="str">
        <f>INDEX('Use Cases'!$A$3:$CZ$400,MATCH($A70&amp;$B70,'Use Cases'!$A$3:$A$400,0),MATCH(Use_Case,'Use Cases'!$A$3:$CZ$3,0)+1)</f>
        <v>unused</v>
      </c>
      <c r="L70" s="147">
        <f>INDEX('Use Cases'!$A$3:$CZ$400,MATCH($A70&amp;$B70,'Use Cases'!$A$3:$A$400,0),MATCH(Use_Case,'Use Cases'!$A$3:$CZ$3,0))</f>
        <v>0</v>
      </c>
      <c r="M70" s="111">
        <f t="shared" si="19"/>
        <v>0</v>
      </c>
      <c r="N70" s="109">
        <f t="shared" si="20"/>
        <v>0</v>
      </c>
      <c r="O70" s="109">
        <f t="shared" si="21"/>
        <v>0</v>
      </c>
      <c r="P70" s="129">
        <v>0</v>
      </c>
      <c r="Q70" s="129">
        <v>0</v>
      </c>
      <c r="R70" s="129">
        <v>0</v>
      </c>
      <c r="S70" s="109">
        <f t="shared" si="27"/>
        <v>0</v>
      </c>
      <c r="T70" s="109">
        <f t="shared" si="22"/>
        <v>0</v>
      </c>
      <c r="U70" s="109">
        <f t="shared" si="28"/>
        <v>0</v>
      </c>
      <c r="V70" s="109">
        <f t="shared" si="23"/>
        <v>0</v>
      </c>
      <c r="W70" s="109" t="s">
        <v>1050</v>
      </c>
      <c r="X70" s="111" t="s">
        <v>1109</v>
      </c>
      <c r="Y70" s="111" t="s">
        <v>169</v>
      </c>
      <c r="Z70" s="111" t="s">
        <v>54</v>
      </c>
      <c r="AA70" s="111" t="s">
        <v>1112</v>
      </c>
      <c r="AB70" s="111" t="s">
        <v>1111</v>
      </c>
      <c r="AC70" s="129">
        <v>0</v>
      </c>
      <c r="AD70" s="129">
        <v>0</v>
      </c>
      <c r="AE70" s="129">
        <v>0</v>
      </c>
      <c r="AF70" s="129">
        <v>0</v>
      </c>
      <c r="AG70" s="129">
        <v>0</v>
      </c>
      <c r="AH70" s="5" t="s">
        <v>1110</v>
      </c>
      <c r="AI70" s="137" t="str">
        <f t="shared" si="29"/>
        <v>i2c_4</v>
      </c>
    </row>
    <row r="71" spans="1:35" x14ac:dyDescent="0.25">
      <c r="A71" s="130" t="s">
        <v>906</v>
      </c>
      <c r="B71" s="130" t="s">
        <v>905</v>
      </c>
      <c r="C71" s="128" t="str">
        <f t="shared" si="24"/>
        <v>I2C LVCMOS IO</v>
      </c>
      <c r="D71" s="146">
        <f t="shared" si="24"/>
        <v>44499</v>
      </c>
      <c r="E71" s="109" t="str">
        <f t="shared" si="24"/>
        <v>7 LVCMOS IO</v>
      </c>
      <c r="F71" s="109" t="str">
        <f t="shared" si="24"/>
        <v>I2C</v>
      </c>
      <c r="G71" s="111">
        <v>1</v>
      </c>
      <c r="H71" s="109">
        <f t="shared" si="25"/>
        <v>0</v>
      </c>
      <c r="I71" s="111" t="str">
        <f t="shared" si="26"/>
        <v>ON</v>
      </c>
      <c r="J71" s="129">
        <v>0</v>
      </c>
      <c r="K71" s="143" t="str">
        <f>INDEX('Use Cases'!$A$3:$CZ$400,MATCH($A71&amp;$B71,'Use Cases'!$A$3:$A$400,0),MATCH(Use_Case,'Use Cases'!$A$3:$CZ$3,0)+1)</f>
        <v>unused</v>
      </c>
      <c r="L71" s="147">
        <f>INDEX('Use Cases'!$A$3:$CZ$400,MATCH($A71&amp;$B71,'Use Cases'!$A$3:$A$400,0),MATCH(Use_Case,'Use Cases'!$A$3:$CZ$3,0))</f>
        <v>0</v>
      </c>
      <c r="M71" s="111">
        <f t="shared" si="19"/>
        <v>0</v>
      </c>
      <c r="N71" s="109">
        <f t="shared" si="20"/>
        <v>0</v>
      </c>
      <c r="O71" s="109">
        <f t="shared" si="21"/>
        <v>0</v>
      </c>
      <c r="P71" s="129">
        <v>0</v>
      </c>
      <c r="Q71" s="129">
        <v>0</v>
      </c>
      <c r="R71" s="129">
        <v>0</v>
      </c>
      <c r="S71" s="109">
        <f t="shared" si="27"/>
        <v>0</v>
      </c>
      <c r="T71" s="109">
        <f t="shared" si="22"/>
        <v>0</v>
      </c>
      <c r="U71" s="109">
        <f t="shared" si="28"/>
        <v>0</v>
      </c>
      <c r="V71" s="109">
        <f t="shared" si="23"/>
        <v>0</v>
      </c>
      <c r="W71" s="109" t="s">
        <v>1050</v>
      </c>
      <c r="X71" s="111" t="s">
        <v>1109</v>
      </c>
      <c r="Y71" s="111" t="s">
        <v>169</v>
      </c>
      <c r="Z71" s="111" t="s">
        <v>54</v>
      </c>
      <c r="AA71" s="111" t="s">
        <v>1112</v>
      </c>
      <c r="AB71" s="111" t="s">
        <v>1111</v>
      </c>
      <c r="AC71" s="129">
        <v>0</v>
      </c>
      <c r="AD71" s="129">
        <v>0</v>
      </c>
      <c r="AE71" s="129">
        <v>0</v>
      </c>
      <c r="AF71" s="129">
        <v>0</v>
      </c>
      <c r="AG71" s="129">
        <v>0</v>
      </c>
      <c r="AH71" s="5" t="s">
        <v>1110</v>
      </c>
      <c r="AI71" s="137" t="str">
        <f t="shared" si="29"/>
        <v>i2c_mcu_1</v>
      </c>
    </row>
    <row r="72" spans="1:35" x14ac:dyDescent="0.25">
      <c r="A72" s="130" t="s">
        <v>967</v>
      </c>
      <c r="B72" s="130" t="s">
        <v>18</v>
      </c>
      <c r="C72" s="128" t="str">
        <f t="shared" si="24"/>
        <v>ePWM LVCMOS IO</v>
      </c>
      <c r="D72" s="146">
        <f t="shared" si="24"/>
        <v>44499</v>
      </c>
      <c r="E72" s="109" t="str">
        <f t="shared" si="24"/>
        <v>7 LVCMOS IO</v>
      </c>
      <c r="F72" s="109" t="str">
        <f t="shared" si="24"/>
        <v>ePWM</v>
      </c>
      <c r="G72" s="111">
        <v>1</v>
      </c>
      <c r="H72" s="109">
        <f t="shared" si="25"/>
        <v>0</v>
      </c>
      <c r="I72" s="111" t="str">
        <f t="shared" si="26"/>
        <v>ON</v>
      </c>
      <c r="J72" s="129">
        <v>0</v>
      </c>
      <c r="K72" s="143" t="str">
        <f>INDEX('Use Cases'!$A$3:$CZ$400,MATCH($A72&amp;$B72,'Use Cases'!$A$3:$A$400,0),MATCH(Use_Case,'Use Cases'!$A$3:$CZ$3,0)+1)</f>
        <v>unused</v>
      </c>
      <c r="L72" s="147">
        <f>INDEX('Use Cases'!$A$3:$CZ$400,MATCH($A72&amp;$B72,'Use Cases'!$A$3:$A$400,0),MATCH(Use_Case,'Use Cases'!$A$3:$CZ$3,0))</f>
        <v>0</v>
      </c>
      <c r="M72" s="111">
        <f t="shared" si="19"/>
        <v>0</v>
      </c>
      <c r="N72" s="109">
        <f t="shared" si="20"/>
        <v>0</v>
      </c>
      <c r="O72" s="109">
        <f t="shared" si="21"/>
        <v>0</v>
      </c>
      <c r="P72" s="129">
        <v>0</v>
      </c>
      <c r="Q72" s="129">
        <v>0</v>
      </c>
      <c r="R72" s="129">
        <v>0</v>
      </c>
      <c r="S72" s="109">
        <f t="shared" si="27"/>
        <v>0</v>
      </c>
      <c r="T72" s="109">
        <f t="shared" si="22"/>
        <v>0</v>
      </c>
      <c r="U72" s="109">
        <f t="shared" si="28"/>
        <v>0</v>
      </c>
      <c r="V72" s="109">
        <f t="shared" si="23"/>
        <v>0</v>
      </c>
      <c r="W72" s="109" t="s">
        <v>1050</v>
      </c>
      <c r="X72" s="111" t="s">
        <v>1109</v>
      </c>
      <c r="Y72" s="111" t="s">
        <v>169</v>
      </c>
      <c r="Z72" s="111" t="s">
        <v>54</v>
      </c>
      <c r="AA72" s="111" t="s">
        <v>1112</v>
      </c>
      <c r="AB72" s="111" t="s">
        <v>1111</v>
      </c>
      <c r="AC72" s="129">
        <v>0</v>
      </c>
      <c r="AD72" s="129">
        <v>0</v>
      </c>
      <c r="AE72" s="129">
        <v>0</v>
      </c>
      <c r="AF72" s="129">
        <v>0</v>
      </c>
      <c r="AG72" s="129">
        <v>0</v>
      </c>
      <c r="AH72" s="5" t="s">
        <v>1110</v>
      </c>
      <c r="AI72" s="137" t="str">
        <f t="shared" si="29"/>
        <v>epwm_0</v>
      </c>
    </row>
    <row r="73" spans="1:35" x14ac:dyDescent="0.25">
      <c r="A73" s="130" t="s">
        <v>967</v>
      </c>
      <c r="B73" s="130" t="s">
        <v>19</v>
      </c>
      <c r="C73" s="128" t="str">
        <f t="shared" si="24"/>
        <v>ePWM LVCMOS IO</v>
      </c>
      <c r="D73" s="146">
        <f t="shared" si="24"/>
        <v>44499</v>
      </c>
      <c r="E73" s="109" t="str">
        <f t="shared" si="24"/>
        <v>7 LVCMOS IO</v>
      </c>
      <c r="F73" s="109" t="str">
        <f t="shared" si="24"/>
        <v>ePWM</v>
      </c>
      <c r="G73" s="111">
        <v>1</v>
      </c>
      <c r="H73" s="109">
        <f t="shared" si="25"/>
        <v>0</v>
      </c>
      <c r="I73" s="111" t="str">
        <f t="shared" si="26"/>
        <v>ON</v>
      </c>
      <c r="J73" s="129">
        <v>0</v>
      </c>
      <c r="K73" s="143" t="str">
        <f>INDEX('Use Cases'!$A$3:$CZ$400,MATCH($A73&amp;$B73,'Use Cases'!$A$3:$A$400,0),MATCH(Use_Case,'Use Cases'!$A$3:$CZ$3,0)+1)</f>
        <v>unused</v>
      </c>
      <c r="L73" s="147">
        <f>INDEX('Use Cases'!$A$3:$CZ$400,MATCH($A73&amp;$B73,'Use Cases'!$A$3:$A$400,0),MATCH(Use_Case,'Use Cases'!$A$3:$CZ$3,0))</f>
        <v>0</v>
      </c>
      <c r="M73" s="111">
        <f t="shared" si="19"/>
        <v>0</v>
      </c>
      <c r="N73" s="109">
        <f t="shared" si="20"/>
        <v>0</v>
      </c>
      <c r="O73" s="109">
        <f t="shared" si="21"/>
        <v>0</v>
      </c>
      <c r="P73" s="129">
        <v>0</v>
      </c>
      <c r="Q73" s="129">
        <v>0</v>
      </c>
      <c r="R73" s="129">
        <v>0</v>
      </c>
      <c r="S73" s="109">
        <f t="shared" si="27"/>
        <v>0</v>
      </c>
      <c r="T73" s="109">
        <f t="shared" si="22"/>
        <v>0</v>
      </c>
      <c r="U73" s="109">
        <f t="shared" si="28"/>
        <v>0</v>
      </c>
      <c r="V73" s="109">
        <f t="shared" si="23"/>
        <v>0</v>
      </c>
      <c r="W73" s="109" t="s">
        <v>1050</v>
      </c>
      <c r="X73" s="111" t="s">
        <v>1109</v>
      </c>
      <c r="Y73" s="111" t="s">
        <v>169</v>
      </c>
      <c r="Z73" s="111" t="s">
        <v>54</v>
      </c>
      <c r="AA73" s="111" t="s">
        <v>1112</v>
      </c>
      <c r="AB73" s="111" t="s">
        <v>1111</v>
      </c>
      <c r="AC73" s="129">
        <v>0</v>
      </c>
      <c r="AD73" s="129">
        <v>0</v>
      </c>
      <c r="AE73" s="129">
        <v>0</v>
      </c>
      <c r="AF73" s="129">
        <v>0</v>
      </c>
      <c r="AG73" s="129">
        <v>0</v>
      </c>
      <c r="AH73" s="5" t="s">
        <v>1110</v>
      </c>
      <c r="AI73" s="137" t="str">
        <f t="shared" si="29"/>
        <v>epwm_1</v>
      </c>
    </row>
    <row r="74" spans="1:35" x14ac:dyDescent="0.25">
      <c r="A74" s="130" t="s">
        <v>967</v>
      </c>
      <c r="B74" s="130" t="s">
        <v>20</v>
      </c>
      <c r="C74" s="128" t="str">
        <f t="shared" si="24"/>
        <v>ePWM LVCMOS IO</v>
      </c>
      <c r="D74" s="146">
        <f t="shared" si="24"/>
        <v>44499</v>
      </c>
      <c r="E74" s="109" t="str">
        <f t="shared" si="24"/>
        <v>7 LVCMOS IO</v>
      </c>
      <c r="F74" s="109" t="str">
        <f t="shared" si="24"/>
        <v>ePWM</v>
      </c>
      <c r="G74" s="111">
        <v>1</v>
      </c>
      <c r="H74" s="109">
        <f t="shared" si="25"/>
        <v>0</v>
      </c>
      <c r="I74" s="111" t="str">
        <f t="shared" si="26"/>
        <v>ON</v>
      </c>
      <c r="J74" s="129">
        <v>0</v>
      </c>
      <c r="K74" s="143" t="str">
        <f>INDEX('Use Cases'!$A$3:$CZ$400,MATCH($A74&amp;$B74,'Use Cases'!$A$3:$A$400,0),MATCH(Use_Case,'Use Cases'!$A$3:$CZ$3,0)+1)</f>
        <v>unused</v>
      </c>
      <c r="L74" s="147">
        <f>INDEX('Use Cases'!$A$3:$CZ$400,MATCH($A74&amp;$B74,'Use Cases'!$A$3:$A$400,0),MATCH(Use_Case,'Use Cases'!$A$3:$CZ$3,0))</f>
        <v>0</v>
      </c>
      <c r="M74" s="111">
        <f t="shared" si="19"/>
        <v>0</v>
      </c>
      <c r="N74" s="109">
        <f t="shared" si="20"/>
        <v>0</v>
      </c>
      <c r="O74" s="109">
        <f t="shared" si="21"/>
        <v>0</v>
      </c>
      <c r="P74" s="129">
        <v>0</v>
      </c>
      <c r="Q74" s="129">
        <v>0</v>
      </c>
      <c r="R74" s="129">
        <v>0</v>
      </c>
      <c r="S74" s="109">
        <f t="shared" si="27"/>
        <v>0</v>
      </c>
      <c r="T74" s="109">
        <f t="shared" si="22"/>
        <v>0</v>
      </c>
      <c r="U74" s="109">
        <f t="shared" si="28"/>
        <v>0</v>
      </c>
      <c r="V74" s="109">
        <f t="shared" si="23"/>
        <v>0</v>
      </c>
      <c r="W74" s="109" t="s">
        <v>1050</v>
      </c>
      <c r="X74" s="111" t="s">
        <v>1109</v>
      </c>
      <c r="Y74" s="111" t="s">
        <v>169</v>
      </c>
      <c r="Z74" s="111" t="s">
        <v>54</v>
      </c>
      <c r="AA74" s="111" t="s">
        <v>1112</v>
      </c>
      <c r="AB74" s="111" t="s">
        <v>1111</v>
      </c>
      <c r="AC74" s="129">
        <v>0</v>
      </c>
      <c r="AD74" s="129">
        <v>0</v>
      </c>
      <c r="AE74" s="129">
        <v>0</v>
      </c>
      <c r="AF74" s="129">
        <v>0</v>
      </c>
      <c r="AG74" s="129">
        <v>0</v>
      </c>
      <c r="AH74" s="5" t="s">
        <v>1110</v>
      </c>
      <c r="AI74" s="137" t="str">
        <f t="shared" si="29"/>
        <v>epwm_2</v>
      </c>
    </row>
    <row r="75" spans="1:35" x14ac:dyDescent="0.25">
      <c r="A75" s="130" t="s">
        <v>689</v>
      </c>
      <c r="B75" s="130" t="s">
        <v>18</v>
      </c>
      <c r="C75" s="128" t="str">
        <f t="shared" si="24"/>
        <v>FSSUL LVCMOS IO</v>
      </c>
      <c r="D75" s="146">
        <f t="shared" si="24"/>
        <v>44499</v>
      </c>
      <c r="E75" s="109" t="str">
        <f t="shared" si="24"/>
        <v>7 LVCMOS IO</v>
      </c>
      <c r="F75" s="109" t="str">
        <f t="shared" si="24"/>
        <v>OSPI/QSPI</v>
      </c>
      <c r="G75" s="111">
        <v>1</v>
      </c>
      <c r="H75" s="109">
        <f t="shared" si="25"/>
        <v>20.255588061141736</v>
      </c>
      <c r="I75" s="111" t="str">
        <f t="shared" si="26"/>
        <v>ON</v>
      </c>
      <c r="J75" s="129">
        <v>0</v>
      </c>
      <c r="K75" s="143" t="str">
        <f>INDEX('Use Cases'!$A$3:$CZ$400,MATCH($A75&amp;$B75,'Use Cases'!$A$3:$A$400,0),MATCH(Use_Case,'Use Cases'!$A$3:$CZ$3,0)+1)</f>
        <v>qspi_ddr_master_160_3p3v</v>
      </c>
      <c r="L75" s="147">
        <f>INDEX('Use Cases'!$A$3:$CZ$400,MATCH($A75&amp;$B75,'Use Cases'!$A$3:$A$400,0),MATCH(Use_Case,'Use Cases'!$A$3:$CZ$3,0))</f>
        <v>1</v>
      </c>
      <c r="M75" s="111">
        <f t="shared" si="19"/>
        <v>10</v>
      </c>
      <c r="N75" s="109">
        <f t="shared" si="20"/>
        <v>0</v>
      </c>
      <c r="O75" s="109">
        <f t="shared" si="21"/>
        <v>1.9311141732954544E-5</v>
      </c>
      <c r="P75" s="129">
        <v>0</v>
      </c>
      <c r="Q75" s="129">
        <v>0</v>
      </c>
      <c r="R75" s="129">
        <v>0</v>
      </c>
      <c r="S75" s="109">
        <f t="shared" si="27"/>
        <v>0</v>
      </c>
      <c r="T75" s="109">
        <f t="shared" si="22"/>
        <v>0</v>
      </c>
      <c r="U75" s="109">
        <f t="shared" si="28"/>
        <v>0</v>
      </c>
      <c r="V75" s="109">
        <f t="shared" si="23"/>
        <v>20.255568750000002</v>
      </c>
      <c r="W75" s="109" t="s">
        <v>1050</v>
      </c>
      <c r="X75" s="111" t="s">
        <v>1109</v>
      </c>
      <c r="Y75" s="111" t="s">
        <v>169</v>
      </c>
      <c r="Z75" s="111" t="s">
        <v>54</v>
      </c>
      <c r="AA75" s="111" t="s">
        <v>1112</v>
      </c>
      <c r="AB75" s="111" t="s">
        <v>1111</v>
      </c>
      <c r="AC75" s="129">
        <v>0</v>
      </c>
      <c r="AD75" s="129">
        <v>0</v>
      </c>
      <c r="AE75" s="129">
        <v>0</v>
      </c>
      <c r="AF75" s="129">
        <v>0</v>
      </c>
      <c r="AG75" s="129">
        <v>0</v>
      </c>
      <c r="AH75" s="5" t="s">
        <v>1110</v>
      </c>
      <c r="AI75" s="137" t="str">
        <f t="shared" si="29"/>
        <v>fssul_0</v>
      </c>
    </row>
    <row r="76" spans="1:35" x14ac:dyDescent="0.25">
      <c r="A76" s="130" t="s">
        <v>938</v>
      </c>
      <c r="B76" s="130" t="s">
        <v>18</v>
      </c>
      <c r="C76" s="128" t="str">
        <f t="shared" si="24"/>
        <v>eCAP LVCMOS IO</v>
      </c>
      <c r="D76" s="146">
        <f t="shared" si="24"/>
        <v>44499</v>
      </c>
      <c r="E76" s="109" t="str">
        <f t="shared" si="24"/>
        <v>7 LVCMOS IO</v>
      </c>
      <c r="F76" s="109" t="str">
        <f t="shared" si="24"/>
        <v>eCAP</v>
      </c>
      <c r="G76" s="111">
        <v>1</v>
      </c>
      <c r="H76" s="109">
        <f t="shared" si="25"/>
        <v>0</v>
      </c>
      <c r="I76" s="111" t="str">
        <f t="shared" si="26"/>
        <v>ON</v>
      </c>
      <c r="J76" s="129">
        <v>0</v>
      </c>
      <c r="K76" s="143" t="str">
        <f>INDEX('Use Cases'!$A$3:$CZ$400,MATCH($A76&amp;$B76,'Use Cases'!$A$3:$A$400,0),MATCH(Use_Case,'Use Cases'!$A$3:$CZ$3,0)+1)</f>
        <v>unused</v>
      </c>
      <c r="L76" s="147">
        <f>INDEX('Use Cases'!$A$3:$CZ$400,MATCH($A76&amp;$B76,'Use Cases'!$A$3:$A$400,0),MATCH(Use_Case,'Use Cases'!$A$3:$CZ$3,0))</f>
        <v>0</v>
      </c>
      <c r="M76" s="111">
        <f t="shared" si="19"/>
        <v>0</v>
      </c>
      <c r="N76" s="109">
        <f t="shared" si="20"/>
        <v>0</v>
      </c>
      <c r="O76" s="109">
        <f t="shared" si="21"/>
        <v>0</v>
      </c>
      <c r="P76" s="129">
        <v>0</v>
      </c>
      <c r="Q76" s="129">
        <v>0</v>
      </c>
      <c r="R76" s="129">
        <v>0</v>
      </c>
      <c r="S76" s="109">
        <f t="shared" si="27"/>
        <v>0</v>
      </c>
      <c r="T76" s="109">
        <f t="shared" si="22"/>
        <v>0</v>
      </c>
      <c r="U76" s="109">
        <f t="shared" si="28"/>
        <v>0</v>
      </c>
      <c r="V76" s="109">
        <f t="shared" si="23"/>
        <v>0</v>
      </c>
      <c r="W76" s="109" t="s">
        <v>1050</v>
      </c>
      <c r="X76" s="111" t="s">
        <v>1109</v>
      </c>
      <c r="Y76" s="111" t="s">
        <v>169</v>
      </c>
      <c r="Z76" s="111" t="s">
        <v>54</v>
      </c>
      <c r="AA76" s="111" t="s">
        <v>1112</v>
      </c>
      <c r="AB76" s="111" t="s">
        <v>1111</v>
      </c>
      <c r="AC76" s="129">
        <v>0</v>
      </c>
      <c r="AD76" s="129">
        <v>0</v>
      </c>
      <c r="AE76" s="129">
        <v>0</v>
      </c>
      <c r="AF76" s="129">
        <v>0</v>
      </c>
      <c r="AG76" s="129">
        <v>0</v>
      </c>
      <c r="AH76" s="5" t="s">
        <v>1110</v>
      </c>
      <c r="AI76" s="137" t="str">
        <f t="shared" si="29"/>
        <v>ecap_0</v>
      </c>
    </row>
    <row r="77" spans="1:35" x14ac:dyDescent="0.25">
      <c r="A77" s="130" t="s">
        <v>937</v>
      </c>
      <c r="B77" s="130" t="s">
        <v>18</v>
      </c>
      <c r="C77" s="128" t="str">
        <f t="shared" si="24"/>
        <v>eQEP LVCMOS IO</v>
      </c>
      <c r="D77" s="146">
        <f t="shared" si="24"/>
        <v>44499</v>
      </c>
      <c r="E77" s="109" t="str">
        <f t="shared" si="24"/>
        <v>7 LVCMOS IO</v>
      </c>
      <c r="F77" s="109" t="str">
        <f t="shared" si="24"/>
        <v>eQEP</v>
      </c>
      <c r="G77" s="111">
        <v>1</v>
      </c>
      <c r="H77" s="109">
        <f t="shared" si="25"/>
        <v>0</v>
      </c>
      <c r="I77" s="111" t="str">
        <f t="shared" si="26"/>
        <v>ON</v>
      </c>
      <c r="J77" s="129">
        <v>0</v>
      </c>
      <c r="K77" s="143" t="str">
        <f>INDEX('Use Cases'!$A$3:$CZ$400,MATCH($A77&amp;$B77,'Use Cases'!$A$3:$A$400,0),MATCH(Use_Case,'Use Cases'!$A$3:$CZ$3,0)+1)</f>
        <v>unused</v>
      </c>
      <c r="L77" s="147">
        <f>INDEX('Use Cases'!$A$3:$CZ$400,MATCH($A77&amp;$B77,'Use Cases'!$A$3:$A$400,0),MATCH(Use_Case,'Use Cases'!$A$3:$CZ$3,0))</f>
        <v>0</v>
      </c>
      <c r="M77" s="111">
        <f t="shared" si="19"/>
        <v>0</v>
      </c>
      <c r="N77" s="109">
        <f t="shared" si="20"/>
        <v>0</v>
      </c>
      <c r="O77" s="109">
        <f t="shared" si="21"/>
        <v>0</v>
      </c>
      <c r="P77" s="129">
        <v>0</v>
      </c>
      <c r="Q77" s="129">
        <v>0</v>
      </c>
      <c r="R77" s="129">
        <v>0</v>
      </c>
      <c r="S77" s="109">
        <f t="shared" si="27"/>
        <v>0</v>
      </c>
      <c r="T77" s="109">
        <f t="shared" si="22"/>
        <v>0</v>
      </c>
      <c r="U77" s="109">
        <f t="shared" si="28"/>
        <v>0</v>
      </c>
      <c r="V77" s="109">
        <f t="shared" si="23"/>
        <v>0</v>
      </c>
      <c r="W77" s="109" t="s">
        <v>1050</v>
      </c>
      <c r="X77" s="111" t="s">
        <v>1109</v>
      </c>
      <c r="Y77" s="111" t="s">
        <v>169</v>
      </c>
      <c r="Z77" s="111" t="s">
        <v>54</v>
      </c>
      <c r="AA77" s="111" t="s">
        <v>1112</v>
      </c>
      <c r="AB77" s="111" t="s">
        <v>1111</v>
      </c>
      <c r="AC77" s="129">
        <v>0</v>
      </c>
      <c r="AD77" s="129">
        <v>0</v>
      </c>
      <c r="AE77" s="129">
        <v>0</v>
      </c>
      <c r="AF77" s="129">
        <v>0</v>
      </c>
      <c r="AG77" s="129">
        <v>0</v>
      </c>
      <c r="AH77" s="5" t="s">
        <v>1110</v>
      </c>
      <c r="AI77" s="137" t="str">
        <f t="shared" si="29"/>
        <v>eqep_0</v>
      </c>
    </row>
    <row r="78" spans="1:35" x14ac:dyDescent="0.25">
      <c r="A78" s="130" t="s">
        <v>937</v>
      </c>
      <c r="B78" s="130" t="s">
        <v>19</v>
      </c>
      <c r="C78" s="128" t="str">
        <f t="shared" si="24"/>
        <v>eQEP LVCMOS IO</v>
      </c>
      <c r="D78" s="146">
        <f t="shared" si="24"/>
        <v>44499</v>
      </c>
      <c r="E78" s="109" t="str">
        <f t="shared" si="24"/>
        <v>7 LVCMOS IO</v>
      </c>
      <c r="F78" s="109" t="str">
        <f t="shared" si="24"/>
        <v>eQEP</v>
      </c>
      <c r="G78" s="111">
        <v>1</v>
      </c>
      <c r="H78" s="109">
        <f t="shared" si="25"/>
        <v>0</v>
      </c>
      <c r="I78" s="111" t="str">
        <f t="shared" si="26"/>
        <v>ON</v>
      </c>
      <c r="J78" s="129">
        <v>0</v>
      </c>
      <c r="K78" s="143" t="str">
        <f>INDEX('Use Cases'!$A$3:$CZ$400,MATCH($A78&amp;$B78,'Use Cases'!$A$3:$A$400,0),MATCH(Use_Case,'Use Cases'!$A$3:$CZ$3,0)+1)</f>
        <v>unused</v>
      </c>
      <c r="L78" s="147">
        <f>INDEX('Use Cases'!$A$3:$CZ$400,MATCH($A78&amp;$B78,'Use Cases'!$A$3:$A$400,0),MATCH(Use_Case,'Use Cases'!$A$3:$CZ$3,0))</f>
        <v>0</v>
      </c>
      <c r="M78" s="111">
        <f t="shared" si="19"/>
        <v>0</v>
      </c>
      <c r="N78" s="109">
        <f t="shared" si="20"/>
        <v>0</v>
      </c>
      <c r="O78" s="109">
        <f t="shared" si="21"/>
        <v>0</v>
      </c>
      <c r="P78" s="129">
        <v>0</v>
      </c>
      <c r="Q78" s="129">
        <v>0</v>
      </c>
      <c r="R78" s="129">
        <v>0</v>
      </c>
      <c r="S78" s="109">
        <f t="shared" si="27"/>
        <v>0</v>
      </c>
      <c r="T78" s="109">
        <f t="shared" si="22"/>
        <v>0</v>
      </c>
      <c r="U78" s="109">
        <f t="shared" si="28"/>
        <v>0</v>
      </c>
      <c r="V78" s="109">
        <f t="shared" si="23"/>
        <v>0</v>
      </c>
      <c r="W78" s="109" t="s">
        <v>1050</v>
      </c>
      <c r="X78" s="111" t="s">
        <v>1109</v>
      </c>
      <c r="Y78" s="111" t="s">
        <v>169</v>
      </c>
      <c r="Z78" s="111" t="s">
        <v>54</v>
      </c>
      <c r="AA78" s="111" t="s">
        <v>1112</v>
      </c>
      <c r="AB78" s="111" t="s">
        <v>1111</v>
      </c>
      <c r="AC78" s="129">
        <v>0</v>
      </c>
      <c r="AD78" s="129">
        <v>0</v>
      </c>
      <c r="AE78" s="129">
        <v>0</v>
      </c>
      <c r="AF78" s="129">
        <v>0</v>
      </c>
      <c r="AG78" s="129">
        <v>0</v>
      </c>
      <c r="AH78" s="5" t="s">
        <v>1110</v>
      </c>
      <c r="AI78" s="137" t="str">
        <f t="shared" si="29"/>
        <v>eqep_1</v>
      </c>
    </row>
    <row r="79" spans="1:35" x14ac:dyDescent="0.25">
      <c r="A79" s="130" t="s">
        <v>937</v>
      </c>
      <c r="B79" s="130" t="s">
        <v>20</v>
      </c>
      <c r="C79" s="128" t="str">
        <f t="shared" si="24"/>
        <v>eQEP LVCMOS IO</v>
      </c>
      <c r="D79" s="146">
        <f t="shared" si="24"/>
        <v>44499</v>
      </c>
      <c r="E79" s="109" t="str">
        <f t="shared" si="24"/>
        <v>7 LVCMOS IO</v>
      </c>
      <c r="F79" s="109" t="str">
        <f t="shared" si="24"/>
        <v>eQEP</v>
      </c>
      <c r="G79" s="111">
        <v>1</v>
      </c>
      <c r="H79" s="109">
        <f t="shared" si="25"/>
        <v>0</v>
      </c>
      <c r="I79" s="111" t="str">
        <f t="shared" si="26"/>
        <v>ON</v>
      </c>
      <c r="J79" s="129">
        <v>0</v>
      </c>
      <c r="K79" s="143" t="str">
        <f>INDEX('Use Cases'!$A$3:$CZ$400,MATCH($A79&amp;$B79,'Use Cases'!$A$3:$A$400,0),MATCH(Use_Case,'Use Cases'!$A$3:$CZ$3,0)+1)</f>
        <v>unused</v>
      </c>
      <c r="L79" s="147">
        <f>INDEX('Use Cases'!$A$3:$CZ$400,MATCH($A79&amp;$B79,'Use Cases'!$A$3:$A$400,0),MATCH(Use_Case,'Use Cases'!$A$3:$CZ$3,0))</f>
        <v>0</v>
      </c>
      <c r="M79" s="111">
        <f t="shared" si="19"/>
        <v>0</v>
      </c>
      <c r="N79" s="109">
        <f t="shared" si="20"/>
        <v>0</v>
      </c>
      <c r="O79" s="109">
        <f t="shared" si="21"/>
        <v>0</v>
      </c>
      <c r="P79" s="129">
        <v>0</v>
      </c>
      <c r="Q79" s="129">
        <v>0</v>
      </c>
      <c r="R79" s="129">
        <v>0</v>
      </c>
      <c r="S79" s="109">
        <f t="shared" si="27"/>
        <v>0</v>
      </c>
      <c r="T79" s="109">
        <f t="shared" si="22"/>
        <v>0</v>
      </c>
      <c r="U79" s="109">
        <f t="shared" si="28"/>
        <v>0</v>
      </c>
      <c r="V79" s="109">
        <f t="shared" si="23"/>
        <v>0</v>
      </c>
      <c r="W79" s="109" t="s">
        <v>1050</v>
      </c>
      <c r="X79" s="111" t="s">
        <v>1109</v>
      </c>
      <c r="Y79" s="111" t="s">
        <v>169</v>
      </c>
      <c r="Z79" s="111" t="s">
        <v>54</v>
      </c>
      <c r="AA79" s="111" t="s">
        <v>1112</v>
      </c>
      <c r="AB79" s="111" t="s">
        <v>1111</v>
      </c>
      <c r="AC79" s="129">
        <v>0</v>
      </c>
      <c r="AD79" s="129">
        <v>0</v>
      </c>
      <c r="AE79" s="129">
        <v>0</v>
      </c>
      <c r="AF79" s="129">
        <v>0</v>
      </c>
      <c r="AG79" s="129">
        <v>0</v>
      </c>
      <c r="AH79" s="5" t="s">
        <v>1110</v>
      </c>
      <c r="AI79" s="137" t="str">
        <f t="shared" si="29"/>
        <v>eqep_2</v>
      </c>
    </row>
    <row r="80" spans="1:35" x14ac:dyDescent="0.25">
      <c r="A80" s="130" t="s">
        <v>649</v>
      </c>
      <c r="B80" s="130" t="s">
        <v>1209</v>
      </c>
      <c r="C80" s="128" t="str">
        <f t="shared" si="24"/>
        <v>Ethernet LVCMOS IO</v>
      </c>
      <c r="D80" s="146">
        <f t="shared" si="24"/>
        <v>44499</v>
      </c>
      <c r="E80" s="109" t="str">
        <f t="shared" si="24"/>
        <v>7 LVCMOS IO</v>
      </c>
      <c r="F80" s="109" t="str">
        <f t="shared" si="24"/>
        <v>Ethernet</v>
      </c>
      <c r="G80" s="111">
        <v>1</v>
      </c>
      <c r="H80" s="109">
        <f t="shared" si="25"/>
        <v>19.996887169394743</v>
      </c>
      <c r="I80" s="111" t="str">
        <f t="shared" si="26"/>
        <v>ON</v>
      </c>
      <c r="J80" s="129">
        <v>0</v>
      </c>
      <c r="K80" s="143" t="str">
        <f>INDEX('Use Cases'!$A$3:$CZ$400,MATCH($A80&amp;$B80,'Use Cases'!$A$3:$A$400,0),MATCH(Use_Case,'Use Cases'!$A$3:$CZ$3,0)+1)</f>
        <v>rgmii_100_3p3v</v>
      </c>
      <c r="L80" s="147">
        <f>INDEX('Use Cases'!$A$3:$CZ$400,MATCH($A80&amp;$B80,'Use Cases'!$A$3:$A$400,0),MATCH(Use_Case,'Use Cases'!$A$3:$CZ$3,0))</f>
        <v>1</v>
      </c>
      <c r="M80" s="111">
        <f t="shared" si="19"/>
        <v>14</v>
      </c>
      <c r="N80" s="109">
        <f t="shared" si="20"/>
        <v>0</v>
      </c>
      <c r="O80" s="109">
        <f t="shared" si="21"/>
        <v>1.2169394744318179E-5</v>
      </c>
      <c r="P80" s="129">
        <v>0</v>
      </c>
      <c r="Q80" s="129">
        <v>0</v>
      </c>
      <c r="R80" s="129">
        <v>0</v>
      </c>
      <c r="S80" s="109">
        <f t="shared" si="27"/>
        <v>0</v>
      </c>
      <c r="T80" s="109">
        <f t="shared" si="22"/>
        <v>0</v>
      </c>
      <c r="U80" s="109">
        <f t="shared" si="28"/>
        <v>0</v>
      </c>
      <c r="V80" s="109">
        <f t="shared" si="23"/>
        <v>19.996874999999999</v>
      </c>
      <c r="W80" s="109" t="s">
        <v>1050</v>
      </c>
      <c r="X80" s="111" t="s">
        <v>1109</v>
      </c>
      <c r="Y80" s="111" t="s">
        <v>169</v>
      </c>
      <c r="Z80" s="111" t="s">
        <v>54</v>
      </c>
      <c r="AA80" s="111" t="s">
        <v>1112</v>
      </c>
      <c r="AB80" s="111" t="s">
        <v>1111</v>
      </c>
      <c r="AC80" s="129">
        <v>0</v>
      </c>
      <c r="AD80" s="129">
        <v>0</v>
      </c>
      <c r="AE80" s="129">
        <v>0</v>
      </c>
      <c r="AF80" s="129">
        <v>0</v>
      </c>
      <c r="AG80" s="129">
        <v>0</v>
      </c>
      <c r="AH80" s="5" t="s">
        <v>1110</v>
      </c>
      <c r="AI80" s="137" t="str">
        <f t="shared" si="29"/>
        <v>ethernet_port_0</v>
      </c>
    </row>
    <row r="81" spans="1:35" x14ac:dyDescent="0.25">
      <c r="A81" s="130" t="s">
        <v>649</v>
      </c>
      <c r="B81" s="130" t="s">
        <v>1210</v>
      </c>
      <c r="C81" s="128" t="str">
        <f t="shared" si="24"/>
        <v>Ethernet LVCMOS IO</v>
      </c>
      <c r="D81" s="146">
        <f t="shared" si="24"/>
        <v>44499</v>
      </c>
      <c r="E81" s="109" t="str">
        <f t="shared" si="24"/>
        <v>7 LVCMOS IO</v>
      </c>
      <c r="F81" s="109" t="str">
        <f t="shared" si="24"/>
        <v>Ethernet</v>
      </c>
      <c r="G81" s="111">
        <v>1</v>
      </c>
      <c r="H81" s="109">
        <f t="shared" si="25"/>
        <v>19.996887169394743</v>
      </c>
      <c r="I81" s="111" t="str">
        <f t="shared" si="26"/>
        <v>ON</v>
      </c>
      <c r="J81" s="129">
        <v>0</v>
      </c>
      <c r="K81" s="143" t="str">
        <f>INDEX('Use Cases'!$A$3:$CZ$400,MATCH($A81&amp;$B81,'Use Cases'!$A$3:$A$400,0),MATCH(Use_Case,'Use Cases'!$A$3:$CZ$3,0)+1)</f>
        <v>rgmii_100_3p3v</v>
      </c>
      <c r="L81" s="147">
        <f>INDEX('Use Cases'!$A$3:$CZ$400,MATCH($A81&amp;$B81,'Use Cases'!$A$3:$A$400,0),MATCH(Use_Case,'Use Cases'!$A$3:$CZ$3,0))</f>
        <v>1</v>
      </c>
      <c r="M81" s="111">
        <f t="shared" si="19"/>
        <v>14</v>
      </c>
      <c r="N81" s="109">
        <f t="shared" si="20"/>
        <v>0</v>
      </c>
      <c r="O81" s="109">
        <f t="shared" si="21"/>
        <v>1.2169394744318179E-5</v>
      </c>
      <c r="P81" s="129">
        <v>0</v>
      </c>
      <c r="Q81" s="129">
        <v>0</v>
      </c>
      <c r="R81" s="129">
        <v>0</v>
      </c>
      <c r="S81" s="109">
        <f t="shared" si="27"/>
        <v>0</v>
      </c>
      <c r="T81" s="109">
        <f t="shared" si="22"/>
        <v>0</v>
      </c>
      <c r="U81" s="109">
        <f t="shared" si="28"/>
        <v>0</v>
      </c>
      <c r="V81" s="109">
        <f t="shared" si="23"/>
        <v>19.996874999999999</v>
      </c>
      <c r="W81" s="109" t="s">
        <v>1050</v>
      </c>
      <c r="X81" s="111" t="s">
        <v>1109</v>
      </c>
      <c r="Y81" s="111" t="s">
        <v>169</v>
      </c>
      <c r="Z81" s="111" t="s">
        <v>54</v>
      </c>
      <c r="AA81" s="111" t="s">
        <v>1112</v>
      </c>
      <c r="AB81" s="111" t="s">
        <v>1111</v>
      </c>
      <c r="AC81" s="129">
        <v>0</v>
      </c>
      <c r="AD81" s="129">
        <v>0</v>
      </c>
      <c r="AE81" s="129">
        <v>0</v>
      </c>
      <c r="AF81" s="129">
        <v>0</v>
      </c>
      <c r="AG81" s="129">
        <v>0</v>
      </c>
      <c r="AH81" s="5" t="s">
        <v>1110</v>
      </c>
      <c r="AI81" s="137" t="str">
        <f t="shared" si="29"/>
        <v>ethernet_port_1</v>
      </c>
    </row>
    <row r="82" spans="1:35" x14ac:dyDescent="0.25">
      <c r="A82" s="130" t="s">
        <v>643</v>
      </c>
      <c r="B82" s="130" t="s">
        <v>18</v>
      </c>
      <c r="C82" s="128" t="str">
        <f t="shared" ref="C82:F101" si="30">VLOOKUP($A82&amp;"_"&amp;C$1,MDB,6,0)</f>
        <v>ICSSM LVCMOS IO</v>
      </c>
      <c r="D82" s="146">
        <f t="shared" si="30"/>
        <v>44499</v>
      </c>
      <c r="E82" s="109" t="str">
        <f t="shared" si="30"/>
        <v>7 LVCMOS IO</v>
      </c>
      <c r="F82" s="109" t="str">
        <f t="shared" si="30"/>
        <v>ICSSM</v>
      </c>
      <c r="G82" s="111">
        <v>1</v>
      </c>
      <c r="H82" s="109">
        <f t="shared" si="25"/>
        <v>29.615649208061928</v>
      </c>
      <c r="I82" s="111" t="str">
        <f t="shared" si="26"/>
        <v>ON</v>
      </c>
      <c r="J82" s="129">
        <v>0</v>
      </c>
      <c r="K82" s="143" t="str">
        <f>INDEX('Use Cases'!$A$3:$CZ$400,MATCH($A82&amp;$B82,'Use Cases'!$A$3:$A$400,0),MATCH(Use_Case,'Use Cases'!$A$3:$CZ$3,0)+1)</f>
        <v>rmii_rmii_3p3v</v>
      </c>
      <c r="L82" s="147">
        <f>INDEX('Use Cases'!$A$3:$CZ$400,MATCH($A82&amp;$B82,'Use Cases'!$A$3:$A$400,0),MATCH(Use_Case,'Use Cases'!$A$3:$CZ$3,0))</f>
        <v>1</v>
      </c>
      <c r="M82" s="111">
        <f t="shared" si="19"/>
        <v>22</v>
      </c>
      <c r="N82" s="109">
        <f t="shared" si="20"/>
        <v>0</v>
      </c>
      <c r="O82" s="109">
        <f t="shared" si="21"/>
        <v>2.4208061931818183E-5</v>
      </c>
      <c r="P82" s="129">
        <v>0</v>
      </c>
      <c r="Q82" s="129">
        <v>0</v>
      </c>
      <c r="R82" s="129">
        <v>0</v>
      </c>
      <c r="S82" s="109">
        <f t="shared" si="27"/>
        <v>0</v>
      </c>
      <c r="T82" s="109">
        <f t="shared" si="22"/>
        <v>0</v>
      </c>
      <c r="U82" s="109">
        <f t="shared" si="28"/>
        <v>0</v>
      </c>
      <c r="V82" s="109">
        <f t="shared" si="23"/>
        <v>29.615624999999998</v>
      </c>
      <c r="W82" s="109" t="s">
        <v>1050</v>
      </c>
      <c r="X82" s="111" t="s">
        <v>1109</v>
      </c>
      <c r="Y82" s="111" t="s">
        <v>169</v>
      </c>
      <c r="Z82" s="111" t="s">
        <v>54</v>
      </c>
      <c r="AA82" s="111" t="s">
        <v>1112</v>
      </c>
      <c r="AB82" s="111" t="s">
        <v>1111</v>
      </c>
      <c r="AC82" s="129">
        <v>0</v>
      </c>
      <c r="AD82" s="129">
        <v>0</v>
      </c>
      <c r="AE82" s="129">
        <v>0</v>
      </c>
      <c r="AF82" s="129">
        <v>0</v>
      </c>
      <c r="AG82" s="129">
        <v>0</v>
      </c>
      <c r="AH82" s="5" t="s">
        <v>1110</v>
      </c>
      <c r="AI82" s="137" t="str">
        <f t="shared" si="29"/>
        <v>icssm_0</v>
      </c>
    </row>
    <row r="83" spans="1:35" x14ac:dyDescent="0.25">
      <c r="A83" s="130" t="s">
        <v>898</v>
      </c>
      <c r="B83" s="130" t="s">
        <v>18</v>
      </c>
      <c r="C83" s="128" t="str">
        <f t="shared" si="30"/>
        <v>SPI LVCMOS IO</v>
      </c>
      <c r="D83" s="146">
        <f t="shared" si="30"/>
        <v>44499</v>
      </c>
      <c r="E83" s="109" t="str">
        <f t="shared" si="30"/>
        <v>7 LVCMOS IO</v>
      </c>
      <c r="F83" s="109" t="str">
        <f t="shared" si="30"/>
        <v>SPI</v>
      </c>
      <c r="G83" s="111">
        <v>1</v>
      </c>
      <c r="H83" s="109">
        <f t="shared" si="25"/>
        <v>21.753802884431813</v>
      </c>
      <c r="I83" s="111" t="str">
        <f t="shared" si="26"/>
        <v>ON</v>
      </c>
      <c r="J83" s="129">
        <v>0</v>
      </c>
      <c r="K83" s="143" t="str">
        <f>INDEX('Use Cases'!$A$3:$CZ$400,MATCH($A83&amp;$B83,'Use Cases'!$A$3:$A$400,0),MATCH(Use_Case,'Use Cases'!$A$3:$CZ$3,0)+1)</f>
        <v>Master_25_Mbaud_3p3v</v>
      </c>
      <c r="L83" s="147">
        <f>INDEX('Use Cases'!$A$3:$CZ$400,MATCH($A83&amp;$B83,'Use Cases'!$A$3:$A$400,0),MATCH(Use_Case,'Use Cases'!$A$3:$CZ$3,0))</f>
        <v>1</v>
      </c>
      <c r="M83" s="111">
        <f t="shared" si="19"/>
        <v>4</v>
      </c>
      <c r="N83" s="109">
        <f t="shared" si="20"/>
        <v>0</v>
      </c>
      <c r="O83" s="109">
        <f t="shared" si="21"/>
        <v>3.0797443093039781E-6</v>
      </c>
      <c r="P83" s="129">
        <v>0</v>
      </c>
      <c r="Q83" s="129">
        <v>0</v>
      </c>
      <c r="R83" s="129">
        <v>0</v>
      </c>
      <c r="S83" s="109">
        <f t="shared" si="27"/>
        <v>0</v>
      </c>
      <c r="T83" s="109">
        <f t="shared" si="22"/>
        <v>0</v>
      </c>
      <c r="U83" s="109">
        <f t="shared" si="28"/>
        <v>0</v>
      </c>
      <c r="V83" s="109">
        <f t="shared" si="23"/>
        <v>21.753799804687503</v>
      </c>
      <c r="W83" s="109" t="s">
        <v>1050</v>
      </c>
      <c r="X83" s="111" t="s">
        <v>1109</v>
      </c>
      <c r="Y83" s="111" t="s">
        <v>169</v>
      </c>
      <c r="Z83" s="111" t="s">
        <v>54</v>
      </c>
      <c r="AA83" s="111" t="s">
        <v>1112</v>
      </c>
      <c r="AB83" s="111" t="s">
        <v>1111</v>
      </c>
      <c r="AC83" s="129">
        <v>0</v>
      </c>
      <c r="AD83" s="129">
        <v>0</v>
      </c>
      <c r="AE83" s="129">
        <v>0</v>
      </c>
      <c r="AF83" s="129">
        <v>0</v>
      </c>
      <c r="AG83" s="129">
        <v>0</v>
      </c>
      <c r="AH83" s="5" t="s">
        <v>1110</v>
      </c>
      <c r="AI83" s="137" t="str">
        <f t="shared" si="29"/>
        <v>spi_0</v>
      </c>
    </row>
    <row r="84" spans="1:35" x14ac:dyDescent="0.25">
      <c r="A84" s="130" t="s">
        <v>898</v>
      </c>
      <c r="B84" s="130" t="s">
        <v>19</v>
      </c>
      <c r="C84" s="128" t="str">
        <f t="shared" si="30"/>
        <v>SPI LVCMOS IO</v>
      </c>
      <c r="D84" s="146">
        <f t="shared" si="30"/>
        <v>44499</v>
      </c>
      <c r="E84" s="109" t="str">
        <f t="shared" si="30"/>
        <v>7 LVCMOS IO</v>
      </c>
      <c r="F84" s="109" t="str">
        <f t="shared" si="30"/>
        <v>SPI</v>
      </c>
      <c r="G84" s="111">
        <v>1</v>
      </c>
      <c r="H84" s="109">
        <f t="shared" si="25"/>
        <v>1.8556121039782369</v>
      </c>
      <c r="I84" s="111" t="str">
        <f t="shared" si="26"/>
        <v>ON</v>
      </c>
      <c r="J84" s="129">
        <v>0</v>
      </c>
      <c r="K84" s="143" t="str">
        <f>INDEX('Use Cases'!$A$3:$CZ$400,MATCH($A84&amp;$B84,'Use Cases'!$A$3:$A$400,0),MATCH(Use_Case,'Use Cases'!$A$3:$CZ$3,0)+1)</f>
        <v>Master_12.5_Mbaud_1p8v</v>
      </c>
      <c r="L84" s="147">
        <f>INDEX('Use Cases'!$A$3:$CZ$400,MATCH($A84&amp;$B84,'Use Cases'!$A$3:$A$400,0),MATCH(Use_Case,'Use Cases'!$A$3:$CZ$3,0))</f>
        <v>1</v>
      </c>
      <c r="M84" s="111">
        <f t="shared" si="19"/>
        <v>4</v>
      </c>
      <c r="N84" s="109">
        <f t="shared" si="20"/>
        <v>0</v>
      </c>
      <c r="O84" s="109">
        <f t="shared" si="21"/>
        <v>1.5398721546519891E-6</v>
      </c>
      <c r="P84" s="129">
        <v>0</v>
      </c>
      <c r="Q84" s="129">
        <v>0</v>
      </c>
      <c r="R84" s="129">
        <v>0</v>
      </c>
      <c r="S84" s="109">
        <f t="shared" si="27"/>
        <v>0</v>
      </c>
      <c r="T84" s="109">
        <f t="shared" si="22"/>
        <v>1.8556105641060823</v>
      </c>
      <c r="U84" s="109">
        <f t="shared" si="28"/>
        <v>0</v>
      </c>
      <c r="V84" s="109">
        <f t="shared" si="23"/>
        <v>0</v>
      </c>
      <c r="W84" s="109" t="s">
        <v>1050</v>
      </c>
      <c r="X84" s="111" t="s">
        <v>1109</v>
      </c>
      <c r="Y84" s="111" t="s">
        <v>169</v>
      </c>
      <c r="Z84" s="111" t="s">
        <v>54</v>
      </c>
      <c r="AA84" s="111" t="s">
        <v>1112</v>
      </c>
      <c r="AB84" s="111" t="s">
        <v>1111</v>
      </c>
      <c r="AC84" s="129">
        <v>0</v>
      </c>
      <c r="AD84" s="129">
        <v>0</v>
      </c>
      <c r="AE84" s="129">
        <v>0</v>
      </c>
      <c r="AF84" s="129">
        <v>0</v>
      </c>
      <c r="AG84" s="129">
        <v>0</v>
      </c>
      <c r="AH84" s="5" t="s">
        <v>1110</v>
      </c>
      <c r="AI84" s="137" t="str">
        <f t="shared" si="29"/>
        <v>spi_1</v>
      </c>
    </row>
    <row r="85" spans="1:35" x14ac:dyDescent="0.25">
      <c r="A85" s="130" t="s">
        <v>898</v>
      </c>
      <c r="B85" s="130" t="s">
        <v>20</v>
      </c>
      <c r="C85" s="128" t="str">
        <f t="shared" si="30"/>
        <v>SPI LVCMOS IO</v>
      </c>
      <c r="D85" s="146">
        <f t="shared" si="30"/>
        <v>44499</v>
      </c>
      <c r="E85" s="109" t="str">
        <f t="shared" si="30"/>
        <v>7 LVCMOS IO</v>
      </c>
      <c r="F85" s="109" t="str">
        <f t="shared" si="30"/>
        <v>SPI</v>
      </c>
      <c r="G85" s="111">
        <v>1</v>
      </c>
      <c r="H85" s="109">
        <f t="shared" si="25"/>
        <v>1.8556121039782369</v>
      </c>
      <c r="I85" s="111" t="str">
        <f t="shared" si="26"/>
        <v>ON</v>
      </c>
      <c r="J85" s="129">
        <v>0</v>
      </c>
      <c r="K85" s="143" t="str">
        <f>INDEX('Use Cases'!$A$3:$CZ$400,MATCH($A85&amp;$B85,'Use Cases'!$A$3:$A$400,0),MATCH(Use_Case,'Use Cases'!$A$3:$CZ$3,0)+1)</f>
        <v>Master_12.5_Mbaud_1p8v</v>
      </c>
      <c r="L85" s="147">
        <f>INDEX('Use Cases'!$A$3:$CZ$400,MATCH($A85&amp;$B85,'Use Cases'!$A$3:$A$400,0),MATCH(Use_Case,'Use Cases'!$A$3:$CZ$3,0))</f>
        <v>1</v>
      </c>
      <c r="M85" s="111">
        <f t="shared" si="19"/>
        <v>4</v>
      </c>
      <c r="N85" s="109">
        <f t="shared" si="20"/>
        <v>0</v>
      </c>
      <c r="O85" s="109">
        <f t="shared" si="21"/>
        <v>1.5398721546519891E-6</v>
      </c>
      <c r="P85" s="129">
        <v>0</v>
      </c>
      <c r="Q85" s="129">
        <v>0</v>
      </c>
      <c r="R85" s="129">
        <v>0</v>
      </c>
      <c r="S85" s="109">
        <f t="shared" si="27"/>
        <v>0</v>
      </c>
      <c r="T85" s="109">
        <f t="shared" si="22"/>
        <v>1.8556105641060823</v>
      </c>
      <c r="U85" s="109">
        <f t="shared" si="28"/>
        <v>0</v>
      </c>
      <c r="V85" s="109">
        <f t="shared" si="23"/>
        <v>0</v>
      </c>
      <c r="W85" s="109" t="s">
        <v>1050</v>
      </c>
      <c r="X85" s="111" t="s">
        <v>1109</v>
      </c>
      <c r="Y85" s="111" t="s">
        <v>169</v>
      </c>
      <c r="Z85" s="111" t="s">
        <v>54</v>
      </c>
      <c r="AA85" s="111" t="s">
        <v>1112</v>
      </c>
      <c r="AB85" s="111" t="s">
        <v>1111</v>
      </c>
      <c r="AC85" s="129">
        <v>0</v>
      </c>
      <c r="AD85" s="129">
        <v>0</v>
      </c>
      <c r="AE85" s="129">
        <v>0</v>
      </c>
      <c r="AF85" s="129">
        <v>0</v>
      </c>
      <c r="AG85" s="129">
        <v>0</v>
      </c>
      <c r="AH85" s="5" t="s">
        <v>1110</v>
      </c>
      <c r="AI85" s="137" t="str">
        <f t="shared" si="29"/>
        <v>spi_2</v>
      </c>
    </row>
    <row r="86" spans="1:35" x14ac:dyDescent="0.25">
      <c r="A86" s="130" t="s">
        <v>898</v>
      </c>
      <c r="B86" s="130" t="s">
        <v>22</v>
      </c>
      <c r="C86" s="128" t="str">
        <f t="shared" si="30"/>
        <v>SPI LVCMOS IO</v>
      </c>
      <c r="D86" s="146">
        <f t="shared" si="30"/>
        <v>44499</v>
      </c>
      <c r="E86" s="109" t="str">
        <f t="shared" si="30"/>
        <v>7 LVCMOS IO</v>
      </c>
      <c r="F86" s="109" t="str">
        <f t="shared" si="30"/>
        <v>SPI</v>
      </c>
      <c r="G86" s="111">
        <v>1</v>
      </c>
      <c r="H86" s="109">
        <f t="shared" si="25"/>
        <v>0</v>
      </c>
      <c r="I86" s="111" t="str">
        <f t="shared" si="26"/>
        <v>ON</v>
      </c>
      <c r="J86" s="129">
        <v>0</v>
      </c>
      <c r="K86" s="143" t="str">
        <f>INDEX('Use Cases'!$A$3:$CZ$400,MATCH($A86&amp;$B86,'Use Cases'!$A$3:$A$400,0),MATCH(Use_Case,'Use Cases'!$A$3:$CZ$3,0)+1)</f>
        <v>unused</v>
      </c>
      <c r="L86" s="147">
        <f>INDEX('Use Cases'!$A$3:$CZ$400,MATCH($A86&amp;$B86,'Use Cases'!$A$3:$A$400,0),MATCH(Use_Case,'Use Cases'!$A$3:$CZ$3,0))</f>
        <v>0</v>
      </c>
      <c r="M86" s="111">
        <f t="shared" si="19"/>
        <v>0</v>
      </c>
      <c r="N86" s="109">
        <f t="shared" si="20"/>
        <v>0</v>
      </c>
      <c r="O86" s="109">
        <f t="shared" si="21"/>
        <v>0</v>
      </c>
      <c r="P86" s="129">
        <v>0</v>
      </c>
      <c r="Q86" s="129">
        <v>0</v>
      </c>
      <c r="R86" s="129">
        <v>0</v>
      </c>
      <c r="S86" s="109">
        <f t="shared" si="27"/>
        <v>0</v>
      </c>
      <c r="T86" s="109">
        <f t="shared" si="22"/>
        <v>0</v>
      </c>
      <c r="U86" s="109">
        <f t="shared" si="28"/>
        <v>0</v>
      </c>
      <c r="V86" s="109">
        <f t="shared" si="23"/>
        <v>0</v>
      </c>
      <c r="W86" s="109" t="s">
        <v>1050</v>
      </c>
      <c r="X86" s="111" t="s">
        <v>1109</v>
      </c>
      <c r="Y86" s="111" t="s">
        <v>169</v>
      </c>
      <c r="Z86" s="111" t="s">
        <v>54</v>
      </c>
      <c r="AA86" s="111" t="s">
        <v>1112</v>
      </c>
      <c r="AB86" s="111" t="s">
        <v>1111</v>
      </c>
      <c r="AC86" s="129">
        <v>0</v>
      </c>
      <c r="AD86" s="129">
        <v>0</v>
      </c>
      <c r="AE86" s="129">
        <v>0</v>
      </c>
      <c r="AF86" s="129">
        <v>0</v>
      </c>
      <c r="AG86" s="129">
        <v>0</v>
      </c>
      <c r="AH86" s="5" t="s">
        <v>1110</v>
      </c>
      <c r="AI86" s="137" t="str">
        <f t="shared" si="29"/>
        <v>spi_3</v>
      </c>
    </row>
    <row r="87" spans="1:35" x14ac:dyDescent="0.25">
      <c r="A87" s="130" t="s">
        <v>898</v>
      </c>
      <c r="B87" s="130" t="s">
        <v>23</v>
      </c>
      <c r="C87" s="128" t="str">
        <f t="shared" si="30"/>
        <v>SPI LVCMOS IO</v>
      </c>
      <c r="D87" s="146">
        <f t="shared" si="30"/>
        <v>44499</v>
      </c>
      <c r="E87" s="109" t="str">
        <f t="shared" si="30"/>
        <v>7 LVCMOS IO</v>
      </c>
      <c r="F87" s="109" t="str">
        <f t="shared" si="30"/>
        <v>SPI</v>
      </c>
      <c r="G87" s="111">
        <v>1</v>
      </c>
      <c r="H87" s="109">
        <f t="shared" si="25"/>
        <v>0</v>
      </c>
      <c r="I87" s="111" t="str">
        <f t="shared" si="26"/>
        <v>ON</v>
      </c>
      <c r="J87" s="129">
        <v>0</v>
      </c>
      <c r="K87" s="143" t="str">
        <f>INDEX('Use Cases'!$A$3:$CZ$400,MATCH($A87&amp;$B87,'Use Cases'!$A$3:$A$400,0),MATCH(Use_Case,'Use Cases'!$A$3:$CZ$3,0)+1)</f>
        <v>unused</v>
      </c>
      <c r="L87" s="147">
        <f>INDEX('Use Cases'!$A$3:$CZ$400,MATCH($A87&amp;$B87,'Use Cases'!$A$3:$A$400,0),MATCH(Use_Case,'Use Cases'!$A$3:$CZ$3,0))</f>
        <v>0</v>
      </c>
      <c r="M87" s="111">
        <f t="shared" si="19"/>
        <v>0</v>
      </c>
      <c r="N87" s="109">
        <f t="shared" si="20"/>
        <v>0</v>
      </c>
      <c r="O87" s="109">
        <f t="shared" si="21"/>
        <v>0</v>
      </c>
      <c r="P87" s="129">
        <v>0</v>
      </c>
      <c r="Q87" s="129">
        <v>0</v>
      </c>
      <c r="R87" s="129">
        <v>0</v>
      </c>
      <c r="S87" s="109">
        <f t="shared" si="27"/>
        <v>0</v>
      </c>
      <c r="T87" s="109">
        <f t="shared" si="22"/>
        <v>0</v>
      </c>
      <c r="U87" s="109">
        <f t="shared" si="28"/>
        <v>0</v>
      </c>
      <c r="V87" s="109">
        <f t="shared" si="23"/>
        <v>0</v>
      </c>
      <c r="W87" s="109" t="s">
        <v>1050</v>
      </c>
      <c r="X87" s="111" t="s">
        <v>1109</v>
      </c>
      <c r="Y87" s="111" t="s">
        <v>169</v>
      </c>
      <c r="Z87" s="111" t="s">
        <v>54</v>
      </c>
      <c r="AA87" s="111" t="s">
        <v>1112</v>
      </c>
      <c r="AB87" s="111" t="s">
        <v>1111</v>
      </c>
      <c r="AC87" s="129">
        <v>0</v>
      </c>
      <c r="AD87" s="129">
        <v>0</v>
      </c>
      <c r="AE87" s="129">
        <v>0</v>
      </c>
      <c r="AF87" s="129">
        <v>0</v>
      </c>
      <c r="AG87" s="129">
        <v>0</v>
      </c>
      <c r="AH87" s="5" t="s">
        <v>1110</v>
      </c>
      <c r="AI87" s="137" t="str">
        <f t="shared" si="29"/>
        <v>spi_4</v>
      </c>
    </row>
    <row r="88" spans="1:35" x14ac:dyDescent="0.25">
      <c r="A88" s="130" t="s">
        <v>969</v>
      </c>
      <c r="B88" s="130" t="s">
        <v>18</v>
      </c>
      <c r="C88" s="128" t="str">
        <f t="shared" si="30"/>
        <v>GPIO LVCMOS IO</v>
      </c>
      <c r="D88" s="146">
        <f t="shared" si="30"/>
        <v>44499</v>
      </c>
      <c r="E88" s="109" t="str">
        <f t="shared" si="30"/>
        <v>7 LVCMOS IO</v>
      </c>
      <c r="F88" s="109" t="str">
        <f t="shared" si="30"/>
        <v>GPIO</v>
      </c>
      <c r="G88" s="111">
        <v>1</v>
      </c>
      <c r="H88" s="109">
        <f t="shared" si="25"/>
        <v>0</v>
      </c>
      <c r="I88" s="111" t="str">
        <f t="shared" si="26"/>
        <v>ON</v>
      </c>
      <c r="J88" s="129">
        <v>0</v>
      </c>
      <c r="K88" s="143" t="str">
        <f>INDEX('Use Cases'!$A$3:$CZ$400,MATCH($A88&amp;$B88,'Use Cases'!$A$3:$A$400,0),MATCH(Use_Case,'Use Cases'!$A$3:$CZ$3,0)+1)</f>
        <v>unused</v>
      </c>
      <c r="L88" s="147">
        <f>INDEX('Use Cases'!$A$3:$CZ$400,MATCH($A88&amp;$B88,'Use Cases'!$A$3:$A$400,0),MATCH(Use_Case,'Use Cases'!$A$3:$CZ$3,0))</f>
        <v>0</v>
      </c>
      <c r="M88" s="111">
        <f t="shared" si="19"/>
        <v>0</v>
      </c>
      <c r="N88" s="109">
        <f t="shared" si="20"/>
        <v>0</v>
      </c>
      <c r="O88" s="109">
        <f t="shared" si="21"/>
        <v>0</v>
      </c>
      <c r="P88" s="129">
        <v>0</v>
      </c>
      <c r="Q88" s="129">
        <v>0</v>
      </c>
      <c r="R88" s="129">
        <v>0</v>
      </c>
      <c r="S88" s="109">
        <f t="shared" si="27"/>
        <v>0</v>
      </c>
      <c r="T88" s="109">
        <f t="shared" si="22"/>
        <v>0</v>
      </c>
      <c r="U88" s="109">
        <f t="shared" si="28"/>
        <v>0</v>
      </c>
      <c r="V88" s="109">
        <f t="shared" si="23"/>
        <v>0</v>
      </c>
      <c r="W88" s="109" t="s">
        <v>1050</v>
      </c>
      <c r="X88" s="111" t="s">
        <v>1109</v>
      </c>
      <c r="Y88" s="111" t="s">
        <v>169</v>
      </c>
      <c r="Z88" s="111" t="s">
        <v>54</v>
      </c>
      <c r="AA88" s="111" t="s">
        <v>1112</v>
      </c>
      <c r="AB88" s="111" t="s">
        <v>1111</v>
      </c>
      <c r="AC88" s="129">
        <v>0</v>
      </c>
      <c r="AD88" s="129">
        <v>0</v>
      </c>
      <c r="AE88" s="129">
        <v>0</v>
      </c>
      <c r="AF88" s="129">
        <v>0</v>
      </c>
      <c r="AG88" s="129">
        <v>0</v>
      </c>
      <c r="AH88" s="5" t="s">
        <v>1110</v>
      </c>
      <c r="AI88" s="137" t="str">
        <f t="shared" si="29"/>
        <v>gpio_0</v>
      </c>
    </row>
    <row r="89" spans="1:35" x14ac:dyDescent="0.25">
      <c r="A89" s="130" t="s">
        <v>969</v>
      </c>
      <c r="B89" s="130" t="s">
        <v>19</v>
      </c>
      <c r="C89" s="128" t="str">
        <f t="shared" si="30"/>
        <v>GPIO LVCMOS IO</v>
      </c>
      <c r="D89" s="146">
        <f t="shared" si="30"/>
        <v>44499</v>
      </c>
      <c r="E89" s="109" t="str">
        <f t="shared" si="30"/>
        <v>7 LVCMOS IO</v>
      </c>
      <c r="F89" s="109" t="str">
        <f t="shared" si="30"/>
        <v>GPIO</v>
      </c>
      <c r="G89" s="111">
        <v>1</v>
      </c>
      <c r="H89" s="109">
        <f t="shared" si="25"/>
        <v>0</v>
      </c>
      <c r="I89" s="111" t="str">
        <f t="shared" si="26"/>
        <v>ON</v>
      </c>
      <c r="J89" s="129">
        <v>0</v>
      </c>
      <c r="K89" s="143" t="str">
        <f>INDEX('Use Cases'!$A$3:$CZ$400,MATCH($A89&amp;$B89,'Use Cases'!$A$3:$A$400,0),MATCH(Use_Case,'Use Cases'!$A$3:$CZ$3,0)+1)</f>
        <v>unused</v>
      </c>
      <c r="L89" s="147">
        <f>INDEX('Use Cases'!$A$3:$CZ$400,MATCH($A89&amp;$B89,'Use Cases'!$A$3:$A$400,0),MATCH(Use_Case,'Use Cases'!$A$3:$CZ$3,0))</f>
        <v>0</v>
      </c>
      <c r="M89" s="111">
        <f t="shared" si="19"/>
        <v>0</v>
      </c>
      <c r="N89" s="109">
        <f t="shared" si="20"/>
        <v>0</v>
      </c>
      <c r="O89" s="109">
        <f t="shared" si="21"/>
        <v>0</v>
      </c>
      <c r="P89" s="129">
        <v>0</v>
      </c>
      <c r="Q89" s="129">
        <v>0</v>
      </c>
      <c r="R89" s="129">
        <v>0</v>
      </c>
      <c r="S89" s="109">
        <f t="shared" si="27"/>
        <v>0</v>
      </c>
      <c r="T89" s="109">
        <f t="shared" si="22"/>
        <v>0</v>
      </c>
      <c r="U89" s="109">
        <f t="shared" si="28"/>
        <v>0</v>
      </c>
      <c r="V89" s="109">
        <f t="shared" si="23"/>
        <v>0</v>
      </c>
      <c r="W89" s="109" t="s">
        <v>1050</v>
      </c>
      <c r="X89" s="111" t="s">
        <v>1109</v>
      </c>
      <c r="Y89" s="111" t="s">
        <v>169</v>
      </c>
      <c r="Z89" s="111" t="s">
        <v>54</v>
      </c>
      <c r="AA89" s="111" t="s">
        <v>1112</v>
      </c>
      <c r="AB89" s="111" t="s">
        <v>1111</v>
      </c>
      <c r="AC89" s="129">
        <v>0</v>
      </c>
      <c r="AD89" s="129">
        <v>0</v>
      </c>
      <c r="AE89" s="129">
        <v>0</v>
      </c>
      <c r="AF89" s="129">
        <v>0</v>
      </c>
      <c r="AG89" s="129">
        <v>0</v>
      </c>
      <c r="AH89" s="5" t="s">
        <v>1110</v>
      </c>
      <c r="AI89" s="137" t="str">
        <f t="shared" si="29"/>
        <v>gpio_1</v>
      </c>
    </row>
    <row r="90" spans="1:35" x14ac:dyDescent="0.25">
      <c r="A90" s="130" t="s">
        <v>396</v>
      </c>
      <c r="B90" s="130" t="s">
        <v>49</v>
      </c>
      <c r="C90" s="128" t="str">
        <f t="shared" si="30"/>
        <v>SDIO - 1 bit</v>
      </c>
      <c r="D90" s="146">
        <f t="shared" si="30"/>
        <v>44499</v>
      </c>
      <c r="E90" s="109" t="str">
        <f t="shared" si="30"/>
        <v>6 IO</v>
      </c>
      <c r="F90" s="109" t="str">
        <f t="shared" si="30"/>
        <v>Special</v>
      </c>
      <c r="G90" s="111">
        <v>7</v>
      </c>
      <c r="H90" s="109">
        <f t="shared" si="25"/>
        <v>8.1354161162344152</v>
      </c>
      <c r="I90" s="111" t="str">
        <f t="shared" si="26"/>
        <v>ON</v>
      </c>
      <c r="J90" s="129">
        <v>0</v>
      </c>
      <c r="K90" s="143" t="str">
        <f>INDEX('Use Cases'!$A$3:$CZ$400,MATCH($A90&amp;$B90,'Use Cases'!$A$3:$A$400,0),MATCH(Use_Case,'Use Cases'!$A$3:$CZ$3,0)+1)</f>
        <v>ddr_200mbs</v>
      </c>
      <c r="L90" s="147">
        <f>INDEX('Use Cases'!$A$3:$CZ$400,MATCH($A90&amp;$B90,'Use Cases'!$A$3:$A$400,0),MATCH(Use_Case,'Use Cases'!$A$3:$CZ$3,0))</f>
        <v>1</v>
      </c>
      <c r="M90" s="129">
        <f>IFERROR(VLOOKUP($A90&amp;"_"&amp;M$1,MDB,6,0)*$G90,0)</f>
        <v>0</v>
      </c>
      <c r="N90" s="109">
        <f t="shared" si="20"/>
        <v>0</v>
      </c>
      <c r="O90" s="109">
        <f t="shared" si="21"/>
        <v>8.5537722017045453E-5</v>
      </c>
      <c r="P90" s="129">
        <v>0</v>
      </c>
      <c r="Q90" s="109">
        <f>IFERROR(VLOOKUP($A90&amp;"_"&amp;Q$1,MDB,6,0)*$G90*VLOOKUP($Y90,pwr_scale_table,4,0),0)</f>
        <v>0</v>
      </c>
      <c r="R90" s="109">
        <f>IFERROR(VLOOKUP($A90&amp;"_"&amp;R$1&amp;"_"&amp;$K90&amp;"",MDB,6,0)*$G90*$L90*VLOOKUP($Y90,pwr_scale_table,4,0),0)</f>
        <v>0</v>
      </c>
      <c r="S90" s="109">
        <f t="shared" si="27"/>
        <v>0</v>
      </c>
      <c r="T90" s="109">
        <f t="shared" si="22"/>
        <v>8.1353305785123986</v>
      </c>
      <c r="U90" s="109">
        <f t="shared" si="28"/>
        <v>0</v>
      </c>
      <c r="V90" s="109">
        <f t="shared" si="23"/>
        <v>0</v>
      </c>
      <c r="W90" s="109" t="s">
        <v>1051</v>
      </c>
      <c r="X90" s="111" t="s">
        <v>9</v>
      </c>
      <c r="Y90" s="111" t="s">
        <v>116</v>
      </c>
      <c r="Z90" s="111" t="s">
        <v>54</v>
      </c>
      <c r="AA90" s="111" t="s">
        <v>1112</v>
      </c>
      <c r="AB90" s="111" t="s">
        <v>1111</v>
      </c>
      <c r="AC90" s="111">
        <v>0</v>
      </c>
      <c r="AD90" s="129">
        <v>0</v>
      </c>
      <c r="AE90" s="129">
        <v>0</v>
      </c>
      <c r="AF90" s="129">
        <v>0</v>
      </c>
      <c r="AG90" s="129">
        <v>0</v>
      </c>
      <c r="AH90" s="5" t="s">
        <v>1048</v>
      </c>
      <c r="AI90" s="137" t="str">
        <f t="shared" si="29"/>
        <v>PRWDWUWSWEWCDGSDIO_mmc_1</v>
      </c>
    </row>
    <row r="91" spans="1:35" x14ac:dyDescent="0.25">
      <c r="A91" s="130" t="s">
        <v>396</v>
      </c>
      <c r="B91" s="130" t="s">
        <v>50</v>
      </c>
      <c r="C91" s="128" t="str">
        <f t="shared" si="30"/>
        <v>SDIO - 1 bit</v>
      </c>
      <c r="D91" s="146">
        <f t="shared" si="30"/>
        <v>44499</v>
      </c>
      <c r="E91" s="109" t="str">
        <f t="shared" si="30"/>
        <v>6 IO</v>
      </c>
      <c r="F91" s="109" t="str">
        <f t="shared" si="30"/>
        <v>Special</v>
      </c>
      <c r="G91" s="111">
        <v>7</v>
      </c>
      <c r="H91" s="109">
        <f t="shared" si="25"/>
        <v>8.1354161162344152</v>
      </c>
      <c r="I91" s="111" t="str">
        <f t="shared" si="26"/>
        <v>ON</v>
      </c>
      <c r="J91" s="129">
        <v>0</v>
      </c>
      <c r="K91" s="143" t="str">
        <f>INDEX('Use Cases'!$A$3:$CZ$400,MATCH($A91&amp;$B91,'Use Cases'!$A$3:$A$400,0),MATCH(Use_Case,'Use Cases'!$A$3:$CZ$3,0)+1)</f>
        <v>ddr_200mbs</v>
      </c>
      <c r="L91" s="147">
        <f>INDEX('Use Cases'!$A$3:$CZ$400,MATCH($A91&amp;$B91,'Use Cases'!$A$3:$A$400,0),MATCH(Use_Case,'Use Cases'!$A$3:$CZ$3,0))</f>
        <v>1</v>
      </c>
      <c r="M91" s="129">
        <f>IFERROR(VLOOKUP($A91&amp;"_"&amp;M$1,MDB,6,0)*$G91,0)</f>
        <v>0</v>
      </c>
      <c r="N91" s="109">
        <f t="shared" si="20"/>
        <v>0</v>
      </c>
      <c r="O91" s="109">
        <f t="shared" si="21"/>
        <v>8.5537722017045453E-5</v>
      </c>
      <c r="P91" s="129">
        <v>0</v>
      </c>
      <c r="Q91" s="109">
        <f>IFERROR(VLOOKUP($A91&amp;"_"&amp;Q$1,MDB,6,0)*$G91*VLOOKUP($Y91,pwr_scale_table,4,0),0)</f>
        <v>0</v>
      </c>
      <c r="R91" s="109">
        <f>IFERROR(VLOOKUP($A91&amp;"_"&amp;R$1&amp;"_"&amp;$K91&amp;"",MDB,6,0)*$G91*$L91*VLOOKUP($Y91,pwr_scale_table,4,0),0)</f>
        <v>0</v>
      </c>
      <c r="S91" s="109">
        <f t="shared" si="27"/>
        <v>0</v>
      </c>
      <c r="T91" s="109">
        <f t="shared" si="22"/>
        <v>8.1353305785123986</v>
      </c>
      <c r="U91" s="109">
        <f t="shared" si="28"/>
        <v>0</v>
      </c>
      <c r="V91" s="109">
        <f t="shared" si="23"/>
        <v>0</v>
      </c>
      <c r="W91" s="109" t="s">
        <v>1051</v>
      </c>
      <c r="X91" s="111" t="s">
        <v>9</v>
      </c>
      <c r="Y91" s="111" t="s">
        <v>116</v>
      </c>
      <c r="Z91" s="111" t="s">
        <v>54</v>
      </c>
      <c r="AA91" s="111" t="s">
        <v>1112</v>
      </c>
      <c r="AB91" s="111" t="s">
        <v>1111</v>
      </c>
      <c r="AC91" s="111">
        <v>0</v>
      </c>
      <c r="AD91" s="129">
        <v>0</v>
      </c>
      <c r="AE91" s="129">
        <v>0</v>
      </c>
      <c r="AF91" s="129">
        <v>0</v>
      </c>
      <c r="AG91" s="129">
        <v>0</v>
      </c>
      <c r="AH91" s="5" t="s">
        <v>1048</v>
      </c>
      <c r="AI91" s="137" t="str">
        <f t="shared" si="29"/>
        <v>PRWDWUWSWEWCDGSDIO_mmc_2</v>
      </c>
    </row>
    <row r="92" spans="1:35" x14ac:dyDescent="0.25">
      <c r="A92" s="130" t="s">
        <v>396</v>
      </c>
      <c r="B92" s="130" t="s">
        <v>180</v>
      </c>
      <c r="C92" s="128" t="str">
        <f t="shared" si="30"/>
        <v>SDIO - 1 bit</v>
      </c>
      <c r="D92" s="146">
        <f t="shared" si="30"/>
        <v>44499</v>
      </c>
      <c r="E92" s="109" t="str">
        <f t="shared" si="30"/>
        <v>6 IO</v>
      </c>
      <c r="F92" s="109" t="str">
        <f t="shared" si="30"/>
        <v>Special</v>
      </c>
      <c r="G92" s="111">
        <v>11</v>
      </c>
      <c r="H92" s="109">
        <f t="shared" si="25"/>
        <v>0</v>
      </c>
      <c r="I92" s="111" t="str">
        <f t="shared" si="26"/>
        <v>ON</v>
      </c>
      <c r="J92" s="129">
        <v>0</v>
      </c>
      <c r="K92" s="143" t="str">
        <f>INDEX('Use Cases'!$A$3:$CZ$400,MATCH($A92&amp;$B92,'Use Cases'!$A$3:$A$400,0),MATCH(Use_Case,'Use Cases'!$A$3:$CZ$3,0)+1)</f>
        <v>hs400</v>
      </c>
      <c r="L92" s="147">
        <f>INDEX('Use Cases'!$A$3:$CZ$400,MATCH($A92&amp;$B92,'Use Cases'!$A$3:$A$400,0),MATCH(Use_Case,'Use Cases'!$A$3:$CZ$3,0))</f>
        <v>1</v>
      </c>
      <c r="M92" s="129">
        <f>IFERROR(VLOOKUP($A92&amp;"_"&amp;M$1,MDB,6,0)*$G92,0)</f>
        <v>0</v>
      </c>
      <c r="N92" s="109">
        <f t="shared" si="20"/>
        <v>0</v>
      </c>
      <c r="O92" s="109">
        <f t="shared" si="21"/>
        <v>0</v>
      </c>
      <c r="P92" s="129">
        <v>0</v>
      </c>
      <c r="Q92" s="109">
        <f>IFERROR(VLOOKUP($A92&amp;"_"&amp;Q$1,MDB,6,0)*$G92*VLOOKUP($Y92,pwr_scale_table,4,0),0)</f>
        <v>0</v>
      </c>
      <c r="R92" s="109">
        <f>IFERROR(VLOOKUP($A92&amp;"_"&amp;R$1&amp;"_"&amp;$K92&amp;"",MDB,6,0)*$G92*$L92*VLOOKUP($Y92,pwr_scale_table,4,0),0)</f>
        <v>0</v>
      </c>
      <c r="S92" s="109">
        <f t="shared" si="27"/>
        <v>0</v>
      </c>
      <c r="T92" s="109">
        <f t="shared" si="22"/>
        <v>0</v>
      </c>
      <c r="U92" s="109">
        <f t="shared" si="28"/>
        <v>0</v>
      </c>
      <c r="V92" s="109">
        <f t="shared" si="23"/>
        <v>0</v>
      </c>
      <c r="W92" s="109" t="s">
        <v>1051</v>
      </c>
      <c r="X92" s="111" t="s">
        <v>9</v>
      </c>
      <c r="Y92" s="111" t="s">
        <v>116</v>
      </c>
      <c r="Z92" s="111" t="s">
        <v>54</v>
      </c>
      <c r="AA92" s="111" t="s">
        <v>1112</v>
      </c>
      <c r="AB92" s="111" t="s">
        <v>1111</v>
      </c>
      <c r="AC92" s="111">
        <v>0</v>
      </c>
      <c r="AD92" s="129">
        <v>0</v>
      </c>
      <c r="AE92" s="129">
        <v>0</v>
      </c>
      <c r="AF92" s="129">
        <v>0</v>
      </c>
      <c r="AG92" s="129">
        <v>0</v>
      </c>
      <c r="AH92" s="5" t="s">
        <v>1048</v>
      </c>
      <c r="AI92" s="137" t="str">
        <f t="shared" si="29"/>
        <v>PRWDWUWSWEWCDGSDIO_mmc_0</v>
      </c>
    </row>
    <row r="93" spans="1:35" x14ac:dyDescent="0.25">
      <c r="A93" s="130" t="s">
        <v>620</v>
      </c>
      <c r="B93" s="130" t="s">
        <v>18</v>
      </c>
      <c r="C93" s="128" t="str">
        <f t="shared" si="30"/>
        <v>LP/DDR4-16 IO 1600</v>
      </c>
      <c r="D93" s="146">
        <f t="shared" si="30"/>
        <v>44499</v>
      </c>
      <c r="E93" s="109" t="str">
        <f t="shared" si="30"/>
        <v>6 IO</v>
      </c>
      <c r="F93" s="109" t="str">
        <f t="shared" si="30"/>
        <v>DDR-PHY</v>
      </c>
      <c r="G93" s="111">
        <v>1</v>
      </c>
      <c r="H93" s="109">
        <f t="shared" si="25"/>
        <v>206.46795808982577</v>
      </c>
      <c r="I93" s="111" t="str">
        <f t="shared" si="26"/>
        <v>ON</v>
      </c>
      <c r="J93" s="129">
        <v>0</v>
      </c>
      <c r="K93" s="143" t="str">
        <f>INDEX('Use Cases'!$A$3:$CZ$400,MATCH($A93&amp;$B93,'Use Cases'!$A$3:$A$400,0),MATCH(Use_Case,'Use Cases'!$A$3:$CZ$3,0)+1)</f>
        <v>lpddr4_1600_16</v>
      </c>
      <c r="L93" s="147">
        <f>INDEX('Use Cases'!$A$3:$CZ$400,MATCH($A93&amp;$B93,'Use Cases'!$A$3:$A$400,0),MATCH(Use_Case,'Use Cases'!$A$3:$CZ$3,0))</f>
        <v>1</v>
      </c>
      <c r="M93" s="129">
        <f>IFERROR(VLOOKUP($A93&amp;"_"&amp;M$1,MDB,6,0)*$G93,0)</f>
        <v>0</v>
      </c>
      <c r="N93" s="109">
        <f t="shared" si="20"/>
        <v>9.3427883020988922</v>
      </c>
      <c r="O93" s="109">
        <f>IFERROR(VLOOKUP($A93&amp;"_"&amp;O$1&amp;"_"&amp;$K93&amp;"_idle",MDB,6,0)*(1-$L93)+VLOOKUP($A93&amp;"_"&amp;O$1&amp;"_"&amp;$K93&amp;"_read",MDB,6,0)*($L93/2)+VLOOKUP($A93&amp;"_"&amp;O$1&amp;"_"&amp;$K93&amp;"_write",MDB,6,0)*($L93/2)*VLOOKUP($Y93,pwr_scale_table,4,0),0)</f>
        <v>31.203044130940079</v>
      </c>
      <c r="P93" s="129">
        <v>0</v>
      </c>
      <c r="Q93" s="131">
        <v>0</v>
      </c>
      <c r="R93" s="131">
        <v>0</v>
      </c>
      <c r="S93" s="109">
        <f t="shared" si="27"/>
        <v>9.2007618964150648E-2</v>
      </c>
      <c r="T93" s="109">
        <f>IFERROR(VLOOKUP($A93&amp;"_"&amp;T$1&amp;"_"&amp;$K93&amp;"_idle",MDB,6,0)*(1-$L93)+VLOOKUP($A93&amp;"_"&amp;T$1&amp;"_"&amp;$K93&amp;"_read",MDB,6,0)*($L93/2)+VLOOKUP($A93&amp;"_"&amp;T$1&amp;"_"&amp;$K93&amp;"_write",MDB,6,0)*($L93/2),0)</f>
        <v>130.69999999999999</v>
      </c>
      <c r="U93" s="109">
        <f t="shared" si="28"/>
        <v>0.13011803782264408</v>
      </c>
      <c r="V93" s="109">
        <f>IFERROR(VLOOKUP($A93&amp;"_"&amp;V$1&amp;"_"&amp;$K93&amp;"_idle",MDB,6,0)*(1-$L93)+VLOOKUP($A93&amp;"_"&amp;V$1&amp;"_"&amp;$K93&amp;"_read",MDB,6,0)*($L93/2)+VLOOKUP($A93&amp;"_"&amp;V$1&amp;"_"&amp;$K93&amp;"_write",MDB,6,0)*($L93/2),0)</f>
        <v>35</v>
      </c>
      <c r="W93" s="109" t="s">
        <v>1039</v>
      </c>
      <c r="X93" s="111" t="s">
        <v>9</v>
      </c>
      <c r="Y93" s="111" t="s">
        <v>116</v>
      </c>
      <c r="Z93" s="111" t="s">
        <v>54</v>
      </c>
      <c r="AA93" s="111" t="s">
        <v>119</v>
      </c>
      <c r="AB93" s="111" t="s">
        <v>354</v>
      </c>
      <c r="AC93" s="111">
        <v>0</v>
      </c>
      <c r="AD93" s="129">
        <v>0</v>
      </c>
      <c r="AE93" s="129">
        <v>0</v>
      </c>
      <c r="AF93" s="129">
        <v>0</v>
      </c>
      <c r="AG93" s="129">
        <v>0</v>
      </c>
      <c r="AH93" s="5" t="s">
        <v>557</v>
      </c>
      <c r="AI93" s="137" t="str">
        <f t="shared" si="29"/>
        <v>ddr16_1600_ios_0</v>
      </c>
    </row>
    <row r="94" spans="1:35" x14ac:dyDescent="0.25">
      <c r="A94" s="5" t="s">
        <v>219</v>
      </c>
      <c r="B94" s="5" t="s">
        <v>18</v>
      </c>
      <c r="C94" s="128" t="str">
        <f t="shared" si="30"/>
        <v>Blazer (M4F w/256KB)</v>
      </c>
      <c r="D94" s="146" t="str">
        <f t="shared" si="30"/>
        <v>sam62_pg10_20211102</v>
      </c>
      <c r="E94" s="109" t="str">
        <f t="shared" si="30"/>
        <v>1 Processor</v>
      </c>
      <c r="F94" s="109" t="str">
        <f t="shared" si="30"/>
        <v>ARM_MCU</v>
      </c>
      <c r="G94" s="111">
        <v>1</v>
      </c>
      <c r="H94" s="109">
        <f t="shared" si="25"/>
        <v>41.682587767191158</v>
      </c>
      <c r="I94" s="111" t="str">
        <f t="shared" si="26"/>
        <v>ON</v>
      </c>
      <c r="J94" s="135">
        <f t="shared" ref="J94:J126" si="31">VLOOKUP($A94&amp;"_"&amp;J$1,MDB,6,0)</f>
        <v>400</v>
      </c>
      <c r="K94" s="143">
        <f>INDEX('Use Cases'!$A$3:$CZ$400,MATCH($A94&amp;$B94,'Use Cases'!$A$3:$A$400,0),MATCH(Use_Case,'Use Cases'!$A$3:$CZ$3,0)+1)</f>
        <v>400</v>
      </c>
      <c r="L94" s="147">
        <f>INDEX('Use Cases'!$A$3:$CZ$400,MATCH($A94&amp;$B94,'Use Cases'!$A$3:$A$400,0),MATCH(Use_Case,'Use Cases'!$A$3:$CZ$3,0))</f>
        <v>1</v>
      </c>
      <c r="M94" s="129">
        <v>0</v>
      </c>
      <c r="N94" s="109">
        <f t="shared" ref="N94:N126" si="32">IFERROR(VLOOKUP($A94&amp;"_"&amp;N$1,MDB,6,0)*$G94*VLOOKUP($Y94,pwr_scale_table,2,0)*IF(I94="OFF",0.06,1),0)</f>
        <v>10.925108129525112</v>
      </c>
      <c r="O94" s="109">
        <f t="shared" ref="O94:O126" si="33">IFERROR((AD94*IF(L94=0,0,1)+(AE94-AD94)*L94)*IF(K94&gt;0,K94,J94)/J94*VLOOKUP($Y94,pwr_scale_table,4,0),0)*AG94</f>
        <v>19.466683884297524</v>
      </c>
      <c r="P94" s="109">
        <f t="shared" ref="P94:P126" si="34">IFERROR(VLOOKUP($A94&amp;"_"&amp;P$1,MDB,6,0)*$G94*VLOOKUP($Y94,pwr_scale_table,3,0)*IF(I94="OFF",0.06,1),0)</f>
        <v>11.290795753368519</v>
      </c>
      <c r="Q94" s="129">
        <v>0</v>
      </c>
      <c r="R94" s="129">
        <v>0</v>
      </c>
      <c r="S94" s="129">
        <v>0</v>
      </c>
      <c r="T94" s="129">
        <v>0</v>
      </c>
      <c r="U94" s="129">
        <v>0</v>
      </c>
      <c r="V94" s="129">
        <v>0</v>
      </c>
      <c r="W94" s="109" t="s">
        <v>1072</v>
      </c>
      <c r="X94" s="111" t="s">
        <v>202</v>
      </c>
      <c r="Y94" s="111" t="s">
        <v>116</v>
      </c>
      <c r="Z94" s="111" t="s">
        <v>54</v>
      </c>
      <c r="AA94" s="111" t="s">
        <v>54</v>
      </c>
      <c r="AB94" s="111" t="s">
        <v>54</v>
      </c>
      <c r="AC94" s="111">
        <v>1</v>
      </c>
      <c r="AD94" s="110">
        <f t="shared" ref="AD94:AG113" si="35">VLOOKUP($A94&amp;"_"&amp;AD$1,MDB,6,0)</f>
        <v>0.13560606060606062</v>
      </c>
      <c r="AE94" s="110">
        <f t="shared" si="35"/>
        <v>0.5</v>
      </c>
      <c r="AF94" s="110">
        <f t="shared" si="35"/>
        <v>0.6</v>
      </c>
      <c r="AG94" s="111">
        <f t="shared" si="35"/>
        <v>53.6</v>
      </c>
      <c r="AH94" s="5" t="s">
        <v>497</v>
      </c>
      <c r="AI94" s="137" t="str">
        <f t="shared" si="29"/>
        <v>sam62_m4ss_wrap_0</v>
      </c>
    </row>
    <row r="95" spans="1:35" x14ac:dyDescent="0.25">
      <c r="A95" s="5" t="s">
        <v>237</v>
      </c>
      <c r="B95" s="5" t="s">
        <v>18</v>
      </c>
      <c r="C95" s="128" t="str">
        <f t="shared" si="30"/>
        <v>Pulsar UL (DM) AM62</v>
      </c>
      <c r="D95" s="146" t="str">
        <f t="shared" si="30"/>
        <v>sam62_pg10_20211102</v>
      </c>
      <c r="E95" s="109" t="str">
        <f t="shared" si="30"/>
        <v>1 Processor</v>
      </c>
      <c r="F95" s="109" t="str">
        <f t="shared" si="30"/>
        <v>ARM_MCU</v>
      </c>
      <c r="G95" s="111">
        <v>1</v>
      </c>
      <c r="H95" s="109">
        <f t="shared" si="25"/>
        <v>74.748770029311672</v>
      </c>
      <c r="I95" s="111" t="str">
        <f t="shared" si="26"/>
        <v>ON</v>
      </c>
      <c r="J95" s="135">
        <f t="shared" si="31"/>
        <v>400</v>
      </c>
      <c r="K95" s="143">
        <f>INDEX('Use Cases'!$A$3:$CZ$400,MATCH($A95&amp;$B95,'Use Cases'!$A$3:$A$400,0),MATCH(Use_Case,'Use Cases'!$A$3:$CZ$3,0)+1)</f>
        <v>400</v>
      </c>
      <c r="L95" s="147">
        <f>INDEX('Use Cases'!$A$3:$CZ$400,MATCH($A95&amp;$B95,'Use Cases'!$A$3:$A$400,0),MATCH(Use_Case,'Use Cases'!$A$3:$CZ$3,0))</f>
        <v>1</v>
      </c>
      <c r="M95" s="129">
        <v>0</v>
      </c>
      <c r="N95" s="109">
        <f t="shared" si="32"/>
        <v>15.295151381335158</v>
      </c>
      <c r="O95" s="109">
        <f t="shared" si="33"/>
        <v>55.501840134297524</v>
      </c>
      <c r="P95" s="109">
        <f t="shared" si="34"/>
        <v>3.9517785136789816</v>
      </c>
      <c r="Q95" s="129">
        <v>0</v>
      </c>
      <c r="R95" s="129">
        <v>0</v>
      </c>
      <c r="S95" s="129">
        <v>0</v>
      </c>
      <c r="T95" s="129">
        <v>0</v>
      </c>
      <c r="U95" s="129">
        <v>0</v>
      </c>
      <c r="V95" s="129">
        <v>0</v>
      </c>
      <c r="W95" s="109" t="s">
        <v>1072</v>
      </c>
      <c r="X95" s="111" t="s">
        <v>9</v>
      </c>
      <c r="Y95" s="111" t="s">
        <v>116</v>
      </c>
      <c r="Z95" s="111" t="s">
        <v>54</v>
      </c>
      <c r="AA95" s="111" t="s">
        <v>54</v>
      </c>
      <c r="AB95" s="111" t="s">
        <v>54</v>
      </c>
      <c r="AC95" s="111">
        <v>2</v>
      </c>
      <c r="AD95" s="110">
        <f t="shared" si="35"/>
        <v>0.08</v>
      </c>
      <c r="AE95" s="110">
        <f t="shared" si="35"/>
        <v>0.3</v>
      </c>
      <c r="AF95" s="110">
        <f t="shared" si="35"/>
        <v>0.36</v>
      </c>
      <c r="AG95" s="111">
        <f t="shared" si="35"/>
        <v>254.7</v>
      </c>
      <c r="AH95" s="5" t="s">
        <v>497</v>
      </c>
      <c r="AI95" s="137" t="str">
        <f t="shared" si="29"/>
        <v>sam62_dm_wrap_0</v>
      </c>
    </row>
    <row r="96" spans="1:35" x14ac:dyDescent="0.25">
      <c r="A96" s="5" t="s">
        <v>274</v>
      </c>
      <c r="B96" s="5" t="s">
        <v>18</v>
      </c>
      <c r="C96" s="128" t="str">
        <f t="shared" si="30"/>
        <v>A53 CPU 1.4 GHz AM62</v>
      </c>
      <c r="D96" s="146" t="str">
        <f t="shared" si="30"/>
        <v>sam62_pg10_20211102</v>
      </c>
      <c r="E96" s="109" t="str">
        <f t="shared" si="30"/>
        <v>1 Processor</v>
      </c>
      <c r="F96" s="109" t="str">
        <f t="shared" si="30"/>
        <v>ARM_MPU</v>
      </c>
      <c r="G96" s="111">
        <v>1</v>
      </c>
      <c r="H96" s="109">
        <f t="shared" si="25"/>
        <v>139.4602786991062</v>
      </c>
      <c r="I96" s="111" t="str">
        <f t="shared" si="26"/>
        <v>ON</v>
      </c>
      <c r="J96" s="135">
        <f t="shared" si="31"/>
        <v>1250</v>
      </c>
      <c r="K96" s="143">
        <f>INDEX('Use Cases'!$A$3:$CZ$400,MATCH($A96&amp;$B96,'Use Cases'!$A$3:$A$400,0),MATCH(Use_Case,'Use Cases'!$A$3:$CZ$3,0)+1)</f>
        <v>1400</v>
      </c>
      <c r="L96" s="147">
        <f>INDEX('Use Cases'!$A$3:$CZ$400,MATCH($A96&amp;$B96,'Use Cases'!$A$3:$A$400,0),MATCH(Use_Case,'Use Cases'!$A$3:$CZ$3,0))</f>
        <v>1</v>
      </c>
      <c r="M96" s="129">
        <v>0</v>
      </c>
      <c r="N96" s="109">
        <f t="shared" si="32"/>
        <v>69.010266351500292</v>
      </c>
      <c r="O96" s="109">
        <f t="shared" si="33"/>
        <v>62.546455320247944</v>
      </c>
      <c r="P96" s="109">
        <f t="shared" si="34"/>
        <v>7.9035570273579632</v>
      </c>
      <c r="Q96" s="129">
        <v>0</v>
      </c>
      <c r="R96" s="129">
        <v>0</v>
      </c>
      <c r="S96" s="129">
        <v>0</v>
      </c>
      <c r="T96" s="129">
        <v>0</v>
      </c>
      <c r="U96" s="129">
        <v>0</v>
      </c>
      <c r="V96" s="129">
        <v>0</v>
      </c>
      <c r="W96" s="109" t="s">
        <v>1072</v>
      </c>
      <c r="X96" s="111" t="s">
        <v>129</v>
      </c>
      <c r="Y96" s="111" t="s">
        <v>116</v>
      </c>
      <c r="Z96" s="111" t="s">
        <v>54</v>
      </c>
      <c r="AA96" s="111" t="s">
        <v>54</v>
      </c>
      <c r="AB96" s="111" t="s">
        <v>54</v>
      </c>
      <c r="AC96" s="111">
        <v>4</v>
      </c>
      <c r="AD96" s="110">
        <f t="shared" si="35"/>
        <v>2.7833981841763947E-2</v>
      </c>
      <c r="AE96" s="110">
        <f t="shared" si="35"/>
        <v>0.15227272727272728</v>
      </c>
      <c r="AF96" s="110">
        <f t="shared" si="35"/>
        <v>0.18272727272727274</v>
      </c>
      <c r="AG96" s="111">
        <f t="shared" si="35"/>
        <v>504.9</v>
      </c>
      <c r="AH96" s="5" t="s">
        <v>497</v>
      </c>
      <c r="AI96" s="137" t="str">
        <f t="shared" si="29"/>
        <v>sam62_a53_dual_wrap_cba_cpu_phys_0</v>
      </c>
    </row>
    <row r="97" spans="1:35" x14ac:dyDescent="0.25">
      <c r="A97" s="5" t="s">
        <v>274</v>
      </c>
      <c r="B97" s="5" t="s">
        <v>19</v>
      </c>
      <c r="C97" s="128" t="str">
        <f t="shared" si="30"/>
        <v>A53 CPU 1.4 GHz AM62</v>
      </c>
      <c r="D97" s="146" t="str">
        <f t="shared" si="30"/>
        <v>sam62_pg10_20211102</v>
      </c>
      <c r="E97" s="109" t="str">
        <f t="shared" si="30"/>
        <v>1 Processor</v>
      </c>
      <c r="F97" s="109" t="str">
        <f t="shared" si="30"/>
        <v>ARM_MPU</v>
      </c>
      <c r="G97" s="111">
        <v>1</v>
      </c>
      <c r="H97" s="109">
        <f t="shared" si="25"/>
        <v>139.4602786991062</v>
      </c>
      <c r="I97" s="111" t="str">
        <f t="shared" si="26"/>
        <v>ON</v>
      </c>
      <c r="J97" s="135">
        <f t="shared" si="31"/>
        <v>1250</v>
      </c>
      <c r="K97" s="143">
        <f>INDEX('Use Cases'!$A$3:$CZ$400,MATCH($A97&amp;$B97,'Use Cases'!$A$3:$A$400,0),MATCH(Use_Case,'Use Cases'!$A$3:$CZ$3,0)+1)</f>
        <v>1400</v>
      </c>
      <c r="L97" s="147">
        <f>INDEX('Use Cases'!$A$3:$CZ$400,MATCH($A97&amp;$B97,'Use Cases'!$A$3:$A$400,0),MATCH(Use_Case,'Use Cases'!$A$3:$CZ$3,0))</f>
        <v>1</v>
      </c>
      <c r="M97" s="129">
        <v>0</v>
      </c>
      <c r="N97" s="109">
        <f t="shared" si="32"/>
        <v>69.010266351500292</v>
      </c>
      <c r="O97" s="109">
        <f t="shared" si="33"/>
        <v>62.546455320247944</v>
      </c>
      <c r="P97" s="109">
        <f t="shared" si="34"/>
        <v>7.9035570273579632</v>
      </c>
      <c r="Q97" s="129">
        <v>0</v>
      </c>
      <c r="R97" s="129">
        <v>0</v>
      </c>
      <c r="S97" s="129">
        <v>0</v>
      </c>
      <c r="T97" s="129">
        <v>0</v>
      </c>
      <c r="U97" s="129">
        <v>0</v>
      </c>
      <c r="V97" s="129">
        <v>0</v>
      </c>
      <c r="W97" s="109" t="s">
        <v>1072</v>
      </c>
      <c r="X97" s="111" t="s">
        <v>130</v>
      </c>
      <c r="Y97" s="111" t="s">
        <v>116</v>
      </c>
      <c r="Z97" s="111" t="s">
        <v>54</v>
      </c>
      <c r="AA97" s="111" t="s">
        <v>54</v>
      </c>
      <c r="AB97" s="111" t="s">
        <v>54</v>
      </c>
      <c r="AC97" s="111">
        <v>4</v>
      </c>
      <c r="AD97" s="110">
        <f t="shared" si="35"/>
        <v>2.7833981841763947E-2</v>
      </c>
      <c r="AE97" s="110">
        <f t="shared" si="35"/>
        <v>0.15227272727272728</v>
      </c>
      <c r="AF97" s="110">
        <f t="shared" si="35"/>
        <v>0.18272727272727274</v>
      </c>
      <c r="AG97" s="111">
        <f t="shared" si="35"/>
        <v>504.9</v>
      </c>
      <c r="AH97" s="5" t="s">
        <v>497</v>
      </c>
      <c r="AI97" s="137" t="str">
        <f t="shared" si="29"/>
        <v>sam62_a53_dual_wrap_cba_cpu_phys_1</v>
      </c>
    </row>
    <row r="98" spans="1:35" x14ac:dyDescent="0.25">
      <c r="A98" s="5" t="s">
        <v>274</v>
      </c>
      <c r="B98" s="5" t="s">
        <v>20</v>
      </c>
      <c r="C98" s="128" t="str">
        <f t="shared" si="30"/>
        <v>A53 CPU 1.4 GHz AM62</v>
      </c>
      <c r="D98" s="146" t="str">
        <f t="shared" si="30"/>
        <v>sam62_pg10_20211102</v>
      </c>
      <c r="E98" s="109" t="str">
        <f t="shared" si="30"/>
        <v>1 Processor</v>
      </c>
      <c r="F98" s="109" t="str">
        <f t="shared" si="30"/>
        <v>ARM_MPU</v>
      </c>
      <c r="G98" s="111">
        <v>1</v>
      </c>
      <c r="H98" s="109">
        <f t="shared" ref="H98:H126" si="36">SUM(N98:V98)</f>
        <v>139.4602786991062</v>
      </c>
      <c r="I98" s="111" t="str">
        <f t="shared" ref="I98:I126" si="37">INDEX(PD_State_Table,MATCH(X98,PD_Table_Row_Header,0),2)</f>
        <v>ON</v>
      </c>
      <c r="J98" s="135">
        <f t="shared" si="31"/>
        <v>1250</v>
      </c>
      <c r="K98" s="143">
        <f>INDEX('Use Cases'!$A$3:$CZ$400,MATCH($A98&amp;$B98,'Use Cases'!$A$3:$A$400,0),MATCH(Use_Case,'Use Cases'!$A$3:$CZ$3,0)+1)</f>
        <v>1400</v>
      </c>
      <c r="L98" s="147">
        <f>INDEX('Use Cases'!$A$3:$CZ$400,MATCH($A98&amp;$B98,'Use Cases'!$A$3:$A$400,0),MATCH(Use_Case,'Use Cases'!$A$3:$CZ$3,0))</f>
        <v>1</v>
      </c>
      <c r="M98" s="129">
        <v>0</v>
      </c>
      <c r="N98" s="109">
        <f t="shared" si="32"/>
        <v>69.010266351500292</v>
      </c>
      <c r="O98" s="109">
        <f t="shared" si="33"/>
        <v>62.546455320247944</v>
      </c>
      <c r="P98" s="109">
        <f t="shared" si="34"/>
        <v>7.9035570273579632</v>
      </c>
      <c r="Q98" s="129">
        <v>0</v>
      </c>
      <c r="R98" s="129">
        <v>0</v>
      </c>
      <c r="S98" s="129">
        <v>0</v>
      </c>
      <c r="T98" s="129">
        <v>0</v>
      </c>
      <c r="U98" s="129">
        <v>0</v>
      </c>
      <c r="V98" s="129">
        <v>0</v>
      </c>
      <c r="W98" s="109" t="s">
        <v>1072</v>
      </c>
      <c r="X98" s="111" t="s">
        <v>177</v>
      </c>
      <c r="Y98" s="111" t="s">
        <v>116</v>
      </c>
      <c r="Z98" s="111" t="s">
        <v>54</v>
      </c>
      <c r="AA98" s="111" t="s">
        <v>54</v>
      </c>
      <c r="AB98" s="111" t="s">
        <v>54</v>
      </c>
      <c r="AC98" s="111">
        <v>4</v>
      </c>
      <c r="AD98" s="110">
        <f t="shared" si="35"/>
        <v>2.7833981841763947E-2</v>
      </c>
      <c r="AE98" s="110">
        <f t="shared" si="35"/>
        <v>0.15227272727272728</v>
      </c>
      <c r="AF98" s="110">
        <f t="shared" si="35"/>
        <v>0.18272727272727274</v>
      </c>
      <c r="AG98" s="111">
        <f t="shared" si="35"/>
        <v>504.9</v>
      </c>
      <c r="AH98" s="5" t="s">
        <v>497</v>
      </c>
      <c r="AI98" s="137" t="str">
        <f t="shared" ref="AI98:AI126" si="38">A98&amp;B98</f>
        <v>sam62_a53_dual_wrap_cba_cpu_phys_2</v>
      </c>
    </row>
    <row r="99" spans="1:35" x14ac:dyDescent="0.25">
      <c r="A99" s="5" t="s">
        <v>274</v>
      </c>
      <c r="B99" s="5" t="s">
        <v>22</v>
      </c>
      <c r="C99" s="128" t="str">
        <f t="shared" si="30"/>
        <v>A53 CPU 1.4 GHz AM62</v>
      </c>
      <c r="D99" s="146" t="str">
        <f t="shared" si="30"/>
        <v>sam62_pg10_20211102</v>
      </c>
      <c r="E99" s="109" t="str">
        <f t="shared" si="30"/>
        <v>1 Processor</v>
      </c>
      <c r="F99" s="109" t="str">
        <f t="shared" si="30"/>
        <v>ARM_MPU</v>
      </c>
      <c r="G99" s="111">
        <v>1</v>
      </c>
      <c r="H99" s="109">
        <f t="shared" si="36"/>
        <v>139.4602786991062</v>
      </c>
      <c r="I99" s="111" t="str">
        <f t="shared" si="37"/>
        <v>ON</v>
      </c>
      <c r="J99" s="135">
        <f t="shared" si="31"/>
        <v>1250</v>
      </c>
      <c r="K99" s="143">
        <f>INDEX('Use Cases'!$A$3:$CZ$400,MATCH($A99&amp;$B99,'Use Cases'!$A$3:$A$400,0),MATCH(Use_Case,'Use Cases'!$A$3:$CZ$3,0)+1)</f>
        <v>1400</v>
      </c>
      <c r="L99" s="147">
        <f>INDEX('Use Cases'!$A$3:$CZ$400,MATCH($A99&amp;$B99,'Use Cases'!$A$3:$A$400,0),MATCH(Use_Case,'Use Cases'!$A$3:$CZ$3,0))</f>
        <v>1</v>
      </c>
      <c r="M99" s="129">
        <v>0</v>
      </c>
      <c r="N99" s="109">
        <f t="shared" si="32"/>
        <v>69.010266351500292</v>
      </c>
      <c r="O99" s="109">
        <f t="shared" si="33"/>
        <v>62.546455320247944</v>
      </c>
      <c r="P99" s="109">
        <f t="shared" si="34"/>
        <v>7.9035570273579632</v>
      </c>
      <c r="Q99" s="129">
        <v>0</v>
      </c>
      <c r="R99" s="129">
        <v>0</v>
      </c>
      <c r="S99" s="129">
        <v>0</v>
      </c>
      <c r="T99" s="129">
        <v>0</v>
      </c>
      <c r="U99" s="129">
        <v>0</v>
      </c>
      <c r="V99" s="129">
        <v>0</v>
      </c>
      <c r="W99" s="109" t="s">
        <v>1072</v>
      </c>
      <c r="X99" s="111" t="s">
        <v>178</v>
      </c>
      <c r="Y99" s="111" t="s">
        <v>116</v>
      </c>
      <c r="Z99" s="111" t="s">
        <v>54</v>
      </c>
      <c r="AA99" s="111" t="s">
        <v>54</v>
      </c>
      <c r="AB99" s="111" t="s">
        <v>54</v>
      </c>
      <c r="AC99" s="111">
        <v>4</v>
      </c>
      <c r="AD99" s="110">
        <f t="shared" si="35"/>
        <v>2.7833981841763947E-2</v>
      </c>
      <c r="AE99" s="110">
        <f t="shared" si="35"/>
        <v>0.15227272727272728</v>
      </c>
      <c r="AF99" s="110">
        <f t="shared" si="35"/>
        <v>0.18272727272727274</v>
      </c>
      <c r="AG99" s="111">
        <f t="shared" si="35"/>
        <v>504.9</v>
      </c>
      <c r="AH99" s="5" t="s">
        <v>497</v>
      </c>
      <c r="AI99" s="137" t="str">
        <f t="shared" si="38"/>
        <v>sam62_a53_dual_wrap_cba_cpu_phys_3</v>
      </c>
    </row>
    <row r="100" spans="1:35" x14ac:dyDescent="0.25">
      <c r="A100" s="5" t="s">
        <v>270</v>
      </c>
      <c r="B100" s="5" t="s">
        <v>18</v>
      </c>
      <c r="C100" s="128" t="str">
        <f t="shared" si="30"/>
        <v>A53 Quad Cluster 1.4 GHz 512KB AM62</v>
      </c>
      <c r="D100" s="146" t="str">
        <f t="shared" si="30"/>
        <v>sam62_pg10_20211102</v>
      </c>
      <c r="E100" s="109" t="str">
        <f t="shared" si="30"/>
        <v>1 Processor</v>
      </c>
      <c r="F100" s="109" t="str">
        <f t="shared" si="30"/>
        <v>ARM_MPU</v>
      </c>
      <c r="G100" s="111">
        <v>1</v>
      </c>
      <c r="H100" s="109">
        <f t="shared" si="36"/>
        <v>156.07903845010318</v>
      </c>
      <c r="I100" s="111" t="str">
        <f t="shared" si="37"/>
        <v>ON</v>
      </c>
      <c r="J100" s="135">
        <f t="shared" si="31"/>
        <v>1250</v>
      </c>
      <c r="K100" s="143">
        <f>INDEX('Use Cases'!$A$3:$CZ$400,MATCH($A100&amp;$B100,'Use Cases'!$A$3:$A$400,0),MATCH(Use_Case,'Use Cases'!$A$3:$CZ$3,0)+1)</f>
        <v>0</v>
      </c>
      <c r="L100" s="147">
        <f>INDEX('Use Cases'!$A$3:$CZ$400,MATCH($A100&amp;$B100,'Use Cases'!$A$3:$A$400,0),MATCH(Use_Case,'Use Cases'!$A$3:$CZ$3,0))</f>
        <v>1</v>
      </c>
      <c r="M100" s="129">
        <v>0</v>
      </c>
      <c r="N100" s="109">
        <f t="shared" si="32"/>
        <v>93.136546804201586</v>
      </c>
      <c r="O100" s="109">
        <f t="shared" si="33"/>
        <v>39.006004648760339</v>
      </c>
      <c r="P100" s="109">
        <f t="shared" si="34"/>
        <v>23.936486997141259</v>
      </c>
      <c r="Q100" s="129">
        <v>0</v>
      </c>
      <c r="R100" s="129">
        <v>0</v>
      </c>
      <c r="S100" s="129">
        <v>0</v>
      </c>
      <c r="T100" s="129">
        <v>0</v>
      </c>
      <c r="U100" s="129">
        <v>0</v>
      </c>
      <c r="V100" s="129">
        <v>0</v>
      </c>
      <c r="W100" s="109" t="s">
        <v>1072</v>
      </c>
      <c r="X100" s="111" t="s">
        <v>217</v>
      </c>
      <c r="Y100" s="111" t="s">
        <v>116</v>
      </c>
      <c r="Z100" s="111" t="s">
        <v>54</v>
      </c>
      <c r="AA100" s="111" t="s">
        <v>54</v>
      </c>
      <c r="AB100" s="111" t="s">
        <v>54</v>
      </c>
      <c r="AC100" s="111">
        <v>4</v>
      </c>
      <c r="AD100" s="110">
        <f t="shared" si="35"/>
        <v>7.8524864965542909E-2</v>
      </c>
      <c r="AE100" s="110">
        <f t="shared" si="35"/>
        <v>0.1</v>
      </c>
      <c r="AF100" s="110">
        <f t="shared" si="35"/>
        <v>0.15</v>
      </c>
      <c r="AG100" s="111">
        <f t="shared" si="35"/>
        <v>537</v>
      </c>
      <c r="AH100" s="5" t="s">
        <v>497</v>
      </c>
      <c r="AI100" s="137" t="str">
        <f t="shared" si="38"/>
        <v>sam62_a53_512kb_wrap_0</v>
      </c>
    </row>
    <row r="101" spans="1:35" x14ac:dyDescent="0.25">
      <c r="A101" s="5" t="s">
        <v>216</v>
      </c>
      <c r="B101" s="5" t="s">
        <v>18</v>
      </c>
      <c r="C101" s="128" t="str">
        <f t="shared" si="30"/>
        <v>CPSW3x eAVB AM62</v>
      </c>
      <c r="D101" s="146" t="str">
        <f t="shared" si="30"/>
        <v>sam62_pg10_20211102</v>
      </c>
      <c r="E101" s="109" t="str">
        <f t="shared" si="30"/>
        <v>2 ASPE</v>
      </c>
      <c r="F101" s="109" t="str">
        <f t="shared" si="30"/>
        <v>Networking</v>
      </c>
      <c r="G101" s="111">
        <v>1</v>
      </c>
      <c r="H101" s="109">
        <f t="shared" si="36"/>
        <v>67.37519593198229</v>
      </c>
      <c r="I101" s="111" t="str">
        <f t="shared" si="37"/>
        <v>ON</v>
      </c>
      <c r="J101" s="135">
        <f t="shared" si="31"/>
        <v>250</v>
      </c>
      <c r="K101" s="143">
        <f>INDEX('Use Cases'!$A$3:$CZ$400,MATCH($A101&amp;$B101,'Use Cases'!$A$3:$A$400,0),MATCH(Use_Case,'Use Cases'!$A$3:$CZ$3,0)+1)</f>
        <v>0</v>
      </c>
      <c r="L101" s="147">
        <f>INDEX('Use Cases'!$A$3:$CZ$400,MATCH($A101&amp;$B101,'Use Cases'!$A$3:$A$400,0),MATCH(Use_Case,'Use Cases'!$A$3:$CZ$3,0))</f>
        <v>1</v>
      </c>
      <c r="M101" s="129">
        <v>0</v>
      </c>
      <c r="N101" s="109">
        <f t="shared" si="32"/>
        <v>8.4669588003819634</v>
      </c>
      <c r="O101" s="109">
        <f t="shared" si="33"/>
        <v>57.214617768595041</v>
      </c>
      <c r="P101" s="109">
        <f t="shared" si="34"/>
        <v>1.6936193630052778</v>
      </c>
      <c r="Q101" s="129">
        <v>0</v>
      </c>
      <c r="R101" s="129">
        <v>0</v>
      </c>
      <c r="S101" s="129">
        <v>0</v>
      </c>
      <c r="T101" s="129">
        <v>0</v>
      </c>
      <c r="U101" s="129">
        <v>0</v>
      </c>
      <c r="V101" s="129">
        <v>0</v>
      </c>
      <c r="W101" s="109" t="s">
        <v>1072</v>
      </c>
      <c r="X101" s="111" t="s">
        <v>203</v>
      </c>
      <c r="Y101" s="111" t="s">
        <v>116</v>
      </c>
      <c r="Z101" s="111" t="s">
        <v>54</v>
      </c>
      <c r="AA101" s="111" t="s">
        <v>54</v>
      </c>
      <c r="AB101" s="111" t="s">
        <v>54</v>
      </c>
      <c r="AC101" s="111">
        <v>2</v>
      </c>
      <c r="AD101" s="110">
        <f t="shared" si="35"/>
        <v>0.30298962782184258</v>
      </c>
      <c r="AE101" s="110">
        <f t="shared" si="35"/>
        <v>0.48</v>
      </c>
      <c r="AF101" s="110">
        <f t="shared" si="35"/>
        <v>0.57599999999999996</v>
      </c>
      <c r="AG101" s="111">
        <f t="shared" si="35"/>
        <v>164.1</v>
      </c>
      <c r="AH101" s="5" t="s">
        <v>497</v>
      </c>
      <c r="AI101" s="137" t="str">
        <f t="shared" si="38"/>
        <v>sam62_cpsw3_wrap_0</v>
      </c>
    </row>
    <row r="102" spans="1:35" x14ac:dyDescent="0.25">
      <c r="A102" s="5" t="s">
        <v>209</v>
      </c>
      <c r="B102" s="5" t="s">
        <v>18</v>
      </c>
      <c r="C102" s="128" t="str">
        <f t="shared" ref="C102:F126" si="39">VLOOKUP($A102&amp;"_"&amp;C$1,MDB,6,0)</f>
        <v>ICSSM</v>
      </c>
      <c r="D102" s="146" t="str">
        <f t="shared" si="39"/>
        <v>sam62_pg10_20211102</v>
      </c>
      <c r="E102" s="109" t="str">
        <f t="shared" si="39"/>
        <v>2 ASPE</v>
      </c>
      <c r="F102" s="109" t="str">
        <f t="shared" si="39"/>
        <v>Networking</v>
      </c>
      <c r="G102" s="111">
        <v>1</v>
      </c>
      <c r="H102" s="109">
        <f t="shared" si="36"/>
        <v>37.948228530936539</v>
      </c>
      <c r="I102" s="111" t="str">
        <f t="shared" si="37"/>
        <v>ON</v>
      </c>
      <c r="J102" s="135">
        <f t="shared" si="31"/>
        <v>250</v>
      </c>
      <c r="K102" s="143">
        <f>INDEX('Use Cases'!$A$3:$CZ$400,MATCH($A102&amp;$B102,'Use Cases'!$A$3:$A$400,0),MATCH(Use_Case,'Use Cases'!$A$3:$CZ$3,0)+1)</f>
        <v>0</v>
      </c>
      <c r="L102" s="147">
        <f>INDEX('Use Cases'!$A$3:$CZ$400,MATCH($A102&amp;$B102,'Use Cases'!$A$3:$A$400,0),MATCH(Use_Case,'Use Cases'!$A$3:$CZ$3,0))</f>
        <v>1</v>
      </c>
      <c r="M102" s="129">
        <v>0</v>
      </c>
      <c r="N102" s="109">
        <f t="shared" si="32"/>
        <v>8.1027885293977917</v>
      </c>
      <c r="O102" s="109">
        <f t="shared" si="33"/>
        <v>25.103305785123972</v>
      </c>
      <c r="P102" s="109">
        <f t="shared" si="34"/>
        <v>4.7421342164147777</v>
      </c>
      <c r="Q102" s="129">
        <v>0</v>
      </c>
      <c r="R102" s="129">
        <v>0</v>
      </c>
      <c r="S102" s="129">
        <v>0</v>
      </c>
      <c r="T102" s="129">
        <v>0</v>
      </c>
      <c r="U102" s="129">
        <v>0</v>
      </c>
      <c r="V102" s="129">
        <v>0</v>
      </c>
      <c r="W102" s="109" t="s">
        <v>1072</v>
      </c>
      <c r="X102" s="111" t="s">
        <v>198</v>
      </c>
      <c r="Y102" s="111" t="s">
        <v>116</v>
      </c>
      <c r="Z102" s="111" t="s">
        <v>54</v>
      </c>
      <c r="AA102" s="111" t="s">
        <v>54</v>
      </c>
      <c r="AB102" s="111" t="s">
        <v>54</v>
      </c>
      <c r="AC102" s="111">
        <v>1</v>
      </c>
      <c r="AD102" s="110">
        <f t="shared" si="35"/>
        <v>0.17598130841121493</v>
      </c>
      <c r="AE102" s="110">
        <f t="shared" si="35"/>
        <v>0.32</v>
      </c>
      <c r="AF102" s="110">
        <f t="shared" si="35"/>
        <v>0.38400000000000001</v>
      </c>
      <c r="AG102" s="111">
        <f t="shared" si="35"/>
        <v>108</v>
      </c>
      <c r="AH102" s="5" t="s">
        <v>497</v>
      </c>
      <c r="AI102" s="137" t="str">
        <f t="shared" si="38"/>
        <v>sam62_icss_m_wrap_0</v>
      </c>
    </row>
    <row r="103" spans="1:35" x14ac:dyDescent="0.25">
      <c r="A103" s="5" t="s">
        <v>214</v>
      </c>
      <c r="B103" s="5" t="s">
        <v>18</v>
      </c>
      <c r="C103" s="128" t="str">
        <f t="shared" si="39"/>
        <v>DSS7UL AM62</v>
      </c>
      <c r="D103" s="146" t="str">
        <f t="shared" si="39"/>
        <v>sam62_pg10_20211102</v>
      </c>
      <c r="E103" s="109" t="str">
        <f t="shared" si="39"/>
        <v>2 ASPE</v>
      </c>
      <c r="F103" s="109" t="str">
        <f t="shared" si="39"/>
        <v>Display</v>
      </c>
      <c r="G103" s="111">
        <v>1</v>
      </c>
      <c r="H103" s="109">
        <f t="shared" si="36"/>
        <v>30.785740783567519</v>
      </c>
      <c r="I103" s="111" t="str">
        <f t="shared" si="37"/>
        <v>ON</v>
      </c>
      <c r="J103" s="135">
        <f t="shared" si="31"/>
        <v>250</v>
      </c>
      <c r="K103" s="143">
        <f>INDEX('Use Cases'!$A$3:$CZ$400,MATCH($A103&amp;$B103,'Use Cases'!$A$3:$A$400,0),MATCH(Use_Case,'Use Cases'!$A$3:$CZ$3,0)+1)</f>
        <v>0</v>
      </c>
      <c r="L103" s="147">
        <f>INDEX('Use Cases'!$A$3:$CZ$400,MATCH($A103&amp;$B103,'Use Cases'!$A$3:$A$400,0),MATCH(Use_Case,'Use Cases'!$A$3:$CZ$3,0))</f>
        <v>1</v>
      </c>
      <c r="M103" s="129">
        <v>0</v>
      </c>
      <c r="N103" s="109">
        <f t="shared" si="32"/>
        <v>5.2804689292704712</v>
      </c>
      <c r="O103" s="109">
        <f t="shared" si="33"/>
        <v>23.360020661157026</v>
      </c>
      <c r="P103" s="109">
        <f t="shared" si="34"/>
        <v>2.1452511931400187</v>
      </c>
      <c r="Q103" s="129">
        <v>0</v>
      </c>
      <c r="R103" s="129">
        <v>0</v>
      </c>
      <c r="S103" s="129">
        <v>0</v>
      </c>
      <c r="T103" s="129">
        <v>0</v>
      </c>
      <c r="U103" s="129">
        <v>0</v>
      </c>
      <c r="V103" s="129">
        <v>0</v>
      </c>
      <c r="W103" s="109" t="s">
        <v>1072</v>
      </c>
      <c r="X103" s="111" t="s">
        <v>201</v>
      </c>
      <c r="Y103" s="111" t="s">
        <v>116</v>
      </c>
      <c r="Z103" s="111" t="s">
        <v>54</v>
      </c>
      <c r="AA103" s="111" t="s">
        <v>54</v>
      </c>
      <c r="AB103" s="111" t="s">
        <v>54</v>
      </c>
      <c r="AC103" s="111">
        <v>1</v>
      </c>
      <c r="AD103" s="110">
        <f t="shared" si="35"/>
        <v>0.18814814814814815</v>
      </c>
      <c r="AE103" s="110">
        <f t="shared" si="35"/>
        <v>0.48</v>
      </c>
      <c r="AF103" s="110">
        <f t="shared" si="35"/>
        <v>0.57599999999999996</v>
      </c>
      <c r="AG103" s="111">
        <f t="shared" si="35"/>
        <v>67</v>
      </c>
      <c r="AH103" s="5" t="s">
        <v>497</v>
      </c>
      <c r="AI103" s="137" t="str">
        <f t="shared" si="38"/>
        <v>sam62_dss_oldi_wrap_0</v>
      </c>
    </row>
    <row r="104" spans="1:35" x14ac:dyDescent="0.25">
      <c r="A104" s="5" t="s">
        <v>242</v>
      </c>
      <c r="B104" s="5" t="s">
        <v>18</v>
      </c>
      <c r="C104" s="128" t="str">
        <f t="shared" si="39"/>
        <v>GPU AXE1-16C</v>
      </c>
      <c r="D104" s="146" t="str">
        <f t="shared" si="39"/>
        <v>sam62_pg10_20211102</v>
      </c>
      <c r="E104" s="109" t="str">
        <f t="shared" si="39"/>
        <v>2 ASPE</v>
      </c>
      <c r="F104" s="109" t="str">
        <f t="shared" si="39"/>
        <v>GPU</v>
      </c>
      <c r="G104" s="111">
        <v>1</v>
      </c>
      <c r="H104" s="109">
        <f t="shared" si="36"/>
        <v>178.68502736610944</v>
      </c>
      <c r="I104" s="111" t="str">
        <f t="shared" si="37"/>
        <v>ON</v>
      </c>
      <c r="J104" s="135">
        <f t="shared" si="31"/>
        <v>500</v>
      </c>
      <c r="K104" s="143">
        <f>INDEX('Use Cases'!$A$3:$CZ$400,MATCH($A104&amp;$B104,'Use Cases'!$A$3:$A$400,0),MATCH(Use_Case,'Use Cases'!$A$3:$CZ$3,0)+1)</f>
        <v>500</v>
      </c>
      <c r="L104" s="147">
        <f>INDEX('Use Cases'!$A$3:$CZ$400,MATCH($A104&amp;$B104,'Use Cases'!$A$3:$A$400,0),MATCH(Use_Case,'Use Cases'!$A$3:$CZ$3,0))</f>
        <v>1</v>
      </c>
      <c r="M104" s="129">
        <v>0</v>
      </c>
      <c r="N104" s="109">
        <f t="shared" si="32"/>
        <v>49.982369692577386</v>
      </c>
      <c r="O104" s="109">
        <f t="shared" si="33"/>
        <v>121.13782451877513</v>
      </c>
      <c r="P104" s="109">
        <f t="shared" si="34"/>
        <v>7.5648331547569079</v>
      </c>
      <c r="Q104" s="129">
        <v>0</v>
      </c>
      <c r="R104" s="129">
        <v>0</v>
      </c>
      <c r="S104" s="129">
        <v>0</v>
      </c>
      <c r="T104" s="129">
        <v>0</v>
      </c>
      <c r="U104" s="129">
        <v>0</v>
      </c>
      <c r="V104" s="129">
        <v>0</v>
      </c>
      <c r="W104" s="109" t="s">
        <v>1072</v>
      </c>
      <c r="X104" s="111" t="s">
        <v>200</v>
      </c>
      <c r="Y104" s="111" t="s">
        <v>116</v>
      </c>
      <c r="Z104" s="111" t="s">
        <v>54</v>
      </c>
      <c r="AA104" s="111" t="s">
        <v>54</v>
      </c>
      <c r="AB104" s="111" t="s">
        <v>54</v>
      </c>
      <c r="AC104" s="111">
        <v>1</v>
      </c>
      <c r="AD104" s="110">
        <f t="shared" si="35"/>
        <v>3.663735999036493E-2</v>
      </c>
      <c r="AE104" s="110">
        <f t="shared" si="35"/>
        <v>0.2006880733944954</v>
      </c>
      <c r="AF104" s="110">
        <f t="shared" si="35"/>
        <v>0.32</v>
      </c>
      <c r="AG104" s="111">
        <f t="shared" si="35"/>
        <v>831</v>
      </c>
      <c r="AH104" s="5"/>
      <c r="AI104" s="137" t="str">
        <f t="shared" si="38"/>
        <v>sam62_k3_gpu_axe116m_wrap_0</v>
      </c>
    </row>
    <row r="105" spans="1:35" x14ac:dyDescent="0.25">
      <c r="A105" s="5" t="s">
        <v>208</v>
      </c>
      <c r="B105" s="5" t="s">
        <v>18</v>
      </c>
      <c r="C105" s="128" t="str">
        <f t="shared" si="39"/>
        <v>MCASP AM62</v>
      </c>
      <c r="D105" s="146" t="str">
        <f t="shared" si="39"/>
        <v>sam62_pg10_20211102</v>
      </c>
      <c r="E105" s="109" t="str">
        <f t="shared" si="39"/>
        <v>3 Periph</v>
      </c>
      <c r="F105" s="109" t="str">
        <f t="shared" si="39"/>
        <v>Audio</v>
      </c>
      <c r="G105" s="111">
        <v>1</v>
      </c>
      <c r="H105" s="109">
        <f t="shared" si="36"/>
        <v>4.6562941461456777</v>
      </c>
      <c r="I105" s="111" t="str">
        <f t="shared" si="37"/>
        <v>ON</v>
      </c>
      <c r="J105" s="135">
        <f t="shared" si="31"/>
        <v>250</v>
      </c>
      <c r="K105" s="143">
        <f>INDEX('Use Cases'!$A$3:$CZ$400,MATCH($A105&amp;$B105,'Use Cases'!$A$3:$A$400,0),MATCH(Use_Case,'Use Cases'!$A$3:$CZ$3,0)+1)</f>
        <v>333</v>
      </c>
      <c r="L105" s="147">
        <f>INDEX('Use Cases'!$A$3:$CZ$400,MATCH($A105&amp;$B105,'Use Cases'!$A$3:$A$400,0),MATCH(Use_Case,'Use Cases'!$A$3:$CZ$3,0))</f>
        <v>1</v>
      </c>
      <c r="M105" s="129">
        <v>0</v>
      </c>
      <c r="N105" s="109">
        <f t="shared" si="32"/>
        <v>0.54625540647625559</v>
      </c>
      <c r="O105" s="109">
        <f t="shared" si="33"/>
        <v>4.110038739669422</v>
      </c>
      <c r="P105" s="109">
        <f t="shared" si="34"/>
        <v>0</v>
      </c>
      <c r="Q105" s="129">
        <v>0</v>
      </c>
      <c r="R105" s="129">
        <v>0</v>
      </c>
      <c r="S105" s="129">
        <v>0</v>
      </c>
      <c r="T105" s="129">
        <v>0</v>
      </c>
      <c r="U105" s="129">
        <v>0</v>
      </c>
      <c r="V105" s="129">
        <v>0</v>
      </c>
      <c r="W105" s="109" t="s">
        <v>1072</v>
      </c>
      <c r="X105" s="111" t="s">
        <v>9</v>
      </c>
      <c r="Y105" s="111" t="s">
        <v>116</v>
      </c>
      <c r="Z105" s="111" t="s">
        <v>54</v>
      </c>
      <c r="AA105" s="111" t="s">
        <v>54</v>
      </c>
      <c r="AB105" s="111" t="s">
        <v>54</v>
      </c>
      <c r="AC105" s="111">
        <v>1</v>
      </c>
      <c r="AD105" s="110">
        <f t="shared" si="35"/>
        <v>0.40338983050847455</v>
      </c>
      <c r="AE105" s="110">
        <f t="shared" si="35"/>
        <v>0.72</v>
      </c>
      <c r="AF105" s="110">
        <f t="shared" si="35"/>
        <v>0.86399999999999999</v>
      </c>
      <c r="AG105" s="111">
        <f t="shared" si="35"/>
        <v>5.9</v>
      </c>
      <c r="AH105" s="5" t="s">
        <v>497</v>
      </c>
      <c r="AI105" s="137" t="str">
        <f t="shared" si="38"/>
        <v>sam62_mcasp_wrap_0</v>
      </c>
    </row>
    <row r="106" spans="1:35" x14ac:dyDescent="0.25">
      <c r="A106" s="5" t="s">
        <v>208</v>
      </c>
      <c r="B106" s="5" t="s">
        <v>19</v>
      </c>
      <c r="C106" s="128" t="str">
        <f t="shared" si="39"/>
        <v>MCASP AM62</v>
      </c>
      <c r="D106" s="146" t="str">
        <f t="shared" si="39"/>
        <v>sam62_pg10_20211102</v>
      </c>
      <c r="E106" s="109" t="str">
        <f t="shared" si="39"/>
        <v>3 Periph</v>
      </c>
      <c r="F106" s="109" t="str">
        <f t="shared" si="39"/>
        <v>Audio</v>
      </c>
      <c r="G106" s="111">
        <v>1</v>
      </c>
      <c r="H106" s="109">
        <f t="shared" si="36"/>
        <v>0.54625540647625559</v>
      </c>
      <c r="I106" s="111" t="str">
        <f t="shared" si="37"/>
        <v>ON</v>
      </c>
      <c r="J106" s="135">
        <f t="shared" si="31"/>
        <v>250</v>
      </c>
      <c r="K106" s="143">
        <f>INDEX('Use Cases'!$A$3:$CZ$400,MATCH($A106&amp;$B106,'Use Cases'!$A$3:$A$400,0),MATCH(Use_Case,'Use Cases'!$A$3:$CZ$3,0)+1)</f>
        <v>0</v>
      </c>
      <c r="L106" s="147">
        <f>INDEX('Use Cases'!$A$3:$CZ$400,MATCH($A106&amp;$B106,'Use Cases'!$A$3:$A$400,0),MATCH(Use_Case,'Use Cases'!$A$3:$CZ$3,0))</f>
        <v>0</v>
      </c>
      <c r="M106" s="129">
        <v>0</v>
      </c>
      <c r="N106" s="109">
        <f t="shared" si="32"/>
        <v>0.54625540647625559</v>
      </c>
      <c r="O106" s="109">
        <f t="shared" si="33"/>
        <v>0</v>
      </c>
      <c r="P106" s="109">
        <f t="shared" si="34"/>
        <v>0</v>
      </c>
      <c r="Q106" s="129">
        <v>0</v>
      </c>
      <c r="R106" s="129">
        <v>0</v>
      </c>
      <c r="S106" s="129">
        <v>0</v>
      </c>
      <c r="T106" s="129">
        <v>0</v>
      </c>
      <c r="U106" s="129">
        <v>0</v>
      </c>
      <c r="V106" s="129">
        <v>0</v>
      </c>
      <c r="W106" s="109" t="s">
        <v>1072</v>
      </c>
      <c r="X106" s="111" t="s">
        <v>9</v>
      </c>
      <c r="Y106" s="111" t="s">
        <v>116</v>
      </c>
      <c r="Z106" s="111" t="s">
        <v>54</v>
      </c>
      <c r="AA106" s="111" t="s">
        <v>54</v>
      </c>
      <c r="AB106" s="111" t="s">
        <v>54</v>
      </c>
      <c r="AC106" s="111">
        <v>1</v>
      </c>
      <c r="AD106" s="110">
        <f t="shared" si="35"/>
        <v>0.40338983050847455</v>
      </c>
      <c r="AE106" s="110">
        <f t="shared" si="35"/>
        <v>0.72</v>
      </c>
      <c r="AF106" s="110">
        <f t="shared" si="35"/>
        <v>0.86399999999999999</v>
      </c>
      <c r="AG106" s="111">
        <f t="shared" si="35"/>
        <v>5.9</v>
      </c>
      <c r="AH106" s="5" t="s">
        <v>497</v>
      </c>
      <c r="AI106" s="137" t="str">
        <f t="shared" si="38"/>
        <v>sam62_mcasp_wrap_1</v>
      </c>
    </row>
    <row r="107" spans="1:35" x14ac:dyDescent="0.25">
      <c r="A107" s="5" t="s">
        <v>208</v>
      </c>
      <c r="B107" s="5" t="s">
        <v>20</v>
      </c>
      <c r="C107" s="128" t="str">
        <f t="shared" si="39"/>
        <v>MCASP AM62</v>
      </c>
      <c r="D107" s="146" t="str">
        <f t="shared" si="39"/>
        <v>sam62_pg10_20211102</v>
      </c>
      <c r="E107" s="109" t="str">
        <f t="shared" si="39"/>
        <v>3 Periph</v>
      </c>
      <c r="F107" s="109" t="str">
        <f t="shared" si="39"/>
        <v>Audio</v>
      </c>
      <c r="G107" s="111">
        <v>1</v>
      </c>
      <c r="H107" s="109">
        <f t="shared" si="36"/>
        <v>0.54625540647625559</v>
      </c>
      <c r="I107" s="111" t="str">
        <f t="shared" si="37"/>
        <v>ON</v>
      </c>
      <c r="J107" s="135">
        <f t="shared" si="31"/>
        <v>250</v>
      </c>
      <c r="K107" s="143">
        <f>INDEX('Use Cases'!$A$3:$CZ$400,MATCH($A107&amp;$B107,'Use Cases'!$A$3:$A$400,0),MATCH(Use_Case,'Use Cases'!$A$3:$CZ$3,0)+1)</f>
        <v>0</v>
      </c>
      <c r="L107" s="147">
        <f>INDEX('Use Cases'!$A$3:$CZ$400,MATCH($A107&amp;$B107,'Use Cases'!$A$3:$A$400,0),MATCH(Use_Case,'Use Cases'!$A$3:$CZ$3,0))</f>
        <v>0</v>
      </c>
      <c r="M107" s="129">
        <v>0</v>
      </c>
      <c r="N107" s="109">
        <f t="shared" si="32"/>
        <v>0.54625540647625559</v>
      </c>
      <c r="O107" s="109">
        <f t="shared" si="33"/>
        <v>0</v>
      </c>
      <c r="P107" s="109">
        <f t="shared" si="34"/>
        <v>0</v>
      </c>
      <c r="Q107" s="129">
        <v>0</v>
      </c>
      <c r="R107" s="129">
        <v>0</v>
      </c>
      <c r="S107" s="129">
        <v>0</v>
      </c>
      <c r="T107" s="129">
        <v>0</v>
      </c>
      <c r="U107" s="129">
        <v>0</v>
      </c>
      <c r="V107" s="129">
        <v>0</v>
      </c>
      <c r="W107" s="109" t="s">
        <v>1072</v>
      </c>
      <c r="X107" s="111" t="s">
        <v>9</v>
      </c>
      <c r="Y107" s="111" t="s">
        <v>116</v>
      </c>
      <c r="Z107" s="111" t="s">
        <v>54</v>
      </c>
      <c r="AA107" s="111" t="s">
        <v>54</v>
      </c>
      <c r="AB107" s="111" t="s">
        <v>54</v>
      </c>
      <c r="AC107" s="111">
        <v>1</v>
      </c>
      <c r="AD107" s="110">
        <f t="shared" si="35"/>
        <v>0.40338983050847455</v>
      </c>
      <c r="AE107" s="110">
        <f t="shared" si="35"/>
        <v>0.72</v>
      </c>
      <c r="AF107" s="110">
        <f t="shared" si="35"/>
        <v>0.86399999999999999</v>
      </c>
      <c r="AG107" s="111">
        <f t="shared" si="35"/>
        <v>5.9</v>
      </c>
      <c r="AH107" s="5" t="s">
        <v>497</v>
      </c>
      <c r="AI107" s="137" t="str">
        <f t="shared" si="38"/>
        <v>sam62_mcasp_wrap_2</v>
      </c>
    </row>
    <row r="108" spans="1:35" x14ac:dyDescent="0.25">
      <c r="A108" s="5" t="s">
        <v>239</v>
      </c>
      <c r="B108" s="5" t="s">
        <v>18</v>
      </c>
      <c r="C108" s="128" t="str">
        <f t="shared" si="39"/>
        <v>CSI_RX</v>
      </c>
      <c r="D108" s="146" t="str">
        <f t="shared" si="39"/>
        <v>sam62_pg10_20211102</v>
      </c>
      <c r="E108" s="109" t="str">
        <f t="shared" si="39"/>
        <v>3 Periph</v>
      </c>
      <c r="F108" s="109" t="str">
        <f t="shared" si="39"/>
        <v>Camera</v>
      </c>
      <c r="G108" s="111">
        <v>1</v>
      </c>
      <c r="H108" s="109">
        <f t="shared" si="36"/>
        <v>31.987618924362405</v>
      </c>
      <c r="I108" s="111" t="str">
        <f t="shared" si="37"/>
        <v>ON</v>
      </c>
      <c r="J108" s="135">
        <f t="shared" si="31"/>
        <v>720</v>
      </c>
      <c r="K108" s="143">
        <f>INDEX('Use Cases'!$A$3:$CZ$400,MATCH($A108&amp;$B108,'Use Cases'!$A$3:$A$400,0),MATCH(Use_Case,'Use Cases'!$A$3:$CZ$3,0)+1)</f>
        <v>0</v>
      </c>
      <c r="L108" s="147">
        <f>INDEX('Use Cases'!$A$3:$CZ$400,MATCH($A108&amp;$B108,'Use Cases'!$A$3:$A$400,0),MATCH(Use_Case,'Use Cases'!$A$3:$CZ$3,0))</f>
        <v>1</v>
      </c>
      <c r="M108" s="129">
        <v>0</v>
      </c>
      <c r="N108" s="109">
        <f t="shared" si="32"/>
        <v>5.3715114970165141</v>
      </c>
      <c r="O108" s="109">
        <f t="shared" si="33"/>
        <v>23.115960743801651</v>
      </c>
      <c r="P108" s="109">
        <f t="shared" si="34"/>
        <v>3.5001466835442407</v>
      </c>
      <c r="Q108" s="129">
        <v>0</v>
      </c>
      <c r="R108" s="129">
        <v>0</v>
      </c>
      <c r="S108" s="129">
        <v>0</v>
      </c>
      <c r="T108" s="129">
        <v>0</v>
      </c>
      <c r="U108" s="129">
        <v>0</v>
      </c>
      <c r="V108" s="129">
        <v>0</v>
      </c>
      <c r="W108" s="109" t="s">
        <v>1072</v>
      </c>
      <c r="X108" s="111" t="s">
        <v>9</v>
      </c>
      <c r="Y108" s="111" t="s">
        <v>116</v>
      </c>
      <c r="Z108" s="111" t="s">
        <v>54</v>
      </c>
      <c r="AA108" s="111" t="s">
        <v>54</v>
      </c>
      <c r="AB108" s="111" t="s">
        <v>54</v>
      </c>
      <c r="AC108" s="111">
        <v>1</v>
      </c>
      <c r="AD108" s="110">
        <f t="shared" si="35"/>
        <v>0.23204172876304027</v>
      </c>
      <c r="AE108" s="110">
        <f t="shared" si="35"/>
        <v>0.47999999999999993</v>
      </c>
      <c r="AF108" s="110">
        <f t="shared" si="35"/>
        <v>0.57599999999999985</v>
      </c>
      <c r="AG108" s="111">
        <f t="shared" si="35"/>
        <v>66.3</v>
      </c>
      <c r="AH108" s="5" t="s">
        <v>497</v>
      </c>
      <c r="AI108" s="137" t="str">
        <f t="shared" si="38"/>
        <v>sam62_csirx_wrap_0</v>
      </c>
    </row>
    <row r="109" spans="1:35" x14ac:dyDescent="0.25">
      <c r="A109" s="5" t="s">
        <v>207</v>
      </c>
      <c r="B109" s="5" t="s">
        <v>18</v>
      </c>
      <c r="C109" s="128" t="str">
        <f t="shared" si="39"/>
        <v>USB2 Controller</v>
      </c>
      <c r="D109" s="146" t="str">
        <f t="shared" si="39"/>
        <v>sam62_pg10_20211102</v>
      </c>
      <c r="E109" s="109" t="str">
        <f t="shared" si="39"/>
        <v>3 Periph</v>
      </c>
      <c r="F109" s="109" t="str">
        <f t="shared" si="39"/>
        <v>HS_Serial</v>
      </c>
      <c r="G109" s="111">
        <v>1</v>
      </c>
      <c r="H109" s="109">
        <f t="shared" si="36"/>
        <v>4.8618248529245989</v>
      </c>
      <c r="I109" s="111" t="str">
        <f t="shared" si="37"/>
        <v>ON</v>
      </c>
      <c r="J109" s="135">
        <f t="shared" si="31"/>
        <v>125</v>
      </c>
      <c r="K109" s="143" t="str">
        <f>INDEX('Use Cases'!$A$3:$CZ$400,MATCH($A109&amp;$B109,'Use Cases'!$A$3:$A$400,0),MATCH(Use_Case,'Use Cases'!$A$3:$CZ$3,0)+1)</f>
        <v>host_fs</v>
      </c>
      <c r="L109" s="147">
        <f>INDEX('Use Cases'!$A$3:$CZ$400,MATCH($A109&amp;$B109,'Use Cases'!$A$3:$A$400,0),MATCH(Use_Case,'Use Cases'!$A$3:$CZ$3,0))</f>
        <v>1</v>
      </c>
      <c r="M109" s="129">
        <v>0</v>
      </c>
      <c r="N109" s="109">
        <f t="shared" si="32"/>
        <v>3.7327452775877465</v>
      </c>
      <c r="O109" s="109">
        <f t="shared" si="33"/>
        <v>0</v>
      </c>
      <c r="P109" s="109">
        <f t="shared" si="34"/>
        <v>1.1290795753368519</v>
      </c>
      <c r="Q109" s="129">
        <v>0</v>
      </c>
      <c r="R109" s="129">
        <v>0</v>
      </c>
      <c r="S109" s="129">
        <v>0</v>
      </c>
      <c r="T109" s="129">
        <v>0</v>
      </c>
      <c r="U109" s="129">
        <v>0</v>
      </c>
      <c r="V109" s="129">
        <v>0</v>
      </c>
      <c r="W109" s="109" t="s">
        <v>1072</v>
      </c>
      <c r="X109" s="111" t="s">
        <v>9</v>
      </c>
      <c r="Y109" s="111" t="s">
        <v>116</v>
      </c>
      <c r="Z109" s="111" t="s">
        <v>54</v>
      </c>
      <c r="AA109" s="111" t="s">
        <v>54</v>
      </c>
      <c r="AB109" s="111" t="s">
        <v>54</v>
      </c>
      <c r="AC109" s="111">
        <v>1</v>
      </c>
      <c r="AD109" s="110">
        <f t="shared" si="35"/>
        <v>0.28439560439560441</v>
      </c>
      <c r="AE109" s="110">
        <f t="shared" si="35"/>
        <v>0.24</v>
      </c>
      <c r="AF109" s="110">
        <f t="shared" si="35"/>
        <v>0.28799999999999998</v>
      </c>
      <c r="AG109" s="111">
        <f t="shared" si="35"/>
        <v>45.2</v>
      </c>
      <c r="AH109" s="5" t="s">
        <v>497</v>
      </c>
      <c r="AI109" s="137" t="str">
        <f t="shared" si="38"/>
        <v>sam62_usb2_wrap_0</v>
      </c>
    </row>
    <row r="110" spans="1:35" x14ac:dyDescent="0.25">
      <c r="A110" s="5" t="s">
        <v>207</v>
      </c>
      <c r="B110" s="5" t="s">
        <v>19</v>
      </c>
      <c r="C110" s="128" t="str">
        <f t="shared" si="39"/>
        <v>USB2 Controller</v>
      </c>
      <c r="D110" s="146" t="str">
        <f t="shared" si="39"/>
        <v>sam62_pg10_20211102</v>
      </c>
      <c r="E110" s="109" t="str">
        <f t="shared" si="39"/>
        <v>3 Periph</v>
      </c>
      <c r="F110" s="109" t="str">
        <f t="shared" si="39"/>
        <v>HS_Serial</v>
      </c>
      <c r="G110" s="111">
        <v>1</v>
      </c>
      <c r="H110" s="109">
        <f t="shared" si="36"/>
        <v>4.8618248529245989</v>
      </c>
      <c r="I110" s="111" t="str">
        <f t="shared" si="37"/>
        <v>ON</v>
      </c>
      <c r="J110" s="135">
        <f t="shared" si="31"/>
        <v>125</v>
      </c>
      <c r="K110" s="143" t="str">
        <f>INDEX('Use Cases'!$A$3:$CZ$400,MATCH($A110&amp;$B110,'Use Cases'!$A$3:$A$400,0),MATCH(Use_Case,'Use Cases'!$A$3:$CZ$3,0)+1)</f>
        <v>device_hs</v>
      </c>
      <c r="L110" s="147">
        <f>INDEX('Use Cases'!$A$3:$CZ$400,MATCH($A110&amp;$B110,'Use Cases'!$A$3:$A$400,0),MATCH(Use_Case,'Use Cases'!$A$3:$CZ$3,0))</f>
        <v>1</v>
      </c>
      <c r="M110" s="129">
        <v>0</v>
      </c>
      <c r="N110" s="109">
        <f t="shared" si="32"/>
        <v>3.7327452775877465</v>
      </c>
      <c r="O110" s="109">
        <f t="shared" si="33"/>
        <v>0</v>
      </c>
      <c r="P110" s="109">
        <f t="shared" si="34"/>
        <v>1.1290795753368519</v>
      </c>
      <c r="Q110" s="129">
        <v>0</v>
      </c>
      <c r="R110" s="129">
        <v>0</v>
      </c>
      <c r="S110" s="129">
        <v>0</v>
      </c>
      <c r="T110" s="129">
        <v>0</v>
      </c>
      <c r="U110" s="129">
        <v>0</v>
      </c>
      <c r="V110" s="129">
        <v>0</v>
      </c>
      <c r="W110" s="109" t="s">
        <v>1072</v>
      </c>
      <c r="X110" s="111" t="s">
        <v>9</v>
      </c>
      <c r="Y110" s="111" t="s">
        <v>116</v>
      </c>
      <c r="Z110" s="111" t="s">
        <v>54</v>
      </c>
      <c r="AA110" s="111" t="s">
        <v>54</v>
      </c>
      <c r="AB110" s="111" t="s">
        <v>54</v>
      </c>
      <c r="AC110" s="111">
        <v>1</v>
      </c>
      <c r="AD110" s="110">
        <f t="shared" si="35"/>
        <v>0.28439560439560441</v>
      </c>
      <c r="AE110" s="110">
        <f t="shared" si="35"/>
        <v>0.24</v>
      </c>
      <c r="AF110" s="110">
        <f t="shared" si="35"/>
        <v>0.28799999999999998</v>
      </c>
      <c r="AG110" s="111">
        <f t="shared" si="35"/>
        <v>45.2</v>
      </c>
      <c r="AH110" s="5" t="s">
        <v>497</v>
      </c>
      <c r="AI110" s="137" t="str">
        <f t="shared" si="38"/>
        <v>sam62_usb2_wrap_1</v>
      </c>
    </row>
    <row r="111" spans="1:35" x14ac:dyDescent="0.25">
      <c r="A111" s="5" t="s">
        <v>240</v>
      </c>
      <c r="B111" s="5" t="s">
        <v>19</v>
      </c>
      <c r="C111" s="128" t="str">
        <f t="shared" si="39"/>
        <v>EMMC 4 AM62</v>
      </c>
      <c r="D111" s="146" t="str">
        <f t="shared" si="39"/>
        <v>sam62_pg10_20211102</v>
      </c>
      <c r="E111" s="109" t="str">
        <f t="shared" si="39"/>
        <v>3 Periph</v>
      </c>
      <c r="F111" s="109" t="str">
        <f t="shared" si="39"/>
        <v>Memory</v>
      </c>
      <c r="G111" s="111">
        <v>1</v>
      </c>
      <c r="H111" s="109">
        <f t="shared" si="36"/>
        <v>3.1757468453250741</v>
      </c>
      <c r="I111" s="111" t="str">
        <f t="shared" si="37"/>
        <v>ON</v>
      </c>
      <c r="J111" s="135">
        <f t="shared" si="31"/>
        <v>250</v>
      </c>
      <c r="K111" s="143">
        <f>INDEX('Use Cases'!$A$3:$CZ$400,MATCH($A111&amp;$B111,'Use Cases'!$A$3:$A$400,0),MATCH(Use_Case,'Use Cases'!$A$3:$CZ$3,0)+1)</f>
        <v>0</v>
      </c>
      <c r="L111" s="147">
        <f>INDEX('Use Cases'!$A$3:$CZ$400,MATCH($A111&amp;$B111,'Use Cases'!$A$3:$A$400,0),MATCH(Use_Case,'Use Cases'!$A$3:$CZ$3,0))</f>
        <v>0</v>
      </c>
      <c r="M111" s="129">
        <v>0</v>
      </c>
      <c r="N111" s="109">
        <f t="shared" si="32"/>
        <v>1.820851354920852</v>
      </c>
      <c r="O111" s="109">
        <f t="shared" si="33"/>
        <v>0</v>
      </c>
      <c r="P111" s="109">
        <f t="shared" si="34"/>
        <v>1.3548954904042223</v>
      </c>
      <c r="Q111" s="129">
        <v>0</v>
      </c>
      <c r="R111" s="129">
        <v>0</v>
      </c>
      <c r="S111" s="129">
        <v>0</v>
      </c>
      <c r="T111" s="129">
        <v>0</v>
      </c>
      <c r="U111" s="129">
        <v>0</v>
      </c>
      <c r="V111" s="129">
        <v>0</v>
      </c>
      <c r="W111" s="109" t="s">
        <v>1072</v>
      </c>
      <c r="X111" s="111" t="s">
        <v>9</v>
      </c>
      <c r="Y111" s="111" t="s">
        <v>116</v>
      </c>
      <c r="Z111" s="111" t="s">
        <v>54</v>
      </c>
      <c r="AA111" s="111" t="s">
        <v>54</v>
      </c>
      <c r="AB111" s="111" t="s">
        <v>54</v>
      </c>
      <c r="AC111" s="111">
        <v>1</v>
      </c>
      <c r="AD111" s="110">
        <f t="shared" si="35"/>
        <v>0.22374429223744297</v>
      </c>
      <c r="AE111" s="110">
        <f t="shared" si="35"/>
        <v>0.48</v>
      </c>
      <c r="AF111" s="110">
        <f t="shared" si="35"/>
        <v>0.57599999999999996</v>
      </c>
      <c r="AG111" s="111">
        <f t="shared" si="35"/>
        <v>16.399999999999999</v>
      </c>
      <c r="AH111" s="5" t="s">
        <v>497</v>
      </c>
      <c r="AI111" s="137" t="str">
        <f t="shared" si="38"/>
        <v>sam62_emmc_4bit_wrap_1</v>
      </c>
    </row>
    <row r="112" spans="1:35" x14ac:dyDescent="0.25">
      <c r="A112" s="5" t="s">
        <v>240</v>
      </c>
      <c r="B112" s="5" t="s">
        <v>20</v>
      </c>
      <c r="C112" s="128" t="str">
        <f t="shared" si="39"/>
        <v>EMMC 4 AM62</v>
      </c>
      <c r="D112" s="146" t="str">
        <f t="shared" si="39"/>
        <v>sam62_pg10_20211102</v>
      </c>
      <c r="E112" s="109" t="str">
        <f t="shared" si="39"/>
        <v>3 Periph</v>
      </c>
      <c r="F112" s="109" t="str">
        <f t="shared" si="39"/>
        <v>Memory</v>
      </c>
      <c r="G112" s="111">
        <v>1</v>
      </c>
      <c r="H112" s="109">
        <f t="shared" si="36"/>
        <v>3.1757468453250741</v>
      </c>
      <c r="I112" s="111" t="str">
        <f t="shared" si="37"/>
        <v>ON</v>
      </c>
      <c r="J112" s="135">
        <f t="shared" si="31"/>
        <v>250</v>
      </c>
      <c r="K112" s="143">
        <f>INDEX('Use Cases'!$A$3:$CZ$400,MATCH($A112&amp;$B112,'Use Cases'!$A$3:$A$400,0),MATCH(Use_Case,'Use Cases'!$A$3:$CZ$3,0)+1)</f>
        <v>0</v>
      </c>
      <c r="L112" s="147">
        <f>INDEX('Use Cases'!$A$3:$CZ$400,MATCH($A112&amp;$B112,'Use Cases'!$A$3:$A$400,0),MATCH(Use_Case,'Use Cases'!$A$3:$CZ$3,0))</f>
        <v>0</v>
      </c>
      <c r="M112" s="129">
        <v>0</v>
      </c>
      <c r="N112" s="109">
        <f t="shared" si="32"/>
        <v>1.820851354920852</v>
      </c>
      <c r="O112" s="109">
        <f t="shared" si="33"/>
        <v>0</v>
      </c>
      <c r="P112" s="109">
        <f t="shared" si="34"/>
        <v>1.3548954904042223</v>
      </c>
      <c r="Q112" s="129">
        <v>0</v>
      </c>
      <c r="R112" s="129">
        <v>0</v>
      </c>
      <c r="S112" s="129">
        <v>0</v>
      </c>
      <c r="T112" s="129">
        <v>0</v>
      </c>
      <c r="U112" s="129">
        <v>0</v>
      </c>
      <c r="V112" s="129">
        <v>0</v>
      </c>
      <c r="W112" s="109" t="s">
        <v>1072</v>
      </c>
      <c r="X112" s="111" t="s">
        <v>9</v>
      </c>
      <c r="Y112" s="111" t="s">
        <v>116</v>
      </c>
      <c r="Z112" s="111" t="s">
        <v>54</v>
      </c>
      <c r="AA112" s="111" t="s">
        <v>54</v>
      </c>
      <c r="AB112" s="111" t="s">
        <v>54</v>
      </c>
      <c r="AC112" s="111">
        <v>1</v>
      </c>
      <c r="AD112" s="110">
        <f t="shared" si="35"/>
        <v>0.22374429223744297</v>
      </c>
      <c r="AE112" s="110">
        <f t="shared" si="35"/>
        <v>0.48</v>
      </c>
      <c r="AF112" s="110">
        <f t="shared" si="35"/>
        <v>0.57599999999999996</v>
      </c>
      <c r="AG112" s="111">
        <f t="shared" si="35"/>
        <v>16.399999999999999</v>
      </c>
      <c r="AH112" s="5" t="s">
        <v>497</v>
      </c>
      <c r="AI112" s="137" t="str">
        <f t="shared" si="38"/>
        <v>sam62_emmc_4bit_wrap_2</v>
      </c>
    </row>
    <row r="113" spans="1:35" x14ac:dyDescent="0.25">
      <c r="A113" s="5" t="s">
        <v>241</v>
      </c>
      <c r="B113" s="5" t="s">
        <v>18</v>
      </c>
      <c r="C113" s="128" t="str">
        <f t="shared" si="39"/>
        <v>EMMC 8 AM62</v>
      </c>
      <c r="D113" s="146" t="str">
        <f t="shared" si="39"/>
        <v>sam62_pg10_20211102</v>
      </c>
      <c r="E113" s="109" t="str">
        <f t="shared" si="39"/>
        <v>3 Periph</v>
      </c>
      <c r="F113" s="109" t="str">
        <f t="shared" si="39"/>
        <v>Memory</v>
      </c>
      <c r="G113" s="111">
        <v>1</v>
      </c>
      <c r="H113" s="109">
        <f t="shared" si="36"/>
        <v>2.9936617098329892</v>
      </c>
      <c r="I113" s="111" t="str">
        <f t="shared" si="37"/>
        <v>ON</v>
      </c>
      <c r="J113" s="135">
        <f t="shared" si="31"/>
        <v>250</v>
      </c>
      <c r="K113" s="143">
        <f>INDEX('Use Cases'!$A$3:$CZ$400,MATCH($A113&amp;$B113,'Use Cases'!$A$3:$A$400,0),MATCH(Use_Case,'Use Cases'!$A$3:$CZ$3,0)+1)</f>
        <v>0</v>
      </c>
      <c r="L113" s="147">
        <f>INDEX('Use Cases'!$A$3:$CZ$400,MATCH($A113&amp;$B113,'Use Cases'!$A$3:$A$400,0),MATCH(Use_Case,'Use Cases'!$A$3:$CZ$3,0))</f>
        <v>0</v>
      </c>
      <c r="M113" s="129">
        <v>0</v>
      </c>
      <c r="N113" s="109">
        <f t="shared" si="32"/>
        <v>1.6387662194287669</v>
      </c>
      <c r="O113" s="109">
        <f t="shared" si="33"/>
        <v>0</v>
      </c>
      <c r="P113" s="109">
        <f t="shared" si="34"/>
        <v>1.3548954904042223</v>
      </c>
      <c r="Q113" s="129">
        <v>0</v>
      </c>
      <c r="R113" s="129">
        <v>0</v>
      </c>
      <c r="S113" s="129">
        <v>0</v>
      </c>
      <c r="T113" s="129">
        <v>0</v>
      </c>
      <c r="U113" s="129">
        <v>0</v>
      </c>
      <c r="V113" s="129">
        <v>0</v>
      </c>
      <c r="W113" s="109" t="s">
        <v>1072</v>
      </c>
      <c r="X113" s="111" t="s">
        <v>9</v>
      </c>
      <c r="Y113" s="111" t="s">
        <v>116</v>
      </c>
      <c r="Z113" s="111" t="s">
        <v>54</v>
      </c>
      <c r="AA113" s="111" t="s">
        <v>54</v>
      </c>
      <c r="AB113" s="111" t="s">
        <v>54</v>
      </c>
      <c r="AC113" s="111">
        <v>3</v>
      </c>
      <c r="AD113" s="110">
        <f t="shared" si="35"/>
        <v>0.23423423423423426</v>
      </c>
      <c r="AE113" s="110">
        <f t="shared" si="35"/>
        <v>0.48</v>
      </c>
      <c r="AF113" s="110">
        <f t="shared" si="35"/>
        <v>0.57599999999999996</v>
      </c>
      <c r="AG113" s="111">
        <f t="shared" si="35"/>
        <v>16.7</v>
      </c>
      <c r="AH113" s="5" t="s">
        <v>497</v>
      </c>
      <c r="AI113" s="137" t="str">
        <f t="shared" si="38"/>
        <v>sam62_emmc_8bit_wrap_0</v>
      </c>
    </row>
    <row r="114" spans="1:35" x14ac:dyDescent="0.25">
      <c r="A114" s="5" t="s">
        <v>211</v>
      </c>
      <c r="B114" s="5" t="s">
        <v>18</v>
      </c>
      <c r="C114" s="128" t="str">
        <f t="shared" si="39"/>
        <v>GPMC_ELM AM62</v>
      </c>
      <c r="D114" s="146" t="str">
        <f t="shared" si="39"/>
        <v>sam62_pg10_20211102</v>
      </c>
      <c r="E114" s="109" t="str">
        <f t="shared" si="39"/>
        <v>3 Periph</v>
      </c>
      <c r="F114" s="109" t="str">
        <f t="shared" si="39"/>
        <v>Memory</v>
      </c>
      <c r="G114" s="111">
        <v>1</v>
      </c>
      <c r="H114" s="109">
        <f t="shared" si="36"/>
        <v>4.5733909653626936</v>
      </c>
      <c r="I114" s="111" t="str">
        <f t="shared" si="37"/>
        <v>ON</v>
      </c>
      <c r="J114" s="135">
        <f t="shared" si="31"/>
        <v>166.66666666666666</v>
      </c>
      <c r="K114" s="143">
        <f>INDEX('Use Cases'!$A$3:$CZ$400,MATCH($A114&amp;$B114,'Use Cases'!$A$3:$A$400,0),MATCH(Use_Case,'Use Cases'!$A$3:$CZ$3,0)+1)</f>
        <v>0</v>
      </c>
      <c r="L114" s="147">
        <f>INDEX('Use Cases'!$A$3:$CZ$400,MATCH($A114&amp;$B114,'Use Cases'!$A$3:$A$400,0),MATCH(Use_Case,'Use Cases'!$A$3:$CZ$3,0))</f>
        <v>0.5</v>
      </c>
      <c r="M114" s="129">
        <v>0</v>
      </c>
      <c r="N114" s="109">
        <f t="shared" si="32"/>
        <v>1.1835533806985539</v>
      </c>
      <c r="O114" s="109">
        <f t="shared" si="33"/>
        <v>3.3898375846641398</v>
      </c>
      <c r="P114" s="109">
        <f t="shared" si="34"/>
        <v>0</v>
      </c>
      <c r="Q114" s="129">
        <v>0</v>
      </c>
      <c r="R114" s="129">
        <v>0</v>
      </c>
      <c r="S114" s="129">
        <v>0</v>
      </c>
      <c r="T114" s="129">
        <v>0</v>
      </c>
      <c r="U114" s="129">
        <v>0</v>
      </c>
      <c r="V114" s="129">
        <v>0</v>
      </c>
      <c r="W114" s="109" t="s">
        <v>1072</v>
      </c>
      <c r="X114" s="111" t="s">
        <v>9</v>
      </c>
      <c r="Y114" s="111" t="s">
        <v>116</v>
      </c>
      <c r="Z114" s="111" t="s">
        <v>54</v>
      </c>
      <c r="AA114" s="111" t="s">
        <v>54</v>
      </c>
      <c r="AB114" s="111" t="s">
        <v>54</v>
      </c>
      <c r="AC114" s="111">
        <v>1</v>
      </c>
      <c r="AD114" s="110">
        <f t="shared" ref="AD114:AG126" si="40">VLOOKUP($A114&amp;"_"&amp;AD$1,MDB,6,0)</f>
        <v>0.21654135338345862</v>
      </c>
      <c r="AE114" s="110">
        <f t="shared" si="40"/>
        <v>0.48</v>
      </c>
      <c r="AF114" s="110">
        <f t="shared" si="40"/>
        <v>0.57599999999999996</v>
      </c>
      <c r="AG114" s="111">
        <f t="shared" si="40"/>
        <v>13.4</v>
      </c>
      <c r="AH114" s="5" t="s">
        <v>497</v>
      </c>
      <c r="AI114" s="137" t="str">
        <f t="shared" si="38"/>
        <v>sam62_gpmc_elm_wrap_0</v>
      </c>
    </row>
    <row r="115" spans="1:35" x14ac:dyDescent="0.25">
      <c r="A115" s="5" t="s">
        <v>215</v>
      </c>
      <c r="B115" s="5" t="s">
        <v>18</v>
      </c>
      <c r="C115" s="128" t="str">
        <f t="shared" si="39"/>
        <v>LP/DDR4-16 EMIF AM62</v>
      </c>
      <c r="D115" s="146" t="str">
        <f t="shared" si="39"/>
        <v>sam62_pg10_20211102</v>
      </c>
      <c r="E115" s="109" t="str">
        <f t="shared" si="39"/>
        <v>3 Periph</v>
      </c>
      <c r="F115" s="109" t="str">
        <f t="shared" si="39"/>
        <v>Memory</v>
      </c>
      <c r="G115" s="111">
        <v>1</v>
      </c>
      <c r="H115" s="109">
        <f t="shared" si="36"/>
        <v>8.3759162326359196</v>
      </c>
      <c r="I115" s="111" t="str">
        <f t="shared" si="37"/>
        <v>ON</v>
      </c>
      <c r="J115" s="135">
        <f t="shared" si="31"/>
        <v>400</v>
      </c>
      <c r="K115" s="143">
        <f>INDEX('Use Cases'!$A$3:$CZ$400,MATCH($A115&amp;$B115,'Use Cases'!$A$3:$A$400,0),MATCH(Use_Case,'Use Cases'!$A$3:$CZ$3,0)+1)</f>
        <v>0</v>
      </c>
      <c r="L115" s="147">
        <f>INDEX('Use Cases'!$A$3:$CZ$400,MATCH($A115&amp;$B115,'Use Cases'!$A$3:$A$400,0),MATCH(Use_Case,'Use Cases'!$A$3:$CZ$3,0))</f>
        <v>0</v>
      </c>
      <c r="M115" s="129">
        <v>0</v>
      </c>
      <c r="N115" s="109">
        <f t="shared" si="32"/>
        <v>8.3759162326359196</v>
      </c>
      <c r="O115" s="109">
        <f t="shared" si="33"/>
        <v>0</v>
      </c>
      <c r="P115" s="109">
        <f t="shared" si="34"/>
        <v>0</v>
      </c>
      <c r="Q115" s="129">
        <v>0</v>
      </c>
      <c r="R115" s="129">
        <v>0</v>
      </c>
      <c r="S115" s="129">
        <v>0</v>
      </c>
      <c r="T115" s="129">
        <v>0</v>
      </c>
      <c r="U115" s="129">
        <v>0</v>
      </c>
      <c r="V115" s="129">
        <v>0</v>
      </c>
      <c r="W115" s="109" t="s">
        <v>1072</v>
      </c>
      <c r="X115" s="111" t="s">
        <v>9</v>
      </c>
      <c r="Y115" s="111" t="s">
        <v>116</v>
      </c>
      <c r="Z115" s="111" t="s">
        <v>54</v>
      </c>
      <c r="AA115" s="111" t="s">
        <v>54</v>
      </c>
      <c r="AB115" s="111" t="s">
        <v>54</v>
      </c>
      <c r="AC115" s="111">
        <v>3</v>
      </c>
      <c r="AD115" s="110">
        <f t="shared" si="40"/>
        <v>0.24</v>
      </c>
      <c r="AE115" s="110">
        <f t="shared" si="40"/>
        <v>0.45</v>
      </c>
      <c r="AF115" s="110">
        <f t="shared" si="40"/>
        <v>0.75</v>
      </c>
      <c r="AG115" s="111">
        <f t="shared" si="40"/>
        <v>227.7</v>
      </c>
      <c r="AH115" s="5" t="s">
        <v>497</v>
      </c>
      <c r="AI115" s="137" t="str">
        <f t="shared" si="38"/>
        <v>sam62_ddr_wrap_0</v>
      </c>
    </row>
    <row r="116" spans="1:35" x14ac:dyDescent="0.25">
      <c r="A116" s="5" t="s">
        <v>314</v>
      </c>
      <c r="B116" s="5" t="s">
        <v>18</v>
      </c>
      <c r="C116" s="128" t="str">
        <f t="shared" si="39"/>
        <v>LP/DDR4-16 PHY 1600</v>
      </c>
      <c r="D116" s="146">
        <f t="shared" si="39"/>
        <v>44453</v>
      </c>
      <c r="E116" s="109" t="str">
        <f t="shared" si="39"/>
        <v>3 Periph</v>
      </c>
      <c r="F116" s="109" t="str">
        <f t="shared" si="39"/>
        <v>Memory</v>
      </c>
      <c r="G116" s="111">
        <v>1</v>
      </c>
      <c r="H116" s="109">
        <f t="shared" si="36"/>
        <v>158.99474840540259</v>
      </c>
      <c r="I116" s="111" t="str">
        <f t="shared" si="37"/>
        <v>ON</v>
      </c>
      <c r="J116" s="135">
        <f t="shared" si="31"/>
        <v>400</v>
      </c>
      <c r="K116" s="143">
        <f>INDEX('Use Cases'!$A$3:$CZ$400,MATCH($A116&amp;$B116,'Use Cases'!$A$3:$A$400,0),MATCH(Use_Case,'Use Cases'!$A$3:$CZ$3,0)+1)</f>
        <v>0</v>
      </c>
      <c r="L116" s="147">
        <f>INDEX('Use Cases'!$A$3:$CZ$400,MATCH($A116&amp;$B116,'Use Cases'!$A$3:$A$400,0),MATCH(Use_Case,'Use Cases'!$A$3:$CZ$3,0))</f>
        <v>1</v>
      </c>
      <c r="M116" s="129">
        <v>0</v>
      </c>
      <c r="N116" s="109">
        <f t="shared" si="32"/>
        <v>48.252560905402582</v>
      </c>
      <c r="O116" s="109">
        <f t="shared" si="33"/>
        <v>110.74218750000001</v>
      </c>
      <c r="P116" s="109">
        <f t="shared" si="34"/>
        <v>0</v>
      </c>
      <c r="Q116" s="129">
        <v>0</v>
      </c>
      <c r="R116" s="129">
        <v>0</v>
      </c>
      <c r="S116" s="129">
        <v>0</v>
      </c>
      <c r="T116" s="129">
        <v>0</v>
      </c>
      <c r="U116" s="129">
        <v>0</v>
      </c>
      <c r="V116" s="129">
        <v>0</v>
      </c>
      <c r="W116" s="109" t="s">
        <v>1072</v>
      </c>
      <c r="X116" s="111" t="s">
        <v>9</v>
      </c>
      <c r="Y116" s="111" t="s">
        <v>116</v>
      </c>
      <c r="Z116" s="111" t="s">
        <v>54</v>
      </c>
      <c r="AA116" s="111" t="s">
        <v>54</v>
      </c>
      <c r="AB116" s="111" t="s">
        <v>54</v>
      </c>
      <c r="AC116" s="111">
        <v>0</v>
      </c>
      <c r="AD116" s="110">
        <f t="shared" si="40"/>
        <v>0.13203463203463203</v>
      </c>
      <c r="AE116" s="110">
        <f t="shared" si="40"/>
        <v>0.33</v>
      </c>
      <c r="AF116" s="110">
        <f t="shared" si="40"/>
        <v>0.39600000000000002</v>
      </c>
      <c r="AG116" s="111">
        <f t="shared" si="40"/>
        <v>462</v>
      </c>
      <c r="AH116" s="5" t="s">
        <v>497</v>
      </c>
      <c r="AI116" s="137" t="str">
        <f t="shared" si="38"/>
        <v>ddr16_1600_phy_0</v>
      </c>
    </row>
    <row r="117" spans="1:35" x14ac:dyDescent="0.25">
      <c r="A117" s="5" t="s">
        <v>186</v>
      </c>
      <c r="B117" s="5" t="s">
        <v>18</v>
      </c>
      <c r="C117" s="128" t="str">
        <f t="shared" si="39"/>
        <v>Debug SS AM62</v>
      </c>
      <c r="D117" s="146" t="str">
        <f t="shared" si="39"/>
        <v>sam62_pg10_20211102</v>
      </c>
      <c r="E117" s="109" t="str">
        <f t="shared" si="39"/>
        <v>4 Infra</v>
      </c>
      <c r="F117" s="109" t="str">
        <f t="shared" si="39"/>
        <v>Debug</v>
      </c>
      <c r="G117" s="111">
        <v>1</v>
      </c>
      <c r="H117" s="109">
        <f t="shared" si="36"/>
        <v>5.0220445986290416</v>
      </c>
      <c r="I117" s="111" t="str">
        <f t="shared" si="37"/>
        <v>ON</v>
      </c>
      <c r="J117" s="135">
        <f t="shared" si="31"/>
        <v>250</v>
      </c>
      <c r="K117" s="143">
        <f>INDEX('Use Cases'!$A$3:$CZ$400,MATCH($A117&amp;$B117,'Use Cases'!$A$3:$A$400,0),MATCH(Use_Case,'Use Cases'!$A$3:$CZ$3,0)+1)</f>
        <v>0</v>
      </c>
      <c r="L117" s="147">
        <f>INDEX('Use Cases'!$A$3:$CZ$400,MATCH($A117&amp;$B117,'Use Cases'!$A$3:$A$400,0),MATCH(Use_Case,'Use Cases'!$A$3:$CZ$3,0))</f>
        <v>0</v>
      </c>
      <c r="M117" s="129">
        <v>0</v>
      </c>
      <c r="N117" s="109">
        <f t="shared" si="32"/>
        <v>4.0058729808258748</v>
      </c>
      <c r="O117" s="109">
        <f t="shared" si="33"/>
        <v>0</v>
      </c>
      <c r="P117" s="109">
        <f t="shared" si="34"/>
        <v>1.0161716178031668</v>
      </c>
      <c r="Q117" s="129">
        <v>0</v>
      </c>
      <c r="R117" s="129">
        <v>0</v>
      </c>
      <c r="S117" s="129">
        <v>0</v>
      </c>
      <c r="T117" s="129">
        <v>0</v>
      </c>
      <c r="U117" s="129">
        <v>0</v>
      </c>
      <c r="V117" s="129">
        <v>0</v>
      </c>
      <c r="W117" s="109" t="s">
        <v>1072</v>
      </c>
      <c r="X117" s="111" t="s">
        <v>344</v>
      </c>
      <c r="Y117" s="111" t="s">
        <v>116</v>
      </c>
      <c r="Z117" s="111" t="s">
        <v>54</v>
      </c>
      <c r="AA117" s="111" t="s">
        <v>54</v>
      </c>
      <c r="AB117" s="111" t="s">
        <v>54</v>
      </c>
      <c r="AC117" s="111">
        <v>3</v>
      </c>
      <c r="AD117" s="110">
        <f t="shared" si="40"/>
        <v>0.29742268041237113</v>
      </c>
      <c r="AE117" s="110">
        <f t="shared" si="40"/>
        <v>0.48</v>
      </c>
      <c r="AF117" s="110">
        <f t="shared" si="40"/>
        <v>0.57599999999999996</v>
      </c>
      <c r="AG117" s="111">
        <f t="shared" si="40"/>
        <v>36.799999999999997</v>
      </c>
      <c r="AH117" s="5" t="s">
        <v>497</v>
      </c>
      <c r="AI117" s="137" t="str">
        <f t="shared" si="38"/>
        <v>sam62_debug_wrap_0</v>
      </c>
    </row>
    <row r="118" spans="1:35" x14ac:dyDescent="0.25">
      <c r="A118" s="5" t="s">
        <v>213</v>
      </c>
      <c r="B118" s="5" t="s">
        <v>18</v>
      </c>
      <c r="C118" s="128" t="str">
        <f t="shared" si="39"/>
        <v>eFuse Controller AM62</v>
      </c>
      <c r="D118" s="146" t="str">
        <f t="shared" si="39"/>
        <v>sam62_pg10_20211102</v>
      </c>
      <c r="E118" s="109" t="str">
        <f t="shared" si="39"/>
        <v>4 Infra</v>
      </c>
      <c r="F118" s="109" t="str">
        <f t="shared" si="39"/>
        <v>Mix</v>
      </c>
      <c r="G118" s="111">
        <v>1</v>
      </c>
      <c r="H118" s="109">
        <f t="shared" si="36"/>
        <v>0.63729797422229817</v>
      </c>
      <c r="I118" s="111" t="str">
        <f t="shared" si="37"/>
        <v>ON</v>
      </c>
      <c r="J118" s="135">
        <f t="shared" si="31"/>
        <v>250</v>
      </c>
      <c r="K118" s="143">
        <f>INDEX('Use Cases'!$A$3:$CZ$400,MATCH($A118&amp;$B118,'Use Cases'!$A$3:$A$400,0),MATCH(Use_Case,'Use Cases'!$A$3:$CZ$3,0)+1)</f>
        <v>0</v>
      </c>
      <c r="L118" s="147">
        <f>INDEX('Use Cases'!$A$3:$CZ$400,MATCH($A118&amp;$B118,'Use Cases'!$A$3:$A$400,0),MATCH(Use_Case,'Use Cases'!$A$3:$CZ$3,0))</f>
        <v>0</v>
      </c>
      <c r="M118" s="129">
        <v>0</v>
      </c>
      <c r="N118" s="109">
        <f t="shared" si="32"/>
        <v>0.63729797422229817</v>
      </c>
      <c r="O118" s="109">
        <f t="shared" si="33"/>
        <v>0</v>
      </c>
      <c r="P118" s="109">
        <f t="shared" si="34"/>
        <v>0</v>
      </c>
      <c r="Q118" s="129">
        <v>0</v>
      </c>
      <c r="R118" s="129">
        <v>0</v>
      </c>
      <c r="S118" s="129">
        <v>0</v>
      </c>
      <c r="T118" s="129">
        <v>0</v>
      </c>
      <c r="U118" s="129">
        <v>0</v>
      </c>
      <c r="V118" s="129">
        <v>0</v>
      </c>
      <c r="W118" s="109" t="s">
        <v>1072</v>
      </c>
      <c r="X118" s="111" t="s">
        <v>9</v>
      </c>
      <c r="Y118" s="111" t="s">
        <v>116</v>
      </c>
      <c r="Z118" s="111" t="s">
        <v>54</v>
      </c>
      <c r="AA118" s="111" t="s">
        <v>54</v>
      </c>
      <c r="AB118" s="111" t="s">
        <v>54</v>
      </c>
      <c r="AC118" s="111">
        <v>1</v>
      </c>
      <c r="AD118" s="110">
        <f t="shared" si="40"/>
        <v>0.13116883116883118</v>
      </c>
      <c r="AE118" s="110">
        <f t="shared" si="40"/>
        <v>0.18</v>
      </c>
      <c r="AF118" s="110">
        <f t="shared" si="40"/>
        <v>0.216</v>
      </c>
      <c r="AG118" s="111">
        <f t="shared" si="40"/>
        <v>7.6</v>
      </c>
      <c r="AH118" s="5" t="s">
        <v>497</v>
      </c>
      <c r="AI118" s="137" t="str">
        <f t="shared" si="38"/>
        <v>sam62_efuse_ctrl_wrap_0</v>
      </c>
    </row>
    <row r="119" spans="1:35" x14ac:dyDescent="0.25">
      <c r="A119" s="5" t="s">
        <v>144</v>
      </c>
      <c r="B119" s="5" t="s">
        <v>18</v>
      </c>
      <c r="C119" s="128" t="str">
        <f t="shared" si="39"/>
        <v>Main_infra AM62</v>
      </c>
      <c r="D119" s="146" t="str">
        <f t="shared" si="39"/>
        <v>sam62_pg10_20211102</v>
      </c>
      <c r="E119" s="109" t="str">
        <f t="shared" si="39"/>
        <v>4 Infra</v>
      </c>
      <c r="F119" s="109" t="str">
        <f t="shared" si="39"/>
        <v>Mix</v>
      </c>
      <c r="G119" s="111">
        <v>1</v>
      </c>
      <c r="H119" s="109">
        <f t="shared" si="36"/>
        <v>8.1938310971438337</v>
      </c>
      <c r="I119" s="111" t="str">
        <f t="shared" si="37"/>
        <v>ON</v>
      </c>
      <c r="J119" s="135">
        <f t="shared" si="31"/>
        <v>250</v>
      </c>
      <c r="K119" s="143">
        <f>INDEX('Use Cases'!$A$3:$CZ$400,MATCH($A119&amp;$B119,'Use Cases'!$A$3:$A$400,0),MATCH(Use_Case,'Use Cases'!$A$3:$CZ$3,0)+1)</f>
        <v>0</v>
      </c>
      <c r="L119" s="147">
        <f>INDEX('Use Cases'!$A$3:$CZ$400,MATCH($A119&amp;$B119,'Use Cases'!$A$3:$A$400,0),MATCH(Use_Case,'Use Cases'!$A$3:$CZ$3,0))</f>
        <v>0</v>
      </c>
      <c r="M119" s="129">
        <v>0</v>
      </c>
      <c r="N119" s="109">
        <f t="shared" si="32"/>
        <v>8.1938310971438337</v>
      </c>
      <c r="O119" s="109">
        <f t="shared" si="33"/>
        <v>0</v>
      </c>
      <c r="P119" s="109">
        <f t="shared" si="34"/>
        <v>0</v>
      </c>
      <c r="Q119" s="129">
        <v>0</v>
      </c>
      <c r="R119" s="129">
        <v>0</v>
      </c>
      <c r="S119" s="129">
        <v>0</v>
      </c>
      <c r="T119" s="129">
        <v>0</v>
      </c>
      <c r="U119" s="129">
        <v>0</v>
      </c>
      <c r="V119" s="129">
        <v>0</v>
      </c>
      <c r="W119" s="109" t="s">
        <v>1072</v>
      </c>
      <c r="X119" s="111" t="s">
        <v>9</v>
      </c>
      <c r="Y119" s="111" t="s">
        <v>116</v>
      </c>
      <c r="Z119" s="111" t="s">
        <v>54</v>
      </c>
      <c r="AA119" s="111" t="s">
        <v>54</v>
      </c>
      <c r="AB119" s="111" t="s">
        <v>54</v>
      </c>
      <c r="AC119" s="111">
        <v>4</v>
      </c>
      <c r="AD119" s="110">
        <f t="shared" si="40"/>
        <v>0.2569573283858998</v>
      </c>
      <c r="AE119" s="110">
        <f t="shared" si="40"/>
        <v>0.4</v>
      </c>
      <c r="AF119" s="110">
        <f t="shared" si="40"/>
        <v>0.48</v>
      </c>
      <c r="AG119" s="111">
        <f t="shared" si="40"/>
        <v>53.8</v>
      </c>
      <c r="AH119" s="5" t="s">
        <v>497</v>
      </c>
      <c r="AI119" s="137" t="str">
        <f t="shared" si="38"/>
        <v>sam62_main_infra_phys_0</v>
      </c>
    </row>
    <row r="120" spans="1:35" x14ac:dyDescent="0.25">
      <c r="A120" s="5" t="s">
        <v>238</v>
      </c>
      <c r="B120" s="5" t="s">
        <v>18</v>
      </c>
      <c r="C120" s="128" t="str">
        <f t="shared" si="39"/>
        <v>Main_IP AM62</v>
      </c>
      <c r="D120" s="146" t="str">
        <f t="shared" si="39"/>
        <v>sam62_pg10_20211102</v>
      </c>
      <c r="E120" s="109" t="str">
        <f t="shared" si="39"/>
        <v>4 Infra</v>
      </c>
      <c r="F120" s="109" t="str">
        <f t="shared" si="39"/>
        <v>Mix</v>
      </c>
      <c r="G120" s="111">
        <v>1</v>
      </c>
      <c r="H120" s="109">
        <f t="shared" si="36"/>
        <v>56.028127264415353</v>
      </c>
      <c r="I120" s="111" t="str">
        <f t="shared" si="37"/>
        <v>ON</v>
      </c>
      <c r="J120" s="135">
        <f t="shared" si="31"/>
        <v>250</v>
      </c>
      <c r="K120" s="143">
        <f>INDEX('Use Cases'!$A$3:$CZ$400,MATCH($A120&amp;$B120,'Use Cases'!$A$3:$A$400,0),MATCH(Use_Case,'Use Cases'!$A$3:$CZ$3,0)+1)</f>
        <v>0</v>
      </c>
      <c r="L120" s="147">
        <f>INDEX('Use Cases'!$A$3:$CZ$400,MATCH($A120&amp;$B120,'Use Cases'!$A$3:$A$400,0),MATCH(Use_Case,'Use Cases'!$A$3:$CZ$3,0))</f>
        <v>0</v>
      </c>
      <c r="M120" s="129">
        <v>0</v>
      </c>
      <c r="N120" s="109">
        <f t="shared" si="32"/>
        <v>52.076348750736372</v>
      </c>
      <c r="O120" s="109">
        <f t="shared" si="33"/>
        <v>0</v>
      </c>
      <c r="P120" s="109">
        <f t="shared" si="34"/>
        <v>3.9517785136789816</v>
      </c>
      <c r="Q120" s="129">
        <v>0</v>
      </c>
      <c r="R120" s="129">
        <v>0</v>
      </c>
      <c r="S120" s="129">
        <v>0</v>
      </c>
      <c r="T120" s="129">
        <v>0</v>
      </c>
      <c r="U120" s="129">
        <v>0</v>
      </c>
      <c r="V120" s="129">
        <v>0</v>
      </c>
      <c r="W120" s="109" t="s">
        <v>1072</v>
      </c>
      <c r="X120" s="111" t="s">
        <v>344</v>
      </c>
      <c r="Y120" s="111" t="s">
        <v>116</v>
      </c>
      <c r="Z120" s="111" t="s">
        <v>54</v>
      </c>
      <c r="AA120" s="111" t="s">
        <v>54</v>
      </c>
      <c r="AB120" s="111" t="s">
        <v>54</v>
      </c>
      <c r="AC120" s="111">
        <v>3</v>
      </c>
      <c r="AD120" s="110">
        <f t="shared" si="40"/>
        <v>7.6343469114553461E-2</v>
      </c>
      <c r="AE120" s="110">
        <f t="shared" si="40"/>
        <v>0.4</v>
      </c>
      <c r="AF120" s="110">
        <f t="shared" si="40"/>
        <v>0.48</v>
      </c>
      <c r="AG120" s="111">
        <f t="shared" si="40"/>
        <v>520.6</v>
      </c>
      <c r="AH120" s="5" t="s">
        <v>497</v>
      </c>
      <c r="AI120" s="137" t="str">
        <f t="shared" si="38"/>
        <v>sam62_main_ip_wrap_0</v>
      </c>
    </row>
    <row r="121" spans="1:35" x14ac:dyDescent="0.25">
      <c r="A121" s="5" t="s">
        <v>183</v>
      </c>
      <c r="B121" s="5" t="s">
        <v>18</v>
      </c>
      <c r="C121" s="128" t="str">
        <f t="shared" si="39"/>
        <v>MCU_INFRA_WAKEUP AM62</v>
      </c>
      <c r="D121" s="146" t="str">
        <f t="shared" si="39"/>
        <v>sam62_pg10_20211102</v>
      </c>
      <c r="E121" s="109" t="str">
        <f t="shared" si="39"/>
        <v>4 Infra</v>
      </c>
      <c r="F121" s="109" t="str">
        <f t="shared" si="39"/>
        <v>Mix</v>
      </c>
      <c r="G121" s="111">
        <v>1</v>
      </c>
      <c r="H121" s="109">
        <f t="shared" si="36"/>
        <v>3.0044047356194059</v>
      </c>
      <c r="I121" s="111" t="str">
        <f t="shared" si="37"/>
        <v>ON</v>
      </c>
      <c r="J121" s="135">
        <f t="shared" si="31"/>
        <v>200</v>
      </c>
      <c r="K121" s="143">
        <f>INDEX('Use Cases'!$A$3:$CZ$400,MATCH($A121&amp;$B121,'Use Cases'!$A$3:$A$400,0),MATCH(Use_Case,'Use Cases'!$A$3:$CZ$3,0)+1)</f>
        <v>0</v>
      </c>
      <c r="L121" s="147">
        <f>INDEX('Use Cases'!$A$3:$CZ$400,MATCH($A121&amp;$B121,'Use Cases'!$A$3:$A$400,0),MATCH(Use_Case,'Use Cases'!$A$3:$CZ$3,0))</f>
        <v>0</v>
      </c>
      <c r="M121" s="129">
        <v>0</v>
      </c>
      <c r="N121" s="109">
        <f t="shared" si="32"/>
        <v>3.0044047356194059</v>
      </c>
      <c r="O121" s="109">
        <f t="shared" si="33"/>
        <v>0</v>
      </c>
      <c r="P121" s="109">
        <f t="shared" si="34"/>
        <v>0</v>
      </c>
      <c r="Q121" s="129">
        <v>0</v>
      </c>
      <c r="R121" s="129">
        <v>0</v>
      </c>
      <c r="S121" s="129">
        <v>0</v>
      </c>
      <c r="T121" s="129">
        <v>0</v>
      </c>
      <c r="U121" s="129">
        <v>0</v>
      </c>
      <c r="V121" s="129">
        <v>0</v>
      </c>
      <c r="W121" s="109" t="s">
        <v>1072</v>
      </c>
      <c r="X121" s="111" t="s">
        <v>220</v>
      </c>
      <c r="Y121" s="111" t="s">
        <v>116</v>
      </c>
      <c r="Z121" s="111" t="s">
        <v>54</v>
      </c>
      <c r="AA121" s="111" t="s">
        <v>54</v>
      </c>
      <c r="AB121" s="111" t="s">
        <v>54</v>
      </c>
      <c r="AC121" s="111">
        <v>1</v>
      </c>
      <c r="AD121" s="110">
        <f t="shared" si="40"/>
        <v>0.17509578544061302</v>
      </c>
      <c r="AE121" s="110">
        <f t="shared" si="40"/>
        <v>0.48</v>
      </c>
      <c r="AF121" s="110">
        <f t="shared" si="40"/>
        <v>0.57599999999999996</v>
      </c>
      <c r="AG121" s="111">
        <f t="shared" si="40"/>
        <v>21</v>
      </c>
      <c r="AH121" s="5" t="s">
        <v>497</v>
      </c>
      <c r="AI121" s="137" t="str">
        <f t="shared" si="38"/>
        <v>sam62_mcu_infra_phys_0</v>
      </c>
    </row>
    <row r="122" spans="1:35" x14ac:dyDescent="0.25">
      <c r="A122" s="5" t="s">
        <v>236</v>
      </c>
      <c r="B122" s="5" t="s">
        <v>18</v>
      </c>
      <c r="C122" s="128" t="str">
        <f t="shared" si="39"/>
        <v>MCUSS AM62</v>
      </c>
      <c r="D122" s="146" t="str">
        <f t="shared" si="39"/>
        <v>sam62_pg10_20211102</v>
      </c>
      <c r="E122" s="109" t="str">
        <f t="shared" si="39"/>
        <v>4 Infra</v>
      </c>
      <c r="F122" s="109" t="str">
        <f t="shared" si="39"/>
        <v>Mix</v>
      </c>
      <c r="G122" s="111">
        <v>1</v>
      </c>
      <c r="H122" s="109">
        <f t="shared" si="36"/>
        <v>6.7772997841869662</v>
      </c>
      <c r="I122" s="111" t="str">
        <f t="shared" si="37"/>
        <v>ON</v>
      </c>
      <c r="J122" s="135">
        <f t="shared" si="31"/>
        <v>333</v>
      </c>
      <c r="K122" s="143">
        <f>INDEX('Use Cases'!$A$3:$CZ$400,MATCH($A122&amp;$B122,'Use Cases'!$A$3:$A$400,0),MATCH(Use_Case,'Use Cases'!$A$3:$CZ$3,0)+1)</f>
        <v>0</v>
      </c>
      <c r="L122" s="147">
        <f>INDEX('Use Cases'!$A$3:$CZ$400,MATCH($A122&amp;$B122,'Use Cases'!$A$3:$A$400,0),MATCH(Use_Case,'Use Cases'!$A$3:$CZ$3,0))</f>
        <v>0</v>
      </c>
      <c r="M122" s="129">
        <v>0</v>
      </c>
      <c r="N122" s="109">
        <f t="shared" si="32"/>
        <v>6.0998520389848547</v>
      </c>
      <c r="O122" s="109">
        <f t="shared" si="33"/>
        <v>0</v>
      </c>
      <c r="P122" s="109">
        <f t="shared" si="34"/>
        <v>0.67744774520211115</v>
      </c>
      <c r="Q122" s="129">
        <v>0</v>
      </c>
      <c r="R122" s="129">
        <v>0</v>
      </c>
      <c r="S122" s="129">
        <v>0</v>
      </c>
      <c r="T122" s="129">
        <v>0</v>
      </c>
      <c r="U122" s="129">
        <v>0</v>
      </c>
      <c r="V122" s="129">
        <v>0</v>
      </c>
      <c r="W122" s="109" t="s">
        <v>1072</v>
      </c>
      <c r="X122" s="111" t="s">
        <v>202</v>
      </c>
      <c r="Y122" s="111" t="s">
        <v>116</v>
      </c>
      <c r="Z122" s="111" t="s">
        <v>54</v>
      </c>
      <c r="AA122" s="111" t="s">
        <v>54</v>
      </c>
      <c r="AB122" s="111" t="s">
        <v>54</v>
      </c>
      <c r="AC122" s="111">
        <v>4</v>
      </c>
      <c r="AD122" s="110">
        <f t="shared" si="40"/>
        <v>0.16296296296296295</v>
      </c>
      <c r="AE122" s="110">
        <f t="shared" si="40"/>
        <v>0.48</v>
      </c>
      <c r="AF122" s="110">
        <f t="shared" si="40"/>
        <v>0.57599999999999996</v>
      </c>
      <c r="AG122" s="111">
        <f t="shared" si="40"/>
        <v>51.1</v>
      </c>
      <c r="AH122" s="5" t="s">
        <v>497</v>
      </c>
      <c r="AI122" s="137" t="str">
        <f t="shared" si="38"/>
        <v>sam62_mcu_wrap_0</v>
      </c>
    </row>
    <row r="123" spans="1:35" x14ac:dyDescent="0.25">
      <c r="A123" s="5" t="s">
        <v>212</v>
      </c>
      <c r="B123" s="5" t="s">
        <v>18</v>
      </c>
      <c r="C123" s="128" t="str">
        <f t="shared" si="39"/>
        <v>ODP Controller AM62</v>
      </c>
      <c r="D123" s="146" t="str">
        <f t="shared" si="39"/>
        <v>sam62_pg10_20211102</v>
      </c>
      <c r="E123" s="109" t="str">
        <f t="shared" si="39"/>
        <v>4 Infra</v>
      </c>
      <c r="F123" s="109" t="str">
        <f t="shared" si="39"/>
        <v>Mix</v>
      </c>
      <c r="G123" s="111">
        <v>1</v>
      </c>
      <c r="H123" s="109">
        <f t="shared" si="36"/>
        <v>0.18208513549208521</v>
      </c>
      <c r="I123" s="111" t="str">
        <f t="shared" si="37"/>
        <v>ON</v>
      </c>
      <c r="J123" s="135">
        <f t="shared" si="31"/>
        <v>500</v>
      </c>
      <c r="K123" s="143">
        <f>INDEX('Use Cases'!$A$3:$CZ$400,MATCH($A123&amp;$B123,'Use Cases'!$A$3:$A$400,0),MATCH(Use_Case,'Use Cases'!$A$3:$CZ$3,0)+1)</f>
        <v>0</v>
      </c>
      <c r="L123" s="147">
        <f>INDEX('Use Cases'!$A$3:$CZ$400,MATCH($A123&amp;$B123,'Use Cases'!$A$3:$A$400,0),MATCH(Use_Case,'Use Cases'!$A$3:$CZ$3,0))</f>
        <v>0</v>
      </c>
      <c r="M123" s="129">
        <v>0</v>
      </c>
      <c r="N123" s="109">
        <f t="shared" si="32"/>
        <v>0.18208513549208521</v>
      </c>
      <c r="O123" s="109">
        <f t="shared" si="33"/>
        <v>0</v>
      </c>
      <c r="P123" s="109">
        <f t="shared" si="34"/>
        <v>0</v>
      </c>
      <c r="Q123" s="129">
        <v>0</v>
      </c>
      <c r="R123" s="129">
        <v>0</v>
      </c>
      <c r="S123" s="129">
        <v>0</v>
      </c>
      <c r="T123" s="129">
        <v>0</v>
      </c>
      <c r="U123" s="129">
        <v>0</v>
      </c>
      <c r="V123" s="129">
        <v>0</v>
      </c>
      <c r="W123" s="109" t="s">
        <v>1072</v>
      </c>
      <c r="X123" s="111" t="s">
        <v>9</v>
      </c>
      <c r="Y123" s="111" t="s">
        <v>116</v>
      </c>
      <c r="Z123" s="111" t="s">
        <v>54</v>
      </c>
      <c r="AA123" s="111" t="s">
        <v>54</v>
      </c>
      <c r="AB123" s="111" t="s">
        <v>54</v>
      </c>
      <c r="AC123" s="111">
        <v>1</v>
      </c>
      <c r="AD123" s="110">
        <f t="shared" si="40"/>
        <v>0.41578947368421054</v>
      </c>
      <c r="AE123" s="110">
        <f t="shared" si="40"/>
        <v>0.43</v>
      </c>
      <c r="AF123" s="110">
        <f t="shared" si="40"/>
        <v>0.51600000000000001</v>
      </c>
      <c r="AG123" s="111">
        <f t="shared" si="40"/>
        <v>2</v>
      </c>
      <c r="AH123" s="5" t="s">
        <v>497</v>
      </c>
      <c r="AI123" s="137" t="str">
        <f t="shared" si="38"/>
        <v>sam62_odp_ctrl_wrap_0</v>
      </c>
    </row>
    <row r="124" spans="1:35" x14ac:dyDescent="0.25">
      <c r="A124" s="5" t="s">
        <v>262</v>
      </c>
      <c r="B124" s="5" t="s">
        <v>18</v>
      </c>
      <c r="C124" s="128" t="str">
        <f t="shared" si="39"/>
        <v>HSM AM62</v>
      </c>
      <c r="D124" s="146" t="str">
        <f t="shared" si="39"/>
        <v>sam62_pg10_20211102</v>
      </c>
      <c r="E124" s="109" t="str">
        <f t="shared" si="39"/>
        <v>4 Infra</v>
      </c>
      <c r="F124" s="109" t="str">
        <f t="shared" si="39"/>
        <v>Security</v>
      </c>
      <c r="G124" s="111">
        <v>1</v>
      </c>
      <c r="H124" s="109">
        <f t="shared" si="36"/>
        <v>270.46419501826955</v>
      </c>
      <c r="I124" s="111" t="str">
        <f t="shared" si="37"/>
        <v>ON</v>
      </c>
      <c r="J124" s="135">
        <f t="shared" si="31"/>
        <v>400</v>
      </c>
      <c r="K124" s="143">
        <f>INDEX('Use Cases'!$A$3:$CZ$400,MATCH($A124&amp;$B124,'Use Cases'!$A$3:$A$400,0),MATCH(Use_Case,'Use Cases'!$A$3:$CZ$3,0)+1)</f>
        <v>0</v>
      </c>
      <c r="L124" s="147">
        <f>INDEX('Use Cases'!$A$3:$CZ$400,MATCH($A124&amp;$B124,'Use Cases'!$A$3:$A$400,0),MATCH(Use_Case,'Use Cases'!$A$3:$CZ$3,0))</f>
        <v>1</v>
      </c>
      <c r="M124" s="129">
        <v>0</v>
      </c>
      <c r="N124" s="109">
        <f t="shared" si="32"/>
        <v>57.083689976768717</v>
      </c>
      <c r="O124" s="109">
        <f t="shared" si="33"/>
        <v>194.63778409090912</v>
      </c>
      <c r="P124" s="109">
        <f t="shared" si="34"/>
        <v>18.742720950591742</v>
      </c>
      <c r="Q124" s="129">
        <v>0</v>
      </c>
      <c r="R124" s="129">
        <v>0</v>
      </c>
      <c r="S124" s="129">
        <v>0</v>
      </c>
      <c r="T124" s="129">
        <v>0</v>
      </c>
      <c r="U124" s="129">
        <v>0</v>
      </c>
      <c r="V124" s="129">
        <v>0</v>
      </c>
      <c r="W124" s="109" t="s">
        <v>1072</v>
      </c>
      <c r="X124" s="111" t="s">
        <v>344</v>
      </c>
      <c r="Y124" s="111" t="s">
        <v>116</v>
      </c>
      <c r="Z124" s="111" t="s">
        <v>54</v>
      </c>
      <c r="AA124" s="111" t="s">
        <v>54</v>
      </c>
      <c r="AB124" s="111" t="s">
        <v>54</v>
      </c>
      <c r="AC124" s="111">
        <v>2</v>
      </c>
      <c r="AD124" s="110">
        <f t="shared" si="40"/>
        <v>0.12081407484717459</v>
      </c>
      <c r="AE124" s="110">
        <f t="shared" si="40"/>
        <v>0.4</v>
      </c>
      <c r="AF124" s="110">
        <f t="shared" si="40"/>
        <v>0.48</v>
      </c>
      <c r="AG124" s="111">
        <f t="shared" si="40"/>
        <v>669.9</v>
      </c>
      <c r="AH124" s="5" t="s">
        <v>497</v>
      </c>
      <c r="AI124" s="137" t="str">
        <f t="shared" si="38"/>
        <v>sam62_sec_wrap_0</v>
      </c>
    </row>
    <row r="125" spans="1:35" x14ac:dyDescent="0.25">
      <c r="A125" s="5" t="s">
        <v>185</v>
      </c>
      <c r="B125" s="5" t="s">
        <v>18</v>
      </c>
      <c r="C125" s="128" t="str">
        <f t="shared" si="39"/>
        <v>AM62X Top</v>
      </c>
      <c r="D125" s="146" t="str">
        <f t="shared" si="39"/>
        <v>sam62_pg10_20211102</v>
      </c>
      <c r="E125" s="109" t="str">
        <f t="shared" si="39"/>
        <v>4 Infra</v>
      </c>
      <c r="F125" s="109" t="str">
        <f t="shared" si="39"/>
        <v>Top</v>
      </c>
      <c r="G125" s="111">
        <v>1</v>
      </c>
      <c r="H125" s="109">
        <f t="shared" si="36"/>
        <v>43.039463476264181</v>
      </c>
      <c r="I125" s="111" t="str">
        <f t="shared" si="37"/>
        <v>ON</v>
      </c>
      <c r="J125" s="135">
        <f t="shared" si="31"/>
        <v>250</v>
      </c>
      <c r="K125" s="143">
        <f>INDEX('Use Cases'!$A$3:$CZ$400,MATCH($A125&amp;$B125,'Use Cases'!$A$3:$A$400,0),MATCH(Use_Case,'Use Cases'!$A$3:$CZ$3,0)+1)</f>
        <v>0</v>
      </c>
      <c r="L125" s="147">
        <f>INDEX('Use Cases'!$A$3:$CZ$400,MATCH($A125&amp;$B125,'Use Cases'!$A$3:$A$400,0),MATCH(Use_Case,'Use Cases'!$A$3:$CZ$3,0))</f>
        <v>0</v>
      </c>
      <c r="M125" s="129">
        <v>0</v>
      </c>
      <c r="N125" s="109">
        <f t="shared" si="32"/>
        <v>43.039463476264181</v>
      </c>
      <c r="O125" s="109">
        <f t="shared" si="33"/>
        <v>0</v>
      </c>
      <c r="P125" s="109">
        <f t="shared" si="34"/>
        <v>0</v>
      </c>
      <c r="Q125" s="129">
        <v>0</v>
      </c>
      <c r="R125" s="129">
        <v>0</v>
      </c>
      <c r="S125" s="129">
        <v>0</v>
      </c>
      <c r="T125" s="129">
        <v>0</v>
      </c>
      <c r="U125" s="129">
        <v>0</v>
      </c>
      <c r="V125" s="129">
        <v>0</v>
      </c>
      <c r="W125" s="109" t="s">
        <v>1072</v>
      </c>
      <c r="X125" s="111" t="s">
        <v>9</v>
      </c>
      <c r="Y125" s="111" t="s">
        <v>116</v>
      </c>
      <c r="Z125" s="111" t="s">
        <v>54</v>
      </c>
      <c r="AA125" s="111" t="s">
        <v>54</v>
      </c>
      <c r="AB125" s="111" t="s">
        <v>54</v>
      </c>
      <c r="AC125" s="111">
        <v>4</v>
      </c>
      <c r="AD125" s="110">
        <f t="shared" si="40"/>
        <v>0.15</v>
      </c>
      <c r="AE125" s="110">
        <f t="shared" si="40"/>
        <v>0.4</v>
      </c>
      <c r="AF125" s="110">
        <f t="shared" si="40"/>
        <v>0.48</v>
      </c>
      <c r="AG125" s="111">
        <f t="shared" si="40"/>
        <v>136</v>
      </c>
      <c r="AH125" s="5" t="s">
        <v>497</v>
      </c>
      <c r="AI125" s="137" t="str">
        <f t="shared" si="38"/>
        <v>sam62_core_0</v>
      </c>
    </row>
    <row r="126" spans="1:35" x14ac:dyDescent="0.25">
      <c r="A126" s="5" t="s">
        <v>221</v>
      </c>
      <c r="B126" s="5" t="s">
        <v>18</v>
      </c>
      <c r="C126" s="128" t="str">
        <f t="shared" si="39"/>
        <v>PLL Controller AM62</v>
      </c>
      <c r="D126" s="146" t="str">
        <f t="shared" si="39"/>
        <v>sam62_pg10_20211102</v>
      </c>
      <c r="E126" s="109" t="str">
        <f t="shared" si="39"/>
        <v>4 Infra</v>
      </c>
      <c r="F126" s="109" t="str">
        <f t="shared" si="39"/>
        <v>Mix</v>
      </c>
      <c r="G126" s="111">
        <v>2</v>
      </c>
      <c r="H126" s="109">
        <f t="shared" si="36"/>
        <v>0.91042567746042602</v>
      </c>
      <c r="I126" s="111" t="str">
        <f t="shared" si="37"/>
        <v>ON</v>
      </c>
      <c r="J126" s="135">
        <f t="shared" si="31"/>
        <v>500</v>
      </c>
      <c r="K126" s="143">
        <f>INDEX('Use Cases'!$A$3:$CZ$400,MATCH($A126&amp;$B126,'Use Cases'!$A$3:$A$400,0),MATCH(Use_Case,'Use Cases'!$A$3:$CZ$3,0)+1)</f>
        <v>0</v>
      </c>
      <c r="L126" s="147">
        <f>INDEX('Use Cases'!$A$3:$CZ$400,MATCH($A126&amp;$B126,'Use Cases'!$A$3:$A$400,0),MATCH(Use_Case,'Use Cases'!$A$3:$CZ$3,0))</f>
        <v>0</v>
      </c>
      <c r="M126" s="129">
        <v>0</v>
      </c>
      <c r="N126" s="109">
        <f t="shared" si="32"/>
        <v>0.91042567746042602</v>
      </c>
      <c r="O126" s="109">
        <f t="shared" si="33"/>
        <v>0</v>
      </c>
      <c r="P126" s="109">
        <f t="shared" si="34"/>
        <v>0</v>
      </c>
      <c r="Q126" s="129">
        <v>0</v>
      </c>
      <c r="R126" s="129">
        <v>0</v>
      </c>
      <c r="S126" s="129">
        <v>0</v>
      </c>
      <c r="T126" s="129">
        <v>0</v>
      </c>
      <c r="U126" s="129">
        <v>0</v>
      </c>
      <c r="V126" s="129">
        <v>0</v>
      </c>
      <c r="W126" s="109" t="s">
        <v>1072</v>
      </c>
      <c r="X126" s="111" t="s">
        <v>9</v>
      </c>
      <c r="Y126" s="111" t="s">
        <v>116</v>
      </c>
      <c r="Z126" s="111" t="s">
        <v>54</v>
      </c>
      <c r="AA126" s="111" t="s">
        <v>54</v>
      </c>
      <c r="AB126" s="111" t="s">
        <v>54</v>
      </c>
      <c r="AC126" s="111">
        <v>0</v>
      </c>
      <c r="AD126" s="110">
        <f t="shared" si="40"/>
        <v>0.37301587301587302</v>
      </c>
      <c r="AE126" s="110">
        <f t="shared" si="40"/>
        <v>0.26</v>
      </c>
      <c r="AF126" s="110">
        <f t="shared" si="40"/>
        <v>0.312</v>
      </c>
      <c r="AG126" s="111">
        <f t="shared" si="40"/>
        <v>6.3</v>
      </c>
      <c r="AH126" s="5" t="s">
        <v>497</v>
      </c>
      <c r="AI126" s="137" t="str">
        <f t="shared" si="38"/>
        <v>sam62_pll_ctrl_wrap_0</v>
      </c>
    </row>
    <row r="128" spans="1:35" x14ac:dyDescent="0.25">
      <c r="H128" s="187">
        <f>SUM(H2:H126)</f>
        <v>2488.5496784790439</v>
      </c>
    </row>
  </sheetData>
  <autoFilter ref="A1:AH126" xr:uid="{D2D23DC5-99CC-4E61-8E0A-834EC3FF0C3B}">
    <sortState xmlns:xlrd2="http://schemas.microsoft.com/office/spreadsheetml/2017/richdata2" ref="A2:AH126">
      <sortCondition ref="W1:W126"/>
    </sortState>
  </autoFilter>
  <sortState xmlns:xlrd2="http://schemas.microsoft.com/office/spreadsheetml/2017/richdata2" ref="A2:AI126">
    <sortCondition ref="E2:E126"/>
    <sortCondition ref="G2:G126"/>
    <sortCondition ref="K2:K126"/>
  </sortState>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DBA16-56A1-4899-946C-D2C9A32DABED}">
  <sheetPr codeName="Sheet8" filterMode="1">
    <tabColor theme="9" tint="0.39997558519241921"/>
  </sheetPr>
  <dimension ref="A1:Y1647"/>
  <sheetViews>
    <sheetView topLeftCell="A16" zoomScale="175" zoomScaleNormal="175" workbookViewId="0">
      <selection activeCell="F926" sqref="F926:F940"/>
    </sheetView>
  </sheetViews>
  <sheetFormatPr defaultColWidth="8.85546875" defaultRowHeight="15" x14ac:dyDescent="0.25"/>
  <cols>
    <col min="1" max="1" width="40.42578125" style="3" customWidth="1"/>
    <col min="2" max="2" width="25.85546875" style="3" customWidth="1"/>
    <col min="3" max="3" width="12.42578125" style="3" customWidth="1"/>
    <col min="4" max="4" width="22.85546875" style="3" customWidth="1"/>
    <col min="5" max="5" width="9.5703125" style="3" customWidth="1"/>
    <col min="6" max="6" width="17.42578125" style="3" customWidth="1"/>
    <col min="7" max="7" width="41.140625" style="3" customWidth="1"/>
    <col min="8" max="8" width="8.85546875" style="3" customWidth="1"/>
    <col min="9" max="11" width="8.85546875" customWidth="1"/>
    <col min="12" max="12" width="34.140625" customWidth="1"/>
    <col min="26" max="16384" width="8.85546875" style="3"/>
  </cols>
  <sheetData>
    <row r="1" spans="1:8" ht="20.25" thickBot="1" x14ac:dyDescent="0.35">
      <c r="A1" s="115" t="s">
        <v>1126</v>
      </c>
    </row>
    <row r="2" spans="1:8" ht="15.75" thickTop="1" x14ac:dyDescent="0.25"/>
    <row r="3" spans="1:8" x14ac:dyDescent="0.25">
      <c r="A3" s="35" t="s">
        <v>452</v>
      </c>
      <c r="B3" s="100"/>
      <c r="C3" s="100"/>
      <c r="D3" s="100"/>
      <c r="E3" s="100"/>
      <c r="F3" s="100"/>
      <c r="G3" s="100"/>
    </row>
    <row r="4" spans="1:8" x14ac:dyDescent="0.25">
      <c r="A4" s="101" t="s">
        <v>1011</v>
      </c>
      <c r="B4" s="101"/>
      <c r="C4" s="101"/>
      <c r="D4" s="101"/>
      <c r="E4" s="101"/>
      <c r="F4" s="101"/>
      <c r="G4" s="101"/>
    </row>
    <row r="5" spans="1:8" x14ac:dyDescent="0.25">
      <c r="A5" s="3" t="s">
        <v>1012</v>
      </c>
    </row>
    <row r="6" spans="1:8" x14ac:dyDescent="0.25">
      <c r="A6" s="3" t="s">
        <v>1013</v>
      </c>
    </row>
    <row r="8" spans="1:8" x14ac:dyDescent="0.25">
      <c r="A8" s="33" t="s">
        <v>1041</v>
      </c>
      <c r="B8" s="34" t="s">
        <v>1119</v>
      </c>
      <c r="C8" s="34" t="s">
        <v>1044</v>
      </c>
      <c r="D8" s="33"/>
      <c r="E8" s="33"/>
      <c r="F8" s="33"/>
      <c r="G8" s="33"/>
    </row>
    <row r="9" spans="1:8" x14ac:dyDescent="0.25">
      <c r="A9" s="102" t="s">
        <v>1117</v>
      </c>
      <c r="B9" s="103" t="s">
        <v>1049</v>
      </c>
      <c r="C9" s="103" t="s">
        <v>1118</v>
      </c>
      <c r="D9" s="103"/>
      <c r="E9" s="103"/>
      <c r="F9" s="103"/>
      <c r="G9" s="103"/>
    </row>
    <row r="10" spans="1:8" x14ac:dyDescent="0.25">
      <c r="A10" s="102" t="s">
        <v>1042</v>
      </c>
      <c r="B10" s="103" t="s">
        <v>1038</v>
      </c>
      <c r="C10" s="103" t="s">
        <v>1045</v>
      </c>
      <c r="D10" s="103"/>
      <c r="E10" s="103"/>
      <c r="F10" s="103"/>
      <c r="G10" s="103"/>
    </row>
    <row r="11" spans="1:8" x14ac:dyDescent="0.25">
      <c r="A11" s="102" t="s">
        <v>1043</v>
      </c>
      <c r="B11" s="103" t="s">
        <v>1050</v>
      </c>
      <c r="C11" s="103" t="s">
        <v>1130</v>
      </c>
      <c r="D11" s="103"/>
      <c r="E11" s="103"/>
      <c r="F11" s="103"/>
      <c r="G11" s="103"/>
    </row>
    <row r="12" spans="1:8" x14ac:dyDescent="0.25">
      <c r="A12" s="102" t="s">
        <v>1043</v>
      </c>
      <c r="B12" s="103" t="s">
        <v>1051</v>
      </c>
      <c r="C12" s="103" t="s">
        <v>1131</v>
      </c>
      <c r="D12" s="103"/>
      <c r="E12" s="103"/>
      <c r="F12" s="103"/>
      <c r="G12" s="103"/>
    </row>
    <row r="13" spans="1:8" x14ac:dyDescent="0.25">
      <c r="A13" s="102" t="s">
        <v>1046</v>
      </c>
      <c r="B13" s="103" t="s">
        <v>1039</v>
      </c>
      <c r="C13" s="103" t="s">
        <v>1115</v>
      </c>
      <c r="D13" s="103"/>
      <c r="E13" s="103"/>
      <c r="F13" s="103"/>
      <c r="G13" s="103"/>
    </row>
    <row r="14" spans="1:8" x14ac:dyDescent="0.25">
      <c r="A14" s="3" t="s">
        <v>1094</v>
      </c>
      <c r="B14" s="3" t="s">
        <v>1072</v>
      </c>
      <c r="C14" s="3" t="s">
        <v>1116</v>
      </c>
    </row>
    <row r="16" spans="1:8" customFormat="1" x14ac:dyDescent="0.25">
      <c r="A16" s="33" t="s">
        <v>370</v>
      </c>
      <c r="B16" s="34" t="s">
        <v>371</v>
      </c>
      <c r="C16" s="34" t="s">
        <v>365</v>
      </c>
      <c r="D16" s="33" t="s">
        <v>451</v>
      </c>
      <c r="E16" s="33" t="s">
        <v>1040</v>
      </c>
      <c r="F16" s="33" t="s">
        <v>366</v>
      </c>
      <c r="G16" s="33" t="s">
        <v>383</v>
      </c>
      <c r="H16" s="33" t="s">
        <v>1198</v>
      </c>
    </row>
    <row r="17" spans="1:8" customFormat="1" hidden="1" x14ac:dyDescent="0.25">
      <c r="A17" s="97" t="str">
        <f t="shared" ref="A17:A80" si="0">B17&amp;"_"&amp;C17</f>
        <v>n16_core_vdd3p3_clamp_Description</v>
      </c>
      <c r="B17" s="97" t="s">
        <v>79</v>
      </c>
      <c r="C17" s="98" t="s">
        <v>67</v>
      </c>
      <c r="D17" s="97"/>
      <c r="E17" s="97" t="s">
        <v>1038</v>
      </c>
      <c r="F17" s="97" t="s">
        <v>90</v>
      </c>
      <c r="G17" s="97" t="s">
        <v>570</v>
      </c>
      <c r="H17" s="5"/>
    </row>
    <row r="18" spans="1:8" customFormat="1" hidden="1" x14ac:dyDescent="0.25">
      <c r="A18" s="97" t="str">
        <f t="shared" si="0"/>
        <v>PRCUTLvcMOS_Description</v>
      </c>
      <c r="B18" s="97" t="s">
        <v>110</v>
      </c>
      <c r="C18" s="98" t="s">
        <v>67</v>
      </c>
      <c r="D18" s="97"/>
      <c r="E18" s="97" t="s">
        <v>1038</v>
      </c>
      <c r="F18" s="97" t="s">
        <v>91</v>
      </c>
      <c r="G18" s="97" t="s">
        <v>1155</v>
      </c>
      <c r="H18" s="5"/>
    </row>
    <row r="19" spans="1:8" customFormat="1" hidden="1" x14ac:dyDescent="0.25">
      <c r="A19" s="97" t="str">
        <f t="shared" si="0"/>
        <v>n16_core_vdd_clamp_Description</v>
      </c>
      <c r="B19" s="97" t="s">
        <v>398</v>
      </c>
      <c r="C19" s="98" t="s">
        <v>67</v>
      </c>
      <c r="D19" s="97"/>
      <c r="E19" s="97" t="s">
        <v>1038</v>
      </c>
      <c r="F19" s="97" t="s">
        <v>112</v>
      </c>
      <c r="G19" s="97" t="s">
        <v>570</v>
      </c>
      <c r="H19" s="5"/>
    </row>
    <row r="20" spans="1:8" customFormat="1" hidden="1" x14ac:dyDescent="0.25">
      <c r="A20" s="97" t="str">
        <f t="shared" si="0"/>
        <v>n16_core_vdda_clamp_Description</v>
      </c>
      <c r="B20" s="97" t="s">
        <v>399</v>
      </c>
      <c r="C20" s="98" t="s">
        <v>67</v>
      </c>
      <c r="D20" s="97"/>
      <c r="E20" s="97" t="s">
        <v>1038</v>
      </c>
      <c r="F20" s="97" t="s">
        <v>89</v>
      </c>
      <c r="G20" s="97" t="s">
        <v>570</v>
      </c>
      <c r="H20" s="5"/>
    </row>
    <row r="21" spans="1:8" customFormat="1" hidden="1" x14ac:dyDescent="0.25">
      <c r="A21" s="97" t="str">
        <f t="shared" si="0"/>
        <v>n16_core_sig_esd_secondary_Description</v>
      </c>
      <c r="B21" s="97" t="s">
        <v>400</v>
      </c>
      <c r="C21" s="98" t="s">
        <v>67</v>
      </c>
      <c r="D21" s="97"/>
      <c r="E21" s="97" t="s">
        <v>1038</v>
      </c>
      <c r="F21" s="97" t="s">
        <v>87</v>
      </c>
      <c r="G21" s="97" t="s">
        <v>570</v>
      </c>
      <c r="H21" s="5"/>
    </row>
    <row r="22" spans="1:8" customFormat="1" hidden="1" x14ac:dyDescent="0.25">
      <c r="A22" s="97" t="str">
        <f t="shared" si="0"/>
        <v>PDBODPMACRO_Description</v>
      </c>
      <c r="B22" s="97" t="s">
        <v>397</v>
      </c>
      <c r="C22" s="98" t="s">
        <v>67</v>
      </c>
      <c r="D22" s="97"/>
      <c r="E22" s="97" t="s">
        <v>1038</v>
      </c>
      <c r="F22" s="97" t="s">
        <v>88</v>
      </c>
      <c r="G22" s="97" t="s">
        <v>562</v>
      </c>
      <c r="H22" s="5"/>
    </row>
    <row r="23" spans="1:8" customFormat="1" hidden="1" x14ac:dyDescent="0.25">
      <c r="A23" s="97" t="str">
        <f t="shared" si="0"/>
        <v>PDIDGZRESET_C161202_Description</v>
      </c>
      <c r="B23" s="97" t="s">
        <v>394</v>
      </c>
      <c r="C23" s="98" t="s">
        <v>67</v>
      </c>
      <c r="D23" s="97"/>
      <c r="E23" s="97" t="s">
        <v>1038</v>
      </c>
      <c r="F23" s="97" t="s">
        <v>612</v>
      </c>
      <c r="G23" s="97" t="s">
        <v>561</v>
      </c>
      <c r="H23" s="5"/>
    </row>
    <row r="24" spans="1:8" customFormat="1" hidden="1" x14ac:dyDescent="0.25">
      <c r="A24" s="97" t="str">
        <f t="shared" si="0"/>
        <v>PVDD1CDGM_C161202_Description</v>
      </c>
      <c r="B24" s="97" t="s">
        <v>393</v>
      </c>
      <c r="C24" s="98" t="s">
        <v>67</v>
      </c>
      <c r="D24" s="97"/>
      <c r="E24" s="97" t="s">
        <v>1038</v>
      </c>
      <c r="F24" s="97" t="s">
        <v>609</v>
      </c>
      <c r="G24" s="97" t="s">
        <v>611</v>
      </c>
      <c r="H24" s="5"/>
    </row>
    <row r="25" spans="1:8" customFormat="1" hidden="1" x14ac:dyDescent="0.25">
      <c r="A25" s="97" t="str">
        <f t="shared" si="0"/>
        <v>PVDD2CDGM_C161202_Description</v>
      </c>
      <c r="B25" s="97" t="s">
        <v>392</v>
      </c>
      <c r="C25" s="98" t="s">
        <v>67</v>
      </c>
      <c r="D25" s="97"/>
      <c r="E25" s="97" t="s">
        <v>1038</v>
      </c>
      <c r="F25" s="97" t="s">
        <v>610</v>
      </c>
      <c r="G25" s="97" t="s">
        <v>1158</v>
      </c>
      <c r="H25" s="5"/>
    </row>
    <row r="26" spans="1:8" customFormat="1" hidden="1" x14ac:dyDescent="0.25">
      <c r="A26" s="97" t="str">
        <f t="shared" si="0"/>
        <v>PVDD3LDOLVCMOS_Description</v>
      </c>
      <c r="B26" s="97" t="s">
        <v>386</v>
      </c>
      <c r="C26" s="98" t="s">
        <v>67</v>
      </c>
      <c r="D26" s="97"/>
      <c r="E26" s="97" t="s">
        <v>1038</v>
      </c>
      <c r="F26" s="97" t="s">
        <v>66</v>
      </c>
      <c r="G26" s="97" t="s">
        <v>1158</v>
      </c>
      <c r="H26" s="5"/>
    </row>
    <row r="27" spans="1:8" customFormat="1" hidden="1" x14ac:dyDescent="0.25">
      <c r="A27" s="97" t="str">
        <f t="shared" si="0"/>
        <v>PRBOPDDGZIIC_Description</v>
      </c>
      <c r="B27" s="97" t="s">
        <v>391</v>
      </c>
      <c r="C27" s="98" t="s">
        <v>67</v>
      </c>
      <c r="D27" s="97"/>
      <c r="E27" s="97" t="s">
        <v>1038</v>
      </c>
      <c r="F27" s="97" t="s">
        <v>48</v>
      </c>
      <c r="G27" s="97" t="s">
        <v>1154</v>
      </c>
      <c r="H27" s="5"/>
    </row>
    <row r="28" spans="1:8" customFormat="1" hidden="1" x14ac:dyDescent="0.25">
      <c r="A28" s="97" t="str">
        <f t="shared" si="0"/>
        <v>PCBRTEPOCODIO_Description</v>
      </c>
      <c r="B28" s="97" t="s">
        <v>387</v>
      </c>
      <c r="C28" s="98" t="s">
        <v>67</v>
      </c>
      <c r="D28" s="97"/>
      <c r="E28" s="97" t="s">
        <v>1038</v>
      </c>
      <c r="F28" s="97" t="s">
        <v>63</v>
      </c>
      <c r="G28" s="97" t="s">
        <v>563</v>
      </c>
      <c r="H28" s="5"/>
    </row>
    <row r="29" spans="1:8" customFormat="1" hidden="1" x14ac:dyDescent="0.25">
      <c r="A29" s="97" t="str">
        <f t="shared" si="0"/>
        <v>PVDD1LVCMOSM_Description</v>
      </c>
      <c r="B29" s="97" t="s">
        <v>388</v>
      </c>
      <c r="C29" s="98" t="s">
        <v>67</v>
      </c>
      <c r="D29" s="97"/>
      <c r="E29" s="97" t="s">
        <v>1038</v>
      </c>
      <c r="F29" s="97" t="s">
        <v>64</v>
      </c>
      <c r="G29" s="97" t="s">
        <v>1158</v>
      </c>
      <c r="H29" s="5"/>
    </row>
    <row r="30" spans="1:8" customFormat="1" hidden="1" x14ac:dyDescent="0.25">
      <c r="A30" s="97" t="str">
        <f t="shared" si="0"/>
        <v>PVDD3LVCMOSM_Description</v>
      </c>
      <c r="B30" s="97" t="s">
        <v>389</v>
      </c>
      <c r="C30" s="98" t="s">
        <v>67</v>
      </c>
      <c r="D30" s="97"/>
      <c r="E30" s="97" t="s">
        <v>1038</v>
      </c>
      <c r="F30" s="97" t="s">
        <v>181</v>
      </c>
      <c r="G30" s="97" t="s">
        <v>1158</v>
      </c>
      <c r="H30" s="5"/>
    </row>
    <row r="31" spans="1:8" customFormat="1" hidden="1" x14ac:dyDescent="0.25">
      <c r="A31" s="97" t="str">
        <f t="shared" si="0"/>
        <v>PRWDWUWSWEWCDGLVCMOS_Description</v>
      </c>
      <c r="B31" s="97" t="s">
        <v>395</v>
      </c>
      <c r="C31" s="98" t="s">
        <v>67</v>
      </c>
      <c r="D31" s="97"/>
      <c r="E31" s="97" t="s">
        <v>1038</v>
      </c>
      <c r="F31" s="97" t="s">
        <v>65</v>
      </c>
      <c r="G31" s="97" t="s">
        <v>1156</v>
      </c>
      <c r="H31" s="5"/>
    </row>
    <row r="32" spans="1:8" customFormat="1" hidden="1" x14ac:dyDescent="0.25">
      <c r="A32" s="97" t="str">
        <f t="shared" si="0"/>
        <v>PLLTS16FFCLAFRACF_Description</v>
      </c>
      <c r="B32" s="97" t="s">
        <v>78</v>
      </c>
      <c r="C32" s="98" t="s">
        <v>67</v>
      </c>
      <c r="D32" s="97"/>
      <c r="E32" s="97" t="s">
        <v>1038</v>
      </c>
      <c r="F32" s="97" t="s">
        <v>55</v>
      </c>
      <c r="G32" s="97" t="s">
        <v>559</v>
      </c>
      <c r="H32" s="5"/>
    </row>
    <row r="33" spans="1:8" customFormat="1" hidden="1" x14ac:dyDescent="0.25">
      <c r="A33" s="97" t="str">
        <f t="shared" si="0"/>
        <v>PGD_Description</v>
      </c>
      <c r="B33" s="97" t="s">
        <v>11</v>
      </c>
      <c r="C33" s="98" t="s">
        <v>67</v>
      </c>
      <c r="D33" s="97"/>
      <c r="E33" s="97" t="s">
        <v>1038</v>
      </c>
      <c r="F33" s="97" t="s">
        <v>11</v>
      </c>
      <c r="G33" s="97" t="s">
        <v>560</v>
      </c>
      <c r="H33" s="5"/>
    </row>
    <row r="34" spans="1:8" customFormat="1" hidden="1" x14ac:dyDescent="0.25">
      <c r="A34" s="97" t="str">
        <f t="shared" si="0"/>
        <v>N16FFC_POK_Description</v>
      </c>
      <c r="B34" s="97" t="s">
        <v>80</v>
      </c>
      <c r="C34" s="98" t="s">
        <v>67</v>
      </c>
      <c r="D34" s="97"/>
      <c r="E34" s="97" t="s">
        <v>1038</v>
      </c>
      <c r="F34" s="97" t="s">
        <v>12</v>
      </c>
      <c r="G34" s="97" t="s">
        <v>567</v>
      </c>
      <c r="H34" s="5"/>
    </row>
    <row r="35" spans="1:8" customFormat="1" hidden="1" x14ac:dyDescent="0.25">
      <c r="A35" s="97" t="str">
        <f t="shared" si="0"/>
        <v>N16FFC_POKSA_Description</v>
      </c>
      <c r="B35" s="97" t="s">
        <v>83</v>
      </c>
      <c r="C35" s="98" t="s">
        <v>67</v>
      </c>
      <c r="D35" s="97"/>
      <c r="E35" s="97" t="s">
        <v>1038</v>
      </c>
      <c r="F35" s="97" t="s">
        <v>56</v>
      </c>
      <c r="G35" s="97" t="s">
        <v>567</v>
      </c>
      <c r="H35" s="5"/>
    </row>
    <row r="36" spans="1:8" customFormat="1" hidden="1" x14ac:dyDescent="0.25">
      <c r="A36" s="97" t="str">
        <f t="shared" si="0"/>
        <v>TEF16FCLL256X32HD18_PHRM_Description</v>
      </c>
      <c r="B36" s="97" t="s">
        <v>74</v>
      </c>
      <c r="C36" s="98" t="s">
        <v>67</v>
      </c>
      <c r="D36" s="97"/>
      <c r="E36" s="97" t="s">
        <v>1038</v>
      </c>
      <c r="F36" s="97" t="s">
        <v>614</v>
      </c>
      <c r="G36" s="97" t="s">
        <v>1162</v>
      </c>
      <c r="H36" s="5"/>
    </row>
    <row r="37" spans="1:8" customFormat="1" hidden="1" x14ac:dyDescent="0.25">
      <c r="A37" s="97" t="str">
        <f t="shared" si="0"/>
        <v>DIVTS16FFC1TO128A_Description</v>
      </c>
      <c r="B37" s="97" t="s">
        <v>85</v>
      </c>
      <c r="C37" s="98" t="s">
        <v>67</v>
      </c>
      <c r="D37" s="97"/>
      <c r="E37" s="97" t="s">
        <v>1038</v>
      </c>
      <c r="F37" s="97" t="s">
        <v>10</v>
      </c>
      <c r="G37" s="97" t="s">
        <v>1141</v>
      </c>
      <c r="H37" s="5"/>
    </row>
    <row r="38" spans="1:8" customFormat="1" hidden="1" x14ac:dyDescent="0.25">
      <c r="A38" s="97" t="str">
        <f t="shared" si="0"/>
        <v>sd0901_rx4_Description</v>
      </c>
      <c r="B38" s="97" t="s">
        <v>607</v>
      </c>
      <c r="C38" s="98" t="s">
        <v>67</v>
      </c>
      <c r="D38" s="97"/>
      <c r="E38" s="97" t="s">
        <v>1038</v>
      </c>
      <c r="F38" s="97" t="s">
        <v>28</v>
      </c>
      <c r="G38" s="97" t="s">
        <v>1159</v>
      </c>
      <c r="H38" s="5"/>
    </row>
    <row r="39" spans="1:8" customFormat="1" hidden="1" x14ac:dyDescent="0.25">
      <c r="A39" s="97" t="str">
        <f t="shared" si="0"/>
        <v>sd1000_Description</v>
      </c>
      <c r="B39" s="97" t="s">
        <v>608</v>
      </c>
      <c r="C39" s="98" t="s">
        <v>67</v>
      </c>
      <c r="D39" s="97"/>
      <c r="E39" s="97" t="s">
        <v>1038</v>
      </c>
      <c r="F39" s="97" t="s">
        <v>14</v>
      </c>
      <c r="G39" s="97" t="s">
        <v>1160</v>
      </c>
      <c r="H39" s="5"/>
    </row>
    <row r="40" spans="1:8" customFormat="1" hidden="1" x14ac:dyDescent="0.25">
      <c r="A40" s="97" t="str">
        <f t="shared" si="0"/>
        <v>N16FFC_HFXOSC_Description</v>
      </c>
      <c r="B40" s="97" t="s">
        <v>77</v>
      </c>
      <c r="C40" s="98" t="s">
        <v>67</v>
      </c>
      <c r="D40" s="97"/>
      <c r="E40" s="97" t="s">
        <v>1038</v>
      </c>
      <c r="F40" s="97" t="s">
        <v>59</v>
      </c>
      <c r="G40" s="97" t="s">
        <v>569</v>
      </c>
      <c r="H40" s="5"/>
    </row>
    <row r="41" spans="1:8" customFormat="1" hidden="1" x14ac:dyDescent="0.25">
      <c r="A41" s="97" t="str">
        <f t="shared" si="0"/>
        <v>N16FFC_LFXOSC_Description</v>
      </c>
      <c r="B41" s="97" t="s">
        <v>76</v>
      </c>
      <c r="C41" s="98" t="s">
        <v>67</v>
      </c>
      <c r="D41" s="97"/>
      <c r="E41" s="97" t="s">
        <v>1038</v>
      </c>
      <c r="F41" s="97" t="s">
        <v>60</v>
      </c>
      <c r="G41" s="97" t="s">
        <v>568</v>
      </c>
      <c r="H41" s="5"/>
    </row>
    <row r="42" spans="1:8" customFormat="1" hidden="1" x14ac:dyDescent="0.25">
      <c r="A42" s="97" t="str">
        <f t="shared" si="0"/>
        <v>N16FFC_RCOSC_Description</v>
      </c>
      <c r="B42" s="97" t="s">
        <v>84</v>
      </c>
      <c r="C42" s="98" t="s">
        <v>67</v>
      </c>
      <c r="D42" s="97"/>
      <c r="E42" s="97" t="s">
        <v>1038</v>
      </c>
      <c r="F42" s="97" t="s">
        <v>157</v>
      </c>
      <c r="G42" s="97" t="s">
        <v>565</v>
      </c>
      <c r="H42" s="5"/>
    </row>
    <row r="43" spans="1:8" customFormat="1" hidden="1" x14ac:dyDescent="0.25">
      <c r="A43" s="97" t="str">
        <f t="shared" si="0"/>
        <v>TODP16FFC18_C170915_Description</v>
      </c>
      <c r="B43" s="97" t="s">
        <v>75</v>
      </c>
      <c r="C43" s="98" t="s">
        <v>67</v>
      </c>
      <c r="D43" s="97"/>
      <c r="E43" s="97" t="s">
        <v>1038</v>
      </c>
      <c r="F43" s="97" t="s">
        <v>57</v>
      </c>
      <c r="G43" s="97" t="s">
        <v>1163</v>
      </c>
      <c r="H43" s="5"/>
    </row>
    <row r="44" spans="1:8" customFormat="1" hidden="1" x14ac:dyDescent="0.25">
      <c r="A44" s="97" t="str">
        <f t="shared" si="0"/>
        <v>N16FFC_POR_Description</v>
      </c>
      <c r="B44" s="97" t="s">
        <v>73</v>
      </c>
      <c r="C44" s="98" t="s">
        <v>67</v>
      </c>
      <c r="D44" s="97"/>
      <c r="E44" s="97" t="s">
        <v>1038</v>
      </c>
      <c r="F44" s="97" t="s">
        <v>13</v>
      </c>
      <c r="G44" s="97" t="s">
        <v>566</v>
      </c>
      <c r="H44" s="5"/>
    </row>
    <row r="45" spans="1:8" customFormat="1" hidden="1" x14ac:dyDescent="0.25">
      <c r="A45" s="97" t="str">
        <f t="shared" si="0"/>
        <v>N16FFC_TEMP_DIODE_TOP_Description</v>
      </c>
      <c r="B45" s="97" t="s">
        <v>82</v>
      </c>
      <c r="C45" s="98" t="s">
        <v>67</v>
      </c>
      <c r="D45" s="97"/>
      <c r="E45" s="97" t="s">
        <v>1038</v>
      </c>
      <c r="F45" s="97" t="s">
        <v>61</v>
      </c>
      <c r="G45" s="97" t="s">
        <v>564</v>
      </c>
      <c r="H45" s="5"/>
    </row>
    <row r="46" spans="1:8" customFormat="1" hidden="1" x14ac:dyDescent="0.25">
      <c r="A46" s="97" t="str">
        <f t="shared" si="0"/>
        <v>ABJSTBL5_Description</v>
      </c>
      <c r="B46" s="97" t="s">
        <v>269</v>
      </c>
      <c r="C46" s="98" t="s">
        <v>67</v>
      </c>
      <c r="D46" s="97"/>
      <c r="E46" s="97" t="s">
        <v>1038</v>
      </c>
      <c r="F46" s="97" t="s">
        <v>267</v>
      </c>
      <c r="G46" s="97" t="s">
        <v>267</v>
      </c>
      <c r="H46" s="5"/>
    </row>
    <row r="47" spans="1:8" customFormat="1" hidden="1" x14ac:dyDescent="0.25">
      <c r="A47" s="97" t="str">
        <f t="shared" si="0"/>
        <v>LVDSTS16LLBI1E_Description</v>
      </c>
      <c r="B47" s="97" t="s">
        <v>81</v>
      </c>
      <c r="C47" s="98" t="s">
        <v>67</v>
      </c>
      <c r="D47" s="97"/>
      <c r="E47" s="97" t="s">
        <v>1038</v>
      </c>
      <c r="F47" s="97" t="s">
        <v>58</v>
      </c>
      <c r="G47" s="97" t="s">
        <v>453</v>
      </c>
      <c r="H47" s="5"/>
    </row>
    <row r="48" spans="1:8" customFormat="1" hidden="1" x14ac:dyDescent="0.25">
      <c r="A48" s="97" t="str">
        <f t="shared" si="0"/>
        <v>canfd_Description</v>
      </c>
      <c r="B48" s="97" t="s">
        <v>655</v>
      </c>
      <c r="C48" s="97" t="s">
        <v>67</v>
      </c>
      <c r="D48" s="97"/>
      <c r="E48" s="97" t="s">
        <v>1038</v>
      </c>
      <c r="F48" s="97" t="s">
        <v>998</v>
      </c>
      <c r="G48" s="97" t="s">
        <v>1139</v>
      </c>
      <c r="H48" s="5"/>
    </row>
    <row r="49" spans="1:8" customFormat="1" hidden="1" x14ac:dyDescent="0.25">
      <c r="A49" s="97" t="str">
        <f t="shared" si="0"/>
        <v>gpmc_Description</v>
      </c>
      <c r="B49" s="97" t="s">
        <v>653</v>
      </c>
      <c r="C49" s="97" t="s">
        <v>67</v>
      </c>
      <c r="D49" s="97"/>
      <c r="E49" s="97" t="s">
        <v>1038</v>
      </c>
      <c r="F49" s="97" t="s">
        <v>997</v>
      </c>
      <c r="G49" s="97" t="s">
        <v>1149</v>
      </c>
      <c r="H49" s="5"/>
    </row>
    <row r="50" spans="1:8" customFormat="1" hidden="1" x14ac:dyDescent="0.25">
      <c r="A50" s="97" t="str">
        <f t="shared" si="0"/>
        <v>mcasp_Description</v>
      </c>
      <c r="B50" s="97" t="s">
        <v>874</v>
      </c>
      <c r="C50" s="97" t="s">
        <v>67</v>
      </c>
      <c r="D50" s="97"/>
      <c r="E50" s="97" t="s">
        <v>1038</v>
      </c>
      <c r="F50" s="97" t="s">
        <v>1001</v>
      </c>
      <c r="G50" s="97" t="s">
        <v>1153</v>
      </c>
      <c r="H50" s="5"/>
    </row>
    <row r="51" spans="1:8" customFormat="1" hidden="1" x14ac:dyDescent="0.25">
      <c r="A51" s="97" t="str">
        <f t="shared" si="0"/>
        <v>uart_Description</v>
      </c>
      <c r="B51" s="97" t="s">
        <v>918</v>
      </c>
      <c r="C51" s="97" t="s">
        <v>67</v>
      </c>
      <c r="D51" s="97"/>
      <c r="E51" s="97" t="s">
        <v>1038</v>
      </c>
      <c r="F51" s="97" t="s">
        <v>1005</v>
      </c>
      <c r="G51" s="97" t="s">
        <v>1164</v>
      </c>
      <c r="H51" s="5"/>
    </row>
    <row r="52" spans="1:8" customFormat="1" hidden="1" x14ac:dyDescent="0.25">
      <c r="A52" s="97" t="str">
        <f t="shared" si="0"/>
        <v>uart_modem_Description</v>
      </c>
      <c r="B52" s="97" t="s">
        <v>928</v>
      </c>
      <c r="C52" s="97" t="s">
        <v>67</v>
      </c>
      <c r="D52" s="97"/>
      <c r="E52" s="97" t="s">
        <v>1038</v>
      </c>
      <c r="F52" s="97" t="s">
        <v>1006</v>
      </c>
      <c r="G52" s="97" t="s">
        <v>1165</v>
      </c>
      <c r="H52" s="5"/>
    </row>
    <row r="53" spans="1:8" customFormat="1" hidden="1" x14ac:dyDescent="0.25">
      <c r="A53" s="97" t="str">
        <f t="shared" si="0"/>
        <v>dpi_Description</v>
      </c>
      <c r="B53" s="97" t="s">
        <v>699</v>
      </c>
      <c r="C53" s="97" t="s">
        <v>67</v>
      </c>
      <c r="D53" s="97"/>
      <c r="E53" s="97" t="s">
        <v>1038</v>
      </c>
      <c r="F53" s="97" t="s">
        <v>1000</v>
      </c>
      <c r="G53" s="97" t="s">
        <v>1142</v>
      </c>
      <c r="H53" s="5"/>
    </row>
    <row r="54" spans="1:8" customFormat="1" hidden="1" x14ac:dyDescent="0.25">
      <c r="A54" s="97" t="str">
        <f t="shared" si="0"/>
        <v>i2c_od_Description</v>
      </c>
      <c r="B54" s="97" t="s">
        <v>907</v>
      </c>
      <c r="C54" s="97" t="s">
        <v>67</v>
      </c>
      <c r="D54" s="97"/>
      <c r="E54" s="97" t="s">
        <v>1038</v>
      </c>
      <c r="F54" s="97" t="s">
        <v>1004</v>
      </c>
      <c r="G54" s="97" t="s">
        <v>1151</v>
      </c>
      <c r="H54" s="5"/>
    </row>
    <row r="55" spans="1:8" customFormat="1" hidden="1" x14ac:dyDescent="0.25">
      <c r="A55" s="97" t="str">
        <f t="shared" si="0"/>
        <v>i2c_Description</v>
      </c>
      <c r="B55" s="97" t="s">
        <v>906</v>
      </c>
      <c r="C55" s="97" t="s">
        <v>67</v>
      </c>
      <c r="D55" s="97"/>
      <c r="E55" s="97" t="s">
        <v>1038</v>
      </c>
      <c r="F55" s="97" t="s">
        <v>1003</v>
      </c>
      <c r="G55" s="97" t="s">
        <v>1150</v>
      </c>
      <c r="H55" s="5"/>
    </row>
    <row r="56" spans="1:8" customFormat="1" hidden="1" x14ac:dyDescent="0.25">
      <c r="A56" s="97" t="str">
        <f t="shared" si="0"/>
        <v>epwm_Description</v>
      </c>
      <c r="B56" s="97" t="s">
        <v>967</v>
      </c>
      <c r="C56" s="97" t="s">
        <v>67</v>
      </c>
      <c r="D56" s="97"/>
      <c r="E56" s="97" t="s">
        <v>1038</v>
      </c>
      <c r="F56" s="97" t="s">
        <v>1009</v>
      </c>
      <c r="G56" s="97" t="s">
        <v>1144</v>
      </c>
      <c r="H56" s="5"/>
    </row>
    <row r="57" spans="1:8" customFormat="1" hidden="1" x14ac:dyDescent="0.25">
      <c r="A57" s="97" t="str">
        <f t="shared" si="0"/>
        <v>fssul_Description</v>
      </c>
      <c r="B57" s="97" t="s">
        <v>689</v>
      </c>
      <c r="C57" s="97" t="s">
        <v>67</v>
      </c>
      <c r="D57" s="97"/>
      <c r="E57" s="97" t="s">
        <v>1038</v>
      </c>
      <c r="F57" s="97" t="s">
        <v>999</v>
      </c>
      <c r="G57" s="97" t="s">
        <v>1147</v>
      </c>
      <c r="H57" s="5"/>
    </row>
    <row r="58" spans="1:8" customFormat="1" hidden="1" x14ac:dyDescent="0.25">
      <c r="A58" s="97" t="str">
        <f t="shared" si="0"/>
        <v>ecap_Description</v>
      </c>
      <c r="B58" s="97" t="s">
        <v>938</v>
      </c>
      <c r="C58" s="97" t="s">
        <v>67</v>
      </c>
      <c r="D58" s="97"/>
      <c r="E58" s="97" t="s">
        <v>1038</v>
      </c>
      <c r="F58" s="97" t="s">
        <v>1007</v>
      </c>
      <c r="G58" s="97" t="s">
        <v>1143</v>
      </c>
      <c r="H58" s="5"/>
    </row>
    <row r="59" spans="1:8" customFormat="1" hidden="1" x14ac:dyDescent="0.25">
      <c r="A59" s="97" t="str">
        <f t="shared" si="0"/>
        <v>eqep_Description</v>
      </c>
      <c r="B59" s="97" t="s">
        <v>937</v>
      </c>
      <c r="C59" s="97" t="s">
        <v>67</v>
      </c>
      <c r="D59" s="97"/>
      <c r="E59" s="97" t="s">
        <v>1038</v>
      </c>
      <c r="F59" s="97" t="s">
        <v>1008</v>
      </c>
      <c r="G59" s="97" t="s">
        <v>1145</v>
      </c>
      <c r="H59" s="5"/>
    </row>
    <row r="60" spans="1:8" customFormat="1" hidden="1" x14ac:dyDescent="0.25">
      <c r="A60" s="97" t="str">
        <f t="shared" si="0"/>
        <v>ethernet_Description</v>
      </c>
      <c r="B60" s="97" t="s">
        <v>649</v>
      </c>
      <c r="C60" s="97" t="s">
        <v>67</v>
      </c>
      <c r="D60" s="97"/>
      <c r="E60" s="97" t="s">
        <v>1038</v>
      </c>
      <c r="F60" s="97" t="s">
        <v>996</v>
      </c>
      <c r="G60" s="97" t="s">
        <v>1146</v>
      </c>
      <c r="H60" s="5"/>
    </row>
    <row r="61" spans="1:8" customFormat="1" hidden="1" x14ac:dyDescent="0.25">
      <c r="A61" s="97" t="str">
        <f t="shared" si="0"/>
        <v>icssm_Description</v>
      </c>
      <c r="B61" s="97" t="s">
        <v>643</v>
      </c>
      <c r="C61" s="97" t="s">
        <v>67</v>
      </c>
      <c r="D61" s="97"/>
      <c r="E61" s="97" t="s">
        <v>1038</v>
      </c>
      <c r="F61" s="97" t="s">
        <v>995</v>
      </c>
      <c r="G61" s="97" t="s">
        <v>1152</v>
      </c>
      <c r="H61" s="5"/>
    </row>
    <row r="62" spans="1:8" customFormat="1" hidden="1" x14ac:dyDescent="0.25">
      <c r="A62" s="97" t="str">
        <f t="shared" si="0"/>
        <v>spi_Description</v>
      </c>
      <c r="B62" s="97" t="s">
        <v>898</v>
      </c>
      <c r="C62" s="97" t="s">
        <v>67</v>
      </c>
      <c r="D62" s="97"/>
      <c r="E62" s="97" t="s">
        <v>1038</v>
      </c>
      <c r="F62" s="97" t="s">
        <v>1002</v>
      </c>
      <c r="G62" s="97" t="s">
        <v>1161</v>
      </c>
      <c r="H62" s="5"/>
    </row>
    <row r="63" spans="1:8" customFormat="1" hidden="1" x14ac:dyDescent="0.25">
      <c r="A63" s="97" t="str">
        <f t="shared" si="0"/>
        <v>gpio_Description</v>
      </c>
      <c r="B63" s="97" t="s">
        <v>969</v>
      </c>
      <c r="C63" s="97" t="s">
        <v>67</v>
      </c>
      <c r="D63" s="97"/>
      <c r="E63" s="97" t="s">
        <v>1038</v>
      </c>
      <c r="F63" s="97" t="s">
        <v>1010</v>
      </c>
      <c r="G63" s="97" t="s">
        <v>1148</v>
      </c>
      <c r="H63" s="5"/>
    </row>
    <row r="64" spans="1:8" customFormat="1" hidden="1" x14ac:dyDescent="0.25">
      <c r="A64" s="97" t="str">
        <f t="shared" si="0"/>
        <v>PRWDWUWSWEWCDGSDIO_Description</v>
      </c>
      <c r="B64" s="97" t="s">
        <v>396</v>
      </c>
      <c r="C64" s="98" t="s">
        <v>67</v>
      </c>
      <c r="D64" s="97"/>
      <c r="E64" s="97" t="s">
        <v>1038</v>
      </c>
      <c r="F64" s="97" t="s">
        <v>86</v>
      </c>
      <c r="G64" s="97" t="s">
        <v>1157</v>
      </c>
      <c r="H64" s="5"/>
    </row>
    <row r="65" spans="1:8" customFormat="1" x14ac:dyDescent="0.25">
      <c r="A65" s="97" t="str">
        <f t="shared" si="0"/>
        <v>ddr16_1600_ios_Description</v>
      </c>
      <c r="B65" s="97" t="s">
        <v>620</v>
      </c>
      <c r="C65" s="98" t="s">
        <v>67</v>
      </c>
      <c r="D65" s="97"/>
      <c r="E65" s="97" t="s">
        <v>1038</v>
      </c>
      <c r="F65" s="97" t="s">
        <v>353</v>
      </c>
      <c r="G65" s="97" t="s">
        <v>1140</v>
      </c>
      <c r="H65" s="5"/>
    </row>
    <row r="66" spans="1:8" customFormat="1" hidden="1" x14ac:dyDescent="0.25">
      <c r="A66" s="97" t="str">
        <f t="shared" si="0"/>
        <v>sam62_m4ss_wrap_Description</v>
      </c>
      <c r="B66" s="97" t="s">
        <v>219</v>
      </c>
      <c r="C66" s="97" t="s">
        <v>67</v>
      </c>
      <c r="D66" s="97"/>
      <c r="E66" s="97" t="s">
        <v>1072</v>
      </c>
      <c r="F66" s="97" t="s">
        <v>1138</v>
      </c>
      <c r="G66" s="97" t="s">
        <v>1185</v>
      </c>
      <c r="H66" s="5"/>
    </row>
    <row r="67" spans="1:8" customFormat="1" hidden="1" x14ac:dyDescent="0.25">
      <c r="A67" s="97" t="str">
        <f t="shared" si="0"/>
        <v>sam62_dm_wrap_Description</v>
      </c>
      <c r="B67" s="97" t="s">
        <v>237</v>
      </c>
      <c r="C67" s="97" t="s">
        <v>67</v>
      </c>
      <c r="D67" s="97"/>
      <c r="E67" s="97" t="s">
        <v>1072</v>
      </c>
      <c r="F67" s="97" t="s">
        <v>333</v>
      </c>
      <c r="G67" s="97" t="s">
        <v>1177</v>
      </c>
      <c r="H67" s="5"/>
    </row>
    <row r="68" spans="1:8" customFormat="1" hidden="1" x14ac:dyDescent="0.25">
      <c r="A68" s="97" t="str">
        <f t="shared" si="0"/>
        <v>sam62_a53_dual_wrap_cba_cpu_phys_Description</v>
      </c>
      <c r="B68" s="97" t="s">
        <v>274</v>
      </c>
      <c r="C68" s="97" t="s">
        <v>67</v>
      </c>
      <c r="D68" s="97"/>
      <c r="E68" s="97" t="s">
        <v>1072</v>
      </c>
      <c r="F68" s="97" t="s">
        <v>308</v>
      </c>
      <c r="G68" s="97" t="s">
        <v>1171</v>
      </c>
      <c r="H68" s="5"/>
    </row>
    <row r="69" spans="1:8" customFormat="1" hidden="1" x14ac:dyDescent="0.25">
      <c r="A69" s="97" t="str">
        <f t="shared" si="0"/>
        <v>sam62_a53_512kb_wrap_Description</v>
      </c>
      <c r="B69" s="97" t="s">
        <v>270</v>
      </c>
      <c r="C69" s="97" t="s">
        <v>67</v>
      </c>
      <c r="D69" s="97"/>
      <c r="E69" s="97" t="s">
        <v>1072</v>
      </c>
      <c r="F69" s="97" t="s">
        <v>307</v>
      </c>
      <c r="G69" s="97" t="s">
        <v>1170</v>
      </c>
      <c r="H69" s="5"/>
    </row>
    <row r="70" spans="1:8" customFormat="1" hidden="1" x14ac:dyDescent="0.25">
      <c r="A70" s="97" t="str">
        <f t="shared" si="0"/>
        <v>sam62_cpsw3_wrap_Description</v>
      </c>
      <c r="B70" s="97" t="s">
        <v>216</v>
      </c>
      <c r="C70" s="97" t="s">
        <v>67</v>
      </c>
      <c r="D70" s="97"/>
      <c r="E70" s="97" t="s">
        <v>1072</v>
      </c>
      <c r="F70" s="97" t="s">
        <v>228</v>
      </c>
      <c r="G70" s="97" t="s">
        <v>1173</v>
      </c>
      <c r="H70" s="5"/>
    </row>
    <row r="71" spans="1:8" customFormat="1" hidden="1" x14ac:dyDescent="0.25">
      <c r="A71" s="97" t="str">
        <f t="shared" si="0"/>
        <v>sam62_icss_m_wrap_Description</v>
      </c>
      <c r="B71" s="97" t="s">
        <v>209</v>
      </c>
      <c r="C71" s="97" t="s">
        <v>67</v>
      </c>
      <c r="D71" s="97"/>
      <c r="E71" s="97" t="s">
        <v>1072</v>
      </c>
      <c r="F71" s="97" t="s">
        <v>7</v>
      </c>
      <c r="G71" s="97" t="s">
        <v>1183</v>
      </c>
      <c r="H71" s="5"/>
    </row>
    <row r="72" spans="1:8" customFormat="1" hidden="1" x14ac:dyDescent="0.25">
      <c r="A72" s="97" t="str">
        <f t="shared" si="0"/>
        <v>sam62_dss_oldi_wrap_Description</v>
      </c>
      <c r="B72" s="97" t="s">
        <v>214</v>
      </c>
      <c r="C72" s="97" t="s">
        <v>67</v>
      </c>
      <c r="D72" s="97"/>
      <c r="E72" s="97" t="s">
        <v>1072</v>
      </c>
      <c r="F72" s="97" t="s">
        <v>145</v>
      </c>
      <c r="G72" s="97" t="s">
        <v>1178</v>
      </c>
      <c r="H72" s="5"/>
    </row>
    <row r="73" spans="1:8" customFormat="1" hidden="1" x14ac:dyDescent="0.25">
      <c r="A73" s="97" t="str">
        <f t="shared" si="0"/>
        <v>sam62_k3_gpu_axe116m_wrap_Description</v>
      </c>
      <c r="B73" s="97" t="s">
        <v>242</v>
      </c>
      <c r="C73" s="97" t="s">
        <v>67</v>
      </c>
      <c r="D73" s="97"/>
      <c r="E73" s="97" t="s">
        <v>1072</v>
      </c>
      <c r="F73" s="97" t="s">
        <v>309</v>
      </c>
      <c r="G73" s="97" t="s">
        <v>1184</v>
      </c>
      <c r="H73" s="5"/>
    </row>
    <row r="74" spans="1:8" customFormat="1" hidden="1" x14ac:dyDescent="0.25">
      <c r="A74" s="97" t="str">
        <f t="shared" si="0"/>
        <v>sam62_mcasp_wrap_Description</v>
      </c>
      <c r="B74" s="97" t="s">
        <v>208</v>
      </c>
      <c r="C74" s="97" t="s">
        <v>67</v>
      </c>
      <c r="D74" s="97"/>
      <c r="E74" s="97" t="s">
        <v>1072</v>
      </c>
      <c r="F74" s="97" t="s">
        <v>227</v>
      </c>
      <c r="G74" s="97" t="s">
        <v>1188</v>
      </c>
      <c r="H74" s="5"/>
    </row>
    <row r="75" spans="1:8" customFormat="1" hidden="1" x14ac:dyDescent="0.25">
      <c r="A75" s="97" t="str">
        <f t="shared" si="0"/>
        <v>sam62_csirx_wrap_Description</v>
      </c>
      <c r="B75" s="97" t="s">
        <v>239</v>
      </c>
      <c r="C75" s="97" t="s">
        <v>67</v>
      </c>
      <c r="D75" s="97"/>
      <c r="E75" s="97" t="s">
        <v>1072</v>
      </c>
      <c r="F75" s="97" t="s">
        <v>175</v>
      </c>
      <c r="G75" s="97" t="s">
        <v>1174</v>
      </c>
      <c r="H75" s="5"/>
    </row>
    <row r="76" spans="1:8" customFormat="1" hidden="1" x14ac:dyDescent="0.25">
      <c r="A76" s="97" t="str">
        <f t="shared" si="0"/>
        <v>sam62_usb2_wrap_Description</v>
      </c>
      <c r="B76" s="97" t="s">
        <v>207</v>
      </c>
      <c r="C76" s="97" t="s">
        <v>67</v>
      </c>
      <c r="D76" s="97"/>
      <c r="E76" s="97" t="s">
        <v>1072</v>
      </c>
      <c r="F76" s="97" t="s">
        <v>176</v>
      </c>
      <c r="G76" s="97" t="s">
        <v>1194</v>
      </c>
      <c r="H76" s="5"/>
    </row>
    <row r="77" spans="1:8" customFormat="1" hidden="1" x14ac:dyDescent="0.25">
      <c r="A77" s="97" t="str">
        <f t="shared" si="0"/>
        <v>sam62_emmc_4bit_wrap_Description</v>
      </c>
      <c r="B77" s="97" t="s">
        <v>240</v>
      </c>
      <c r="C77" s="97" t="s">
        <v>67</v>
      </c>
      <c r="D77" s="97"/>
      <c r="E77" s="97" t="s">
        <v>1072</v>
      </c>
      <c r="F77" s="97" t="s">
        <v>230</v>
      </c>
      <c r="G77" s="97" t="s">
        <v>1180</v>
      </c>
      <c r="H77" s="5"/>
    </row>
    <row r="78" spans="1:8" customFormat="1" hidden="1" x14ac:dyDescent="0.25">
      <c r="A78" s="97" t="str">
        <f t="shared" si="0"/>
        <v>sam62_emmc_8bit_wrap_Description</v>
      </c>
      <c r="B78" s="97" t="s">
        <v>241</v>
      </c>
      <c r="C78" s="97" t="s">
        <v>67</v>
      </c>
      <c r="D78" s="97"/>
      <c r="E78" s="97" t="s">
        <v>1072</v>
      </c>
      <c r="F78" s="97" t="s">
        <v>226</v>
      </c>
      <c r="G78" s="97" t="s">
        <v>1181</v>
      </c>
      <c r="H78" s="5"/>
    </row>
    <row r="79" spans="1:8" customFormat="1" hidden="1" x14ac:dyDescent="0.25">
      <c r="A79" s="97" t="str">
        <f t="shared" si="0"/>
        <v>sam62_gpmc_elm_wrap_Description</v>
      </c>
      <c r="B79" s="97" t="s">
        <v>211</v>
      </c>
      <c r="C79" s="97" t="s">
        <v>67</v>
      </c>
      <c r="D79" s="97"/>
      <c r="E79" s="97" t="s">
        <v>1072</v>
      </c>
      <c r="F79" s="97" t="s">
        <v>225</v>
      </c>
      <c r="G79" s="97" t="s">
        <v>1182</v>
      </c>
      <c r="H79" s="5"/>
    </row>
    <row r="80" spans="1:8" customFormat="1" hidden="1" x14ac:dyDescent="0.25">
      <c r="A80" s="97" t="str">
        <f t="shared" si="0"/>
        <v>sam62_ddr_wrap_Description</v>
      </c>
      <c r="B80" s="97" t="s">
        <v>215</v>
      </c>
      <c r="C80" s="97" t="s">
        <v>67</v>
      </c>
      <c r="D80" s="97"/>
      <c r="E80" s="97" t="s">
        <v>1072</v>
      </c>
      <c r="F80" s="97" t="s">
        <v>222</v>
      </c>
      <c r="G80" s="97" t="s">
        <v>1175</v>
      </c>
      <c r="H80" s="5"/>
    </row>
    <row r="81" spans="1:8" customFormat="1" hidden="1" x14ac:dyDescent="0.25">
      <c r="A81" s="97" t="str">
        <f t="shared" ref="A81:A144" si="1">B81&amp;"_"&amp;C81</f>
        <v>ddr16_1600_phy_Description</v>
      </c>
      <c r="B81" s="97" t="s">
        <v>314</v>
      </c>
      <c r="C81" s="97" t="s">
        <v>67</v>
      </c>
      <c r="D81" s="97"/>
      <c r="E81" s="97" t="s">
        <v>1072</v>
      </c>
      <c r="F81" s="97" t="s">
        <v>316</v>
      </c>
      <c r="G81" s="97" t="s">
        <v>1169</v>
      </c>
      <c r="H81" s="5"/>
    </row>
    <row r="82" spans="1:8" customFormat="1" hidden="1" x14ac:dyDescent="0.25">
      <c r="A82" s="97" t="str">
        <f t="shared" si="1"/>
        <v>sam62_debug_wrap_Description</v>
      </c>
      <c r="B82" s="97" t="s">
        <v>186</v>
      </c>
      <c r="C82" s="97" t="s">
        <v>67</v>
      </c>
      <c r="D82" s="97"/>
      <c r="E82" s="97" t="s">
        <v>1072</v>
      </c>
      <c r="F82" s="97" t="s">
        <v>347</v>
      </c>
      <c r="G82" s="97" t="s">
        <v>1176</v>
      </c>
      <c r="H82" s="5"/>
    </row>
    <row r="83" spans="1:8" customFormat="1" hidden="1" x14ac:dyDescent="0.25">
      <c r="A83" s="97" t="str">
        <f t="shared" si="1"/>
        <v>sam62_efuse_ctrl_wrap_Description</v>
      </c>
      <c r="B83" s="97" t="s">
        <v>213</v>
      </c>
      <c r="C83" s="97" t="s">
        <v>67</v>
      </c>
      <c r="D83" s="97"/>
      <c r="E83" s="97" t="s">
        <v>1072</v>
      </c>
      <c r="F83" s="97" t="s">
        <v>223</v>
      </c>
      <c r="G83" s="97" t="s">
        <v>1179</v>
      </c>
      <c r="H83" s="5"/>
    </row>
    <row r="84" spans="1:8" customFormat="1" hidden="1" x14ac:dyDescent="0.25">
      <c r="A84" s="97" t="str">
        <f t="shared" si="1"/>
        <v>sam62_main_infra_phys_Description</v>
      </c>
      <c r="B84" s="97" t="s">
        <v>144</v>
      </c>
      <c r="C84" s="97" t="s">
        <v>67</v>
      </c>
      <c r="D84" s="97"/>
      <c r="E84" s="97" t="s">
        <v>1072</v>
      </c>
      <c r="F84" s="97" t="s">
        <v>143</v>
      </c>
      <c r="G84" s="97" t="s">
        <v>1186</v>
      </c>
      <c r="H84" s="5"/>
    </row>
    <row r="85" spans="1:8" customFormat="1" hidden="1" x14ac:dyDescent="0.25">
      <c r="A85" s="97" t="str">
        <f t="shared" si="1"/>
        <v>sam62_main_ip_wrap_Description</v>
      </c>
      <c r="B85" s="97" t="s">
        <v>238</v>
      </c>
      <c r="C85" s="97" t="s">
        <v>67</v>
      </c>
      <c r="D85" s="97"/>
      <c r="E85" s="97" t="s">
        <v>1072</v>
      </c>
      <c r="F85" s="97" t="s">
        <v>232</v>
      </c>
      <c r="G85" s="97" t="s">
        <v>1187</v>
      </c>
      <c r="H85" s="5"/>
    </row>
    <row r="86" spans="1:8" customFormat="1" hidden="1" x14ac:dyDescent="0.25">
      <c r="A86" s="97" t="str">
        <f t="shared" si="1"/>
        <v>sam62_mcu_infra_phys_Description</v>
      </c>
      <c r="B86" s="97" t="s">
        <v>183</v>
      </c>
      <c r="C86" s="97" t="s">
        <v>67</v>
      </c>
      <c r="D86" s="97"/>
      <c r="E86" s="97" t="s">
        <v>1072</v>
      </c>
      <c r="F86" s="97" t="s">
        <v>231</v>
      </c>
      <c r="G86" s="97" t="s">
        <v>1189</v>
      </c>
      <c r="H86" s="5"/>
    </row>
    <row r="87" spans="1:8" customFormat="1" hidden="1" x14ac:dyDescent="0.25">
      <c r="A87" s="97" t="str">
        <f t="shared" si="1"/>
        <v>sam62_mcu_wrap_Description</v>
      </c>
      <c r="B87" s="97" t="s">
        <v>236</v>
      </c>
      <c r="C87" s="97" t="s">
        <v>67</v>
      </c>
      <c r="D87" s="97"/>
      <c r="E87" s="97" t="s">
        <v>1072</v>
      </c>
      <c r="F87" s="97" t="s">
        <v>265</v>
      </c>
      <c r="G87" s="97" t="s">
        <v>1190</v>
      </c>
      <c r="H87" s="5"/>
    </row>
    <row r="88" spans="1:8" customFormat="1" hidden="1" x14ac:dyDescent="0.25">
      <c r="A88" s="97" t="str">
        <f t="shared" si="1"/>
        <v>sam62_odp_ctrl_wrap_Description</v>
      </c>
      <c r="B88" s="97" t="s">
        <v>212</v>
      </c>
      <c r="C88" s="97" t="s">
        <v>67</v>
      </c>
      <c r="D88" s="97"/>
      <c r="E88" s="97" t="s">
        <v>1072</v>
      </c>
      <c r="F88" s="97" t="s">
        <v>224</v>
      </c>
      <c r="G88" s="97" t="s">
        <v>1191</v>
      </c>
      <c r="H88" s="5"/>
    </row>
    <row r="89" spans="1:8" customFormat="1" hidden="1" x14ac:dyDescent="0.25">
      <c r="A89" s="97" t="str">
        <f t="shared" si="1"/>
        <v>sam62_sec_wrap_Description</v>
      </c>
      <c r="B89" s="97" t="s">
        <v>262</v>
      </c>
      <c r="C89" s="97" t="s">
        <v>67</v>
      </c>
      <c r="D89" s="97"/>
      <c r="E89" s="97" t="s">
        <v>1072</v>
      </c>
      <c r="F89" s="97" t="s">
        <v>229</v>
      </c>
      <c r="G89" s="97" t="s">
        <v>1193</v>
      </c>
      <c r="H89" s="5"/>
    </row>
    <row r="90" spans="1:8" customFormat="1" hidden="1" x14ac:dyDescent="0.25">
      <c r="A90" s="97" t="str">
        <f t="shared" si="1"/>
        <v>sam62_core_Description</v>
      </c>
      <c r="B90" s="97" t="s">
        <v>185</v>
      </c>
      <c r="C90" s="97" t="s">
        <v>67</v>
      </c>
      <c r="D90" s="97"/>
      <c r="E90" s="97" t="s">
        <v>1072</v>
      </c>
      <c r="F90" s="97" t="s">
        <v>184</v>
      </c>
      <c r="G90" s="97" t="s">
        <v>1172</v>
      </c>
      <c r="H90" s="5"/>
    </row>
    <row r="91" spans="1:8" customFormat="1" hidden="1" x14ac:dyDescent="0.25">
      <c r="A91" s="97" t="str">
        <f t="shared" si="1"/>
        <v>sam62_pll_ctrl_wrap_Description</v>
      </c>
      <c r="B91" s="97" t="s">
        <v>221</v>
      </c>
      <c r="C91" s="97" t="s">
        <v>67</v>
      </c>
      <c r="D91" s="97"/>
      <c r="E91" s="97" t="s">
        <v>1072</v>
      </c>
      <c r="F91" s="97" t="s">
        <v>233</v>
      </c>
      <c r="G91" s="97" t="s">
        <v>1192</v>
      </c>
      <c r="H91" s="5"/>
    </row>
    <row r="92" spans="1:8" customFormat="1" hidden="1" x14ac:dyDescent="0.25">
      <c r="A92" s="97" t="str">
        <f t="shared" si="1"/>
        <v>n16_core_vdd3p3_clamp_First_SoC</v>
      </c>
      <c r="B92" s="97" t="s">
        <v>79</v>
      </c>
      <c r="C92" s="97" t="s">
        <v>1075</v>
      </c>
      <c r="D92" s="97"/>
      <c r="E92" s="97" t="s">
        <v>1038</v>
      </c>
      <c r="F92" s="98" t="s">
        <v>46</v>
      </c>
      <c r="G92" s="97" t="s">
        <v>1196</v>
      </c>
      <c r="H92" s="5"/>
    </row>
    <row r="93" spans="1:8" customFormat="1" hidden="1" x14ac:dyDescent="0.25">
      <c r="A93" s="97" t="str">
        <f t="shared" si="1"/>
        <v>sam62_m4ss_wrap_freq_trk</v>
      </c>
      <c r="B93" s="98" t="s">
        <v>219</v>
      </c>
      <c r="C93" s="97" t="s">
        <v>1082</v>
      </c>
      <c r="D93" s="97"/>
      <c r="E93" s="97" t="s">
        <v>1072</v>
      </c>
      <c r="F93" s="97">
        <v>400</v>
      </c>
      <c r="G93" s="97" t="s">
        <v>1081</v>
      </c>
      <c r="H93" s="5"/>
    </row>
    <row r="94" spans="1:8" customFormat="1" hidden="1" x14ac:dyDescent="0.25">
      <c r="A94" s="97" t="str">
        <f t="shared" si="1"/>
        <v>sam62_dm_wrap_freq_trk</v>
      </c>
      <c r="B94" s="98" t="s">
        <v>237</v>
      </c>
      <c r="C94" s="97" t="s">
        <v>1082</v>
      </c>
      <c r="D94" s="97"/>
      <c r="E94" s="97" t="s">
        <v>1072</v>
      </c>
      <c r="F94" s="97">
        <v>400</v>
      </c>
      <c r="G94" s="97" t="s">
        <v>1081</v>
      </c>
      <c r="H94" s="5"/>
    </row>
    <row r="95" spans="1:8" customFormat="1" hidden="1" x14ac:dyDescent="0.25">
      <c r="A95" s="97" t="str">
        <f t="shared" si="1"/>
        <v>sam62_a53_dual_wrap_cba_cpu_phys_freq_trk</v>
      </c>
      <c r="B95" s="98" t="s">
        <v>274</v>
      </c>
      <c r="C95" s="97" t="s">
        <v>1082</v>
      </c>
      <c r="D95" s="97"/>
      <c r="E95" s="97" t="s">
        <v>1072</v>
      </c>
      <c r="F95" s="97">
        <v>1250</v>
      </c>
      <c r="G95" s="97" t="s">
        <v>1081</v>
      </c>
      <c r="H95" s="5"/>
    </row>
    <row r="96" spans="1:8" customFormat="1" hidden="1" x14ac:dyDescent="0.25">
      <c r="A96" s="97" t="str">
        <f t="shared" si="1"/>
        <v>sam62_a53_512kb_wrap_freq_trk</v>
      </c>
      <c r="B96" s="98" t="s">
        <v>270</v>
      </c>
      <c r="C96" s="97" t="s">
        <v>1082</v>
      </c>
      <c r="D96" s="97"/>
      <c r="E96" s="97" t="s">
        <v>1072</v>
      </c>
      <c r="F96" s="97">
        <v>1250</v>
      </c>
      <c r="G96" s="97" t="s">
        <v>1081</v>
      </c>
      <c r="H96" s="5"/>
    </row>
    <row r="97" spans="1:8" customFormat="1" hidden="1" x14ac:dyDescent="0.25">
      <c r="A97" s="97" t="str">
        <f t="shared" si="1"/>
        <v>sam62_cpsw3_wrap_freq_trk</v>
      </c>
      <c r="B97" s="98" t="s">
        <v>216</v>
      </c>
      <c r="C97" s="97" t="s">
        <v>1082</v>
      </c>
      <c r="D97" s="97"/>
      <c r="E97" s="97" t="s">
        <v>1072</v>
      </c>
      <c r="F97" s="97">
        <v>250</v>
      </c>
      <c r="G97" s="97" t="s">
        <v>1081</v>
      </c>
      <c r="H97" s="5"/>
    </row>
    <row r="98" spans="1:8" customFormat="1" hidden="1" x14ac:dyDescent="0.25">
      <c r="A98" s="97" t="str">
        <f t="shared" si="1"/>
        <v>sam62_icss_m_wrap_freq_trk</v>
      </c>
      <c r="B98" s="98" t="s">
        <v>209</v>
      </c>
      <c r="C98" s="97" t="s">
        <v>1082</v>
      </c>
      <c r="D98" s="97"/>
      <c r="E98" s="97" t="s">
        <v>1072</v>
      </c>
      <c r="F98" s="97">
        <v>250</v>
      </c>
      <c r="G98" s="97" t="s">
        <v>1081</v>
      </c>
      <c r="H98" s="5"/>
    </row>
    <row r="99" spans="1:8" customFormat="1" hidden="1" x14ac:dyDescent="0.25">
      <c r="A99" s="97" t="str">
        <f t="shared" si="1"/>
        <v>sam62_dss_oldi_wrap_freq_trk</v>
      </c>
      <c r="B99" s="98" t="s">
        <v>214</v>
      </c>
      <c r="C99" s="97" t="s">
        <v>1082</v>
      </c>
      <c r="D99" s="97"/>
      <c r="E99" s="97" t="s">
        <v>1072</v>
      </c>
      <c r="F99" s="97">
        <v>250</v>
      </c>
      <c r="G99" s="97" t="s">
        <v>1081</v>
      </c>
      <c r="H99" s="5"/>
    </row>
    <row r="100" spans="1:8" customFormat="1" hidden="1" x14ac:dyDescent="0.25">
      <c r="A100" s="97" t="str">
        <f t="shared" si="1"/>
        <v>sam62_k3_gpu_axe116m_wrap_freq_trk</v>
      </c>
      <c r="B100" s="98" t="s">
        <v>242</v>
      </c>
      <c r="C100" s="97" t="s">
        <v>1082</v>
      </c>
      <c r="D100" s="97"/>
      <c r="E100" s="97" t="s">
        <v>1072</v>
      </c>
      <c r="F100" s="97">
        <v>500</v>
      </c>
      <c r="G100" s="97" t="s">
        <v>1081</v>
      </c>
      <c r="H100" s="5"/>
    </row>
    <row r="101" spans="1:8" customFormat="1" hidden="1" x14ac:dyDescent="0.25">
      <c r="A101" s="97" t="str">
        <f t="shared" si="1"/>
        <v>sam62_mcasp_wrap_freq_trk</v>
      </c>
      <c r="B101" s="98" t="s">
        <v>208</v>
      </c>
      <c r="C101" s="97" t="s">
        <v>1082</v>
      </c>
      <c r="D101" s="97"/>
      <c r="E101" s="97" t="s">
        <v>1072</v>
      </c>
      <c r="F101" s="97">
        <v>250</v>
      </c>
      <c r="G101" s="97" t="s">
        <v>1081</v>
      </c>
      <c r="H101" s="5"/>
    </row>
    <row r="102" spans="1:8" customFormat="1" hidden="1" x14ac:dyDescent="0.25">
      <c r="A102" s="97" t="str">
        <f t="shared" si="1"/>
        <v>sam62_csirx_wrap_freq_trk</v>
      </c>
      <c r="B102" s="98" t="s">
        <v>239</v>
      </c>
      <c r="C102" s="97" t="s">
        <v>1082</v>
      </c>
      <c r="D102" s="97"/>
      <c r="E102" s="97" t="s">
        <v>1072</v>
      </c>
      <c r="F102" s="97">
        <v>720</v>
      </c>
      <c r="G102" s="97" t="s">
        <v>1081</v>
      </c>
      <c r="H102" s="5"/>
    </row>
    <row r="103" spans="1:8" customFormat="1" hidden="1" x14ac:dyDescent="0.25">
      <c r="A103" s="97" t="str">
        <f t="shared" si="1"/>
        <v>sam62_usb2_wrap_freq_trk</v>
      </c>
      <c r="B103" s="98" t="s">
        <v>207</v>
      </c>
      <c r="C103" s="97" t="s">
        <v>1082</v>
      </c>
      <c r="D103" s="97"/>
      <c r="E103" s="97" t="s">
        <v>1072</v>
      </c>
      <c r="F103" s="97">
        <v>125</v>
      </c>
      <c r="G103" s="97" t="s">
        <v>1081</v>
      </c>
      <c r="H103" s="5"/>
    </row>
    <row r="104" spans="1:8" customFormat="1" hidden="1" x14ac:dyDescent="0.25">
      <c r="A104" s="97" t="str">
        <f t="shared" si="1"/>
        <v>sam62_emmc_4bit_wrap_freq_trk</v>
      </c>
      <c r="B104" s="98" t="s">
        <v>240</v>
      </c>
      <c r="C104" s="97" t="s">
        <v>1082</v>
      </c>
      <c r="D104" s="97"/>
      <c r="E104" s="97" t="s">
        <v>1072</v>
      </c>
      <c r="F104" s="97">
        <v>250</v>
      </c>
      <c r="G104" s="97" t="s">
        <v>1081</v>
      </c>
      <c r="H104" s="5"/>
    </row>
    <row r="105" spans="1:8" customFormat="1" hidden="1" x14ac:dyDescent="0.25">
      <c r="A105" s="97" t="str">
        <f t="shared" si="1"/>
        <v>sam62_emmc_8bit_wrap_freq_trk</v>
      </c>
      <c r="B105" s="98" t="s">
        <v>241</v>
      </c>
      <c r="C105" s="97" t="s">
        <v>1082</v>
      </c>
      <c r="D105" s="97"/>
      <c r="E105" s="97" t="s">
        <v>1072</v>
      </c>
      <c r="F105" s="97">
        <v>250</v>
      </c>
      <c r="G105" s="97" t="s">
        <v>1081</v>
      </c>
      <c r="H105" s="5"/>
    </row>
    <row r="106" spans="1:8" customFormat="1" hidden="1" x14ac:dyDescent="0.25">
      <c r="A106" s="97" t="str">
        <f t="shared" si="1"/>
        <v>sam62_gpmc_elm_wrap_freq_trk</v>
      </c>
      <c r="B106" s="98" t="s">
        <v>211</v>
      </c>
      <c r="C106" s="97" t="s">
        <v>1082</v>
      </c>
      <c r="D106" s="97"/>
      <c r="E106" s="97" t="s">
        <v>1072</v>
      </c>
      <c r="F106" s="97">
        <v>166.66666666666666</v>
      </c>
      <c r="G106" s="97" t="s">
        <v>1081</v>
      </c>
      <c r="H106" s="5"/>
    </row>
    <row r="107" spans="1:8" customFormat="1" hidden="1" x14ac:dyDescent="0.25">
      <c r="A107" s="97" t="str">
        <f t="shared" si="1"/>
        <v>sam62_ddr_wrap_freq_trk</v>
      </c>
      <c r="B107" s="98" t="s">
        <v>215</v>
      </c>
      <c r="C107" s="97" t="s">
        <v>1082</v>
      </c>
      <c r="D107" s="97"/>
      <c r="E107" s="97" t="s">
        <v>1072</v>
      </c>
      <c r="F107" s="97">
        <v>400</v>
      </c>
      <c r="G107" s="97" t="s">
        <v>1081</v>
      </c>
      <c r="H107" s="5"/>
    </row>
    <row r="108" spans="1:8" customFormat="1" hidden="1" x14ac:dyDescent="0.25">
      <c r="A108" s="97" t="str">
        <f t="shared" si="1"/>
        <v>ddr16_1600_phy_freq_trk</v>
      </c>
      <c r="B108" s="98" t="s">
        <v>314</v>
      </c>
      <c r="C108" s="97" t="s">
        <v>1082</v>
      </c>
      <c r="D108" s="97"/>
      <c r="E108" s="97" t="s">
        <v>1072</v>
      </c>
      <c r="F108" s="97">
        <v>400</v>
      </c>
      <c r="G108" s="97" t="s">
        <v>1081</v>
      </c>
      <c r="H108" s="5"/>
    </row>
    <row r="109" spans="1:8" customFormat="1" hidden="1" x14ac:dyDescent="0.25">
      <c r="A109" s="97" t="str">
        <f t="shared" si="1"/>
        <v>sam62_debug_wrap_freq_trk</v>
      </c>
      <c r="B109" s="98" t="s">
        <v>186</v>
      </c>
      <c r="C109" s="97" t="s">
        <v>1082</v>
      </c>
      <c r="D109" s="97"/>
      <c r="E109" s="97" t="s">
        <v>1072</v>
      </c>
      <c r="F109" s="97">
        <v>250</v>
      </c>
      <c r="G109" s="97" t="s">
        <v>1081</v>
      </c>
      <c r="H109" s="5"/>
    </row>
    <row r="110" spans="1:8" customFormat="1" hidden="1" x14ac:dyDescent="0.25">
      <c r="A110" s="97" t="str">
        <f t="shared" si="1"/>
        <v>sam62_efuse_ctrl_wrap_freq_trk</v>
      </c>
      <c r="B110" s="98" t="s">
        <v>213</v>
      </c>
      <c r="C110" s="97" t="s">
        <v>1082</v>
      </c>
      <c r="D110" s="97"/>
      <c r="E110" s="97" t="s">
        <v>1072</v>
      </c>
      <c r="F110" s="97">
        <v>250</v>
      </c>
      <c r="G110" s="97" t="s">
        <v>1081</v>
      </c>
      <c r="H110" s="5"/>
    </row>
    <row r="111" spans="1:8" customFormat="1" hidden="1" x14ac:dyDescent="0.25">
      <c r="A111" s="97" t="str">
        <f t="shared" si="1"/>
        <v>sam62_main_infra_phys_freq_trk</v>
      </c>
      <c r="B111" s="98" t="s">
        <v>144</v>
      </c>
      <c r="C111" s="97" t="s">
        <v>1082</v>
      </c>
      <c r="D111" s="97"/>
      <c r="E111" s="97" t="s">
        <v>1072</v>
      </c>
      <c r="F111" s="97">
        <v>250</v>
      </c>
      <c r="G111" s="97" t="s">
        <v>1081</v>
      </c>
      <c r="H111" s="5"/>
    </row>
    <row r="112" spans="1:8" customFormat="1" hidden="1" x14ac:dyDescent="0.25">
      <c r="A112" s="97" t="str">
        <f t="shared" si="1"/>
        <v>sam62_main_ip_wrap_freq_trk</v>
      </c>
      <c r="B112" s="98" t="s">
        <v>238</v>
      </c>
      <c r="C112" s="97" t="s">
        <v>1082</v>
      </c>
      <c r="D112" s="97"/>
      <c r="E112" s="97" t="s">
        <v>1072</v>
      </c>
      <c r="F112" s="97">
        <v>250</v>
      </c>
      <c r="G112" s="97" t="s">
        <v>1081</v>
      </c>
      <c r="H112" s="5"/>
    </row>
    <row r="113" spans="1:8" customFormat="1" hidden="1" x14ac:dyDescent="0.25">
      <c r="A113" s="97" t="str">
        <f t="shared" si="1"/>
        <v>sam62_mcu_infra_phys_freq_trk</v>
      </c>
      <c r="B113" s="98" t="s">
        <v>183</v>
      </c>
      <c r="C113" s="97" t="s">
        <v>1082</v>
      </c>
      <c r="D113" s="97"/>
      <c r="E113" s="97" t="s">
        <v>1072</v>
      </c>
      <c r="F113" s="97">
        <v>200</v>
      </c>
      <c r="G113" s="97" t="s">
        <v>1081</v>
      </c>
      <c r="H113" s="5"/>
    </row>
    <row r="114" spans="1:8" customFormat="1" hidden="1" x14ac:dyDescent="0.25">
      <c r="A114" s="97" t="str">
        <f t="shared" si="1"/>
        <v>sam62_mcu_wrap_freq_trk</v>
      </c>
      <c r="B114" s="98" t="s">
        <v>236</v>
      </c>
      <c r="C114" s="97" t="s">
        <v>1082</v>
      </c>
      <c r="D114" s="97"/>
      <c r="E114" s="97" t="s">
        <v>1072</v>
      </c>
      <c r="F114" s="97">
        <v>333</v>
      </c>
      <c r="G114" s="97" t="s">
        <v>1081</v>
      </c>
      <c r="H114" s="5"/>
    </row>
    <row r="115" spans="1:8" customFormat="1" hidden="1" x14ac:dyDescent="0.25">
      <c r="A115" s="97" t="str">
        <f t="shared" si="1"/>
        <v>sam62_odp_ctrl_wrap_freq_trk</v>
      </c>
      <c r="B115" s="98" t="s">
        <v>212</v>
      </c>
      <c r="C115" s="97" t="s">
        <v>1082</v>
      </c>
      <c r="D115" s="97"/>
      <c r="E115" s="97" t="s">
        <v>1072</v>
      </c>
      <c r="F115" s="97">
        <v>500</v>
      </c>
      <c r="G115" s="97" t="s">
        <v>1081</v>
      </c>
      <c r="H115" s="5"/>
    </row>
    <row r="116" spans="1:8" customFormat="1" hidden="1" x14ac:dyDescent="0.25">
      <c r="A116" s="97" t="str">
        <f t="shared" si="1"/>
        <v>sam62_sec_wrap_freq_trk</v>
      </c>
      <c r="B116" s="98" t="s">
        <v>262</v>
      </c>
      <c r="C116" s="97" t="s">
        <v>1082</v>
      </c>
      <c r="D116" s="97"/>
      <c r="E116" s="97" t="s">
        <v>1072</v>
      </c>
      <c r="F116" s="97">
        <v>400</v>
      </c>
      <c r="G116" s="97" t="s">
        <v>1081</v>
      </c>
      <c r="H116" s="5"/>
    </row>
    <row r="117" spans="1:8" customFormat="1" hidden="1" x14ac:dyDescent="0.25">
      <c r="A117" s="97" t="str">
        <f t="shared" si="1"/>
        <v>sam62_core_freq_trk</v>
      </c>
      <c r="B117" s="98" t="s">
        <v>185</v>
      </c>
      <c r="C117" s="97" t="s">
        <v>1082</v>
      </c>
      <c r="D117" s="97"/>
      <c r="E117" s="97" t="s">
        <v>1072</v>
      </c>
      <c r="F117" s="97">
        <v>250</v>
      </c>
      <c r="G117" s="97" t="s">
        <v>1213</v>
      </c>
      <c r="H117" s="5"/>
    </row>
    <row r="118" spans="1:8" customFormat="1" hidden="1" x14ac:dyDescent="0.25">
      <c r="A118" s="97" t="str">
        <f t="shared" si="1"/>
        <v>sam62_pll_ctrl_wrap_freq_trk</v>
      </c>
      <c r="B118" s="98" t="s">
        <v>221</v>
      </c>
      <c r="C118" s="97" t="s">
        <v>1082</v>
      </c>
      <c r="D118" s="97"/>
      <c r="E118" s="97" t="s">
        <v>1072</v>
      </c>
      <c r="F118" s="97">
        <v>500</v>
      </c>
      <c r="G118" s="97" t="s">
        <v>1081</v>
      </c>
      <c r="H118" s="5"/>
    </row>
    <row r="119" spans="1:8" customFormat="1" hidden="1" x14ac:dyDescent="0.25">
      <c r="A119" s="97" t="str">
        <f t="shared" si="1"/>
        <v>n16_core_vdd3p3_clamp_Function</v>
      </c>
      <c r="B119" s="97" t="s">
        <v>79</v>
      </c>
      <c r="C119" s="98" t="s">
        <v>367</v>
      </c>
      <c r="D119" s="97"/>
      <c r="E119" s="97" t="s">
        <v>1038</v>
      </c>
      <c r="F119" s="97" t="s">
        <v>260</v>
      </c>
      <c r="G119" s="97" t="s">
        <v>570</v>
      </c>
      <c r="H119" s="5"/>
    </row>
    <row r="120" spans="1:8" customFormat="1" hidden="1" x14ac:dyDescent="0.25">
      <c r="A120" s="97" t="str">
        <f t="shared" si="1"/>
        <v>PRCUTLvcMOS_Function</v>
      </c>
      <c r="B120" s="97" t="s">
        <v>110</v>
      </c>
      <c r="C120" s="98" t="s">
        <v>367</v>
      </c>
      <c r="D120" s="97"/>
      <c r="E120" s="97" t="s">
        <v>1038</v>
      </c>
      <c r="F120" s="97" t="s">
        <v>260</v>
      </c>
      <c r="G120" s="97"/>
      <c r="H120" s="5"/>
    </row>
    <row r="121" spans="1:8" customFormat="1" hidden="1" x14ac:dyDescent="0.25">
      <c r="A121" s="97" t="str">
        <f t="shared" si="1"/>
        <v>n16_core_vdd_clamp_Function</v>
      </c>
      <c r="B121" s="97" t="s">
        <v>398</v>
      </c>
      <c r="C121" s="98" t="s">
        <v>367</v>
      </c>
      <c r="D121" s="97"/>
      <c r="E121" s="97" t="s">
        <v>1038</v>
      </c>
      <c r="F121" s="97" t="s">
        <v>260</v>
      </c>
      <c r="G121" s="97" t="s">
        <v>570</v>
      </c>
      <c r="H121" s="5"/>
    </row>
    <row r="122" spans="1:8" customFormat="1" hidden="1" x14ac:dyDescent="0.25">
      <c r="A122" s="97" t="str">
        <f t="shared" si="1"/>
        <v>n16_core_vdda_clamp_Function</v>
      </c>
      <c r="B122" s="97" t="s">
        <v>399</v>
      </c>
      <c r="C122" s="98" t="s">
        <v>367</v>
      </c>
      <c r="D122" s="97"/>
      <c r="E122" s="97" t="s">
        <v>1038</v>
      </c>
      <c r="F122" s="97" t="s">
        <v>260</v>
      </c>
      <c r="G122" s="97" t="s">
        <v>570</v>
      </c>
      <c r="H122" s="5"/>
    </row>
    <row r="123" spans="1:8" customFormat="1" hidden="1" x14ac:dyDescent="0.25">
      <c r="A123" s="97" t="str">
        <f t="shared" si="1"/>
        <v>n16_core_sig_esd_secondary_Function</v>
      </c>
      <c r="B123" s="97" t="s">
        <v>400</v>
      </c>
      <c r="C123" s="98" t="s">
        <v>367</v>
      </c>
      <c r="D123" s="97"/>
      <c r="E123" s="97" t="s">
        <v>1038</v>
      </c>
      <c r="F123" s="97" t="s">
        <v>260</v>
      </c>
      <c r="G123" s="97" t="s">
        <v>570</v>
      </c>
      <c r="H123" s="5"/>
    </row>
    <row r="124" spans="1:8" customFormat="1" hidden="1" x14ac:dyDescent="0.25">
      <c r="A124" s="97" t="str">
        <f t="shared" si="1"/>
        <v>PDBODPMACRO_Function</v>
      </c>
      <c r="B124" s="97" t="s">
        <v>397</v>
      </c>
      <c r="C124" s="98" t="s">
        <v>367</v>
      </c>
      <c r="D124" s="97"/>
      <c r="E124" s="97" t="s">
        <v>1038</v>
      </c>
      <c r="F124" s="97" t="s">
        <v>258</v>
      </c>
      <c r="G124" s="97" t="s">
        <v>562</v>
      </c>
      <c r="H124" s="5"/>
    </row>
    <row r="125" spans="1:8" customFormat="1" hidden="1" x14ac:dyDescent="0.25">
      <c r="A125" s="97" t="str">
        <f t="shared" si="1"/>
        <v>PDIDGZRESET_C161202_Function</v>
      </c>
      <c r="B125" s="97" t="s">
        <v>394</v>
      </c>
      <c r="C125" s="98" t="s">
        <v>367</v>
      </c>
      <c r="D125" s="97"/>
      <c r="E125" s="97" t="s">
        <v>1038</v>
      </c>
      <c r="F125" s="97" t="s">
        <v>158</v>
      </c>
      <c r="G125" s="97" t="s">
        <v>561</v>
      </c>
      <c r="H125" s="5"/>
    </row>
    <row r="126" spans="1:8" customFormat="1" hidden="1" x14ac:dyDescent="0.25">
      <c r="A126" s="97" t="str">
        <f t="shared" si="1"/>
        <v>PVDD1CDGM_C161202_Function</v>
      </c>
      <c r="B126" s="97" t="s">
        <v>393</v>
      </c>
      <c r="C126" s="98" t="s">
        <v>367</v>
      </c>
      <c r="D126" s="97"/>
      <c r="E126" s="97" t="s">
        <v>1038</v>
      </c>
      <c r="F126" s="97" t="s">
        <v>158</v>
      </c>
      <c r="G126" s="97"/>
      <c r="H126" s="5"/>
    </row>
    <row r="127" spans="1:8" customFormat="1" hidden="1" x14ac:dyDescent="0.25">
      <c r="A127" s="97" t="str">
        <f t="shared" si="1"/>
        <v>PVDD2CDGM_C161202_Function</v>
      </c>
      <c r="B127" s="97" t="s">
        <v>392</v>
      </c>
      <c r="C127" s="98" t="s">
        <v>367</v>
      </c>
      <c r="D127" s="97"/>
      <c r="E127" s="97" t="s">
        <v>1038</v>
      </c>
      <c r="F127" s="97" t="s">
        <v>158</v>
      </c>
      <c r="G127" s="97"/>
      <c r="H127" s="5"/>
    </row>
    <row r="128" spans="1:8" customFormat="1" hidden="1" x14ac:dyDescent="0.25">
      <c r="A128" s="97" t="str">
        <f t="shared" si="1"/>
        <v>PVDD3LDOLVCMOS_Function</v>
      </c>
      <c r="B128" s="97" t="s">
        <v>386</v>
      </c>
      <c r="C128" s="98" t="s">
        <v>367</v>
      </c>
      <c r="D128" s="97"/>
      <c r="E128" s="97" t="s">
        <v>1038</v>
      </c>
      <c r="F128" s="97" t="s">
        <v>158</v>
      </c>
      <c r="G128" s="97"/>
      <c r="H128" s="5"/>
    </row>
    <row r="129" spans="1:8" customFormat="1" hidden="1" x14ac:dyDescent="0.25">
      <c r="A129" s="97" t="str">
        <f t="shared" si="1"/>
        <v>PRBOPDDGZIIC_Function</v>
      </c>
      <c r="B129" s="97" t="s">
        <v>391</v>
      </c>
      <c r="C129" s="98" t="s">
        <v>367</v>
      </c>
      <c r="D129" s="97"/>
      <c r="E129" s="97" t="s">
        <v>1038</v>
      </c>
      <c r="F129" s="97" t="s">
        <v>158</v>
      </c>
      <c r="G129" s="97"/>
      <c r="H129" s="5"/>
    </row>
    <row r="130" spans="1:8" customFormat="1" hidden="1" x14ac:dyDescent="0.25">
      <c r="A130" s="97" t="str">
        <f t="shared" si="1"/>
        <v>PCBRTEPOCODIO_Function</v>
      </c>
      <c r="B130" s="97" t="s">
        <v>387</v>
      </c>
      <c r="C130" s="98" t="s">
        <v>367</v>
      </c>
      <c r="D130" s="97"/>
      <c r="E130" s="97" t="s">
        <v>1038</v>
      </c>
      <c r="F130" s="97" t="s">
        <v>158</v>
      </c>
      <c r="G130" s="97" t="s">
        <v>563</v>
      </c>
      <c r="H130" s="5"/>
    </row>
    <row r="131" spans="1:8" customFormat="1" hidden="1" x14ac:dyDescent="0.25">
      <c r="A131" s="97" t="str">
        <f t="shared" si="1"/>
        <v>PVDD1LVCMOSM_Function</v>
      </c>
      <c r="B131" s="97" t="s">
        <v>388</v>
      </c>
      <c r="C131" s="98" t="s">
        <v>367</v>
      </c>
      <c r="D131" s="97"/>
      <c r="E131" s="97" t="s">
        <v>1038</v>
      </c>
      <c r="F131" s="97" t="s">
        <v>158</v>
      </c>
      <c r="G131" s="97"/>
      <c r="H131" s="5"/>
    </row>
    <row r="132" spans="1:8" customFormat="1" hidden="1" x14ac:dyDescent="0.25">
      <c r="A132" s="97" t="str">
        <f t="shared" si="1"/>
        <v>PVDD3LVCMOSM_Function</v>
      </c>
      <c r="B132" s="97" t="s">
        <v>389</v>
      </c>
      <c r="C132" s="98" t="s">
        <v>367</v>
      </c>
      <c r="D132" s="97"/>
      <c r="E132" s="97" t="s">
        <v>1038</v>
      </c>
      <c r="F132" s="97" t="s">
        <v>158</v>
      </c>
      <c r="G132" s="97"/>
      <c r="H132" s="5"/>
    </row>
    <row r="133" spans="1:8" customFormat="1" hidden="1" x14ac:dyDescent="0.25">
      <c r="A133" s="97" t="str">
        <f t="shared" si="1"/>
        <v>PRWDWUWSWEWCDGLVCMOS_Function</v>
      </c>
      <c r="B133" s="97" t="s">
        <v>395</v>
      </c>
      <c r="C133" s="98" t="s">
        <v>367</v>
      </c>
      <c r="D133" s="97"/>
      <c r="E133" s="97" t="s">
        <v>1038</v>
      </c>
      <c r="F133" s="97" t="s">
        <v>158</v>
      </c>
      <c r="G133" s="97"/>
      <c r="H133" s="5"/>
    </row>
    <row r="134" spans="1:8" customFormat="1" hidden="1" x14ac:dyDescent="0.25">
      <c r="A134" s="97" t="str">
        <f t="shared" si="1"/>
        <v>PLLTS16FFCLAFRACF_Function</v>
      </c>
      <c r="B134" s="97" t="s">
        <v>78</v>
      </c>
      <c r="C134" s="98" t="s">
        <v>367</v>
      </c>
      <c r="D134" s="97"/>
      <c r="E134" s="97" t="s">
        <v>1038</v>
      </c>
      <c r="F134" s="97" t="s">
        <v>257</v>
      </c>
      <c r="G134" s="97" t="s">
        <v>559</v>
      </c>
      <c r="H134" s="5"/>
    </row>
    <row r="135" spans="1:8" customFormat="1" hidden="1" x14ac:dyDescent="0.25">
      <c r="A135" s="97" t="str">
        <f t="shared" si="1"/>
        <v>PGD_Function</v>
      </c>
      <c r="B135" s="97" t="s">
        <v>11</v>
      </c>
      <c r="C135" s="98" t="s">
        <v>367</v>
      </c>
      <c r="D135" s="97"/>
      <c r="E135" s="97" t="s">
        <v>1038</v>
      </c>
      <c r="F135" s="97" t="s">
        <v>71</v>
      </c>
      <c r="G135" s="97" t="s">
        <v>560</v>
      </c>
      <c r="H135" s="5"/>
    </row>
    <row r="136" spans="1:8" customFormat="1" hidden="1" x14ac:dyDescent="0.25">
      <c r="A136" s="97" t="str">
        <f t="shared" si="1"/>
        <v>N16FFC_POK_Function</v>
      </c>
      <c r="B136" s="97" t="s">
        <v>80</v>
      </c>
      <c r="C136" s="98" t="s">
        <v>367</v>
      </c>
      <c r="D136" s="97"/>
      <c r="E136" s="97" t="s">
        <v>1038</v>
      </c>
      <c r="F136" s="97" t="s">
        <v>71</v>
      </c>
      <c r="G136" s="97" t="s">
        <v>567</v>
      </c>
      <c r="H136" s="5"/>
    </row>
    <row r="137" spans="1:8" customFormat="1" hidden="1" x14ac:dyDescent="0.25">
      <c r="A137" s="97" t="str">
        <f t="shared" si="1"/>
        <v>N16FFC_POKSA_Function</v>
      </c>
      <c r="B137" s="97" t="s">
        <v>83</v>
      </c>
      <c r="C137" s="98" t="s">
        <v>367</v>
      </c>
      <c r="D137" s="97"/>
      <c r="E137" s="97" t="s">
        <v>1038</v>
      </c>
      <c r="F137" s="97" t="s">
        <v>71</v>
      </c>
      <c r="G137" s="97" t="s">
        <v>567</v>
      </c>
      <c r="H137" s="5"/>
    </row>
    <row r="138" spans="1:8" customFormat="1" hidden="1" x14ac:dyDescent="0.25">
      <c r="A138" s="97" t="str">
        <f t="shared" si="1"/>
        <v>TEF16FCLL256X32HD18_PHRM_Function</v>
      </c>
      <c r="B138" s="97" t="s">
        <v>74</v>
      </c>
      <c r="C138" s="98" t="s">
        <v>367</v>
      </c>
      <c r="D138" s="97"/>
      <c r="E138" s="97" t="s">
        <v>1038</v>
      </c>
      <c r="F138" s="97" t="s">
        <v>614</v>
      </c>
      <c r="G138" s="97"/>
      <c r="H138" s="5"/>
    </row>
    <row r="139" spans="1:8" customFormat="1" hidden="1" x14ac:dyDescent="0.25">
      <c r="A139" s="97" t="str">
        <f t="shared" si="1"/>
        <v>DIVTS16FFC1TO128A_Function</v>
      </c>
      <c r="B139" s="97" t="s">
        <v>85</v>
      </c>
      <c r="C139" s="98" t="s">
        <v>367</v>
      </c>
      <c r="D139" s="97"/>
      <c r="E139" s="97" t="s">
        <v>1038</v>
      </c>
      <c r="F139" s="97" t="s">
        <v>257</v>
      </c>
      <c r="G139" s="97"/>
      <c r="H139" s="5"/>
    </row>
    <row r="140" spans="1:8" customFormat="1" hidden="1" x14ac:dyDescent="0.25">
      <c r="A140" s="97" t="str">
        <f t="shared" si="1"/>
        <v>sd0901_rx4_Function</v>
      </c>
      <c r="B140" s="97" t="s">
        <v>607</v>
      </c>
      <c r="C140" s="98" t="s">
        <v>367</v>
      </c>
      <c r="D140" s="97"/>
      <c r="E140" s="97" t="s">
        <v>1038</v>
      </c>
      <c r="F140" s="97" t="s">
        <v>255</v>
      </c>
      <c r="G140" s="97" t="s">
        <v>385</v>
      </c>
      <c r="H140" s="5"/>
    </row>
    <row r="141" spans="1:8" customFormat="1" hidden="1" x14ac:dyDescent="0.25">
      <c r="A141" s="97" t="str">
        <f t="shared" si="1"/>
        <v>sd1000_Function</v>
      </c>
      <c r="B141" s="97" t="s">
        <v>608</v>
      </c>
      <c r="C141" s="98" t="s">
        <v>367</v>
      </c>
      <c r="D141" s="97"/>
      <c r="E141" s="97" t="s">
        <v>1038</v>
      </c>
      <c r="F141" s="97" t="s">
        <v>258</v>
      </c>
      <c r="G141" s="97" t="s">
        <v>149</v>
      </c>
      <c r="H141" s="5"/>
    </row>
    <row r="142" spans="1:8" customFormat="1" hidden="1" x14ac:dyDescent="0.25">
      <c r="A142" s="97" t="str">
        <f t="shared" si="1"/>
        <v>N16FFC_HFXOSC_Function</v>
      </c>
      <c r="B142" s="97" t="s">
        <v>77</v>
      </c>
      <c r="C142" s="98" t="s">
        <v>367</v>
      </c>
      <c r="D142" s="97"/>
      <c r="E142" s="97" t="s">
        <v>1038</v>
      </c>
      <c r="F142" s="97" t="s">
        <v>590</v>
      </c>
      <c r="G142" s="97" t="s">
        <v>569</v>
      </c>
      <c r="H142" s="5"/>
    </row>
    <row r="143" spans="1:8" customFormat="1" hidden="1" x14ac:dyDescent="0.25">
      <c r="A143" s="97" t="str">
        <f t="shared" si="1"/>
        <v>N16FFC_LFXOSC_Function</v>
      </c>
      <c r="B143" s="97" t="s">
        <v>76</v>
      </c>
      <c r="C143" s="98" t="s">
        <v>367</v>
      </c>
      <c r="D143" s="97"/>
      <c r="E143" s="97" t="s">
        <v>1038</v>
      </c>
      <c r="F143" s="97" t="s">
        <v>590</v>
      </c>
      <c r="G143" s="97" t="s">
        <v>568</v>
      </c>
      <c r="H143" s="5"/>
    </row>
    <row r="144" spans="1:8" customFormat="1" hidden="1" x14ac:dyDescent="0.25">
      <c r="A144" s="97" t="str">
        <f t="shared" si="1"/>
        <v>N16FFC_RCOSC_Function</v>
      </c>
      <c r="B144" s="97" t="s">
        <v>84</v>
      </c>
      <c r="C144" s="98" t="s">
        <v>367</v>
      </c>
      <c r="D144" s="97"/>
      <c r="E144" s="97" t="s">
        <v>1038</v>
      </c>
      <c r="F144" s="97" t="s">
        <v>590</v>
      </c>
      <c r="G144" s="97" t="s">
        <v>565</v>
      </c>
      <c r="H144" s="5"/>
    </row>
    <row r="145" spans="1:8" customFormat="1" hidden="1" x14ac:dyDescent="0.25">
      <c r="A145" s="97" t="str">
        <f t="shared" ref="A145:A208" si="2">B145&amp;"_"&amp;C145</f>
        <v>TODP16FFC18_C170915_Function</v>
      </c>
      <c r="B145" s="97" t="s">
        <v>75</v>
      </c>
      <c r="C145" s="98" t="s">
        <v>367</v>
      </c>
      <c r="D145" s="97"/>
      <c r="E145" s="97" t="s">
        <v>1038</v>
      </c>
      <c r="F145" s="97" t="s">
        <v>258</v>
      </c>
      <c r="G145" s="97"/>
      <c r="H145" s="5"/>
    </row>
    <row r="146" spans="1:8" customFormat="1" hidden="1" x14ac:dyDescent="0.25">
      <c r="A146" s="97" t="str">
        <f t="shared" si="2"/>
        <v>N16FFC_POR_Function</v>
      </c>
      <c r="B146" s="97" t="s">
        <v>73</v>
      </c>
      <c r="C146" s="98" t="s">
        <v>367</v>
      </c>
      <c r="D146" s="97"/>
      <c r="E146" s="97" t="s">
        <v>1038</v>
      </c>
      <c r="F146" s="97" t="s">
        <v>258</v>
      </c>
      <c r="G146" s="97" t="s">
        <v>566</v>
      </c>
      <c r="H146" s="5"/>
    </row>
    <row r="147" spans="1:8" customFormat="1" hidden="1" x14ac:dyDescent="0.25">
      <c r="A147" s="97" t="str">
        <f t="shared" si="2"/>
        <v>N16FFC_TEMP_DIODE_TOP_Function</v>
      </c>
      <c r="B147" s="97" t="s">
        <v>82</v>
      </c>
      <c r="C147" s="98" t="s">
        <v>367</v>
      </c>
      <c r="D147" s="97"/>
      <c r="E147" s="97" t="s">
        <v>1038</v>
      </c>
      <c r="F147" s="97" t="s">
        <v>258</v>
      </c>
      <c r="G147" s="97" t="s">
        <v>564</v>
      </c>
      <c r="H147" s="5"/>
    </row>
    <row r="148" spans="1:8" customFormat="1" hidden="1" x14ac:dyDescent="0.25">
      <c r="A148" s="97" t="str">
        <f t="shared" si="2"/>
        <v>ABJSTBL5_Function</v>
      </c>
      <c r="B148" s="97" t="s">
        <v>269</v>
      </c>
      <c r="C148" s="98" t="s">
        <v>367</v>
      </c>
      <c r="D148" s="97"/>
      <c r="E148" s="97" t="s">
        <v>1038</v>
      </c>
      <c r="F148" s="97" t="s">
        <v>259</v>
      </c>
      <c r="G148" s="97" t="s">
        <v>267</v>
      </c>
      <c r="H148" s="5"/>
    </row>
    <row r="149" spans="1:8" customFormat="1" hidden="1" x14ac:dyDescent="0.25">
      <c r="A149" s="97" t="str">
        <f t="shared" si="2"/>
        <v>LVDSTS16LLBI1E_Function</v>
      </c>
      <c r="B149" s="97" t="s">
        <v>81</v>
      </c>
      <c r="C149" s="98" t="s">
        <v>367</v>
      </c>
      <c r="D149" s="97"/>
      <c r="E149" s="97" t="s">
        <v>1038</v>
      </c>
      <c r="F149" s="97" t="s">
        <v>258</v>
      </c>
      <c r="G149" s="97" t="s">
        <v>453</v>
      </c>
      <c r="H149" s="5"/>
    </row>
    <row r="150" spans="1:8" customFormat="1" hidden="1" x14ac:dyDescent="0.25">
      <c r="A150" s="97" t="str">
        <f t="shared" si="2"/>
        <v>canfd_Function</v>
      </c>
      <c r="B150" s="97" t="s">
        <v>655</v>
      </c>
      <c r="C150" s="97" t="s">
        <v>367</v>
      </c>
      <c r="D150" s="97"/>
      <c r="E150" s="97" t="s">
        <v>1038</v>
      </c>
      <c r="F150" s="97" t="s">
        <v>168</v>
      </c>
      <c r="G150" s="97" t="s">
        <v>629</v>
      </c>
      <c r="H150" s="5"/>
    </row>
    <row r="151" spans="1:8" customFormat="1" hidden="1" x14ac:dyDescent="0.25">
      <c r="A151" s="97" t="str">
        <f t="shared" si="2"/>
        <v>gpmc_Function</v>
      </c>
      <c r="B151" s="97" t="s">
        <v>653</v>
      </c>
      <c r="C151" s="97" t="s">
        <v>367</v>
      </c>
      <c r="D151" s="97"/>
      <c r="E151" s="97" t="s">
        <v>1038</v>
      </c>
      <c r="F151" s="97" t="s">
        <v>246</v>
      </c>
      <c r="G151" s="97" t="s">
        <v>629</v>
      </c>
      <c r="H151" s="5"/>
    </row>
    <row r="152" spans="1:8" customFormat="1" hidden="1" x14ac:dyDescent="0.25">
      <c r="A152" s="97" t="str">
        <f t="shared" si="2"/>
        <v>mcasp_Function</v>
      </c>
      <c r="B152" s="97" t="s">
        <v>874</v>
      </c>
      <c r="C152" s="97" t="s">
        <v>367</v>
      </c>
      <c r="D152" s="97"/>
      <c r="E152" s="97" t="s">
        <v>1038</v>
      </c>
      <c r="F152" s="97" t="s">
        <v>977</v>
      </c>
      <c r="G152" s="97" t="s">
        <v>629</v>
      </c>
      <c r="H152" s="5"/>
    </row>
    <row r="153" spans="1:8" customFormat="1" hidden="1" x14ac:dyDescent="0.25">
      <c r="A153" s="97" t="str">
        <f t="shared" si="2"/>
        <v>uart_Function</v>
      </c>
      <c r="B153" s="97" t="s">
        <v>918</v>
      </c>
      <c r="C153" s="97" t="s">
        <v>367</v>
      </c>
      <c r="D153" s="97"/>
      <c r="E153" s="97" t="s">
        <v>1038</v>
      </c>
      <c r="F153" s="97" t="s">
        <v>918</v>
      </c>
      <c r="G153" s="97"/>
      <c r="H153" s="5"/>
    </row>
    <row r="154" spans="1:8" customFormat="1" hidden="1" x14ac:dyDescent="0.25">
      <c r="A154" s="97" t="str">
        <f t="shared" si="2"/>
        <v>uart_modem_Function</v>
      </c>
      <c r="B154" s="97" t="s">
        <v>928</v>
      </c>
      <c r="C154" s="97" t="s">
        <v>367</v>
      </c>
      <c r="D154" s="97"/>
      <c r="E154" s="97" t="s">
        <v>1038</v>
      </c>
      <c r="F154" s="97" t="s">
        <v>928</v>
      </c>
      <c r="G154" s="97"/>
      <c r="H154" s="5"/>
    </row>
    <row r="155" spans="1:8" customFormat="1" hidden="1" x14ac:dyDescent="0.25">
      <c r="A155" s="97" t="str">
        <f t="shared" si="2"/>
        <v>dpi_Function</v>
      </c>
      <c r="B155" s="97" t="s">
        <v>699</v>
      </c>
      <c r="C155" s="97" t="s">
        <v>367</v>
      </c>
      <c r="D155" s="97"/>
      <c r="E155" s="97" t="s">
        <v>1038</v>
      </c>
      <c r="F155" s="97" t="s">
        <v>701</v>
      </c>
      <c r="G155" s="97" t="s">
        <v>629</v>
      </c>
      <c r="H155" s="5"/>
    </row>
    <row r="156" spans="1:8" customFormat="1" hidden="1" x14ac:dyDescent="0.25">
      <c r="A156" s="97" t="str">
        <f t="shared" si="2"/>
        <v>i2c_od_Function</v>
      </c>
      <c r="B156" s="97" t="s">
        <v>907</v>
      </c>
      <c r="C156" s="97" t="s">
        <v>367</v>
      </c>
      <c r="D156" s="97"/>
      <c r="E156" s="97" t="s">
        <v>1038</v>
      </c>
      <c r="F156" s="97" t="s">
        <v>908</v>
      </c>
      <c r="G156" s="97"/>
      <c r="H156" s="5"/>
    </row>
    <row r="157" spans="1:8" customFormat="1" hidden="1" x14ac:dyDescent="0.25">
      <c r="A157" s="97" t="str">
        <f t="shared" si="2"/>
        <v>i2c_Function</v>
      </c>
      <c r="B157" s="97" t="s">
        <v>906</v>
      </c>
      <c r="C157" s="97" t="s">
        <v>367</v>
      </c>
      <c r="D157" s="97"/>
      <c r="E157" s="97" t="s">
        <v>1038</v>
      </c>
      <c r="F157" s="97" t="s">
        <v>909</v>
      </c>
      <c r="G157" s="97" t="s">
        <v>910</v>
      </c>
      <c r="H157" s="5"/>
    </row>
    <row r="158" spans="1:8" customFormat="1" hidden="1" x14ac:dyDescent="0.25">
      <c r="A158" s="97" t="str">
        <f t="shared" si="2"/>
        <v>epwm_Function</v>
      </c>
      <c r="B158" s="97" t="s">
        <v>967</v>
      </c>
      <c r="C158" s="97" t="s">
        <v>367</v>
      </c>
      <c r="D158" s="97"/>
      <c r="E158" s="97" t="s">
        <v>1038</v>
      </c>
      <c r="F158" s="97" t="s">
        <v>968</v>
      </c>
      <c r="G158" s="97"/>
      <c r="H158" s="5"/>
    </row>
    <row r="159" spans="1:8" customFormat="1" hidden="1" x14ac:dyDescent="0.25">
      <c r="A159" s="97" t="str">
        <f t="shared" si="2"/>
        <v>fssul_Function</v>
      </c>
      <c r="B159" s="97" t="s">
        <v>689</v>
      </c>
      <c r="C159" s="97" t="s">
        <v>367</v>
      </c>
      <c r="D159" s="97"/>
      <c r="E159" s="97" t="s">
        <v>1038</v>
      </c>
      <c r="F159" s="97" t="s">
        <v>698</v>
      </c>
      <c r="G159" s="97" t="s">
        <v>629</v>
      </c>
      <c r="H159" s="5"/>
    </row>
    <row r="160" spans="1:8" customFormat="1" hidden="1" x14ac:dyDescent="0.25">
      <c r="A160" s="97" t="str">
        <f t="shared" si="2"/>
        <v>ecap_Function</v>
      </c>
      <c r="B160" s="97" t="s">
        <v>938</v>
      </c>
      <c r="C160" s="97" t="s">
        <v>367</v>
      </c>
      <c r="D160" s="97"/>
      <c r="E160" s="97" t="s">
        <v>1038</v>
      </c>
      <c r="F160" s="97" t="s">
        <v>4</v>
      </c>
      <c r="G160" s="97" t="s">
        <v>939</v>
      </c>
      <c r="H160" s="5"/>
    </row>
    <row r="161" spans="1:8" customFormat="1" hidden="1" x14ac:dyDescent="0.25">
      <c r="A161" s="97" t="str">
        <f t="shared" si="2"/>
        <v>eqep_Function</v>
      </c>
      <c r="B161" s="97" t="s">
        <v>937</v>
      </c>
      <c r="C161" s="97" t="s">
        <v>367</v>
      </c>
      <c r="D161" s="97"/>
      <c r="E161" s="97" t="s">
        <v>1038</v>
      </c>
      <c r="F161" s="97" t="s">
        <v>3</v>
      </c>
      <c r="G161" s="97" t="s">
        <v>955</v>
      </c>
      <c r="H161" s="5"/>
    </row>
    <row r="162" spans="1:8" customFormat="1" hidden="1" x14ac:dyDescent="0.25">
      <c r="A162" s="97" t="str">
        <f t="shared" si="2"/>
        <v>ethernet_Function</v>
      </c>
      <c r="B162" s="97" t="s">
        <v>649</v>
      </c>
      <c r="C162" s="97" t="s">
        <v>367</v>
      </c>
      <c r="D162" s="97"/>
      <c r="E162" s="97" t="s">
        <v>1038</v>
      </c>
      <c r="F162" s="97" t="s">
        <v>313</v>
      </c>
      <c r="G162" s="97" t="s">
        <v>629</v>
      </c>
      <c r="H162" s="5"/>
    </row>
    <row r="163" spans="1:8" customFormat="1" hidden="1" x14ac:dyDescent="0.25">
      <c r="A163" s="97" t="str">
        <f t="shared" si="2"/>
        <v>icssm_Function</v>
      </c>
      <c r="B163" s="97" t="s">
        <v>643</v>
      </c>
      <c r="C163" s="97" t="s">
        <v>367</v>
      </c>
      <c r="D163" s="97"/>
      <c r="E163" s="97" t="s">
        <v>1038</v>
      </c>
      <c r="F163" s="97" t="s">
        <v>7</v>
      </c>
      <c r="G163" s="97" t="s">
        <v>629</v>
      </c>
      <c r="H163" s="5"/>
    </row>
    <row r="164" spans="1:8" customFormat="1" hidden="1" x14ac:dyDescent="0.25">
      <c r="A164" s="97" t="str">
        <f t="shared" si="2"/>
        <v>spi_Function</v>
      </c>
      <c r="B164" s="97" t="s">
        <v>898</v>
      </c>
      <c r="C164" s="97" t="s">
        <v>367</v>
      </c>
      <c r="D164" s="97"/>
      <c r="E164" s="97" t="s">
        <v>1038</v>
      </c>
      <c r="F164" s="97" t="s">
        <v>976</v>
      </c>
      <c r="G164" s="97" t="s">
        <v>629</v>
      </c>
      <c r="H164" s="5"/>
    </row>
    <row r="165" spans="1:8" customFormat="1" hidden="1" x14ac:dyDescent="0.25">
      <c r="A165" s="97" t="str">
        <f t="shared" si="2"/>
        <v>gpio_Function</v>
      </c>
      <c r="B165" s="97" t="s">
        <v>969</v>
      </c>
      <c r="C165" s="97" t="s">
        <v>367</v>
      </c>
      <c r="D165" s="97"/>
      <c r="E165" s="97" t="s">
        <v>1038</v>
      </c>
      <c r="F165" s="97" t="s">
        <v>2</v>
      </c>
      <c r="G165" s="97" t="s">
        <v>975</v>
      </c>
      <c r="H165" s="5"/>
    </row>
    <row r="166" spans="1:8" customFormat="1" hidden="1" x14ac:dyDescent="0.25">
      <c r="A166" s="97" t="str">
        <f t="shared" si="2"/>
        <v>PRWDWUWSWEWCDGSDIO_Function</v>
      </c>
      <c r="B166" s="97" t="s">
        <v>396</v>
      </c>
      <c r="C166" s="98" t="s">
        <v>367</v>
      </c>
      <c r="D166" s="97"/>
      <c r="E166" s="97" t="s">
        <v>1038</v>
      </c>
      <c r="F166" s="97" t="s">
        <v>258</v>
      </c>
      <c r="G166" s="97"/>
      <c r="H166" s="5"/>
    </row>
    <row r="167" spans="1:8" customFormat="1" x14ac:dyDescent="0.25">
      <c r="A167" s="97" t="str">
        <f t="shared" si="2"/>
        <v>ddr16_1600_ios_Function</v>
      </c>
      <c r="B167" s="97" t="s">
        <v>620</v>
      </c>
      <c r="C167" s="98" t="s">
        <v>367</v>
      </c>
      <c r="D167" s="97"/>
      <c r="E167" s="97" t="s">
        <v>1038</v>
      </c>
      <c r="F167" s="97" t="s">
        <v>266</v>
      </c>
      <c r="G167" s="97" t="s">
        <v>571</v>
      </c>
      <c r="H167" s="5"/>
    </row>
    <row r="168" spans="1:8" customFormat="1" hidden="1" x14ac:dyDescent="0.25">
      <c r="A168" s="97" t="str">
        <f t="shared" si="2"/>
        <v>sam62_m4ss_wrap_Function</v>
      </c>
      <c r="B168" s="97" t="s">
        <v>219</v>
      </c>
      <c r="C168" s="97" t="s">
        <v>367</v>
      </c>
      <c r="D168" s="97"/>
      <c r="E168" s="97" t="s">
        <v>1072</v>
      </c>
      <c r="F168" s="97" t="s">
        <v>579</v>
      </c>
      <c r="G168" s="97" t="s">
        <v>1074</v>
      </c>
      <c r="H168" s="5"/>
    </row>
    <row r="169" spans="1:8" customFormat="1" hidden="1" x14ac:dyDescent="0.25">
      <c r="A169" s="97" t="str">
        <f t="shared" si="2"/>
        <v>sam62_dm_wrap_Function</v>
      </c>
      <c r="B169" s="97" t="s">
        <v>237</v>
      </c>
      <c r="C169" s="97" t="s">
        <v>367</v>
      </c>
      <c r="D169" s="97"/>
      <c r="E169" s="97" t="s">
        <v>1072</v>
      </c>
      <c r="F169" s="97" t="s">
        <v>579</v>
      </c>
      <c r="G169" s="97" t="s">
        <v>1074</v>
      </c>
      <c r="H169" s="5"/>
    </row>
    <row r="170" spans="1:8" customFormat="1" hidden="1" x14ac:dyDescent="0.25">
      <c r="A170" s="97" t="str">
        <f t="shared" si="2"/>
        <v>sam62_a53_dual_wrap_cba_cpu_phys_Function</v>
      </c>
      <c r="B170" s="97" t="s">
        <v>274</v>
      </c>
      <c r="C170" s="97" t="s">
        <v>367</v>
      </c>
      <c r="D170" s="97"/>
      <c r="E170" s="97" t="s">
        <v>1072</v>
      </c>
      <c r="F170" s="97" t="s">
        <v>578</v>
      </c>
      <c r="G170" s="97" t="s">
        <v>1074</v>
      </c>
      <c r="H170" s="5"/>
    </row>
    <row r="171" spans="1:8" customFormat="1" hidden="1" x14ac:dyDescent="0.25">
      <c r="A171" s="97" t="str">
        <f t="shared" si="2"/>
        <v>sam62_a53_512kb_wrap_Function</v>
      </c>
      <c r="B171" s="97" t="s">
        <v>270</v>
      </c>
      <c r="C171" s="97" t="s">
        <v>367</v>
      </c>
      <c r="D171" s="97"/>
      <c r="E171" s="97" t="s">
        <v>1072</v>
      </c>
      <c r="F171" s="97" t="s">
        <v>578</v>
      </c>
      <c r="G171" s="97" t="s">
        <v>1074</v>
      </c>
      <c r="H171" s="5"/>
    </row>
    <row r="172" spans="1:8" customFormat="1" hidden="1" x14ac:dyDescent="0.25">
      <c r="A172" s="97" t="str">
        <f t="shared" si="2"/>
        <v>sam62_cpsw3_wrap_Function</v>
      </c>
      <c r="B172" s="97" t="s">
        <v>216</v>
      </c>
      <c r="C172" s="97" t="s">
        <v>367</v>
      </c>
      <c r="D172" s="97"/>
      <c r="E172" s="97" t="s">
        <v>1072</v>
      </c>
      <c r="F172" s="97" t="s">
        <v>253</v>
      </c>
      <c r="G172" s="97" t="s">
        <v>1074</v>
      </c>
      <c r="H172" s="5"/>
    </row>
    <row r="173" spans="1:8" customFormat="1" hidden="1" x14ac:dyDescent="0.25">
      <c r="A173" s="97" t="str">
        <f t="shared" si="2"/>
        <v>sam62_icss_m_wrap_Function</v>
      </c>
      <c r="B173" s="97" t="s">
        <v>209</v>
      </c>
      <c r="C173" s="97" t="s">
        <v>367</v>
      </c>
      <c r="D173" s="97"/>
      <c r="E173" s="97" t="s">
        <v>1072</v>
      </c>
      <c r="F173" s="97" t="s">
        <v>253</v>
      </c>
      <c r="G173" s="97" t="s">
        <v>1074</v>
      </c>
      <c r="H173" s="5"/>
    </row>
    <row r="174" spans="1:8" customFormat="1" hidden="1" x14ac:dyDescent="0.25">
      <c r="A174" s="97" t="str">
        <f t="shared" si="2"/>
        <v>sam62_dss_oldi_wrap_Function</v>
      </c>
      <c r="B174" s="97" t="s">
        <v>214</v>
      </c>
      <c r="C174" s="97" t="s">
        <v>367</v>
      </c>
      <c r="D174" s="97"/>
      <c r="E174" s="97" t="s">
        <v>1072</v>
      </c>
      <c r="F174" s="97" t="s">
        <v>250</v>
      </c>
      <c r="G174" s="97" t="s">
        <v>1074</v>
      </c>
      <c r="H174" s="5"/>
    </row>
    <row r="175" spans="1:8" customFormat="1" hidden="1" x14ac:dyDescent="0.25">
      <c r="A175" s="97" t="str">
        <f t="shared" si="2"/>
        <v>sam62_k3_gpu_axe116m_wrap_Function</v>
      </c>
      <c r="B175" s="97" t="s">
        <v>242</v>
      </c>
      <c r="C175" s="97" t="s">
        <v>367</v>
      </c>
      <c r="D175" s="97"/>
      <c r="E175" s="97" t="s">
        <v>1072</v>
      </c>
      <c r="F175" s="97" t="s">
        <v>251</v>
      </c>
      <c r="G175" s="97" t="s">
        <v>1074</v>
      </c>
      <c r="H175" s="5"/>
    </row>
    <row r="176" spans="1:8" customFormat="1" hidden="1" x14ac:dyDescent="0.25">
      <c r="A176" s="97" t="str">
        <f t="shared" si="2"/>
        <v>sam62_mcasp_wrap_Function</v>
      </c>
      <c r="B176" s="97" t="s">
        <v>208</v>
      </c>
      <c r="C176" s="97" t="s">
        <v>367</v>
      </c>
      <c r="D176" s="97"/>
      <c r="E176" s="97" t="s">
        <v>1072</v>
      </c>
      <c r="F176" s="97" t="s">
        <v>254</v>
      </c>
      <c r="G176" s="97" t="s">
        <v>1074</v>
      </c>
      <c r="H176" s="5"/>
    </row>
    <row r="177" spans="1:25" customFormat="1" hidden="1" x14ac:dyDescent="0.25">
      <c r="A177" s="97" t="str">
        <f t="shared" si="2"/>
        <v>sam62_csirx_wrap_Function</v>
      </c>
      <c r="B177" s="97" t="s">
        <v>239</v>
      </c>
      <c r="C177" s="97" t="s">
        <v>367</v>
      </c>
      <c r="D177" s="97"/>
      <c r="E177" s="97" t="s">
        <v>1072</v>
      </c>
      <c r="F177" s="97" t="s">
        <v>261</v>
      </c>
      <c r="G177" s="97" t="s">
        <v>1074</v>
      </c>
      <c r="H177" s="5"/>
    </row>
    <row r="178" spans="1:25" customFormat="1" hidden="1" x14ac:dyDescent="0.25">
      <c r="A178" s="97" t="str">
        <f t="shared" si="2"/>
        <v>sam62_usb2_wrap_Function</v>
      </c>
      <c r="B178" s="97" t="s">
        <v>207</v>
      </c>
      <c r="C178" s="97" t="s">
        <v>367</v>
      </c>
      <c r="D178" s="97"/>
      <c r="E178" s="97" t="s">
        <v>1072</v>
      </c>
      <c r="F178" s="97" t="s">
        <v>900</v>
      </c>
      <c r="G178" s="97" t="s">
        <v>1074</v>
      </c>
      <c r="H178" s="5"/>
    </row>
    <row r="179" spans="1:25" customFormat="1" hidden="1" x14ac:dyDescent="0.25">
      <c r="A179" s="97" t="str">
        <f t="shared" si="2"/>
        <v>sam62_emmc_4bit_wrap_Function</v>
      </c>
      <c r="B179" s="97" t="s">
        <v>240</v>
      </c>
      <c r="C179" s="97" t="s">
        <v>367</v>
      </c>
      <c r="D179" s="97"/>
      <c r="E179" s="97" t="s">
        <v>1072</v>
      </c>
      <c r="F179" s="97" t="s">
        <v>899</v>
      </c>
      <c r="G179" s="97" t="s">
        <v>1074</v>
      </c>
      <c r="H179" s="5"/>
    </row>
    <row r="180" spans="1:25" customFormat="1" hidden="1" x14ac:dyDescent="0.25">
      <c r="A180" s="97" t="str">
        <f t="shared" si="2"/>
        <v>sam62_emmc_8bit_wrap_Function</v>
      </c>
      <c r="B180" s="97" t="s">
        <v>241</v>
      </c>
      <c r="C180" s="97" t="s">
        <v>367</v>
      </c>
      <c r="D180" s="97"/>
      <c r="E180" s="97" t="s">
        <v>1072</v>
      </c>
      <c r="F180" s="97" t="s">
        <v>899</v>
      </c>
      <c r="G180" s="97" t="s">
        <v>1074</v>
      </c>
      <c r="H180" s="5"/>
    </row>
    <row r="181" spans="1:25" customFormat="1" hidden="1" x14ac:dyDescent="0.25">
      <c r="A181" s="97" t="str">
        <f t="shared" si="2"/>
        <v>sam62_gpmc_elm_wrap_Function</v>
      </c>
      <c r="B181" s="97" t="s">
        <v>211</v>
      </c>
      <c r="C181" s="97" t="s">
        <v>367</v>
      </c>
      <c r="D181" s="97"/>
      <c r="E181" s="97" t="s">
        <v>1072</v>
      </c>
      <c r="F181" s="97" t="s">
        <v>899</v>
      </c>
      <c r="G181" s="97" t="s">
        <v>1074</v>
      </c>
      <c r="H181" s="5"/>
    </row>
    <row r="182" spans="1:25" s="104" customFormat="1" hidden="1" x14ac:dyDescent="0.25">
      <c r="A182" s="97" t="str">
        <f t="shared" si="2"/>
        <v>sam62_ddr_wrap_Function</v>
      </c>
      <c r="B182" s="97" t="s">
        <v>215</v>
      </c>
      <c r="C182" s="97" t="s">
        <v>367</v>
      </c>
      <c r="D182" s="97"/>
      <c r="E182" s="97" t="s">
        <v>1072</v>
      </c>
      <c r="F182" s="97" t="s">
        <v>899</v>
      </c>
      <c r="G182" s="97" t="s">
        <v>1074</v>
      </c>
      <c r="H182" s="5"/>
      <c r="I182"/>
      <c r="J182"/>
      <c r="K182"/>
      <c r="L182"/>
      <c r="M182"/>
      <c r="N182"/>
      <c r="O182"/>
      <c r="P182"/>
      <c r="Q182"/>
      <c r="R182"/>
      <c r="S182"/>
      <c r="T182"/>
      <c r="U182"/>
      <c r="V182"/>
      <c r="W182"/>
      <c r="X182"/>
      <c r="Y182"/>
    </row>
    <row r="183" spans="1:25" s="104" customFormat="1" hidden="1" x14ac:dyDescent="0.25">
      <c r="A183" s="97" t="str">
        <f t="shared" si="2"/>
        <v>ddr16_1600_phy_Function</v>
      </c>
      <c r="B183" s="97" t="s">
        <v>314</v>
      </c>
      <c r="C183" s="97" t="s">
        <v>367</v>
      </c>
      <c r="D183" s="97"/>
      <c r="E183" s="97" t="s">
        <v>1072</v>
      </c>
      <c r="F183" s="97" t="s">
        <v>899</v>
      </c>
      <c r="G183" s="97" t="s">
        <v>1074</v>
      </c>
      <c r="H183" s="5"/>
      <c r="I183"/>
      <c r="J183"/>
      <c r="K183"/>
      <c r="L183"/>
      <c r="M183"/>
      <c r="N183"/>
      <c r="O183"/>
      <c r="P183"/>
      <c r="Q183"/>
      <c r="R183"/>
      <c r="S183"/>
      <c r="T183"/>
      <c r="U183"/>
      <c r="V183"/>
      <c r="W183"/>
      <c r="X183"/>
      <c r="Y183"/>
    </row>
    <row r="184" spans="1:25" s="104" customFormat="1" hidden="1" x14ac:dyDescent="0.25">
      <c r="A184" s="97" t="str">
        <f t="shared" si="2"/>
        <v>sam62_debug_wrap_Function</v>
      </c>
      <c r="B184" s="97" t="s">
        <v>186</v>
      </c>
      <c r="C184" s="97" t="s">
        <v>367</v>
      </c>
      <c r="D184" s="97"/>
      <c r="E184" s="97" t="s">
        <v>1072</v>
      </c>
      <c r="F184" s="97" t="s">
        <v>245</v>
      </c>
      <c r="G184" s="97" t="s">
        <v>1074</v>
      </c>
      <c r="H184" s="5"/>
      <c r="I184"/>
      <c r="J184"/>
      <c r="K184"/>
      <c r="L184"/>
      <c r="M184"/>
      <c r="N184"/>
      <c r="O184"/>
      <c r="P184"/>
      <c r="Q184"/>
      <c r="R184"/>
      <c r="S184"/>
      <c r="T184"/>
      <c r="U184"/>
      <c r="V184"/>
      <c r="W184"/>
      <c r="X184"/>
      <c r="Y184"/>
    </row>
    <row r="185" spans="1:25" s="104" customFormat="1" hidden="1" x14ac:dyDescent="0.25">
      <c r="A185" s="97" t="str">
        <f t="shared" si="2"/>
        <v>sam62_efuse_ctrl_wrap_Function</v>
      </c>
      <c r="B185" s="97" t="s">
        <v>213</v>
      </c>
      <c r="C185" s="97" t="s">
        <v>367</v>
      </c>
      <c r="D185" s="97"/>
      <c r="E185" s="97" t="s">
        <v>1072</v>
      </c>
      <c r="F185" s="97" t="s">
        <v>581</v>
      </c>
      <c r="G185" s="97" t="s">
        <v>1074</v>
      </c>
      <c r="H185" s="5"/>
      <c r="I185"/>
      <c r="J185"/>
      <c r="K185"/>
      <c r="L185"/>
      <c r="M185"/>
      <c r="N185"/>
      <c r="O185"/>
      <c r="P185"/>
      <c r="Q185"/>
      <c r="R185"/>
      <c r="S185"/>
      <c r="T185"/>
      <c r="U185"/>
      <c r="V185"/>
      <c r="W185"/>
      <c r="X185"/>
      <c r="Y185"/>
    </row>
    <row r="186" spans="1:25" s="104" customFormat="1" hidden="1" x14ac:dyDescent="0.25">
      <c r="A186" s="97" t="str">
        <f t="shared" si="2"/>
        <v>sam62_main_infra_phys_Function</v>
      </c>
      <c r="B186" s="97" t="s">
        <v>144</v>
      </c>
      <c r="C186" s="97" t="s">
        <v>367</v>
      </c>
      <c r="D186" s="97"/>
      <c r="E186" s="97" t="s">
        <v>1072</v>
      </c>
      <c r="F186" s="97" t="s">
        <v>581</v>
      </c>
      <c r="G186" s="97" t="s">
        <v>1074</v>
      </c>
      <c r="H186" s="5"/>
      <c r="I186"/>
      <c r="J186"/>
      <c r="K186"/>
      <c r="L186"/>
      <c r="M186"/>
      <c r="N186"/>
      <c r="O186"/>
      <c r="P186"/>
      <c r="Q186"/>
      <c r="R186"/>
      <c r="S186"/>
      <c r="T186"/>
      <c r="U186"/>
      <c r="V186"/>
      <c r="W186"/>
      <c r="X186"/>
      <c r="Y186"/>
    </row>
    <row r="187" spans="1:25" s="104" customFormat="1" hidden="1" x14ac:dyDescent="0.25">
      <c r="A187" s="97" t="str">
        <f t="shared" si="2"/>
        <v>sam62_main_ip_wrap_Function</v>
      </c>
      <c r="B187" s="97" t="s">
        <v>238</v>
      </c>
      <c r="C187" s="97" t="s">
        <v>367</v>
      </c>
      <c r="D187" s="97"/>
      <c r="E187" s="97" t="s">
        <v>1072</v>
      </c>
      <c r="F187" s="97" t="s">
        <v>581</v>
      </c>
      <c r="G187" s="97" t="s">
        <v>1074</v>
      </c>
      <c r="H187" s="5"/>
      <c r="I187"/>
      <c r="J187"/>
      <c r="K187"/>
      <c r="L187"/>
      <c r="M187"/>
      <c r="N187"/>
      <c r="O187"/>
      <c r="P187"/>
      <c r="Q187"/>
      <c r="R187"/>
      <c r="S187"/>
      <c r="T187"/>
      <c r="U187"/>
      <c r="V187"/>
      <c r="W187"/>
      <c r="X187"/>
      <c r="Y187"/>
    </row>
    <row r="188" spans="1:25" s="104" customFormat="1" hidden="1" x14ac:dyDescent="0.25">
      <c r="A188" s="97" t="str">
        <f t="shared" si="2"/>
        <v>sam62_mcu_infra_phys_Function</v>
      </c>
      <c r="B188" s="97" t="s">
        <v>183</v>
      </c>
      <c r="C188" s="97" t="s">
        <v>367</v>
      </c>
      <c r="D188" s="97"/>
      <c r="E188" s="97" t="s">
        <v>1072</v>
      </c>
      <c r="F188" s="97" t="s">
        <v>581</v>
      </c>
      <c r="G188" s="97" t="s">
        <v>1074</v>
      </c>
      <c r="H188" s="5"/>
      <c r="I188"/>
      <c r="J188"/>
      <c r="K188"/>
      <c r="L188"/>
      <c r="M188"/>
      <c r="N188"/>
      <c r="O188"/>
      <c r="P188"/>
      <c r="Q188"/>
      <c r="R188"/>
      <c r="S188"/>
      <c r="T188"/>
      <c r="U188"/>
      <c r="V188"/>
      <c r="W188"/>
      <c r="X188"/>
      <c r="Y188"/>
    </row>
    <row r="189" spans="1:25" s="104" customFormat="1" hidden="1" x14ac:dyDescent="0.25">
      <c r="A189" s="97" t="str">
        <f t="shared" si="2"/>
        <v>sam62_mcu_wrap_Function</v>
      </c>
      <c r="B189" s="97" t="s">
        <v>236</v>
      </c>
      <c r="C189" s="97" t="s">
        <v>367</v>
      </c>
      <c r="D189" s="97"/>
      <c r="E189" s="97" t="s">
        <v>1072</v>
      </c>
      <c r="F189" s="97" t="s">
        <v>581</v>
      </c>
      <c r="G189" s="97" t="s">
        <v>1074</v>
      </c>
      <c r="H189" s="5"/>
      <c r="I189"/>
      <c r="J189"/>
      <c r="K189"/>
      <c r="L189"/>
      <c r="M189"/>
      <c r="N189"/>
      <c r="O189"/>
      <c r="P189"/>
      <c r="Q189"/>
      <c r="R189"/>
      <c r="S189"/>
      <c r="T189"/>
      <c r="U189"/>
      <c r="V189"/>
      <c r="W189"/>
      <c r="X189"/>
      <c r="Y189"/>
    </row>
    <row r="190" spans="1:25" s="104" customFormat="1" hidden="1" x14ac:dyDescent="0.25">
      <c r="A190" s="97" t="str">
        <f t="shared" si="2"/>
        <v>sam62_odp_ctrl_wrap_Function</v>
      </c>
      <c r="B190" s="97" t="s">
        <v>212</v>
      </c>
      <c r="C190" s="97" t="s">
        <v>367</v>
      </c>
      <c r="D190" s="97"/>
      <c r="E190" s="97" t="s">
        <v>1072</v>
      </c>
      <c r="F190" s="97" t="s">
        <v>581</v>
      </c>
      <c r="G190" s="97" t="s">
        <v>1074</v>
      </c>
      <c r="H190" s="5"/>
      <c r="I190"/>
      <c r="J190"/>
      <c r="K190"/>
      <c r="L190"/>
      <c r="M190"/>
      <c r="N190"/>
      <c r="O190"/>
      <c r="P190"/>
      <c r="Q190"/>
      <c r="R190"/>
      <c r="S190"/>
      <c r="T190"/>
      <c r="U190"/>
      <c r="V190"/>
      <c r="W190"/>
      <c r="X190"/>
      <c r="Y190"/>
    </row>
    <row r="191" spans="1:25" s="104" customFormat="1" hidden="1" x14ac:dyDescent="0.25">
      <c r="A191" s="97" t="str">
        <f t="shared" si="2"/>
        <v>sam62_sec_wrap_Function</v>
      </c>
      <c r="B191" s="97" t="s">
        <v>262</v>
      </c>
      <c r="C191" s="97" t="s">
        <v>367</v>
      </c>
      <c r="D191" s="97"/>
      <c r="E191" s="97" t="s">
        <v>1072</v>
      </c>
      <c r="F191" s="97" t="s">
        <v>580</v>
      </c>
      <c r="G191" s="97" t="s">
        <v>1074</v>
      </c>
      <c r="H191" s="5"/>
      <c r="I191"/>
      <c r="J191"/>
      <c r="K191"/>
      <c r="L191"/>
      <c r="M191"/>
      <c r="N191"/>
      <c r="O191"/>
      <c r="P191"/>
      <c r="Q191"/>
      <c r="R191"/>
      <c r="S191"/>
      <c r="T191"/>
      <c r="U191"/>
      <c r="V191"/>
      <c r="W191"/>
      <c r="X191"/>
      <c r="Y191"/>
    </row>
    <row r="192" spans="1:25" s="104" customFormat="1" hidden="1" x14ac:dyDescent="0.25">
      <c r="A192" s="97" t="str">
        <f t="shared" si="2"/>
        <v>sam62_core_Function</v>
      </c>
      <c r="B192" s="97" t="s">
        <v>185</v>
      </c>
      <c r="C192" s="97" t="s">
        <v>367</v>
      </c>
      <c r="D192" s="97"/>
      <c r="E192" s="97" t="s">
        <v>1072</v>
      </c>
      <c r="F192" s="97" t="s">
        <v>8</v>
      </c>
      <c r="G192" s="97" t="s">
        <v>1214</v>
      </c>
      <c r="H192" s="5"/>
      <c r="I192"/>
      <c r="J192"/>
      <c r="K192"/>
      <c r="L192"/>
      <c r="M192"/>
      <c r="N192"/>
      <c r="O192"/>
      <c r="P192"/>
      <c r="Q192"/>
      <c r="R192"/>
      <c r="S192"/>
      <c r="T192"/>
      <c r="U192"/>
      <c r="V192"/>
      <c r="W192"/>
      <c r="X192"/>
      <c r="Y192"/>
    </row>
    <row r="193" spans="1:25" s="104" customFormat="1" hidden="1" x14ac:dyDescent="0.25">
      <c r="A193" s="97" t="str">
        <f t="shared" si="2"/>
        <v>sam62_pll_ctrl_wrap_Function</v>
      </c>
      <c r="B193" s="97" t="s">
        <v>221</v>
      </c>
      <c r="C193" s="97" t="s">
        <v>367</v>
      </c>
      <c r="D193" s="97"/>
      <c r="E193" s="97" t="s">
        <v>1072</v>
      </c>
      <c r="F193" s="97" t="s">
        <v>581</v>
      </c>
      <c r="G193" s="97" t="s">
        <v>1074</v>
      </c>
      <c r="H193" s="5"/>
      <c r="I193"/>
      <c r="J193"/>
      <c r="K193"/>
      <c r="L193"/>
      <c r="M193"/>
      <c r="N193"/>
      <c r="O193"/>
      <c r="P193"/>
      <c r="Q193"/>
      <c r="R193"/>
      <c r="S193"/>
      <c r="T193"/>
      <c r="U193"/>
      <c r="V193"/>
      <c r="W193"/>
      <c r="X193"/>
      <c r="Y193"/>
    </row>
    <row r="194" spans="1:25" s="104" customFormat="1" hidden="1" x14ac:dyDescent="0.25">
      <c r="A194" s="97" t="str">
        <f t="shared" si="2"/>
        <v>sam62_m4ss_wrap_lvt16_pct</v>
      </c>
      <c r="B194" s="97" t="s">
        <v>219</v>
      </c>
      <c r="C194" s="97" t="s">
        <v>1088</v>
      </c>
      <c r="D194" s="97"/>
      <c r="E194" s="97" t="s">
        <v>1072</v>
      </c>
      <c r="F194" s="108">
        <v>0.04</v>
      </c>
      <c r="G194" s="97" t="s">
        <v>1077</v>
      </c>
      <c r="H194" s="108">
        <v>0.04</v>
      </c>
      <c r="I194"/>
      <c r="J194"/>
      <c r="K194"/>
      <c r="L194"/>
      <c r="M194"/>
      <c r="N194"/>
      <c r="O194"/>
      <c r="P194"/>
      <c r="Q194"/>
      <c r="R194"/>
      <c r="S194"/>
      <c r="T194"/>
      <c r="U194"/>
      <c r="V194"/>
      <c r="W194"/>
      <c r="X194"/>
      <c r="Y194"/>
    </row>
    <row r="195" spans="1:25" s="104" customFormat="1" hidden="1" x14ac:dyDescent="0.25">
      <c r="A195" s="97" t="str">
        <f t="shared" si="2"/>
        <v>sam62_dm_wrap_lvt16_pct</v>
      </c>
      <c r="B195" s="97" t="s">
        <v>237</v>
      </c>
      <c r="C195" s="97" t="s">
        <v>1088</v>
      </c>
      <c r="D195" s="97"/>
      <c r="E195" s="97" t="s">
        <v>1072</v>
      </c>
      <c r="F195" s="108">
        <v>0.1</v>
      </c>
      <c r="G195" s="97" t="s">
        <v>1077</v>
      </c>
      <c r="H195" s="108">
        <v>0.1</v>
      </c>
      <c r="I195"/>
      <c r="J195"/>
      <c r="K195"/>
      <c r="L195"/>
      <c r="M195"/>
      <c r="N195"/>
      <c r="O195"/>
      <c r="P195"/>
      <c r="Q195"/>
      <c r="R195"/>
      <c r="S195"/>
      <c r="T195"/>
      <c r="U195"/>
      <c r="V195"/>
      <c r="W195"/>
      <c r="X195"/>
      <c r="Y195"/>
    </row>
    <row r="196" spans="1:25" s="104" customFormat="1" hidden="1" x14ac:dyDescent="0.25">
      <c r="A196" s="97" t="str">
        <f t="shared" si="2"/>
        <v>sam62_a53_dual_wrap_cba_cpu_phys_lvt16_pct</v>
      </c>
      <c r="B196" s="97" t="s">
        <v>274</v>
      </c>
      <c r="C196" s="97" t="s">
        <v>1088</v>
      </c>
      <c r="D196" s="97"/>
      <c r="E196" s="97" t="s">
        <v>1072</v>
      </c>
      <c r="F196" s="108">
        <v>0.13</v>
      </c>
      <c r="G196" s="97" t="s">
        <v>1077</v>
      </c>
      <c r="H196" s="108">
        <v>0.13</v>
      </c>
      <c r="I196"/>
      <c r="J196"/>
      <c r="K196"/>
      <c r="L196"/>
      <c r="M196"/>
      <c r="N196"/>
      <c r="O196"/>
      <c r="P196"/>
      <c r="Q196"/>
      <c r="R196"/>
      <c r="S196"/>
      <c r="T196"/>
      <c r="U196"/>
      <c r="V196"/>
      <c r="W196"/>
      <c r="X196"/>
      <c r="Y196"/>
    </row>
    <row r="197" spans="1:25" s="104" customFormat="1" hidden="1" x14ac:dyDescent="0.25">
      <c r="A197" s="97" t="str">
        <f t="shared" si="2"/>
        <v>sam62_a53_512kb_wrap_lvt16_pct</v>
      </c>
      <c r="B197" s="97" t="s">
        <v>270</v>
      </c>
      <c r="C197" s="97" t="s">
        <v>1088</v>
      </c>
      <c r="D197" s="97"/>
      <c r="E197" s="97" t="s">
        <v>1072</v>
      </c>
      <c r="F197" s="108">
        <v>0.13</v>
      </c>
      <c r="G197" s="97" t="s">
        <v>1077</v>
      </c>
      <c r="H197" s="108">
        <v>0.14000000000000001</v>
      </c>
      <c r="I197"/>
      <c r="J197"/>
      <c r="K197"/>
      <c r="L197"/>
      <c r="M197"/>
      <c r="N197"/>
      <c r="O197"/>
      <c r="P197"/>
      <c r="Q197"/>
      <c r="R197"/>
      <c r="S197"/>
      <c r="T197"/>
      <c r="U197"/>
      <c r="V197"/>
      <c r="W197"/>
      <c r="X197"/>
      <c r="Y197"/>
    </row>
    <row r="198" spans="1:25" s="104" customFormat="1" hidden="1" x14ac:dyDescent="0.25">
      <c r="A198" s="97" t="str">
        <f t="shared" si="2"/>
        <v>sam62_cpsw3_wrap_lvt16_pct</v>
      </c>
      <c r="B198" s="97" t="s">
        <v>216</v>
      </c>
      <c r="C198" s="97" t="s">
        <v>1088</v>
      </c>
      <c r="D198" s="97"/>
      <c r="E198" s="97" t="s">
        <v>1072</v>
      </c>
      <c r="F198" s="108">
        <v>0.04</v>
      </c>
      <c r="G198" s="97" t="s">
        <v>1077</v>
      </c>
      <c r="H198" s="108">
        <v>0.04</v>
      </c>
      <c r="I198"/>
      <c r="J198"/>
      <c r="K198"/>
      <c r="L198"/>
      <c r="M198"/>
      <c r="N198"/>
      <c r="O198"/>
      <c r="P198"/>
      <c r="Q198"/>
      <c r="R198"/>
      <c r="S198"/>
      <c r="T198"/>
      <c r="U198"/>
      <c r="V198"/>
      <c r="W198"/>
      <c r="X198"/>
      <c r="Y198"/>
    </row>
    <row r="199" spans="1:25" s="104" customFormat="1" hidden="1" x14ac:dyDescent="0.25">
      <c r="A199" s="97" t="str">
        <f t="shared" si="2"/>
        <v>sam62_icss_m_wrap_lvt16_pct</v>
      </c>
      <c r="B199" s="97" t="s">
        <v>209</v>
      </c>
      <c r="C199" s="97" t="s">
        <v>1088</v>
      </c>
      <c r="D199" s="97"/>
      <c r="E199" s="97" t="s">
        <v>1072</v>
      </c>
      <c r="F199" s="108">
        <v>0.06</v>
      </c>
      <c r="G199" s="97" t="s">
        <v>1077</v>
      </c>
      <c r="H199" s="108">
        <v>0.06</v>
      </c>
      <c r="I199"/>
      <c r="J199"/>
      <c r="K199"/>
      <c r="L199"/>
      <c r="M199"/>
      <c r="N199"/>
      <c r="O199"/>
      <c r="P199"/>
      <c r="Q199"/>
      <c r="R199"/>
      <c r="S199"/>
      <c r="T199"/>
      <c r="U199"/>
      <c r="V199"/>
      <c r="W199"/>
      <c r="X199"/>
      <c r="Y199"/>
    </row>
    <row r="200" spans="1:25" s="104" customFormat="1" hidden="1" x14ac:dyDescent="0.25">
      <c r="A200" s="97" t="str">
        <f t="shared" si="2"/>
        <v>sam62_dss_oldi_wrap_lvt16_pct</v>
      </c>
      <c r="B200" s="97" t="s">
        <v>214</v>
      </c>
      <c r="C200" s="97" t="s">
        <v>1088</v>
      </c>
      <c r="D200" s="97"/>
      <c r="E200" s="97" t="s">
        <v>1072</v>
      </c>
      <c r="F200" s="108">
        <v>0.05</v>
      </c>
      <c r="G200" s="97" t="s">
        <v>1077</v>
      </c>
      <c r="H200" s="108">
        <v>0.05</v>
      </c>
      <c r="I200"/>
      <c r="J200"/>
      <c r="K200"/>
      <c r="L200"/>
      <c r="M200"/>
      <c r="N200"/>
      <c r="O200"/>
      <c r="P200"/>
      <c r="Q200"/>
      <c r="R200"/>
      <c r="S200"/>
      <c r="T200"/>
      <c r="U200"/>
      <c r="V200"/>
      <c r="W200"/>
      <c r="X200"/>
      <c r="Y200"/>
    </row>
    <row r="201" spans="1:25" s="104" customFormat="1" hidden="1" x14ac:dyDescent="0.25">
      <c r="A201" s="97" t="str">
        <f t="shared" si="2"/>
        <v>sam62_k3_gpu_axe116m_wrap_lvt16_pct</v>
      </c>
      <c r="B201" s="97" t="s">
        <v>242</v>
      </c>
      <c r="C201" s="97" t="s">
        <v>1088</v>
      </c>
      <c r="D201" s="97"/>
      <c r="E201" s="97" t="s">
        <v>1072</v>
      </c>
      <c r="F201" s="108">
        <v>7.0000000000000007E-2</v>
      </c>
      <c r="G201" s="97" t="s">
        <v>1077</v>
      </c>
      <c r="H201" s="108">
        <v>7.0000000000000007E-2</v>
      </c>
      <c r="I201"/>
      <c r="J201"/>
      <c r="K201"/>
      <c r="L201"/>
      <c r="M201"/>
      <c r="N201"/>
      <c r="O201"/>
      <c r="P201"/>
      <c r="Q201"/>
      <c r="R201"/>
      <c r="S201"/>
      <c r="T201"/>
      <c r="U201"/>
      <c r="V201"/>
      <c r="W201"/>
      <c r="X201"/>
      <c r="Y201"/>
    </row>
    <row r="202" spans="1:25" s="104" customFormat="1" hidden="1" x14ac:dyDescent="0.25">
      <c r="A202" s="97" t="str">
        <f t="shared" si="2"/>
        <v>sam62_mcasp_wrap_lvt16_pct</v>
      </c>
      <c r="B202" s="97" t="s">
        <v>208</v>
      </c>
      <c r="C202" s="97" t="s">
        <v>1088</v>
      </c>
      <c r="D202" s="97"/>
      <c r="E202" s="97" t="s">
        <v>1072</v>
      </c>
      <c r="F202" s="108">
        <v>0.11</v>
      </c>
      <c r="G202" s="97" t="s">
        <v>1077</v>
      </c>
      <c r="H202" s="108">
        <v>0.11</v>
      </c>
      <c r="I202"/>
      <c r="J202"/>
      <c r="K202"/>
      <c r="L202"/>
      <c r="M202"/>
      <c r="N202"/>
      <c r="O202"/>
      <c r="P202"/>
      <c r="Q202"/>
      <c r="R202"/>
      <c r="S202"/>
      <c r="T202"/>
      <c r="U202"/>
      <c r="V202"/>
      <c r="W202"/>
      <c r="X202"/>
      <c r="Y202"/>
    </row>
    <row r="203" spans="1:25" s="104" customFormat="1" hidden="1" x14ac:dyDescent="0.25">
      <c r="A203" s="97" t="str">
        <f t="shared" si="2"/>
        <v>sam62_csirx_wrap_lvt16_pct</v>
      </c>
      <c r="B203" s="97" t="s">
        <v>239</v>
      </c>
      <c r="C203" s="97" t="s">
        <v>1088</v>
      </c>
      <c r="D203" s="97"/>
      <c r="E203" s="97" t="s">
        <v>1072</v>
      </c>
      <c r="F203" s="108">
        <v>0.1</v>
      </c>
      <c r="G203" s="97" t="s">
        <v>1077</v>
      </c>
      <c r="H203" s="108">
        <v>0.1</v>
      </c>
      <c r="I203"/>
      <c r="J203"/>
      <c r="K203"/>
      <c r="L203"/>
      <c r="M203"/>
      <c r="N203"/>
      <c r="O203"/>
      <c r="P203"/>
      <c r="Q203"/>
      <c r="R203"/>
      <c r="S203"/>
      <c r="T203"/>
      <c r="U203"/>
      <c r="V203"/>
      <c r="W203"/>
      <c r="X203"/>
      <c r="Y203"/>
    </row>
    <row r="204" spans="1:25" s="104" customFormat="1" hidden="1" x14ac:dyDescent="0.25">
      <c r="A204" s="97" t="str">
        <f t="shared" si="2"/>
        <v>sam62_usb2_wrap_lvt16_pct</v>
      </c>
      <c r="B204" s="97" t="s">
        <v>207</v>
      </c>
      <c r="C204" s="97" t="s">
        <v>1088</v>
      </c>
      <c r="D204" s="97"/>
      <c r="E204" s="97" t="s">
        <v>1072</v>
      </c>
      <c r="F204" s="108">
        <v>0.06</v>
      </c>
      <c r="G204" s="97" t="s">
        <v>1077</v>
      </c>
      <c r="H204" s="108">
        <v>0.06</v>
      </c>
      <c r="I204"/>
      <c r="J204"/>
      <c r="K204"/>
      <c r="L204"/>
      <c r="M204"/>
      <c r="N204"/>
      <c r="O204"/>
      <c r="P204"/>
      <c r="Q204"/>
      <c r="R204"/>
      <c r="S204"/>
      <c r="T204"/>
      <c r="U204"/>
      <c r="V204"/>
      <c r="W204"/>
      <c r="X204"/>
      <c r="Y204"/>
    </row>
    <row r="205" spans="1:25" s="104" customFormat="1" hidden="1" x14ac:dyDescent="0.25">
      <c r="A205" s="97" t="str">
        <f t="shared" si="2"/>
        <v>sam62_emmc_4bit_wrap_lvt16_pct</v>
      </c>
      <c r="B205" s="97" t="s">
        <v>240</v>
      </c>
      <c r="C205" s="97" t="s">
        <v>1088</v>
      </c>
      <c r="D205" s="97"/>
      <c r="E205" s="97" t="s">
        <v>1072</v>
      </c>
      <c r="F205" s="108">
        <v>0.12</v>
      </c>
      <c r="G205" s="97" t="s">
        <v>1077</v>
      </c>
      <c r="H205" s="108">
        <v>0.12</v>
      </c>
      <c r="I205"/>
      <c r="J205"/>
      <c r="K205"/>
      <c r="L205"/>
      <c r="M205"/>
      <c r="N205"/>
      <c r="O205"/>
      <c r="P205"/>
      <c r="Q205"/>
      <c r="R205"/>
      <c r="S205"/>
      <c r="T205"/>
      <c r="U205"/>
      <c r="V205"/>
      <c r="W205"/>
      <c r="X205"/>
      <c r="Y205"/>
    </row>
    <row r="206" spans="1:25" s="104" customFormat="1" hidden="1" x14ac:dyDescent="0.25">
      <c r="A206" s="97" t="str">
        <f t="shared" si="2"/>
        <v>sam62_emmc_8bit_wrap_lvt16_pct</v>
      </c>
      <c r="B206" s="97" t="s">
        <v>241</v>
      </c>
      <c r="C206" s="97" t="s">
        <v>1088</v>
      </c>
      <c r="D206" s="97"/>
      <c r="E206" s="97" t="s">
        <v>1072</v>
      </c>
      <c r="F206" s="108">
        <v>0.09</v>
      </c>
      <c r="G206" s="97" t="s">
        <v>1077</v>
      </c>
      <c r="H206" s="108">
        <v>0.09</v>
      </c>
      <c r="I206"/>
      <c r="J206"/>
      <c r="K206"/>
      <c r="L206"/>
      <c r="M206"/>
      <c r="N206"/>
      <c r="O206"/>
      <c r="P206"/>
      <c r="Q206"/>
      <c r="R206"/>
      <c r="S206"/>
      <c r="T206"/>
      <c r="U206"/>
      <c r="V206"/>
      <c r="W206"/>
      <c r="X206"/>
      <c r="Y206"/>
    </row>
    <row r="207" spans="1:25" s="104" customFormat="1" hidden="1" x14ac:dyDescent="0.25">
      <c r="A207" s="97" t="str">
        <f t="shared" si="2"/>
        <v>sam62_gpmc_elm_wrap_lvt16_pct</v>
      </c>
      <c r="B207" s="97" t="s">
        <v>211</v>
      </c>
      <c r="C207" s="97" t="s">
        <v>1088</v>
      </c>
      <c r="D207" s="97"/>
      <c r="E207" s="97" t="s">
        <v>1072</v>
      </c>
      <c r="F207" s="108">
        <v>0.09</v>
      </c>
      <c r="G207" s="97" t="s">
        <v>1077</v>
      </c>
      <c r="H207" s="108">
        <v>0.09</v>
      </c>
      <c r="I207"/>
      <c r="J207"/>
      <c r="K207"/>
      <c r="L207"/>
      <c r="M207"/>
      <c r="N207"/>
      <c r="O207"/>
      <c r="P207"/>
      <c r="Q207"/>
      <c r="R207"/>
      <c r="S207"/>
      <c r="T207"/>
      <c r="U207"/>
      <c r="V207"/>
      <c r="W207"/>
      <c r="X207"/>
      <c r="Y207"/>
    </row>
    <row r="208" spans="1:25" s="104" customFormat="1" hidden="1" x14ac:dyDescent="0.25">
      <c r="A208" s="97" t="str">
        <f t="shared" si="2"/>
        <v>sam62_ddr_wrap_lvt16_pct</v>
      </c>
      <c r="B208" s="97" t="s">
        <v>215</v>
      </c>
      <c r="C208" s="97" t="s">
        <v>1088</v>
      </c>
      <c r="D208" s="97"/>
      <c r="E208" s="97" t="s">
        <v>1072</v>
      </c>
      <c r="F208" s="108">
        <v>0.06</v>
      </c>
      <c r="G208" s="97" t="s">
        <v>1077</v>
      </c>
      <c r="H208" s="108">
        <v>0.06</v>
      </c>
      <c r="I208"/>
      <c r="J208"/>
      <c r="K208"/>
      <c r="L208"/>
      <c r="M208"/>
      <c r="N208"/>
      <c r="O208"/>
      <c r="P208"/>
      <c r="Q208"/>
      <c r="R208"/>
      <c r="S208"/>
      <c r="T208"/>
      <c r="U208"/>
      <c r="V208"/>
      <c r="W208"/>
      <c r="X208"/>
      <c r="Y208"/>
    </row>
    <row r="209" spans="1:25" s="104" customFormat="1" hidden="1" x14ac:dyDescent="0.25">
      <c r="A209" s="97" t="str">
        <f t="shared" ref="A209:A272" si="3">B209&amp;"_"&amp;C209</f>
        <v>ddr16_1600_phy_lvt16_pct</v>
      </c>
      <c r="B209" s="97" t="s">
        <v>314</v>
      </c>
      <c r="C209" s="97" t="s">
        <v>1088</v>
      </c>
      <c r="D209" s="97"/>
      <c r="E209" s="97" t="s">
        <v>1072</v>
      </c>
      <c r="F209" s="108">
        <v>0.3</v>
      </c>
      <c r="G209" s="97" t="s">
        <v>1095</v>
      </c>
      <c r="H209" s="5"/>
      <c r="I209"/>
      <c r="J209"/>
      <c r="K209"/>
      <c r="L209"/>
      <c r="M209"/>
      <c r="N209"/>
      <c r="O209"/>
      <c r="P209"/>
      <c r="Q209"/>
      <c r="R209"/>
      <c r="S209"/>
      <c r="T209"/>
      <c r="U209"/>
      <c r="V209"/>
      <c r="W209"/>
      <c r="X209"/>
      <c r="Y209"/>
    </row>
    <row r="210" spans="1:25" s="104" customFormat="1" hidden="1" x14ac:dyDescent="0.25">
      <c r="A210" s="97" t="str">
        <f t="shared" si="3"/>
        <v>sam62_debug_wrap_lvt16_pct</v>
      </c>
      <c r="B210" s="97" t="s">
        <v>186</v>
      </c>
      <c r="C210" s="97" t="s">
        <v>1088</v>
      </c>
      <c r="D210" s="97"/>
      <c r="E210" s="97" t="s">
        <v>1072</v>
      </c>
      <c r="F210" s="108">
        <v>0.12</v>
      </c>
      <c r="G210" s="97" t="s">
        <v>1077</v>
      </c>
      <c r="H210" s="108">
        <v>0.12</v>
      </c>
      <c r="I210"/>
      <c r="J210"/>
      <c r="K210"/>
      <c r="L210"/>
      <c r="M210"/>
      <c r="N210"/>
      <c r="O210"/>
      <c r="P210"/>
      <c r="Q210"/>
      <c r="R210"/>
      <c r="S210"/>
      <c r="T210"/>
      <c r="U210"/>
      <c r="V210"/>
      <c r="W210"/>
      <c r="X210"/>
      <c r="Y210"/>
    </row>
    <row r="211" spans="1:25" s="104" customFormat="1" hidden="1" x14ac:dyDescent="0.25">
      <c r="A211" s="97" t="str">
        <f t="shared" si="3"/>
        <v>sam62_efuse_ctrl_wrap_lvt16_pct</v>
      </c>
      <c r="B211" s="97" t="s">
        <v>213</v>
      </c>
      <c r="C211" s="97" t="s">
        <v>1088</v>
      </c>
      <c r="D211" s="97"/>
      <c r="E211" s="97" t="s">
        <v>1072</v>
      </c>
      <c r="F211" s="108">
        <v>0.16</v>
      </c>
      <c r="G211" s="97" t="s">
        <v>1077</v>
      </c>
      <c r="H211" s="108">
        <v>0.16</v>
      </c>
      <c r="I211"/>
      <c r="J211"/>
      <c r="K211"/>
      <c r="L211"/>
      <c r="M211"/>
      <c r="N211"/>
      <c r="O211"/>
      <c r="P211"/>
      <c r="Q211"/>
      <c r="R211"/>
      <c r="S211"/>
      <c r="T211"/>
      <c r="U211"/>
      <c r="V211"/>
      <c r="W211"/>
      <c r="X211"/>
      <c r="Y211"/>
    </row>
    <row r="212" spans="1:25" s="104" customFormat="1" hidden="1" x14ac:dyDescent="0.25">
      <c r="A212" s="97" t="str">
        <f t="shared" si="3"/>
        <v>sam62_main_infra_phys_lvt16_pct</v>
      </c>
      <c r="B212" s="97" t="s">
        <v>144</v>
      </c>
      <c r="C212" s="97" t="s">
        <v>1088</v>
      </c>
      <c r="D212" s="97"/>
      <c r="E212" s="97" t="s">
        <v>1072</v>
      </c>
      <c r="F212" s="108">
        <v>0.16</v>
      </c>
      <c r="G212" s="97" t="s">
        <v>1077</v>
      </c>
      <c r="H212" s="108">
        <v>0.16</v>
      </c>
      <c r="I212"/>
      <c r="J212"/>
      <c r="K212"/>
      <c r="L212"/>
      <c r="M212"/>
      <c r="N212"/>
      <c r="O212"/>
      <c r="P212"/>
      <c r="Q212"/>
      <c r="R212"/>
      <c r="S212"/>
      <c r="T212"/>
      <c r="U212"/>
      <c r="V212"/>
      <c r="W212"/>
      <c r="X212"/>
      <c r="Y212"/>
    </row>
    <row r="213" spans="1:25" s="104" customFormat="1" hidden="1" x14ac:dyDescent="0.25">
      <c r="A213" s="97" t="str">
        <f t="shared" si="3"/>
        <v>sam62_main_ip_wrap_lvt16_pct</v>
      </c>
      <c r="B213" s="97" t="s">
        <v>238</v>
      </c>
      <c r="C213" s="97" t="s">
        <v>1088</v>
      </c>
      <c r="D213" s="97"/>
      <c r="E213" s="97" t="s">
        <v>1072</v>
      </c>
      <c r="F213" s="108">
        <v>0.08</v>
      </c>
      <c r="G213" s="97" t="s">
        <v>1077</v>
      </c>
      <c r="H213" s="108">
        <v>0.08</v>
      </c>
      <c r="I213"/>
      <c r="J213"/>
      <c r="K213"/>
      <c r="L213"/>
      <c r="M213"/>
      <c r="N213"/>
      <c r="O213"/>
      <c r="P213"/>
      <c r="Q213"/>
      <c r="R213"/>
      <c r="S213"/>
      <c r="T213"/>
      <c r="U213"/>
      <c r="V213"/>
      <c r="W213"/>
      <c r="X213"/>
      <c r="Y213"/>
    </row>
    <row r="214" spans="1:25" s="104" customFormat="1" hidden="1" x14ac:dyDescent="0.25">
      <c r="A214" s="97" t="str">
        <f t="shared" si="3"/>
        <v>sam62_mcu_infra_phys_lvt16_pct</v>
      </c>
      <c r="B214" s="97" t="s">
        <v>183</v>
      </c>
      <c r="C214" s="97" t="s">
        <v>1088</v>
      </c>
      <c r="D214" s="97"/>
      <c r="E214" s="97" t="s">
        <v>1072</v>
      </c>
      <c r="F214" s="108">
        <v>0.12</v>
      </c>
      <c r="G214" s="97" t="s">
        <v>1077</v>
      </c>
      <c r="H214" s="108">
        <v>0.11</v>
      </c>
      <c r="I214"/>
      <c r="J214"/>
      <c r="K214"/>
      <c r="L214"/>
      <c r="M214"/>
      <c r="N214"/>
      <c r="O214"/>
      <c r="P214"/>
      <c r="Q214"/>
      <c r="R214"/>
      <c r="S214"/>
      <c r="T214"/>
      <c r="U214"/>
      <c r="V214"/>
      <c r="W214"/>
      <c r="X214"/>
      <c r="Y214"/>
    </row>
    <row r="215" spans="1:25" s="104" customFormat="1" hidden="1" x14ac:dyDescent="0.25">
      <c r="A215" s="97" t="str">
        <f t="shared" si="3"/>
        <v>sam62_mcu_wrap_lvt16_pct</v>
      </c>
      <c r="B215" s="97" t="s">
        <v>236</v>
      </c>
      <c r="C215" s="97" t="s">
        <v>1088</v>
      </c>
      <c r="D215" s="97"/>
      <c r="E215" s="97" t="s">
        <v>1072</v>
      </c>
      <c r="F215" s="108">
        <v>0.08</v>
      </c>
      <c r="G215" s="97" t="s">
        <v>1077</v>
      </c>
      <c r="H215" s="108">
        <v>0.08</v>
      </c>
      <c r="I215"/>
      <c r="J215"/>
      <c r="K215"/>
      <c r="L215"/>
      <c r="M215"/>
      <c r="N215"/>
      <c r="O215"/>
      <c r="P215"/>
      <c r="Q215"/>
      <c r="R215"/>
      <c r="S215"/>
      <c r="T215"/>
      <c r="U215"/>
      <c r="V215"/>
      <c r="W215"/>
      <c r="X215"/>
      <c r="Y215"/>
    </row>
    <row r="216" spans="1:25" s="104" customFormat="1" hidden="1" x14ac:dyDescent="0.25">
      <c r="A216" s="97" t="str">
        <f t="shared" si="3"/>
        <v>sam62_odp_ctrl_wrap_lvt16_pct</v>
      </c>
      <c r="B216" s="97" t="s">
        <v>212</v>
      </c>
      <c r="C216" s="97" t="s">
        <v>1088</v>
      </c>
      <c r="D216" s="97"/>
      <c r="E216" s="97" t="s">
        <v>1072</v>
      </c>
      <c r="F216" s="108">
        <v>0.44</v>
      </c>
      <c r="G216" s="97" t="s">
        <v>1077</v>
      </c>
      <c r="H216" s="108">
        <v>0.44</v>
      </c>
      <c r="I216"/>
      <c r="J216"/>
      <c r="K216"/>
      <c r="L216"/>
      <c r="M216"/>
      <c r="N216"/>
      <c r="O216"/>
      <c r="P216"/>
      <c r="Q216"/>
      <c r="R216"/>
      <c r="S216"/>
      <c r="T216"/>
      <c r="U216"/>
      <c r="V216"/>
      <c r="W216"/>
      <c r="X216"/>
      <c r="Y216"/>
    </row>
    <row r="217" spans="1:25" s="104" customFormat="1" hidden="1" x14ac:dyDescent="0.25">
      <c r="A217" s="97" t="str">
        <f t="shared" si="3"/>
        <v>sam62_sec_wrap_lvt16_pct</v>
      </c>
      <c r="B217" s="97" t="s">
        <v>262</v>
      </c>
      <c r="C217" s="97" t="s">
        <v>1088</v>
      </c>
      <c r="D217" s="97"/>
      <c r="E217" s="97" t="s">
        <v>1072</v>
      </c>
      <c r="F217" s="108">
        <v>0.08</v>
      </c>
      <c r="G217" s="97" t="s">
        <v>1077</v>
      </c>
      <c r="H217" s="108">
        <v>0.08</v>
      </c>
      <c r="I217"/>
      <c r="J217"/>
      <c r="K217"/>
      <c r="L217"/>
      <c r="M217"/>
      <c r="N217"/>
      <c r="O217"/>
      <c r="P217"/>
      <c r="Q217"/>
      <c r="R217"/>
      <c r="S217"/>
      <c r="T217"/>
      <c r="U217"/>
      <c r="V217"/>
      <c r="W217"/>
      <c r="X217"/>
      <c r="Y217"/>
    </row>
    <row r="218" spans="1:25" s="104" customFormat="1" hidden="1" x14ac:dyDescent="0.25">
      <c r="A218" s="97" t="str">
        <f t="shared" si="3"/>
        <v>sam62_core_lvt16_pct</v>
      </c>
      <c r="B218" s="97" t="s">
        <v>185</v>
      </c>
      <c r="C218" s="97" t="s">
        <v>1088</v>
      </c>
      <c r="D218" s="97"/>
      <c r="E218" s="97" t="s">
        <v>1072</v>
      </c>
      <c r="F218" s="108">
        <v>9.0999999999999998E-2</v>
      </c>
      <c r="G218" s="97" t="s">
        <v>1077</v>
      </c>
      <c r="H218" s="5"/>
      <c r="I218"/>
      <c r="J218"/>
      <c r="K218"/>
      <c r="L218"/>
      <c r="M218"/>
      <c r="N218"/>
      <c r="O218"/>
      <c r="P218"/>
      <c r="Q218"/>
      <c r="R218"/>
      <c r="S218"/>
      <c r="T218"/>
      <c r="U218"/>
      <c r="V218"/>
      <c r="W218"/>
      <c r="X218"/>
      <c r="Y218"/>
    </row>
    <row r="219" spans="1:25" s="104" customFormat="1" hidden="1" x14ac:dyDescent="0.25">
      <c r="A219" s="97" t="str">
        <f t="shared" si="3"/>
        <v>sam62_pll_ctrl_wrap_lvt16_pct</v>
      </c>
      <c r="B219" s="97" t="s">
        <v>221</v>
      </c>
      <c r="C219" s="97" t="s">
        <v>1088</v>
      </c>
      <c r="D219" s="97"/>
      <c r="E219" s="97" t="s">
        <v>1072</v>
      </c>
      <c r="F219" s="108">
        <v>0.39</v>
      </c>
      <c r="G219" s="97" t="s">
        <v>1077</v>
      </c>
      <c r="H219" s="108">
        <v>0.39</v>
      </c>
      <c r="I219"/>
      <c r="J219"/>
      <c r="K219"/>
      <c r="L219"/>
      <c r="M219"/>
      <c r="N219"/>
      <c r="O219"/>
      <c r="P219"/>
      <c r="Q219"/>
      <c r="R219"/>
      <c r="S219"/>
      <c r="T219"/>
      <c r="U219"/>
      <c r="V219"/>
      <c r="W219"/>
      <c r="X219"/>
      <c r="Y219"/>
    </row>
    <row r="220" spans="1:25" s="104" customFormat="1" hidden="1" x14ac:dyDescent="0.25">
      <c r="A220" s="97" t="str">
        <f t="shared" si="3"/>
        <v>sam62_m4ss_wrap_lvt20_pct</v>
      </c>
      <c r="B220" s="97" t="s">
        <v>219</v>
      </c>
      <c r="C220" s="97" t="s">
        <v>1089</v>
      </c>
      <c r="D220" s="97"/>
      <c r="E220" s="97" t="s">
        <v>1072</v>
      </c>
      <c r="F220" s="108">
        <v>0.32</v>
      </c>
      <c r="G220" s="97" t="s">
        <v>1077</v>
      </c>
      <c r="H220" s="108">
        <v>0.32</v>
      </c>
      <c r="I220"/>
      <c r="J220"/>
      <c r="K220"/>
      <c r="L220"/>
      <c r="M220"/>
      <c r="N220"/>
      <c r="O220"/>
      <c r="P220"/>
      <c r="Q220"/>
      <c r="R220"/>
      <c r="S220"/>
      <c r="T220"/>
      <c r="U220"/>
      <c r="V220"/>
      <c r="W220"/>
      <c r="X220"/>
      <c r="Y220"/>
    </row>
    <row r="221" spans="1:25" s="104" customFormat="1" hidden="1" x14ac:dyDescent="0.25">
      <c r="A221" s="97" t="str">
        <f t="shared" si="3"/>
        <v>sam62_dm_wrap_lvt20_pct</v>
      </c>
      <c r="B221" s="97" t="s">
        <v>237</v>
      </c>
      <c r="C221" s="97" t="s">
        <v>1089</v>
      </c>
      <c r="D221" s="97"/>
      <c r="E221" s="97" t="s">
        <v>1072</v>
      </c>
      <c r="F221" s="108">
        <v>0.06</v>
      </c>
      <c r="G221" s="97" t="s">
        <v>1077</v>
      </c>
      <c r="H221" s="108">
        <v>0.06</v>
      </c>
      <c r="I221"/>
      <c r="J221"/>
      <c r="K221"/>
      <c r="L221"/>
      <c r="M221"/>
      <c r="N221"/>
      <c r="O221"/>
      <c r="P221"/>
      <c r="Q221"/>
      <c r="R221"/>
      <c r="S221"/>
      <c r="T221"/>
      <c r="U221"/>
      <c r="V221"/>
      <c r="W221"/>
      <c r="X221"/>
      <c r="Y221"/>
    </row>
    <row r="222" spans="1:25" s="104" customFormat="1" hidden="1" x14ac:dyDescent="0.25">
      <c r="A222" s="97" t="str">
        <f t="shared" si="3"/>
        <v>sam62_a53_dual_wrap_cba_cpu_phys_lvt20_pct</v>
      </c>
      <c r="B222" s="97" t="s">
        <v>274</v>
      </c>
      <c r="C222" s="97" t="s">
        <v>1089</v>
      </c>
      <c r="D222" s="97"/>
      <c r="E222" s="97" t="s">
        <v>1072</v>
      </c>
      <c r="F222" s="108">
        <v>0.22</v>
      </c>
      <c r="G222" s="97" t="s">
        <v>1077</v>
      </c>
      <c r="H222" s="108">
        <v>0.22</v>
      </c>
      <c r="I222"/>
      <c r="J222"/>
      <c r="K222"/>
      <c r="L222"/>
      <c r="M222"/>
      <c r="N222"/>
      <c r="O222"/>
      <c r="P222"/>
      <c r="Q222"/>
      <c r="R222"/>
      <c r="S222"/>
      <c r="T222"/>
      <c r="U222"/>
      <c r="V222"/>
      <c r="W222"/>
      <c r="X222"/>
      <c r="Y222"/>
    </row>
    <row r="223" spans="1:25" s="104" customFormat="1" hidden="1" x14ac:dyDescent="0.25">
      <c r="A223" s="97" t="str">
        <f t="shared" si="3"/>
        <v>sam62_a53_512kb_wrap_lvt20_pct</v>
      </c>
      <c r="B223" s="97" t="s">
        <v>270</v>
      </c>
      <c r="C223" s="97" t="s">
        <v>1089</v>
      </c>
      <c r="D223" s="97"/>
      <c r="E223" s="97" t="s">
        <v>1072</v>
      </c>
      <c r="F223" s="108">
        <v>0.1</v>
      </c>
      <c r="G223" s="97" t="s">
        <v>1077</v>
      </c>
      <c r="H223" s="108">
        <v>0.1</v>
      </c>
      <c r="I223"/>
      <c r="J223"/>
      <c r="K223"/>
      <c r="L223"/>
      <c r="M223"/>
      <c r="N223"/>
      <c r="O223"/>
      <c r="P223"/>
      <c r="Q223"/>
      <c r="R223"/>
      <c r="S223"/>
      <c r="T223"/>
      <c r="U223"/>
      <c r="V223"/>
      <c r="W223"/>
      <c r="X223"/>
      <c r="Y223"/>
    </row>
    <row r="224" spans="1:25" s="104" customFormat="1" hidden="1" x14ac:dyDescent="0.25">
      <c r="A224" s="97" t="str">
        <f t="shared" si="3"/>
        <v>sam62_cpsw3_wrap_lvt20_pct</v>
      </c>
      <c r="B224" s="97" t="s">
        <v>216</v>
      </c>
      <c r="C224" s="97" t="s">
        <v>1089</v>
      </c>
      <c r="D224" s="97"/>
      <c r="E224" s="97" t="s">
        <v>1072</v>
      </c>
      <c r="F224" s="108">
        <v>0.02</v>
      </c>
      <c r="G224" s="97" t="s">
        <v>1077</v>
      </c>
      <c r="H224" s="108">
        <v>0.02</v>
      </c>
      <c r="I224"/>
      <c r="J224"/>
      <c r="K224"/>
      <c r="L224"/>
      <c r="M224"/>
      <c r="N224"/>
      <c r="O224"/>
      <c r="P224"/>
      <c r="Q224"/>
      <c r="R224"/>
      <c r="S224"/>
      <c r="T224"/>
      <c r="U224"/>
      <c r="V224"/>
      <c r="W224"/>
      <c r="X224"/>
      <c r="Y224"/>
    </row>
    <row r="225" spans="1:25" s="104" customFormat="1" hidden="1" x14ac:dyDescent="0.25">
      <c r="A225" s="97" t="str">
        <f t="shared" si="3"/>
        <v>sam62_icss_m_wrap_lvt20_pct</v>
      </c>
      <c r="B225" s="97" t="s">
        <v>209</v>
      </c>
      <c r="C225" s="97" t="s">
        <v>1089</v>
      </c>
      <c r="D225" s="97"/>
      <c r="E225" s="97" t="s">
        <v>1072</v>
      </c>
      <c r="F225" s="108">
        <v>0.09</v>
      </c>
      <c r="G225" s="97" t="s">
        <v>1077</v>
      </c>
      <c r="H225" s="108">
        <v>0.09</v>
      </c>
      <c r="I225"/>
      <c r="J225"/>
      <c r="K225"/>
      <c r="L225"/>
      <c r="M225"/>
      <c r="N225"/>
      <c r="O225"/>
      <c r="P225"/>
      <c r="Q225"/>
      <c r="R225"/>
      <c r="S225"/>
      <c r="T225"/>
      <c r="U225"/>
      <c r="V225"/>
      <c r="W225"/>
      <c r="X225"/>
      <c r="Y225"/>
    </row>
    <row r="226" spans="1:25" s="104" customFormat="1" hidden="1" x14ac:dyDescent="0.25">
      <c r="A226" s="97" t="str">
        <f t="shared" si="3"/>
        <v>sam62_dss_oldi_wrap_lvt20_pct</v>
      </c>
      <c r="B226" s="97" t="s">
        <v>214</v>
      </c>
      <c r="C226" s="97" t="s">
        <v>1089</v>
      </c>
      <c r="D226" s="97"/>
      <c r="E226" s="97" t="s">
        <v>1072</v>
      </c>
      <c r="F226" s="108">
        <v>0.03</v>
      </c>
      <c r="G226" s="97" t="s">
        <v>1077</v>
      </c>
      <c r="H226" s="108">
        <v>0.03</v>
      </c>
      <c r="I226"/>
      <c r="J226"/>
      <c r="K226"/>
      <c r="L226"/>
      <c r="M226"/>
      <c r="N226"/>
      <c r="O226"/>
      <c r="P226"/>
      <c r="Q226"/>
      <c r="R226"/>
      <c r="S226"/>
      <c r="T226"/>
      <c r="U226"/>
      <c r="V226"/>
      <c r="W226"/>
      <c r="X226"/>
      <c r="Y226"/>
    </row>
    <row r="227" spans="1:25" s="104" customFormat="1" hidden="1" x14ac:dyDescent="0.25">
      <c r="A227" s="97" t="str">
        <f t="shared" si="3"/>
        <v>sam62_k3_gpu_axe116m_wrap_lvt20_pct</v>
      </c>
      <c r="B227" s="97" t="s">
        <v>242</v>
      </c>
      <c r="C227" s="97" t="s">
        <v>1089</v>
      </c>
      <c r="D227" s="97"/>
      <c r="E227" s="97" t="s">
        <v>1072</v>
      </c>
      <c r="F227" s="108">
        <v>0.1</v>
      </c>
      <c r="G227" s="97" t="s">
        <v>1077</v>
      </c>
      <c r="H227" s="108">
        <v>0.1</v>
      </c>
      <c r="I227"/>
      <c r="J227"/>
      <c r="K227"/>
      <c r="L227"/>
      <c r="M227"/>
      <c r="N227"/>
      <c r="O227"/>
      <c r="P227"/>
      <c r="Q227"/>
      <c r="R227"/>
      <c r="S227"/>
      <c r="T227"/>
      <c r="U227"/>
      <c r="V227"/>
      <c r="W227"/>
      <c r="X227"/>
      <c r="Y227"/>
    </row>
    <row r="228" spans="1:25" s="104" customFormat="1" hidden="1" x14ac:dyDescent="0.25">
      <c r="A228" s="97" t="str">
        <f t="shared" si="3"/>
        <v>sam62_mcasp_wrap_lvt20_pct</v>
      </c>
      <c r="B228" s="97" t="s">
        <v>208</v>
      </c>
      <c r="C228" s="97" t="s">
        <v>1089</v>
      </c>
      <c r="D228" s="97"/>
      <c r="E228" s="97" t="s">
        <v>1072</v>
      </c>
      <c r="F228" s="108">
        <v>0.02</v>
      </c>
      <c r="G228" s="97" t="s">
        <v>1077</v>
      </c>
      <c r="H228" s="108">
        <v>0.02</v>
      </c>
      <c r="I228"/>
      <c r="J228"/>
      <c r="K228"/>
      <c r="L228"/>
      <c r="M228"/>
      <c r="N228"/>
      <c r="O228"/>
      <c r="P228"/>
      <c r="Q228"/>
      <c r="R228"/>
      <c r="S228"/>
      <c r="T228"/>
      <c r="U228"/>
      <c r="V228"/>
      <c r="W228"/>
      <c r="X228"/>
      <c r="Y228"/>
    </row>
    <row r="229" spans="1:25" s="104" customFormat="1" hidden="1" x14ac:dyDescent="0.25">
      <c r="A229" s="97" t="str">
        <f t="shared" si="3"/>
        <v>sam62_csirx_wrap_lvt20_pct</v>
      </c>
      <c r="B229" s="97" t="s">
        <v>239</v>
      </c>
      <c r="C229" s="97" t="s">
        <v>1089</v>
      </c>
      <c r="D229" s="97"/>
      <c r="E229" s="97" t="s">
        <v>1072</v>
      </c>
      <c r="F229" s="108">
        <v>0.04</v>
      </c>
      <c r="G229" s="97" t="s">
        <v>1077</v>
      </c>
      <c r="H229" s="108">
        <v>0.04</v>
      </c>
      <c r="I229"/>
      <c r="J229"/>
      <c r="K229"/>
      <c r="L229"/>
      <c r="M229"/>
      <c r="N229"/>
      <c r="O229"/>
      <c r="P229"/>
      <c r="Q229"/>
      <c r="R229"/>
      <c r="S229"/>
      <c r="T229"/>
      <c r="U229"/>
      <c r="V229"/>
      <c r="W229"/>
      <c r="X229"/>
      <c r="Y229"/>
    </row>
    <row r="230" spans="1:25" s="104" customFormat="1" hidden="1" x14ac:dyDescent="0.25">
      <c r="A230" s="97" t="str">
        <f t="shared" si="3"/>
        <v>sam62_usb2_wrap_lvt20_pct</v>
      </c>
      <c r="B230" s="97" t="s">
        <v>207</v>
      </c>
      <c r="C230" s="97" t="s">
        <v>1089</v>
      </c>
      <c r="D230" s="97"/>
      <c r="E230" s="97" t="s">
        <v>1072</v>
      </c>
      <c r="F230" s="108">
        <v>0.04</v>
      </c>
      <c r="G230" s="97" t="s">
        <v>1077</v>
      </c>
      <c r="H230" s="108">
        <v>0.04</v>
      </c>
      <c r="I230"/>
      <c r="J230"/>
      <c r="K230"/>
      <c r="L230"/>
      <c r="M230"/>
      <c r="N230"/>
      <c r="O230"/>
      <c r="P230"/>
      <c r="Q230"/>
      <c r="R230"/>
      <c r="S230"/>
      <c r="T230"/>
      <c r="U230"/>
      <c r="V230"/>
      <c r="W230"/>
      <c r="X230"/>
      <c r="Y230"/>
    </row>
    <row r="231" spans="1:25" s="104" customFormat="1" hidden="1" x14ac:dyDescent="0.25">
      <c r="A231" s="97" t="str">
        <f t="shared" si="3"/>
        <v>sam62_emmc_4bit_wrap_lvt20_pct</v>
      </c>
      <c r="B231" s="97" t="s">
        <v>240</v>
      </c>
      <c r="C231" s="97" t="s">
        <v>1089</v>
      </c>
      <c r="D231" s="97"/>
      <c r="E231" s="97" t="s">
        <v>1072</v>
      </c>
      <c r="F231" s="108">
        <v>0.01</v>
      </c>
      <c r="G231" s="97" t="s">
        <v>1077</v>
      </c>
      <c r="H231" s="108">
        <v>0.01</v>
      </c>
      <c r="I231"/>
      <c r="J231"/>
      <c r="K231"/>
      <c r="L231"/>
      <c r="M231"/>
      <c r="N231"/>
      <c r="O231"/>
      <c r="P231"/>
      <c r="Q231"/>
      <c r="R231"/>
      <c r="S231"/>
      <c r="T231"/>
      <c r="U231"/>
      <c r="V231"/>
      <c r="W231"/>
      <c r="X231"/>
      <c r="Y231"/>
    </row>
    <row r="232" spans="1:25" s="104" customFormat="1" hidden="1" x14ac:dyDescent="0.25">
      <c r="A232" s="97" t="str">
        <f t="shared" si="3"/>
        <v>sam62_emmc_8bit_wrap_lvt20_pct</v>
      </c>
      <c r="B232" s="97" t="s">
        <v>241</v>
      </c>
      <c r="C232" s="97" t="s">
        <v>1089</v>
      </c>
      <c r="D232" s="97"/>
      <c r="E232" s="97" t="s">
        <v>1072</v>
      </c>
      <c r="F232" s="108">
        <v>0</v>
      </c>
      <c r="G232" s="97" t="s">
        <v>1077</v>
      </c>
      <c r="H232" s="108">
        <v>0</v>
      </c>
      <c r="I232"/>
      <c r="J232"/>
      <c r="K232"/>
      <c r="L232"/>
      <c r="M232"/>
      <c r="N232"/>
      <c r="O232"/>
      <c r="P232"/>
      <c r="Q232"/>
      <c r="R232"/>
      <c r="S232"/>
      <c r="T232"/>
      <c r="U232"/>
      <c r="V232"/>
      <c r="W232"/>
      <c r="X232"/>
      <c r="Y232"/>
    </row>
    <row r="233" spans="1:25" s="104" customFormat="1" hidden="1" x14ac:dyDescent="0.25">
      <c r="A233" s="97" t="str">
        <f t="shared" si="3"/>
        <v>sam62_gpmc_elm_wrap_lvt20_pct</v>
      </c>
      <c r="B233" s="97" t="s">
        <v>211</v>
      </c>
      <c r="C233" s="97" t="s">
        <v>1089</v>
      </c>
      <c r="D233" s="97"/>
      <c r="E233" s="97" t="s">
        <v>1072</v>
      </c>
      <c r="F233" s="108">
        <v>0.02</v>
      </c>
      <c r="G233" s="97" t="s">
        <v>1077</v>
      </c>
      <c r="H233" s="108">
        <v>0.02</v>
      </c>
      <c r="I233"/>
      <c r="J233"/>
      <c r="K233"/>
      <c r="L233"/>
      <c r="M233"/>
      <c r="N233"/>
      <c r="O233"/>
      <c r="P233"/>
      <c r="Q233"/>
      <c r="R233"/>
      <c r="S233"/>
      <c r="T233"/>
      <c r="U233"/>
      <c r="V233"/>
      <c r="W233"/>
      <c r="X233"/>
      <c r="Y233"/>
    </row>
    <row r="234" spans="1:25" s="104" customFormat="1" hidden="1" x14ac:dyDescent="0.25">
      <c r="A234" s="97" t="str">
        <f t="shared" si="3"/>
        <v>sam62_ddr_wrap_lvt20_pct</v>
      </c>
      <c r="B234" s="97" t="s">
        <v>215</v>
      </c>
      <c r="C234" s="97" t="s">
        <v>1089</v>
      </c>
      <c r="D234" s="97"/>
      <c r="E234" s="97" t="s">
        <v>1072</v>
      </c>
      <c r="F234" s="108">
        <v>0.06</v>
      </c>
      <c r="G234" s="97" t="s">
        <v>1077</v>
      </c>
      <c r="H234" s="108">
        <v>0.06</v>
      </c>
      <c r="I234"/>
      <c r="J234"/>
      <c r="K234"/>
      <c r="L234"/>
      <c r="M234"/>
      <c r="N234"/>
      <c r="O234"/>
      <c r="P234"/>
      <c r="Q234"/>
      <c r="R234"/>
      <c r="S234"/>
      <c r="T234"/>
      <c r="U234"/>
      <c r="V234"/>
      <c r="W234"/>
      <c r="X234"/>
      <c r="Y234"/>
    </row>
    <row r="235" spans="1:25" s="104" customFormat="1" hidden="1" x14ac:dyDescent="0.25">
      <c r="A235" s="97" t="str">
        <f t="shared" si="3"/>
        <v>ddr16_1600_phy_lvt20_pct</v>
      </c>
      <c r="B235" s="97" t="s">
        <v>314</v>
      </c>
      <c r="C235" s="97" t="s">
        <v>1089</v>
      </c>
      <c r="D235" s="97"/>
      <c r="E235" s="97" t="s">
        <v>1072</v>
      </c>
      <c r="F235" s="108">
        <v>0</v>
      </c>
      <c r="G235" s="97"/>
      <c r="H235" s="5"/>
      <c r="I235"/>
      <c r="J235"/>
      <c r="K235"/>
      <c r="L235"/>
      <c r="M235"/>
      <c r="N235"/>
      <c r="O235"/>
      <c r="P235"/>
      <c r="Q235"/>
      <c r="R235"/>
      <c r="S235"/>
      <c r="T235"/>
      <c r="U235"/>
      <c r="V235"/>
      <c r="W235"/>
      <c r="X235"/>
      <c r="Y235"/>
    </row>
    <row r="236" spans="1:25" s="104" customFormat="1" hidden="1" x14ac:dyDescent="0.25">
      <c r="A236" s="97" t="str">
        <f t="shared" si="3"/>
        <v>sam62_debug_wrap_lvt20_pct</v>
      </c>
      <c r="B236" s="97" t="s">
        <v>186</v>
      </c>
      <c r="C236" s="97" t="s">
        <v>1089</v>
      </c>
      <c r="D236" s="97"/>
      <c r="E236" s="97" t="s">
        <v>1072</v>
      </c>
      <c r="F236" s="108">
        <v>0</v>
      </c>
      <c r="G236" s="97" t="s">
        <v>1077</v>
      </c>
      <c r="H236" s="108">
        <v>0</v>
      </c>
      <c r="I236"/>
      <c r="J236"/>
      <c r="K236"/>
      <c r="L236"/>
      <c r="M236"/>
      <c r="N236"/>
      <c r="O236"/>
      <c r="P236"/>
      <c r="Q236"/>
      <c r="R236"/>
      <c r="S236"/>
      <c r="T236"/>
      <c r="U236"/>
      <c r="V236"/>
      <c r="W236"/>
      <c r="X236"/>
      <c r="Y236"/>
    </row>
    <row r="237" spans="1:25" s="104" customFormat="1" hidden="1" x14ac:dyDescent="0.25">
      <c r="A237" s="97" t="str">
        <f t="shared" si="3"/>
        <v>sam62_efuse_ctrl_wrap_lvt20_pct</v>
      </c>
      <c r="B237" s="97" t="s">
        <v>213</v>
      </c>
      <c r="C237" s="97" t="s">
        <v>1089</v>
      </c>
      <c r="D237" s="97"/>
      <c r="E237" s="97" t="s">
        <v>1072</v>
      </c>
      <c r="F237" s="108">
        <v>0</v>
      </c>
      <c r="G237" s="97" t="s">
        <v>1077</v>
      </c>
      <c r="H237" s="108">
        <v>0</v>
      </c>
      <c r="I237"/>
      <c r="J237"/>
      <c r="K237"/>
      <c r="L237"/>
      <c r="M237"/>
      <c r="N237"/>
      <c r="O237"/>
      <c r="P237"/>
      <c r="Q237"/>
      <c r="R237"/>
      <c r="S237"/>
      <c r="T237"/>
      <c r="U237"/>
      <c r="V237"/>
      <c r="W237"/>
      <c r="X237"/>
      <c r="Y237"/>
    </row>
    <row r="238" spans="1:25" s="104" customFormat="1" hidden="1" x14ac:dyDescent="0.25">
      <c r="A238" s="97" t="str">
        <f t="shared" si="3"/>
        <v>sam62_main_infra_phys_lvt20_pct</v>
      </c>
      <c r="B238" s="97" t="s">
        <v>144</v>
      </c>
      <c r="C238" s="97" t="s">
        <v>1089</v>
      </c>
      <c r="D238" s="97"/>
      <c r="E238" s="97" t="s">
        <v>1072</v>
      </c>
      <c r="F238" s="108">
        <v>0</v>
      </c>
      <c r="G238" s="97" t="s">
        <v>1077</v>
      </c>
      <c r="H238" s="108">
        <v>0</v>
      </c>
      <c r="I238"/>
      <c r="J238"/>
      <c r="K238"/>
      <c r="L238"/>
      <c r="M238"/>
      <c r="N238"/>
      <c r="O238"/>
      <c r="P238"/>
      <c r="Q238"/>
      <c r="R238"/>
      <c r="S238"/>
      <c r="T238"/>
      <c r="U238"/>
      <c r="V238"/>
      <c r="W238"/>
      <c r="X238"/>
      <c r="Y238"/>
    </row>
    <row r="239" spans="1:25" s="104" customFormat="1" hidden="1" x14ac:dyDescent="0.25">
      <c r="A239" s="97" t="str">
        <f t="shared" si="3"/>
        <v>sam62_main_ip_wrap_lvt20_pct</v>
      </c>
      <c r="B239" s="97" t="s">
        <v>238</v>
      </c>
      <c r="C239" s="97" t="s">
        <v>1089</v>
      </c>
      <c r="D239" s="97"/>
      <c r="E239" s="97" t="s">
        <v>1072</v>
      </c>
      <c r="F239" s="108">
        <v>7.0000000000000007E-2</v>
      </c>
      <c r="G239" s="97" t="s">
        <v>1077</v>
      </c>
      <c r="H239" s="108">
        <v>7.0000000000000007E-2</v>
      </c>
      <c r="I239"/>
      <c r="J239"/>
      <c r="K239"/>
      <c r="L239"/>
      <c r="M239"/>
      <c r="N239"/>
      <c r="O239"/>
      <c r="P239"/>
      <c r="Q239"/>
      <c r="R239"/>
      <c r="S239"/>
      <c r="T239"/>
      <c r="U239"/>
      <c r="V239"/>
      <c r="W239"/>
      <c r="X239"/>
      <c r="Y239"/>
    </row>
    <row r="240" spans="1:25" s="104" customFormat="1" hidden="1" x14ac:dyDescent="0.25">
      <c r="A240" s="97" t="str">
        <f t="shared" si="3"/>
        <v>sam62_mcu_infra_phys_lvt20_pct</v>
      </c>
      <c r="B240" s="97" t="s">
        <v>183</v>
      </c>
      <c r="C240" s="97" t="s">
        <v>1089</v>
      </c>
      <c r="D240" s="97"/>
      <c r="E240" s="97" t="s">
        <v>1072</v>
      </c>
      <c r="F240" s="108">
        <v>0</v>
      </c>
      <c r="G240" s="97" t="s">
        <v>1077</v>
      </c>
      <c r="H240" s="108">
        <v>0</v>
      </c>
      <c r="I240"/>
      <c r="J240"/>
      <c r="K240"/>
      <c r="L240"/>
      <c r="M240"/>
      <c r="N240"/>
      <c r="O240"/>
      <c r="P240"/>
      <c r="Q240"/>
      <c r="R240"/>
      <c r="S240"/>
      <c r="T240"/>
      <c r="U240"/>
      <c r="V240"/>
      <c r="W240"/>
      <c r="X240"/>
      <c r="Y240"/>
    </row>
    <row r="241" spans="1:25" s="104" customFormat="1" hidden="1" x14ac:dyDescent="0.25">
      <c r="A241" s="97" t="str">
        <f t="shared" si="3"/>
        <v>sam62_mcu_wrap_lvt20_pct</v>
      </c>
      <c r="B241" s="97" t="s">
        <v>236</v>
      </c>
      <c r="C241" s="97" t="s">
        <v>1089</v>
      </c>
      <c r="D241" s="97"/>
      <c r="E241" s="97" t="s">
        <v>1072</v>
      </c>
      <c r="F241" s="108">
        <v>0</v>
      </c>
      <c r="G241" s="97" t="s">
        <v>1077</v>
      </c>
      <c r="H241" s="108">
        <v>0</v>
      </c>
      <c r="I241"/>
      <c r="J241"/>
      <c r="K241"/>
      <c r="L241"/>
      <c r="M241"/>
      <c r="N241"/>
      <c r="O241"/>
      <c r="P241"/>
      <c r="Q241"/>
      <c r="R241"/>
      <c r="S241"/>
      <c r="T241"/>
      <c r="U241"/>
      <c r="V241"/>
      <c r="W241"/>
      <c r="X241"/>
      <c r="Y241"/>
    </row>
    <row r="242" spans="1:25" s="104" customFormat="1" hidden="1" x14ac:dyDescent="0.25">
      <c r="A242" s="97" t="str">
        <f t="shared" si="3"/>
        <v>sam62_odp_ctrl_wrap_lvt20_pct</v>
      </c>
      <c r="B242" s="97" t="s">
        <v>212</v>
      </c>
      <c r="C242" s="97" t="s">
        <v>1089</v>
      </c>
      <c r="D242" s="97"/>
      <c r="E242" s="97" t="s">
        <v>1072</v>
      </c>
      <c r="F242" s="108">
        <v>0</v>
      </c>
      <c r="G242" s="97" t="s">
        <v>1077</v>
      </c>
      <c r="H242" s="108">
        <v>0</v>
      </c>
      <c r="I242"/>
      <c r="J242"/>
      <c r="K242"/>
      <c r="L242"/>
      <c r="M242"/>
      <c r="N242"/>
      <c r="O242"/>
      <c r="P242"/>
      <c r="Q242"/>
      <c r="R242"/>
      <c r="S242"/>
      <c r="T242"/>
      <c r="U242"/>
      <c r="V242"/>
      <c r="W242"/>
      <c r="X242"/>
      <c r="Y242"/>
    </row>
    <row r="243" spans="1:25" s="104" customFormat="1" hidden="1" x14ac:dyDescent="0.25">
      <c r="A243" s="97" t="str">
        <f t="shared" si="3"/>
        <v>sam62_sec_wrap_lvt20_pct</v>
      </c>
      <c r="B243" s="97" t="s">
        <v>262</v>
      </c>
      <c r="C243" s="97" t="s">
        <v>1089</v>
      </c>
      <c r="D243" s="97"/>
      <c r="E243" s="97" t="s">
        <v>1072</v>
      </c>
      <c r="F243" s="108">
        <v>0.06</v>
      </c>
      <c r="G243" s="97" t="s">
        <v>1077</v>
      </c>
      <c r="H243" s="108">
        <v>0.06</v>
      </c>
      <c r="I243"/>
      <c r="J243"/>
      <c r="K243"/>
      <c r="L243"/>
      <c r="M243"/>
      <c r="N243"/>
      <c r="O243"/>
      <c r="P243"/>
      <c r="Q243"/>
      <c r="R243"/>
      <c r="S243"/>
      <c r="T243"/>
      <c r="U243"/>
      <c r="V243"/>
      <c r="W243"/>
      <c r="X243"/>
      <c r="Y243"/>
    </row>
    <row r="244" spans="1:25" s="104" customFormat="1" hidden="1" x14ac:dyDescent="0.25">
      <c r="A244" s="97" t="str">
        <f t="shared" si="3"/>
        <v>sam62_core_lvt20_pct</v>
      </c>
      <c r="B244" s="97" t="s">
        <v>185</v>
      </c>
      <c r="C244" s="97" t="s">
        <v>1089</v>
      </c>
      <c r="D244" s="97"/>
      <c r="E244" s="97" t="s">
        <v>1072</v>
      </c>
      <c r="F244" s="108">
        <v>0.11899999999999999</v>
      </c>
      <c r="G244" s="97" t="s">
        <v>1077</v>
      </c>
      <c r="H244" s="5"/>
      <c r="I244"/>
      <c r="J244"/>
      <c r="K244"/>
      <c r="L244"/>
      <c r="M244"/>
      <c r="N244"/>
      <c r="O244"/>
      <c r="P244"/>
      <c r="Q244"/>
      <c r="R244"/>
      <c r="S244"/>
      <c r="T244"/>
      <c r="U244"/>
      <c r="V244"/>
      <c r="W244"/>
      <c r="X244"/>
      <c r="Y244"/>
    </row>
    <row r="245" spans="1:25" s="104" customFormat="1" hidden="1" x14ac:dyDescent="0.25">
      <c r="A245" s="97" t="str">
        <f t="shared" si="3"/>
        <v>sam62_pll_ctrl_wrap_lvt20_pct</v>
      </c>
      <c r="B245" s="97" t="s">
        <v>221</v>
      </c>
      <c r="C245" s="97" t="s">
        <v>1089</v>
      </c>
      <c r="D245" s="97"/>
      <c r="E245" s="97" t="s">
        <v>1072</v>
      </c>
      <c r="F245" s="108">
        <v>0.05</v>
      </c>
      <c r="G245" s="97" t="s">
        <v>1077</v>
      </c>
      <c r="H245" s="108">
        <v>0.05</v>
      </c>
      <c r="I245"/>
      <c r="J245"/>
      <c r="K245"/>
      <c r="L245"/>
      <c r="M245"/>
      <c r="N245"/>
      <c r="O245"/>
      <c r="P245"/>
      <c r="Q245"/>
      <c r="R245"/>
      <c r="S245"/>
      <c r="T245"/>
      <c r="U245"/>
      <c r="V245"/>
      <c r="W245"/>
      <c r="X245"/>
      <c r="Y245"/>
    </row>
    <row r="246" spans="1:25" s="104" customFormat="1" hidden="1" x14ac:dyDescent="0.25">
      <c r="A246" s="97" t="str">
        <f t="shared" si="3"/>
        <v>canfd_Pinmux</v>
      </c>
      <c r="B246" s="97" t="s">
        <v>655</v>
      </c>
      <c r="C246" s="97" t="s">
        <v>978</v>
      </c>
      <c r="D246" s="97"/>
      <c r="E246" s="97" t="s">
        <v>1038</v>
      </c>
      <c r="F246" s="97">
        <v>2</v>
      </c>
      <c r="G246" s="97"/>
      <c r="H246" s="5"/>
      <c r="I246"/>
      <c r="J246"/>
      <c r="K246"/>
      <c r="L246"/>
      <c r="M246"/>
      <c r="N246"/>
      <c r="O246"/>
      <c r="P246"/>
      <c r="Q246"/>
      <c r="R246"/>
      <c r="S246"/>
      <c r="T246"/>
      <c r="U246"/>
      <c r="V246"/>
      <c r="W246"/>
      <c r="X246"/>
      <c r="Y246"/>
    </row>
    <row r="247" spans="1:25" s="104" customFormat="1" hidden="1" x14ac:dyDescent="0.25">
      <c r="A247" s="97" t="str">
        <f t="shared" si="3"/>
        <v>gpmc_Pinmux</v>
      </c>
      <c r="B247" s="97" t="s">
        <v>653</v>
      </c>
      <c r="C247" s="97" t="s">
        <v>978</v>
      </c>
      <c r="D247" s="97"/>
      <c r="E247" s="97" t="s">
        <v>1038</v>
      </c>
      <c r="F247" s="97">
        <v>34</v>
      </c>
      <c r="G247" s="97" t="s">
        <v>983</v>
      </c>
      <c r="H247" s="5"/>
      <c r="I247"/>
      <c r="J247"/>
      <c r="K247"/>
      <c r="L247"/>
      <c r="M247"/>
      <c r="N247"/>
      <c r="O247"/>
      <c r="P247"/>
      <c r="Q247"/>
      <c r="R247"/>
      <c r="S247"/>
      <c r="T247"/>
      <c r="U247"/>
      <c r="V247"/>
      <c r="W247"/>
      <c r="X247"/>
      <c r="Y247"/>
    </row>
    <row r="248" spans="1:25" s="104" customFormat="1" hidden="1" x14ac:dyDescent="0.25">
      <c r="A248" s="97" t="str">
        <f t="shared" si="3"/>
        <v>mcasp_Pinmux</v>
      </c>
      <c r="B248" s="97" t="s">
        <v>874</v>
      </c>
      <c r="C248" s="97" t="s">
        <v>978</v>
      </c>
      <c r="D248" s="97"/>
      <c r="E248" s="97" t="s">
        <v>1038</v>
      </c>
      <c r="F248" s="97">
        <v>10</v>
      </c>
      <c r="G248" s="97" t="s">
        <v>982</v>
      </c>
      <c r="H248" s="5"/>
      <c r="I248"/>
      <c r="J248"/>
      <c r="K248"/>
      <c r="L248"/>
      <c r="M248"/>
      <c r="N248"/>
      <c r="O248"/>
      <c r="P248"/>
      <c r="Q248"/>
      <c r="R248"/>
      <c r="S248"/>
      <c r="T248"/>
      <c r="U248"/>
      <c r="V248"/>
      <c r="W248"/>
      <c r="X248"/>
      <c r="Y248"/>
    </row>
    <row r="249" spans="1:25" s="104" customFormat="1" hidden="1" x14ac:dyDescent="0.25">
      <c r="A249" s="97" t="str">
        <f t="shared" si="3"/>
        <v>uart_pinmux</v>
      </c>
      <c r="B249" s="97" t="s">
        <v>918</v>
      </c>
      <c r="C249" s="97" t="s">
        <v>933</v>
      </c>
      <c r="D249" s="97"/>
      <c r="E249" s="97" t="s">
        <v>1038</v>
      </c>
      <c r="F249" s="97">
        <v>4</v>
      </c>
      <c r="G249" s="97"/>
      <c r="H249" s="5"/>
      <c r="I249"/>
      <c r="J249"/>
      <c r="K249"/>
      <c r="L249"/>
      <c r="M249"/>
      <c r="N249"/>
      <c r="O249"/>
      <c r="P249"/>
      <c r="Q249"/>
      <c r="R249"/>
      <c r="S249"/>
      <c r="T249"/>
      <c r="U249"/>
      <c r="V249"/>
      <c r="W249"/>
      <c r="X249"/>
      <c r="Y249"/>
    </row>
    <row r="250" spans="1:25" s="104" customFormat="1" hidden="1" x14ac:dyDescent="0.25">
      <c r="A250" s="97" t="str">
        <f t="shared" si="3"/>
        <v>uart_Pinmux</v>
      </c>
      <c r="B250" s="97" t="s">
        <v>918</v>
      </c>
      <c r="C250" s="97" t="s">
        <v>978</v>
      </c>
      <c r="D250" s="97"/>
      <c r="E250" s="97" t="s">
        <v>1038</v>
      </c>
      <c r="F250" s="97">
        <v>4</v>
      </c>
      <c r="G250" s="97"/>
      <c r="H250" s="5"/>
      <c r="I250"/>
      <c r="J250"/>
      <c r="K250"/>
      <c r="L250"/>
      <c r="M250"/>
      <c r="N250"/>
      <c r="O250"/>
      <c r="P250"/>
      <c r="Q250"/>
      <c r="R250"/>
      <c r="S250"/>
      <c r="T250"/>
      <c r="U250"/>
      <c r="V250"/>
      <c r="W250"/>
      <c r="X250"/>
      <c r="Y250"/>
    </row>
    <row r="251" spans="1:25" s="104" customFormat="1" hidden="1" x14ac:dyDescent="0.25">
      <c r="A251" s="97" t="str">
        <f t="shared" si="3"/>
        <v>uart_modem_pinmux</v>
      </c>
      <c r="B251" s="97" t="s">
        <v>928</v>
      </c>
      <c r="C251" s="97" t="s">
        <v>933</v>
      </c>
      <c r="D251" s="97"/>
      <c r="E251" s="97" t="s">
        <v>1038</v>
      </c>
      <c r="F251" s="97">
        <v>8</v>
      </c>
      <c r="G251" s="97"/>
      <c r="H251" s="5"/>
      <c r="I251"/>
      <c r="J251"/>
      <c r="K251"/>
      <c r="L251"/>
      <c r="M251"/>
      <c r="N251"/>
      <c r="O251"/>
      <c r="P251"/>
      <c r="Q251"/>
      <c r="R251"/>
      <c r="S251"/>
      <c r="T251"/>
      <c r="U251"/>
      <c r="V251"/>
      <c r="W251"/>
      <c r="X251"/>
      <c r="Y251"/>
    </row>
    <row r="252" spans="1:25" s="104" customFormat="1" hidden="1" x14ac:dyDescent="0.25">
      <c r="A252" s="97" t="str">
        <f t="shared" si="3"/>
        <v>uart_modem_Pinmux</v>
      </c>
      <c r="B252" s="97" t="s">
        <v>928</v>
      </c>
      <c r="C252" s="97" t="s">
        <v>978</v>
      </c>
      <c r="D252" s="97"/>
      <c r="E252" s="97" t="s">
        <v>1038</v>
      </c>
      <c r="F252" s="97">
        <v>8</v>
      </c>
      <c r="G252" s="97"/>
      <c r="H252" s="5"/>
      <c r="I252"/>
      <c r="J252"/>
      <c r="K252"/>
      <c r="L252"/>
      <c r="M252"/>
      <c r="N252"/>
      <c r="O252"/>
      <c r="P252"/>
      <c r="Q252"/>
      <c r="R252"/>
      <c r="S252"/>
      <c r="T252"/>
      <c r="U252"/>
      <c r="V252"/>
      <c r="W252"/>
      <c r="X252"/>
      <c r="Y252"/>
    </row>
    <row r="253" spans="1:25" s="104" customFormat="1" hidden="1" x14ac:dyDescent="0.25">
      <c r="A253" s="97" t="str">
        <f t="shared" si="3"/>
        <v>dpi_Pinmux</v>
      </c>
      <c r="B253" s="97" t="s">
        <v>699</v>
      </c>
      <c r="C253" s="97" t="s">
        <v>978</v>
      </c>
      <c r="D253" s="97"/>
      <c r="E253" s="97" t="s">
        <v>1038</v>
      </c>
      <c r="F253" s="97">
        <v>28</v>
      </c>
      <c r="G253" s="97" t="s">
        <v>981</v>
      </c>
      <c r="H253" s="5"/>
      <c r="I253"/>
      <c r="J253"/>
      <c r="K253"/>
      <c r="L253"/>
      <c r="M253"/>
      <c r="N253"/>
      <c r="O253"/>
      <c r="P253"/>
      <c r="Q253"/>
      <c r="R253"/>
      <c r="S253"/>
      <c r="T253"/>
      <c r="U253"/>
      <c r="V253"/>
      <c r="W253"/>
      <c r="X253"/>
      <c r="Y253"/>
    </row>
    <row r="254" spans="1:25" s="104" customFormat="1" hidden="1" x14ac:dyDescent="0.25">
      <c r="A254" s="97" t="str">
        <f t="shared" si="3"/>
        <v>i2c_od_pinmux</v>
      </c>
      <c r="B254" s="97" t="s">
        <v>907</v>
      </c>
      <c r="C254" s="97" t="s">
        <v>933</v>
      </c>
      <c r="D254" s="97"/>
      <c r="E254" s="97" t="s">
        <v>1038</v>
      </c>
      <c r="F254" s="97">
        <v>2</v>
      </c>
      <c r="G254" s="97"/>
      <c r="H254" s="5"/>
      <c r="I254"/>
      <c r="J254"/>
      <c r="K254"/>
      <c r="L254"/>
      <c r="M254"/>
      <c r="N254"/>
      <c r="O254"/>
      <c r="P254"/>
      <c r="Q254"/>
      <c r="R254"/>
      <c r="S254"/>
      <c r="T254"/>
      <c r="U254"/>
      <c r="V254"/>
      <c r="W254"/>
      <c r="X254"/>
      <c r="Y254"/>
    </row>
    <row r="255" spans="1:25" s="104" customFormat="1" hidden="1" x14ac:dyDescent="0.25">
      <c r="A255" s="97" t="str">
        <f t="shared" si="3"/>
        <v>i2c_od_Pinmux</v>
      </c>
      <c r="B255" s="97" t="s">
        <v>907</v>
      </c>
      <c r="C255" s="97" t="s">
        <v>978</v>
      </c>
      <c r="D255" s="97"/>
      <c r="E255" s="97" t="s">
        <v>1038</v>
      </c>
      <c r="F255" s="97">
        <v>2</v>
      </c>
      <c r="G255" s="97"/>
      <c r="H255" s="5"/>
      <c r="I255"/>
      <c r="J255"/>
      <c r="K255"/>
      <c r="L255"/>
      <c r="M255"/>
      <c r="N255"/>
      <c r="O255"/>
      <c r="P255"/>
      <c r="Q255"/>
      <c r="R255"/>
      <c r="S255"/>
      <c r="T255"/>
      <c r="U255"/>
      <c r="V255"/>
      <c r="W255"/>
      <c r="X255"/>
      <c r="Y255"/>
    </row>
    <row r="256" spans="1:25" s="104" customFormat="1" hidden="1" x14ac:dyDescent="0.25">
      <c r="A256" s="97" t="str">
        <f t="shared" si="3"/>
        <v>i2c_pinmux</v>
      </c>
      <c r="B256" s="97" t="s">
        <v>906</v>
      </c>
      <c r="C256" s="97" t="s">
        <v>933</v>
      </c>
      <c r="D256" s="97"/>
      <c r="E256" s="97" t="s">
        <v>1038</v>
      </c>
      <c r="F256" s="97">
        <v>2</v>
      </c>
      <c r="G256" s="97" t="s">
        <v>629</v>
      </c>
      <c r="H256" s="5"/>
      <c r="I256"/>
      <c r="J256"/>
      <c r="K256"/>
      <c r="L256"/>
      <c r="M256"/>
      <c r="N256"/>
      <c r="O256"/>
      <c r="P256"/>
      <c r="Q256"/>
      <c r="R256"/>
      <c r="S256"/>
      <c r="T256"/>
      <c r="U256"/>
      <c r="V256"/>
      <c r="W256"/>
      <c r="X256"/>
      <c r="Y256"/>
    </row>
    <row r="257" spans="1:25" s="104" customFormat="1" hidden="1" x14ac:dyDescent="0.25">
      <c r="A257" s="97" t="str">
        <f t="shared" si="3"/>
        <v>i2c_Pinmux</v>
      </c>
      <c r="B257" s="97" t="s">
        <v>906</v>
      </c>
      <c r="C257" s="97" t="s">
        <v>978</v>
      </c>
      <c r="D257" s="97"/>
      <c r="E257" s="97" t="s">
        <v>1038</v>
      </c>
      <c r="F257" s="97">
        <v>2</v>
      </c>
      <c r="G257" s="97"/>
      <c r="H257" s="5"/>
      <c r="I257"/>
      <c r="J257"/>
      <c r="K257"/>
      <c r="L257"/>
      <c r="M257"/>
      <c r="N257"/>
      <c r="O257"/>
      <c r="P257"/>
      <c r="Q257"/>
      <c r="R257"/>
      <c r="S257"/>
      <c r="T257"/>
      <c r="U257"/>
      <c r="V257"/>
      <c r="W257"/>
      <c r="X257"/>
      <c r="Y257"/>
    </row>
    <row r="258" spans="1:25" s="104" customFormat="1" hidden="1" x14ac:dyDescent="0.25">
      <c r="A258" s="97" t="str">
        <f t="shared" si="3"/>
        <v>epwm_pinmux</v>
      </c>
      <c r="B258" s="97" t="s">
        <v>967</v>
      </c>
      <c r="C258" s="97" t="s">
        <v>933</v>
      </c>
      <c r="D258" s="97"/>
      <c r="E258" s="97" t="s">
        <v>1038</v>
      </c>
      <c r="F258" s="97">
        <v>3</v>
      </c>
      <c r="G258" s="97" t="s">
        <v>962</v>
      </c>
      <c r="H258" s="5"/>
      <c r="I258"/>
      <c r="J258"/>
      <c r="K258"/>
      <c r="L258"/>
      <c r="M258"/>
      <c r="N258"/>
      <c r="O258"/>
      <c r="P258"/>
      <c r="Q258"/>
      <c r="R258"/>
      <c r="S258"/>
      <c r="T258"/>
      <c r="U258"/>
      <c r="V258"/>
      <c r="W258"/>
      <c r="X258"/>
      <c r="Y258"/>
    </row>
    <row r="259" spans="1:25" s="104" customFormat="1" hidden="1" x14ac:dyDescent="0.25">
      <c r="A259" s="97" t="str">
        <f t="shared" si="3"/>
        <v>epwm_Pinmux</v>
      </c>
      <c r="B259" s="97" t="s">
        <v>967</v>
      </c>
      <c r="C259" s="97" t="s">
        <v>978</v>
      </c>
      <c r="D259" s="97"/>
      <c r="E259" s="97" t="s">
        <v>1038</v>
      </c>
      <c r="F259" s="97">
        <v>3</v>
      </c>
      <c r="G259" s="97"/>
      <c r="H259" s="5"/>
      <c r="I259"/>
      <c r="J259"/>
      <c r="K259"/>
      <c r="L259"/>
      <c r="M259"/>
      <c r="N259"/>
      <c r="O259"/>
      <c r="P259"/>
      <c r="Q259"/>
      <c r="R259"/>
      <c r="S259"/>
      <c r="T259"/>
      <c r="U259"/>
      <c r="V259"/>
      <c r="W259"/>
      <c r="X259"/>
      <c r="Y259"/>
    </row>
    <row r="260" spans="1:25" s="104" customFormat="1" hidden="1" x14ac:dyDescent="0.25">
      <c r="A260" s="97" t="str">
        <f t="shared" si="3"/>
        <v>fssul_Pinmux</v>
      </c>
      <c r="B260" s="97" t="s">
        <v>689</v>
      </c>
      <c r="C260" s="97" t="s">
        <v>978</v>
      </c>
      <c r="D260" s="97"/>
      <c r="E260" s="97" t="s">
        <v>1038</v>
      </c>
      <c r="F260" s="97">
        <v>10</v>
      </c>
      <c r="G260" s="97" t="s">
        <v>984</v>
      </c>
      <c r="H260" s="5"/>
      <c r="I260"/>
      <c r="J260"/>
      <c r="K260"/>
      <c r="L260"/>
      <c r="M260"/>
      <c r="N260"/>
      <c r="O260"/>
      <c r="P260"/>
      <c r="Q260"/>
      <c r="R260"/>
      <c r="S260"/>
      <c r="T260"/>
      <c r="U260"/>
      <c r="V260"/>
      <c r="W260"/>
      <c r="X260"/>
      <c r="Y260"/>
    </row>
    <row r="261" spans="1:25" s="104" customFormat="1" hidden="1" x14ac:dyDescent="0.25">
      <c r="A261" s="97" t="str">
        <f t="shared" si="3"/>
        <v>ecap_pinmux</v>
      </c>
      <c r="B261" s="97" t="s">
        <v>938</v>
      </c>
      <c r="C261" s="97" t="s">
        <v>933</v>
      </c>
      <c r="D261" s="97"/>
      <c r="E261" s="97" t="s">
        <v>1038</v>
      </c>
      <c r="F261" s="97">
        <v>1</v>
      </c>
      <c r="G261" s="97" t="s">
        <v>953</v>
      </c>
      <c r="H261" s="5"/>
      <c r="I261"/>
      <c r="J261"/>
      <c r="K261"/>
      <c r="L261"/>
      <c r="M261"/>
      <c r="N261"/>
      <c r="O261"/>
      <c r="P261"/>
      <c r="Q261"/>
      <c r="R261"/>
      <c r="S261"/>
      <c r="T261"/>
      <c r="U261"/>
      <c r="V261"/>
      <c r="W261"/>
      <c r="X261"/>
      <c r="Y261"/>
    </row>
    <row r="262" spans="1:25" s="104" customFormat="1" hidden="1" x14ac:dyDescent="0.25">
      <c r="A262" s="97" t="str">
        <f t="shared" si="3"/>
        <v>ecap_Pinmux</v>
      </c>
      <c r="B262" s="97" t="s">
        <v>938</v>
      </c>
      <c r="C262" s="97" t="s">
        <v>978</v>
      </c>
      <c r="D262" s="97"/>
      <c r="E262" s="97" t="s">
        <v>1038</v>
      </c>
      <c r="F262" s="97">
        <v>1</v>
      </c>
      <c r="G262" s="97"/>
      <c r="H262" s="5"/>
      <c r="I262"/>
      <c r="J262"/>
      <c r="K262"/>
      <c r="L262"/>
      <c r="M262"/>
      <c r="N262"/>
      <c r="O262"/>
      <c r="P262"/>
      <c r="Q262"/>
      <c r="R262"/>
      <c r="S262"/>
      <c r="T262"/>
      <c r="U262"/>
      <c r="V262"/>
      <c r="W262"/>
      <c r="X262"/>
      <c r="Y262"/>
    </row>
    <row r="263" spans="1:25" s="104" customFormat="1" hidden="1" x14ac:dyDescent="0.25">
      <c r="A263" s="97" t="str">
        <f t="shared" si="3"/>
        <v>eqep_pinmux</v>
      </c>
      <c r="B263" s="97" t="s">
        <v>937</v>
      </c>
      <c r="C263" s="97" t="s">
        <v>933</v>
      </c>
      <c r="D263" s="97"/>
      <c r="E263" s="97" t="s">
        <v>1038</v>
      </c>
      <c r="F263" s="97">
        <v>4</v>
      </c>
      <c r="G263" s="97" t="s">
        <v>954</v>
      </c>
      <c r="H263" s="5"/>
      <c r="I263"/>
      <c r="J263"/>
      <c r="K263"/>
      <c r="L263"/>
      <c r="M263"/>
      <c r="N263"/>
      <c r="O263"/>
      <c r="P263"/>
      <c r="Q263"/>
      <c r="R263"/>
      <c r="S263"/>
      <c r="T263"/>
      <c r="U263"/>
      <c r="V263"/>
      <c r="W263"/>
      <c r="X263"/>
      <c r="Y263"/>
    </row>
    <row r="264" spans="1:25" s="104" customFormat="1" hidden="1" x14ac:dyDescent="0.25">
      <c r="A264" s="97" t="str">
        <f t="shared" si="3"/>
        <v>eqep_Pinmux</v>
      </c>
      <c r="B264" s="97" t="s">
        <v>937</v>
      </c>
      <c r="C264" s="97" t="s">
        <v>978</v>
      </c>
      <c r="D264" s="97"/>
      <c r="E264" s="97" t="s">
        <v>1038</v>
      </c>
      <c r="F264" s="97">
        <v>4</v>
      </c>
      <c r="G264" s="97"/>
      <c r="H264" s="5"/>
      <c r="I264"/>
      <c r="J264"/>
      <c r="K264"/>
      <c r="L264"/>
      <c r="M264"/>
      <c r="N264"/>
      <c r="O264"/>
      <c r="P264"/>
      <c r="Q264"/>
      <c r="R264"/>
      <c r="S264"/>
      <c r="T264"/>
      <c r="U264"/>
      <c r="V264"/>
      <c r="W264"/>
      <c r="X264"/>
      <c r="Y264"/>
    </row>
    <row r="265" spans="1:25" s="104" customFormat="1" hidden="1" x14ac:dyDescent="0.25">
      <c r="A265" s="97" t="str">
        <f t="shared" si="3"/>
        <v>ethernet_Pinmux</v>
      </c>
      <c r="B265" s="97" t="s">
        <v>649</v>
      </c>
      <c r="C265" s="97" t="s">
        <v>978</v>
      </c>
      <c r="D265" s="97"/>
      <c r="E265" s="97" t="s">
        <v>1038</v>
      </c>
      <c r="F265" s="97">
        <v>14</v>
      </c>
      <c r="G265" s="97" t="s">
        <v>980</v>
      </c>
      <c r="H265" s="5"/>
      <c r="I265"/>
      <c r="J265"/>
      <c r="K265"/>
      <c r="L265"/>
      <c r="M265"/>
      <c r="N265"/>
      <c r="O265"/>
      <c r="P265"/>
      <c r="Q265"/>
      <c r="R265"/>
      <c r="S265"/>
      <c r="T265"/>
      <c r="U265"/>
      <c r="V265"/>
      <c r="W265"/>
      <c r="X265"/>
      <c r="Y265"/>
    </row>
    <row r="266" spans="1:25" s="104" customFormat="1" hidden="1" x14ac:dyDescent="0.25">
      <c r="A266" s="97" t="str">
        <f t="shared" si="3"/>
        <v>icssm_Pinmux</v>
      </c>
      <c r="B266" s="97" t="s">
        <v>643</v>
      </c>
      <c r="C266" s="97" t="s">
        <v>978</v>
      </c>
      <c r="D266" s="97"/>
      <c r="E266" s="97" t="s">
        <v>1038</v>
      </c>
      <c r="F266" s="97">
        <v>22</v>
      </c>
      <c r="G266" s="97" t="s">
        <v>979</v>
      </c>
      <c r="H266" s="5"/>
      <c r="I266"/>
      <c r="J266"/>
      <c r="K266"/>
      <c r="L266"/>
      <c r="M266"/>
      <c r="N266"/>
      <c r="O266"/>
      <c r="P266"/>
      <c r="Q266"/>
      <c r="R266"/>
      <c r="S266"/>
      <c r="T266"/>
      <c r="U266"/>
      <c r="V266"/>
      <c r="W266"/>
      <c r="X266"/>
      <c r="Y266"/>
    </row>
    <row r="267" spans="1:25" s="104" customFormat="1" hidden="1" x14ac:dyDescent="0.25">
      <c r="A267" s="97" t="str">
        <f t="shared" si="3"/>
        <v>spi_Pinmux</v>
      </c>
      <c r="B267" s="97" t="s">
        <v>898</v>
      </c>
      <c r="C267" s="97" t="s">
        <v>978</v>
      </c>
      <c r="D267" s="97"/>
      <c r="E267" s="97" t="s">
        <v>1038</v>
      </c>
      <c r="F267" s="97">
        <v>4</v>
      </c>
      <c r="G267" s="97"/>
      <c r="H267" s="5"/>
      <c r="I267"/>
      <c r="J267"/>
      <c r="K267"/>
      <c r="L267"/>
      <c r="M267"/>
      <c r="N267"/>
      <c r="O267"/>
      <c r="P267"/>
      <c r="Q267"/>
      <c r="R267"/>
      <c r="S267"/>
      <c r="T267"/>
      <c r="U267"/>
      <c r="V267"/>
      <c r="W267"/>
      <c r="X267"/>
      <c r="Y267"/>
    </row>
    <row r="268" spans="1:25" s="104" customFormat="1" hidden="1" x14ac:dyDescent="0.25">
      <c r="A268" s="97" t="str">
        <f t="shared" si="3"/>
        <v>gpio_pinmux</v>
      </c>
      <c r="B268" s="97" t="s">
        <v>969</v>
      </c>
      <c r="C268" s="97" t="s">
        <v>933</v>
      </c>
      <c r="D268" s="97"/>
      <c r="E268" s="97" t="s">
        <v>1038</v>
      </c>
      <c r="F268" s="97">
        <v>1</v>
      </c>
      <c r="G268" s="97"/>
      <c r="H268" s="5"/>
      <c r="I268"/>
      <c r="J268"/>
      <c r="K268"/>
      <c r="L268"/>
      <c r="M268"/>
      <c r="N268"/>
      <c r="O268"/>
      <c r="P268"/>
      <c r="Q268"/>
      <c r="R268"/>
      <c r="S268"/>
      <c r="T268"/>
      <c r="U268"/>
      <c r="V268"/>
      <c r="W268"/>
      <c r="X268"/>
      <c r="Y268"/>
    </row>
    <row r="269" spans="1:25" s="104" customFormat="1" hidden="1" x14ac:dyDescent="0.25">
      <c r="A269" s="97" t="str">
        <f t="shared" si="3"/>
        <v>gpio_Pinmux</v>
      </c>
      <c r="B269" s="97" t="s">
        <v>969</v>
      </c>
      <c r="C269" s="97" t="s">
        <v>978</v>
      </c>
      <c r="D269" s="97"/>
      <c r="E269" s="97" t="s">
        <v>1038</v>
      </c>
      <c r="F269" s="97">
        <v>1</v>
      </c>
      <c r="G269" s="97"/>
      <c r="H269" s="5"/>
      <c r="I269"/>
      <c r="J269"/>
      <c r="K269"/>
      <c r="L269"/>
      <c r="M269"/>
      <c r="N269"/>
      <c r="O269"/>
      <c r="P269"/>
      <c r="Q269"/>
      <c r="R269"/>
      <c r="S269"/>
      <c r="T269"/>
      <c r="U269"/>
      <c r="V269"/>
      <c r="W269"/>
      <c r="X269"/>
      <c r="Y269"/>
    </row>
    <row r="270" spans="1:25" s="104" customFormat="1" hidden="1" x14ac:dyDescent="0.25">
      <c r="A270" s="97" t="str">
        <f t="shared" si="3"/>
        <v>n16_core_vdd3p3_clamp_Pins</v>
      </c>
      <c r="B270" s="97" t="s">
        <v>79</v>
      </c>
      <c r="C270" s="98" t="s">
        <v>273</v>
      </c>
      <c r="D270" s="97"/>
      <c r="E270" s="97" t="s">
        <v>1038</v>
      </c>
      <c r="F270" s="97">
        <v>0</v>
      </c>
      <c r="G270" s="97" t="s">
        <v>570</v>
      </c>
      <c r="H270" s="5"/>
      <c r="I270"/>
      <c r="J270"/>
      <c r="K270"/>
      <c r="L270"/>
      <c r="M270"/>
      <c r="N270"/>
      <c r="O270"/>
      <c r="P270"/>
      <c r="Q270"/>
      <c r="R270"/>
      <c r="S270"/>
      <c r="T270"/>
      <c r="U270"/>
      <c r="V270"/>
      <c r="W270"/>
      <c r="X270"/>
      <c r="Y270"/>
    </row>
    <row r="271" spans="1:25" s="104" customFormat="1" hidden="1" x14ac:dyDescent="0.25">
      <c r="A271" s="97" t="str">
        <f t="shared" si="3"/>
        <v>PRCUTLvcMOS_Pins</v>
      </c>
      <c r="B271" s="97" t="s">
        <v>110</v>
      </c>
      <c r="C271" s="98" t="s">
        <v>273</v>
      </c>
      <c r="D271" s="97"/>
      <c r="E271" s="97" t="s">
        <v>1038</v>
      </c>
      <c r="F271" s="97">
        <v>0</v>
      </c>
      <c r="G271" s="97"/>
      <c r="H271" s="5"/>
      <c r="I271"/>
      <c r="J271"/>
      <c r="K271"/>
      <c r="L271"/>
      <c r="M271"/>
      <c r="N271"/>
      <c r="O271"/>
      <c r="P271"/>
      <c r="Q271"/>
      <c r="R271"/>
      <c r="S271"/>
      <c r="T271"/>
      <c r="U271"/>
      <c r="V271"/>
      <c r="W271"/>
      <c r="X271"/>
      <c r="Y271"/>
    </row>
    <row r="272" spans="1:25" s="104" customFormat="1" hidden="1" x14ac:dyDescent="0.25">
      <c r="A272" s="97" t="str">
        <f t="shared" si="3"/>
        <v>n16_core_vdd_clamp_Pins</v>
      </c>
      <c r="B272" s="97" t="s">
        <v>398</v>
      </c>
      <c r="C272" s="98" t="s">
        <v>273</v>
      </c>
      <c r="D272" s="97"/>
      <c r="E272" s="97" t="s">
        <v>1038</v>
      </c>
      <c r="F272" s="97">
        <v>0</v>
      </c>
      <c r="G272" s="97" t="s">
        <v>570</v>
      </c>
      <c r="H272" s="5"/>
      <c r="I272"/>
      <c r="J272"/>
      <c r="K272"/>
      <c r="L272"/>
      <c r="M272"/>
      <c r="N272"/>
      <c r="O272"/>
      <c r="P272"/>
      <c r="Q272"/>
      <c r="R272"/>
      <c r="S272"/>
      <c r="T272"/>
      <c r="U272"/>
      <c r="V272"/>
      <c r="W272"/>
      <c r="X272"/>
      <c r="Y272"/>
    </row>
    <row r="273" spans="1:25" s="104" customFormat="1" hidden="1" x14ac:dyDescent="0.25">
      <c r="A273" s="97" t="str">
        <f t="shared" ref="A273:A336" si="4">B273&amp;"_"&amp;C273</f>
        <v>n16_core_vdda_clamp_Pins</v>
      </c>
      <c r="B273" s="97" t="s">
        <v>399</v>
      </c>
      <c r="C273" s="98" t="s">
        <v>273</v>
      </c>
      <c r="D273" s="97"/>
      <c r="E273" s="97" t="s">
        <v>1038</v>
      </c>
      <c r="F273" s="97">
        <v>0</v>
      </c>
      <c r="G273" s="97" t="s">
        <v>570</v>
      </c>
      <c r="H273" s="5"/>
      <c r="I273"/>
      <c r="J273"/>
      <c r="K273"/>
      <c r="L273"/>
      <c r="M273"/>
      <c r="N273"/>
      <c r="O273"/>
      <c r="P273"/>
      <c r="Q273"/>
      <c r="R273"/>
      <c r="S273"/>
      <c r="T273"/>
      <c r="U273"/>
      <c r="V273"/>
      <c r="W273"/>
      <c r="X273"/>
      <c r="Y273"/>
    </row>
    <row r="274" spans="1:25" s="104" customFormat="1" hidden="1" x14ac:dyDescent="0.25">
      <c r="A274" s="97" t="str">
        <f t="shared" si="4"/>
        <v>n16_core_sig_esd_secondary_Pins</v>
      </c>
      <c r="B274" s="97" t="s">
        <v>400</v>
      </c>
      <c r="C274" s="98" t="s">
        <v>273</v>
      </c>
      <c r="D274" s="97"/>
      <c r="E274" s="97" t="s">
        <v>1038</v>
      </c>
      <c r="F274" s="97">
        <v>0</v>
      </c>
      <c r="G274" s="97" t="s">
        <v>570</v>
      </c>
      <c r="H274" s="5"/>
      <c r="I274"/>
      <c r="J274"/>
      <c r="K274"/>
      <c r="L274"/>
      <c r="M274"/>
      <c r="N274"/>
      <c r="O274"/>
      <c r="P274"/>
      <c r="Q274"/>
      <c r="R274"/>
      <c r="S274"/>
      <c r="T274"/>
      <c r="U274"/>
      <c r="V274"/>
      <c r="W274"/>
      <c r="X274"/>
      <c r="Y274"/>
    </row>
    <row r="275" spans="1:25" s="104" customFormat="1" hidden="1" x14ac:dyDescent="0.25">
      <c r="A275" s="97" t="str">
        <f t="shared" si="4"/>
        <v>PDBODPMACRO_Pins</v>
      </c>
      <c r="B275" s="97" t="s">
        <v>397</v>
      </c>
      <c r="C275" s="98" t="s">
        <v>273</v>
      </c>
      <c r="D275" s="97"/>
      <c r="E275" s="97" t="s">
        <v>1038</v>
      </c>
      <c r="F275" s="97">
        <v>2</v>
      </c>
      <c r="G275" s="97" t="s">
        <v>562</v>
      </c>
      <c r="H275" s="5"/>
      <c r="I275"/>
      <c r="J275"/>
      <c r="K275"/>
      <c r="L275"/>
      <c r="M275"/>
      <c r="N275"/>
      <c r="O275"/>
      <c r="P275"/>
      <c r="Q275"/>
      <c r="R275"/>
      <c r="S275"/>
      <c r="T275"/>
      <c r="U275"/>
      <c r="V275"/>
      <c r="W275"/>
      <c r="X275"/>
      <c r="Y275"/>
    </row>
    <row r="276" spans="1:25" s="104" customFormat="1" hidden="1" x14ac:dyDescent="0.25">
      <c r="A276" s="97" t="str">
        <f t="shared" si="4"/>
        <v>PDIDGZRESET_C161202_Pins</v>
      </c>
      <c r="B276" s="97" t="s">
        <v>394</v>
      </c>
      <c r="C276" s="98" t="s">
        <v>273</v>
      </c>
      <c r="D276" s="97"/>
      <c r="E276" s="97" t="s">
        <v>1038</v>
      </c>
      <c r="F276" s="97">
        <v>1</v>
      </c>
      <c r="G276" s="97" t="s">
        <v>561</v>
      </c>
      <c r="H276" s="5"/>
      <c r="I276"/>
      <c r="J276"/>
      <c r="K276"/>
      <c r="L276"/>
      <c r="M276"/>
      <c r="N276"/>
      <c r="O276"/>
      <c r="P276"/>
      <c r="Q276"/>
      <c r="R276"/>
      <c r="S276"/>
      <c r="T276"/>
      <c r="U276"/>
      <c r="V276"/>
      <c r="W276"/>
      <c r="X276"/>
      <c r="Y276"/>
    </row>
    <row r="277" spans="1:25" s="104" customFormat="1" hidden="1" x14ac:dyDescent="0.25">
      <c r="A277" s="97" t="str">
        <f t="shared" si="4"/>
        <v>PVDD1CDGM_C161202_Pins</v>
      </c>
      <c r="B277" s="97" t="s">
        <v>393</v>
      </c>
      <c r="C277" s="98" t="s">
        <v>273</v>
      </c>
      <c r="D277" s="97"/>
      <c r="E277" s="97" t="s">
        <v>1038</v>
      </c>
      <c r="F277" s="97">
        <v>0</v>
      </c>
      <c r="G277" s="97"/>
      <c r="H277" s="5"/>
      <c r="I277"/>
      <c r="J277"/>
      <c r="K277"/>
      <c r="L277"/>
      <c r="M277"/>
      <c r="N277"/>
      <c r="O277"/>
      <c r="P277"/>
      <c r="Q277"/>
      <c r="R277"/>
      <c r="S277"/>
      <c r="T277"/>
      <c r="U277"/>
      <c r="V277"/>
      <c r="W277"/>
      <c r="X277"/>
      <c r="Y277"/>
    </row>
    <row r="278" spans="1:25" s="104" customFormat="1" hidden="1" x14ac:dyDescent="0.25">
      <c r="A278" s="97" t="str">
        <f t="shared" si="4"/>
        <v>PVDD2CDGM_C161202_Pins</v>
      </c>
      <c r="B278" s="97" t="s">
        <v>392</v>
      </c>
      <c r="C278" s="98" t="s">
        <v>273</v>
      </c>
      <c r="D278" s="97"/>
      <c r="E278" s="97" t="s">
        <v>1038</v>
      </c>
      <c r="F278" s="97">
        <v>0</v>
      </c>
      <c r="G278" s="97"/>
      <c r="H278" s="5"/>
      <c r="I278"/>
      <c r="J278"/>
      <c r="K278"/>
      <c r="L278"/>
      <c r="M278"/>
      <c r="N278"/>
      <c r="O278"/>
      <c r="P278"/>
      <c r="Q278"/>
      <c r="R278"/>
      <c r="S278"/>
      <c r="T278"/>
      <c r="U278"/>
      <c r="V278"/>
      <c r="W278"/>
      <c r="X278"/>
      <c r="Y278"/>
    </row>
    <row r="279" spans="1:25" s="104" customFormat="1" hidden="1" x14ac:dyDescent="0.25">
      <c r="A279" s="97" t="str">
        <f t="shared" si="4"/>
        <v>PVDD3LDOLVCMOS_Pins</v>
      </c>
      <c r="B279" s="97" t="s">
        <v>386</v>
      </c>
      <c r="C279" s="98" t="s">
        <v>273</v>
      </c>
      <c r="D279" s="97"/>
      <c r="E279" s="97" t="s">
        <v>1038</v>
      </c>
      <c r="F279" s="97">
        <v>0</v>
      </c>
      <c r="G279" s="97"/>
      <c r="H279" s="5"/>
      <c r="I279"/>
      <c r="J279"/>
      <c r="K279"/>
      <c r="L279"/>
      <c r="M279"/>
      <c r="N279"/>
      <c r="O279"/>
      <c r="P279"/>
      <c r="Q279"/>
      <c r="R279"/>
      <c r="S279"/>
      <c r="T279"/>
      <c r="U279"/>
      <c r="V279"/>
      <c r="W279"/>
      <c r="X279"/>
      <c r="Y279"/>
    </row>
    <row r="280" spans="1:25" s="104" customFormat="1" hidden="1" x14ac:dyDescent="0.25">
      <c r="A280" s="97" t="str">
        <f t="shared" si="4"/>
        <v>PRBOPDDGZIIC_Pins</v>
      </c>
      <c r="B280" s="97" t="s">
        <v>391</v>
      </c>
      <c r="C280" s="98" t="s">
        <v>273</v>
      </c>
      <c r="D280" s="97"/>
      <c r="E280" s="97" t="s">
        <v>1038</v>
      </c>
      <c r="F280" s="97">
        <v>1</v>
      </c>
      <c r="G280" s="97"/>
      <c r="H280" s="5"/>
      <c r="I280"/>
      <c r="J280"/>
      <c r="K280"/>
      <c r="L280"/>
      <c r="M280"/>
      <c r="N280"/>
      <c r="O280"/>
      <c r="P280"/>
      <c r="Q280"/>
      <c r="R280"/>
      <c r="S280"/>
      <c r="T280"/>
      <c r="U280"/>
      <c r="V280"/>
      <c r="W280"/>
      <c r="X280"/>
      <c r="Y280"/>
    </row>
    <row r="281" spans="1:25" s="104" customFormat="1" hidden="1" x14ac:dyDescent="0.25">
      <c r="A281" s="97" t="str">
        <f t="shared" si="4"/>
        <v>PCBRTEPOCODIO_Pins</v>
      </c>
      <c r="B281" s="97" t="s">
        <v>387</v>
      </c>
      <c r="C281" s="98" t="s">
        <v>273</v>
      </c>
      <c r="D281" s="97"/>
      <c r="E281" s="97" t="s">
        <v>1038</v>
      </c>
      <c r="F281" s="97">
        <v>0</v>
      </c>
      <c r="G281" s="97" t="s">
        <v>563</v>
      </c>
      <c r="H281" s="5"/>
      <c r="I281"/>
      <c r="J281"/>
      <c r="K281"/>
      <c r="L281"/>
      <c r="M281"/>
      <c r="N281"/>
      <c r="O281"/>
      <c r="P281"/>
      <c r="Q281"/>
      <c r="R281"/>
      <c r="S281"/>
      <c r="T281"/>
      <c r="U281"/>
      <c r="V281"/>
      <c r="W281"/>
      <c r="X281"/>
      <c r="Y281"/>
    </row>
    <row r="282" spans="1:25" s="104" customFormat="1" hidden="1" x14ac:dyDescent="0.25">
      <c r="A282" s="97" t="str">
        <f t="shared" si="4"/>
        <v>PVDD1LVCMOSM_Pins</v>
      </c>
      <c r="B282" s="97" t="s">
        <v>388</v>
      </c>
      <c r="C282" s="98" t="s">
        <v>273</v>
      </c>
      <c r="D282" s="97"/>
      <c r="E282" s="97" t="s">
        <v>1038</v>
      </c>
      <c r="F282" s="97">
        <v>0</v>
      </c>
      <c r="G282" s="97"/>
      <c r="H282" s="5"/>
      <c r="I282"/>
      <c r="J282"/>
      <c r="K282"/>
      <c r="L282"/>
      <c r="M282"/>
      <c r="N282"/>
      <c r="O282"/>
      <c r="P282"/>
      <c r="Q282"/>
      <c r="R282"/>
      <c r="S282"/>
      <c r="T282"/>
      <c r="U282"/>
      <c r="V282"/>
      <c r="W282"/>
      <c r="X282"/>
      <c r="Y282"/>
    </row>
    <row r="283" spans="1:25" s="104" customFormat="1" hidden="1" x14ac:dyDescent="0.25">
      <c r="A283" s="97" t="str">
        <f t="shared" si="4"/>
        <v>PVDD3LVCMOSM_Pins</v>
      </c>
      <c r="B283" s="97" t="s">
        <v>389</v>
      </c>
      <c r="C283" s="98" t="s">
        <v>273</v>
      </c>
      <c r="D283" s="97"/>
      <c r="E283" s="97" t="s">
        <v>1038</v>
      </c>
      <c r="F283" s="97">
        <v>0</v>
      </c>
      <c r="G283" s="97"/>
      <c r="H283" s="5"/>
      <c r="I283"/>
      <c r="J283"/>
      <c r="K283"/>
      <c r="L283"/>
      <c r="M283"/>
      <c r="N283"/>
      <c r="O283"/>
      <c r="P283"/>
      <c r="Q283"/>
      <c r="R283"/>
      <c r="S283"/>
      <c r="T283"/>
      <c r="U283"/>
      <c r="V283"/>
      <c r="W283"/>
      <c r="X283"/>
      <c r="Y283"/>
    </row>
    <row r="284" spans="1:25" s="104" customFormat="1" hidden="1" x14ac:dyDescent="0.25">
      <c r="A284" s="97" t="str">
        <f t="shared" si="4"/>
        <v>PRWDWUWSWEWCDGLVCMOS_Pins</v>
      </c>
      <c r="B284" s="97" t="s">
        <v>395</v>
      </c>
      <c r="C284" s="98" t="s">
        <v>273</v>
      </c>
      <c r="D284" s="97"/>
      <c r="E284" s="97" t="s">
        <v>1038</v>
      </c>
      <c r="F284" s="97">
        <v>1</v>
      </c>
      <c r="G284" s="97"/>
      <c r="H284" s="5"/>
      <c r="I284"/>
      <c r="J284"/>
      <c r="K284"/>
      <c r="L284"/>
      <c r="M284"/>
      <c r="N284"/>
      <c r="O284"/>
      <c r="P284"/>
      <c r="Q284"/>
      <c r="R284"/>
      <c r="S284"/>
      <c r="T284"/>
      <c r="U284"/>
      <c r="V284"/>
      <c r="W284"/>
      <c r="X284"/>
      <c r="Y284"/>
    </row>
    <row r="285" spans="1:25" s="104" customFormat="1" hidden="1" x14ac:dyDescent="0.25">
      <c r="A285" s="97" t="str">
        <f t="shared" si="4"/>
        <v>PLLTS16FFCLAFRACF_Pins</v>
      </c>
      <c r="B285" s="97" t="s">
        <v>78</v>
      </c>
      <c r="C285" s="98" t="s">
        <v>273</v>
      </c>
      <c r="D285" s="97"/>
      <c r="E285" s="97" t="s">
        <v>1038</v>
      </c>
      <c r="F285" s="97">
        <v>0</v>
      </c>
      <c r="G285" s="97" t="s">
        <v>559</v>
      </c>
      <c r="H285" s="5"/>
      <c r="I285"/>
      <c r="J285"/>
      <c r="K285"/>
      <c r="L285"/>
      <c r="M285"/>
      <c r="N285"/>
      <c r="O285"/>
      <c r="P285"/>
      <c r="Q285"/>
      <c r="R285"/>
      <c r="S285"/>
      <c r="T285"/>
      <c r="U285"/>
      <c r="V285"/>
      <c r="W285"/>
      <c r="X285"/>
      <c r="Y285"/>
    </row>
    <row r="286" spans="1:25" s="104" customFormat="1" hidden="1" x14ac:dyDescent="0.25">
      <c r="A286" s="97" t="str">
        <f t="shared" si="4"/>
        <v>PGD_Pins</v>
      </c>
      <c r="B286" s="97" t="s">
        <v>11</v>
      </c>
      <c r="C286" s="98" t="s">
        <v>273</v>
      </c>
      <c r="D286" s="97"/>
      <c r="E286" s="97" t="s">
        <v>1038</v>
      </c>
      <c r="F286" s="97">
        <v>0</v>
      </c>
      <c r="G286" s="97" t="s">
        <v>560</v>
      </c>
      <c r="H286" s="5"/>
      <c r="I286"/>
      <c r="J286"/>
      <c r="K286"/>
      <c r="L286"/>
      <c r="M286"/>
      <c r="N286"/>
      <c r="O286"/>
      <c r="P286"/>
      <c r="Q286"/>
      <c r="R286"/>
      <c r="S286"/>
      <c r="T286"/>
      <c r="U286"/>
      <c r="V286"/>
      <c r="W286"/>
      <c r="X286"/>
      <c r="Y286"/>
    </row>
    <row r="287" spans="1:25" s="104" customFormat="1" hidden="1" x14ac:dyDescent="0.25">
      <c r="A287" s="97" t="str">
        <f t="shared" si="4"/>
        <v>N16FFC_POK_Pins</v>
      </c>
      <c r="B287" s="97" t="s">
        <v>80</v>
      </c>
      <c r="C287" s="98" t="s">
        <v>273</v>
      </c>
      <c r="D287" s="97"/>
      <c r="E287" s="97" t="s">
        <v>1038</v>
      </c>
      <c r="F287" s="97">
        <v>0</v>
      </c>
      <c r="G287" s="97" t="s">
        <v>567</v>
      </c>
      <c r="H287" s="5"/>
      <c r="I287"/>
      <c r="J287"/>
      <c r="K287"/>
      <c r="L287"/>
      <c r="M287"/>
      <c r="N287"/>
      <c r="O287"/>
      <c r="P287"/>
      <c r="Q287"/>
      <c r="R287"/>
      <c r="S287"/>
      <c r="T287"/>
      <c r="U287"/>
      <c r="V287"/>
      <c r="W287"/>
      <c r="X287"/>
      <c r="Y287"/>
    </row>
    <row r="288" spans="1:25" s="104" customFormat="1" hidden="1" x14ac:dyDescent="0.25">
      <c r="A288" s="97" t="str">
        <f t="shared" si="4"/>
        <v>N16FFC_POKSA_Pins</v>
      </c>
      <c r="B288" s="97" t="s">
        <v>83</v>
      </c>
      <c r="C288" s="98" t="s">
        <v>273</v>
      </c>
      <c r="D288" s="97"/>
      <c r="E288" s="97" t="s">
        <v>1038</v>
      </c>
      <c r="F288" s="97">
        <v>0</v>
      </c>
      <c r="G288" s="97" t="s">
        <v>567</v>
      </c>
      <c r="H288" s="5"/>
      <c r="I288"/>
      <c r="J288"/>
      <c r="K288"/>
      <c r="L288"/>
      <c r="M288"/>
      <c r="N288"/>
      <c r="O288"/>
      <c r="P288"/>
      <c r="Q288"/>
      <c r="R288"/>
      <c r="S288"/>
      <c r="T288"/>
      <c r="U288"/>
      <c r="V288"/>
      <c r="W288"/>
      <c r="X288"/>
      <c r="Y288"/>
    </row>
    <row r="289" spans="1:25" s="104" customFormat="1" hidden="1" x14ac:dyDescent="0.25">
      <c r="A289" s="97" t="str">
        <f t="shared" si="4"/>
        <v>TEF16FCLL256X32HD18_PHRM_Pins</v>
      </c>
      <c r="B289" s="97" t="s">
        <v>74</v>
      </c>
      <c r="C289" s="98" t="s">
        <v>273</v>
      </c>
      <c r="D289" s="97"/>
      <c r="E289" s="97" t="s">
        <v>1038</v>
      </c>
      <c r="F289" s="97">
        <v>0</v>
      </c>
      <c r="G289" s="97" t="s">
        <v>627</v>
      </c>
      <c r="H289" s="5"/>
      <c r="I289"/>
      <c r="J289"/>
      <c r="K289"/>
      <c r="L289"/>
      <c r="M289"/>
      <c r="N289"/>
      <c r="O289"/>
      <c r="P289"/>
      <c r="Q289"/>
      <c r="R289"/>
      <c r="S289"/>
      <c r="T289"/>
      <c r="U289"/>
      <c r="V289"/>
      <c r="W289"/>
      <c r="X289"/>
      <c r="Y289"/>
    </row>
    <row r="290" spans="1:25" s="104" customFormat="1" hidden="1" x14ac:dyDescent="0.25">
      <c r="A290" s="97" t="str">
        <f t="shared" si="4"/>
        <v>DIVTS16FFC1TO128A_Pins</v>
      </c>
      <c r="B290" s="97" t="s">
        <v>85</v>
      </c>
      <c r="C290" s="98" t="s">
        <v>273</v>
      </c>
      <c r="D290" s="97"/>
      <c r="E290" s="97" t="s">
        <v>1038</v>
      </c>
      <c r="F290" s="97">
        <v>0</v>
      </c>
      <c r="G290" s="97"/>
      <c r="H290" s="5"/>
      <c r="I290"/>
      <c r="J290"/>
      <c r="K290"/>
      <c r="L290"/>
      <c r="M290"/>
      <c r="N290"/>
      <c r="O290"/>
      <c r="P290"/>
      <c r="Q290"/>
      <c r="R290"/>
      <c r="S290"/>
      <c r="T290"/>
      <c r="U290"/>
      <c r="V290"/>
      <c r="W290"/>
      <c r="X290"/>
      <c r="Y290"/>
    </row>
    <row r="291" spans="1:25" s="104" customFormat="1" hidden="1" x14ac:dyDescent="0.25">
      <c r="A291" s="97" t="str">
        <f t="shared" si="4"/>
        <v>sd0901_rx4_Pins</v>
      </c>
      <c r="B291" s="97" t="s">
        <v>607</v>
      </c>
      <c r="C291" s="98" t="s">
        <v>273</v>
      </c>
      <c r="D291" s="97"/>
      <c r="E291" s="97" t="s">
        <v>1038</v>
      </c>
      <c r="F291" s="97">
        <v>13</v>
      </c>
      <c r="G291" s="97" t="s">
        <v>385</v>
      </c>
      <c r="H291" s="5"/>
      <c r="I291"/>
      <c r="J291"/>
      <c r="K291"/>
      <c r="L291"/>
      <c r="M291"/>
      <c r="N291"/>
      <c r="O291"/>
      <c r="P291"/>
      <c r="Q291"/>
      <c r="R291"/>
      <c r="S291"/>
      <c r="T291"/>
      <c r="U291"/>
      <c r="V291"/>
      <c r="W291"/>
      <c r="X291"/>
      <c r="Y291"/>
    </row>
    <row r="292" spans="1:25" s="104" customFormat="1" hidden="1" x14ac:dyDescent="0.25">
      <c r="A292" s="97" t="str">
        <f t="shared" si="4"/>
        <v>sd1000_Pins</v>
      </c>
      <c r="B292" s="97" t="s">
        <v>608</v>
      </c>
      <c r="C292" s="98" t="s">
        <v>273</v>
      </c>
      <c r="D292" s="97"/>
      <c r="E292" s="97" t="s">
        <v>1038</v>
      </c>
      <c r="F292" s="97">
        <v>7</v>
      </c>
      <c r="G292" s="97" t="s">
        <v>149</v>
      </c>
      <c r="H292" s="5"/>
      <c r="I292"/>
      <c r="J292"/>
      <c r="K292"/>
      <c r="L292"/>
      <c r="M292"/>
      <c r="N292"/>
      <c r="O292"/>
      <c r="P292"/>
      <c r="Q292"/>
      <c r="R292"/>
      <c r="S292"/>
      <c r="T292"/>
      <c r="U292"/>
      <c r="V292"/>
      <c r="W292"/>
      <c r="X292"/>
      <c r="Y292"/>
    </row>
    <row r="293" spans="1:25" s="104" customFormat="1" hidden="1" x14ac:dyDescent="0.25">
      <c r="A293" s="97" t="str">
        <f t="shared" si="4"/>
        <v>N16FFC_HFXOSC_Pins</v>
      </c>
      <c r="B293" s="97" t="s">
        <v>77</v>
      </c>
      <c r="C293" s="98" t="s">
        <v>273</v>
      </c>
      <c r="D293" s="97"/>
      <c r="E293" s="97" t="s">
        <v>1038</v>
      </c>
      <c r="F293" s="97">
        <v>2</v>
      </c>
      <c r="G293" s="97" t="s">
        <v>569</v>
      </c>
      <c r="H293" s="5"/>
      <c r="I293"/>
      <c r="J293"/>
      <c r="K293"/>
      <c r="L293"/>
      <c r="M293"/>
      <c r="N293"/>
      <c r="O293"/>
      <c r="P293"/>
      <c r="Q293"/>
      <c r="R293"/>
      <c r="S293"/>
      <c r="T293"/>
      <c r="U293"/>
      <c r="V293"/>
      <c r="W293"/>
      <c r="X293"/>
      <c r="Y293"/>
    </row>
    <row r="294" spans="1:25" s="104" customFormat="1" hidden="1" x14ac:dyDescent="0.25">
      <c r="A294" s="97" t="str">
        <f t="shared" si="4"/>
        <v>N16FFC_LFXOSC_Pins</v>
      </c>
      <c r="B294" s="97" t="s">
        <v>76</v>
      </c>
      <c r="C294" s="98" t="s">
        <v>273</v>
      </c>
      <c r="D294" s="97"/>
      <c r="E294" s="97" t="s">
        <v>1038</v>
      </c>
      <c r="F294" s="97">
        <v>2</v>
      </c>
      <c r="G294" s="97" t="s">
        <v>568</v>
      </c>
      <c r="H294" s="5"/>
      <c r="I294"/>
      <c r="J294"/>
      <c r="K294"/>
      <c r="L294"/>
      <c r="M294"/>
      <c r="N294"/>
      <c r="O294"/>
      <c r="P294"/>
      <c r="Q294"/>
      <c r="R294"/>
      <c r="S294"/>
      <c r="T294"/>
      <c r="U294"/>
      <c r="V294"/>
      <c r="W294"/>
      <c r="X294"/>
      <c r="Y294"/>
    </row>
    <row r="295" spans="1:25" s="104" customFormat="1" hidden="1" x14ac:dyDescent="0.25">
      <c r="A295" s="97" t="str">
        <f t="shared" si="4"/>
        <v>N16FFC_RCOSC_Pins</v>
      </c>
      <c r="B295" s="97" t="s">
        <v>84</v>
      </c>
      <c r="C295" s="98" t="s">
        <v>273</v>
      </c>
      <c r="D295" s="97"/>
      <c r="E295" s="97" t="s">
        <v>1038</v>
      </c>
      <c r="F295" s="97">
        <v>2</v>
      </c>
      <c r="G295" s="97" t="s">
        <v>565</v>
      </c>
      <c r="H295" s="5"/>
      <c r="I295"/>
      <c r="J295"/>
      <c r="K295"/>
      <c r="L295"/>
      <c r="M295"/>
      <c r="N295"/>
      <c r="O295"/>
      <c r="P295"/>
      <c r="Q295"/>
      <c r="R295"/>
      <c r="S295"/>
      <c r="T295"/>
      <c r="U295"/>
      <c r="V295"/>
      <c r="W295"/>
      <c r="X295"/>
      <c r="Y295"/>
    </row>
    <row r="296" spans="1:25" s="104" customFormat="1" hidden="1" x14ac:dyDescent="0.25">
      <c r="A296" s="97" t="str">
        <f t="shared" si="4"/>
        <v>TODP16FFC18_C170915_Pins</v>
      </c>
      <c r="B296" s="97" t="s">
        <v>75</v>
      </c>
      <c r="C296" s="98" t="s">
        <v>273</v>
      </c>
      <c r="D296" s="97"/>
      <c r="E296" s="97" t="s">
        <v>1038</v>
      </c>
      <c r="F296" s="97">
        <v>5</v>
      </c>
      <c r="G296" s="97"/>
      <c r="H296" s="5"/>
      <c r="I296"/>
      <c r="J296"/>
      <c r="K296"/>
      <c r="L296"/>
      <c r="M296"/>
      <c r="N296"/>
      <c r="O296"/>
      <c r="P296"/>
      <c r="Q296"/>
      <c r="R296"/>
      <c r="S296"/>
      <c r="T296"/>
      <c r="U296"/>
      <c r="V296"/>
      <c r="W296"/>
      <c r="X296"/>
      <c r="Y296"/>
    </row>
    <row r="297" spans="1:25" s="104" customFormat="1" hidden="1" x14ac:dyDescent="0.25">
      <c r="A297" s="97" t="str">
        <f t="shared" si="4"/>
        <v>N16FFC_POR_Pins</v>
      </c>
      <c r="B297" s="97" t="s">
        <v>73</v>
      </c>
      <c r="C297" s="98" t="s">
        <v>273</v>
      </c>
      <c r="D297" s="97"/>
      <c r="E297" s="97" t="s">
        <v>1038</v>
      </c>
      <c r="F297" s="97">
        <v>1</v>
      </c>
      <c r="G297" s="97" t="s">
        <v>566</v>
      </c>
      <c r="H297" s="5"/>
      <c r="I297"/>
      <c r="J297"/>
      <c r="K297"/>
      <c r="L297"/>
      <c r="M297"/>
      <c r="N297"/>
      <c r="O297"/>
      <c r="P297"/>
      <c r="Q297"/>
      <c r="R297"/>
      <c r="S297"/>
      <c r="T297"/>
      <c r="U297"/>
      <c r="V297"/>
      <c r="W297"/>
      <c r="X297"/>
      <c r="Y297"/>
    </row>
    <row r="298" spans="1:25" s="104" customFormat="1" hidden="1" x14ac:dyDescent="0.25">
      <c r="A298" s="97" t="str">
        <f t="shared" si="4"/>
        <v>N16FFC_TEMP_DIODE_TOP_Pins</v>
      </c>
      <c r="B298" s="97" t="s">
        <v>82</v>
      </c>
      <c r="C298" s="98" t="s">
        <v>273</v>
      </c>
      <c r="D298" s="97"/>
      <c r="E298" s="97" t="s">
        <v>1038</v>
      </c>
      <c r="F298" s="97">
        <v>1</v>
      </c>
      <c r="G298" s="97" t="s">
        <v>564</v>
      </c>
      <c r="H298" s="5"/>
      <c r="I298"/>
      <c r="J298"/>
      <c r="K298"/>
      <c r="L298"/>
      <c r="M298"/>
      <c r="N298"/>
      <c r="O298"/>
      <c r="P298"/>
      <c r="Q298"/>
      <c r="R298"/>
      <c r="S298"/>
      <c r="T298"/>
      <c r="U298"/>
      <c r="V298"/>
      <c r="W298"/>
      <c r="X298"/>
      <c r="Y298"/>
    </row>
    <row r="299" spans="1:25" s="104" customFormat="1" hidden="1" x14ac:dyDescent="0.25">
      <c r="A299" s="97" t="str">
        <f t="shared" si="4"/>
        <v>ABJSTBL5_Pins</v>
      </c>
      <c r="B299" s="97" t="s">
        <v>269</v>
      </c>
      <c r="C299" s="98" t="s">
        <v>273</v>
      </c>
      <c r="D299" s="97"/>
      <c r="E299" s="97" t="s">
        <v>1038</v>
      </c>
      <c r="F299" s="97">
        <v>2</v>
      </c>
      <c r="G299" s="97" t="s">
        <v>267</v>
      </c>
      <c r="H299" s="5"/>
      <c r="I299"/>
      <c r="J299"/>
      <c r="K299"/>
      <c r="L299"/>
      <c r="M299"/>
      <c r="N299"/>
      <c r="O299"/>
      <c r="P299"/>
      <c r="Q299"/>
      <c r="R299"/>
      <c r="S299"/>
      <c r="T299"/>
      <c r="U299"/>
      <c r="V299"/>
      <c r="W299"/>
      <c r="X299"/>
      <c r="Y299"/>
    </row>
    <row r="300" spans="1:25" s="104" customFormat="1" hidden="1" x14ac:dyDescent="0.25">
      <c r="A300" s="97" t="str">
        <f t="shared" si="4"/>
        <v>LVDSTS16LLBI1E_Pins</v>
      </c>
      <c r="B300" s="97" t="s">
        <v>81</v>
      </c>
      <c r="C300" s="98" t="s">
        <v>273</v>
      </c>
      <c r="D300" s="97"/>
      <c r="E300" s="97" t="s">
        <v>1038</v>
      </c>
      <c r="F300" s="97">
        <v>2</v>
      </c>
      <c r="G300" s="97" t="s">
        <v>453</v>
      </c>
      <c r="H300" s="5"/>
      <c r="I300"/>
      <c r="J300"/>
      <c r="K300"/>
      <c r="L300"/>
      <c r="M300"/>
      <c r="N300"/>
      <c r="O300"/>
      <c r="P300"/>
      <c r="Q300"/>
      <c r="R300"/>
      <c r="S300"/>
      <c r="T300"/>
      <c r="U300"/>
      <c r="V300"/>
      <c r="W300"/>
      <c r="X300"/>
      <c r="Y300"/>
    </row>
    <row r="301" spans="1:25" s="104" customFormat="1" hidden="1" x14ac:dyDescent="0.25">
      <c r="A301" s="97" t="str">
        <f t="shared" si="4"/>
        <v>PRWDWUWSWEWCDGSDIO_Pins</v>
      </c>
      <c r="B301" s="97" t="s">
        <v>396</v>
      </c>
      <c r="C301" s="98" t="s">
        <v>273</v>
      </c>
      <c r="D301" s="97"/>
      <c r="E301" s="97" t="s">
        <v>1038</v>
      </c>
      <c r="F301" s="97">
        <v>1</v>
      </c>
      <c r="G301" s="97" t="s">
        <v>1168</v>
      </c>
      <c r="H301" s="5"/>
      <c r="I301"/>
      <c r="J301"/>
      <c r="K301"/>
      <c r="L301"/>
      <c r="M301"/>
      <c r="N301"/>
      <c r="O301"/>
      <c r="P301"/>
      <c r="Q301"/>
      <c r="R301"/>
      <c r="S301"/>
      <c r="T301"/>
      <c r="U301"/>
      <c r="V301"/>
      <c r="W301"/>
      <c r="X301"/>
      <c r="Y301"/>
    </row>
    <row r="302" spans="1:25" s="104" customFormat="1" x14ac:dyDescent="0.25">
      <c r="A302" s="97" t="str">
        <f t="shared" si="4"/>
        <v>ddr16_1600_ios_Pins</v>
      </c>
      <c r="B302" s="97" t="s">
        <v>620</v>
      </c>
      <c r="C302" s="98" t="s">
        <v>273</v>
      </c>
      <c r="D302" s="97"/>
      <c r="E302" s="97" t="s">
        <v>1038</v>
      </c>
      <c r="F302" s="97">
        <f>58+4+1</f>
        <v>63</v>
      </c>
      <c r="G302" s="97" t="s">
        <v>613</v>
      </c>
      <c r="H302" s="5"/>
      <c r="I302"/>
      <c r="J302"/>
      <c r="K302"/>
      <c r="L302"/>
      <c r="M302"/>
      <c r="N302"/>
      <c r="O302"/>
      <c r="P302"/>
      <c r="Q302"/>
      <c r="R302"/>
      <c r="S302"/>
      <c r="T302"/>
      <c r="U302"/>
      <c r="V302"/>
      <c r="W302"/>
      <c r="X302"/>
      <c r="Y302"/>
    </row>
    <row r="303" spans="1:25" s="104" customFormat="1" hidden="1" x14ac:dyDescent="0.25">
      <c r="A303" s="97" t="str">
        <f t="shared" si="4"/>
        <v>sam62_m4ss_wrap_svt16_pct</v>
      </c>
      <c r="B303" s="97" t="s">
        <v>219</v>
      </c>
      <c r="C303" s="97" t="s">
        <v>1090</v>
      </c>
      <c r="D303" s="97"/>
      <c r="E303" s="97" t="s">
        <v>1072</v>
      </c>
      <c r="F303" s="108">
        <v>0.38</v>
      </c>
      <c r="G303" s="97" t="s">
        <v>1077</v>
      </c>
      <c r="H303" s="108">
        <v>0.24</v>
      </c>
      <c r="I303"/>
      <c r="J303"/>
      <c r="K303"/>
      <c r="L303"/>
      <c r="M303"/>
      <c r="N303"/>
      <c r="O303"/>
      <c r="P303"/>
      <c r="Q303"/>
      <c r="R303"/>
      <c r="S303"/>
      <c r="T303"/>
      <c r="U303"/>
      <c r="V303"/>
      <c r="W303"/>
      <c r="X303"/>
      <c r="Y303"/>
    </row>
    <row r="304" spans="1:25" s="104" customFormat="1" hidden="1" x14ac:dyDescent="0.25">
      <c r="A304" s="97" t="str">
        <f t="shared" si="4"/>
        <v>sam62_dm_wrap_svt16_pct</v>
      </c>
      <c r="B304" s="97" t="s">
        <v>237</v>
      </c>
      <c r="C304" s="97" t="s">
        <v>1090</v>
      </c>
      <c r="D304" s="97"/>
      <c r="E304" s="97" t="s">
        <v>1072</v>
      </c>
      <c r="F304" s="108">
        <v>0.72</v>
      </c>
      <c r="G304" s="97" t="s">
        <v>1077</v>
      </c>
      <c r="H304" s="108">
        <v>0.12</v>
      </c>
      <c r="I304"/>
      <c r="J304"/>
      <c r="K304"/>
      <c r="L304"/>
      <c r="M304"/>
      <c r="N304"/>
      <c r="O304"/>
      <c r="P304"/>
      <c r="Q304"/>
      <c r="R304"/>
      <c r="S304"/>
      <c r="T304"/>
      <c r="U304"/>
      <c r="V304"/>
      <c r="W304"/>
      <c r="X304"/>
      <c r="Y304"/>
    </row>
    <row r="305" spans="1:25" s="104" customFormat="1" hidden="1" x14ac:dyDescent="0.25">
      <c r="A305" s="97" t="str">
        <f t="shared" si="4"/>
        <v>sam62_a53_dual_wrap_cba_cpu_phys_svt16_pct</v>
      </c>
      <c r="B305" s="97" t="s">
        <v>274</v>
      </c>
      <c r="C305" s="97" t="s">
        <v>1090</v>
      </c>
      <c r="D305" s="97"/>
      <c r="E305" s="97" t="s">
        <v>1072</v>
      </c>
      <c r="F305" s="108">
        <v>0.06</v>
      </c>
      <c r="G305" s="97" t="s">
        <v>1077</v>
      </c>
      <c r="H305" s="108">
        <v>0.26</v>
      </c>
      <c r="I305"/>
      <c r="J305"/>
      <c r="K305"/>
      <c r="L305"/>
      <c r="M305"/>
      <c r="N305"/>
      <c r="O305"/>
      <c r="P305"/>
      <c r="Q305"/>
      <c r="R305"/>
      <c r="S305"/>
      <c r="T305"/>
      <c r="U305"/>
      <c r="V305"/>
      <c r="W305"/>
      <c r="X305"/>
      <c r="Y305"/>
    </row>
    <row r="306" spans="1:25" s="104" customFormat="1" hidden="1" x14ac:dyDescent="0.25">
      <c r="A306" s="97" t="str">
        <f t="shared" si="4"/>
        <v>sam62_a53_512kb_wrap_svt16_pct</v>
      </c>
      <c r="B306" s="97" t="s">
        <v>270</v>
      </c>
      <c r="C306" s="97" t="s">
        <v>1090</v>
      </c>
      <c r="D306" s="97"/>
      <c r="E306" s="97" t="s">
        <v>1072</v>
      </c>
      <c r="F306" s="108">
        <v>0.18</v>
      </c>
      <c r="G306" s="97" t="s">
        <v>1077</v>
      </c>
      <c r="H306" s="108">
        <v>0.49</v>
      </c>
      <c r="I306"/>
      <c r="J306"/>
      <c r="K306"/>
      <c r="L306"/>
      <c r="M306"/>
      <c r="N306"/>
      <c r="O306"/>
      <c r="P306"/>
      <c r="Q306"/>
      <c r="R306"/>
      <c r="S306"/>
      <c r="T306"/>
      <c r="U306"/>
      <c r="V306"/>
      <c r="W306"/>
      <c r="X306"/>
      <c r="Y306"/>
    </row>
    <row r="307" spans="1:25" s="104" customFormat="1" hidden="1" x14ac:dyDescent="0.25">
      <c r="A307" s="97" t="str">
        <f t="shared" si="4"/>
        <v>sam62_cpsw3_wrap_svt16_pct</v>
      </c>
      <c r="B307" s="97" t="s">
        <v>216</v>
      </c>
      <c r="C307" s="97" t="s">
        <v>1090</v>
      </c>
      <c r="D307" s="97"/>
      <c r="E307" s="97" t="s">
        <v>1072</v>
      </c>
      <c r="F307" s="108">
        <v>0.7</v>
      </c>
      <c r="G307" s="97" t="s">
        <v>1077</v>
      </c>
      <c r="H307" s="108">
        <v>0.24</v>
      </c>
      <c r="I307"/>
      <c r="J307"/>
      <c r="K307"/>
      <c r="L307"/>
      <c r="M307"/>
      <c r="N307"/>
      <c r="O307"/>
      <c r="P307"/>
      <c r="Q307"/>
      <c r="R307"/>
      <c r="S307"/>
      <c r="T307"/>
      <c r="U307"/>
      <c r="V307"/>
      <c r="W307"/>
      <c r="X307"/>
      <c r="Y307"/>
    </row>
    <row r="308" spans="1:25" s="104" customFormat="1" hidden="1" x14ac:dyDescent="0.25">
      <c r="A308" s="97" t="str">
        <f t="shared" si="4"/>
        <v>sam62_icss_m_wrap_svt16_pct</v>
      </c>
      <c r="B308" s="97" t="s">
        <v>209</v>
      </c>
      <c r="C308" s="97" t="s">
        <v>1090</v>
      </c>
      <c r="D308" s="97"/>
      <c r="E308" s="97" t="s">
        <v>1072</v>
      </c>
      <c r="F308" s="108">
        <v>0.43</v>
      </c>
      <c r="G308" s="97" t="s">
        <v>1077</v>
      </c>
      <c r="H308" s="108">
        <v>0.42</v>
      </c>
      <c r="I308"/>
      <c r="J308"/>
      <c r="K308"/>
      <c r="L308"/>
      <c r="M308"/>
      <c r="N308"/>
      <c r="O308"/>
      <c r="P308"/>
      <c r="Q308"/>
      <c r="R308"/>
      <c r="S308"/>
      <c r="T308"/>
      <c r="U308"/>
      <c r="V308"/>
      <c r="W308"/>
      <c r="X308"/>
      <c r="Y308"/>
    </row>
    <row r="309" spans="1:25" s="104" customFormat="1" hidden="1" x14ac:dyDescent="0.25">
      <c r="A309" s="97" t="str">
        <f t="shared" si="4"/>
        <v>sam62_dss_oldi_wrap_svt16_pct</v>
      </c>
      <c r="B309" s="97" t="s">
        <v>214</v>
      </c>
      <c r="C309" s="97" t="s">
        <v>1090</v>
      </c>
      <c r="D309" s="97"/>
      <c r="E309" s="97" t="s">
        <v>1072</v>
      </c>
      <c r="F309" s="108">
        <v>0.59</v>
      </c>
      <c r="G309" s="97" t="s">
        <v>1077</v>
      </c>
      <c r="H309" s="108">
        <v>0.33</v>
      </c>
      <c r="I309"/>
      <c r="J309"/>
      <c r="K309"/>
      <c r="L309"/>
      <c r="M309"/>
      <c r="N309"/>
      <c r="O309"/>
      <c r="P309"/>
      <c r="Q309"/>
      <c r="R309"/>
      <c r="S309"/>
      <c r="T309"/>
      <c r="U309"/>
      <c r="V309"/>
      <c r="W309"/>
      <c r="X309"/>
      <c r="Y309"/>
    </row>
    <row r="310" spans="1:25" s="104" customFormat="1" hidden="1" x14ac:dyDescent="0.25">
      <c r="A310" s="97" t="str">
        <f t="shared" si="4"/>
        <v>sam62_k3_gpu_axe116m_wrap_svt16_pct</v>
      </c>
      <c r="B310" s="97" t="s">
        <v>242</v>
      </c>
      <c r="C310" s="97" t="s">
        <v>1090</v>
      </c>
      <c r="D310" s="97"/>
      <c r="E310" s="97" t="s">
        <v>1072</v>
      </c>
      <c r="F310" s="108">
        <v>0.47</v>
      </c>
      <c r="G310" s="97" t="s">
        <v>1077</v>
      </c>
      <c r="H310" s="108">
        <v>0.32</v>
      </c>
      <c r="I310"/>
      <c r="J310"/>
      <c r="K310"/>
      <c r="L310"/>
      <c r="M310"/>
      <c r="N310"/>
      <c r="O310"/>
      <c r="P310"/>
      <c r="Q310"/>
      <c r="R310"/>
      <c r="S310"/>
      <c r="T310"/>
      <c r="U310"/>
      <c r="V310"/>
      <c r="W310"/>
      <c r="X310"/>
      <c r="Y310"/>
    </row>
    <row r="311" spans="1:25" s="104" customFormat="1" hidden="1" x14ac:dyDescent="0.25">
      <c r="A311" s="97" t="str">
        <f t="shared" si="4"/>
        <v>sam62_mcasp_wrap_svt16_pct</v>
      </c>
      <c r="B311" s="97" t="s">
        <v>208</v>
      </c>
      <c r="C311" s="97" t="s">
        <v>1090</v>
      </c>
      <c r="D311" s="97"/>
      <c r="E311" s="97" t="s">
        <v>1072</v>
      </c>
      <c r="F311" s="108">
        <v>0.78</v>
      </c>
      <c r="G311" s="97" t="s">
        <v>1077</v>
      </c>
      <c r="H311" s="108">
        <v>0.08</v>
      </c>
      <c r="I311"/>
      <c r="J311"/>
      <c r="K311"/>
      <c r="L311"/>
      <c r="M311"/>
      <c r="N311"/>
      <c r="O311"/>
      <c r="P311"/>
      <c r="Q311"/>
      <c r="R311"/>
      <c r="S311"/>
      <c r="T311"/>
      <c r="U311"/>
      <c r="V311"/>
      <c r="W311"/>
      <c r="X311"/>
      <c r="Y311"/>
    </row>
    <row r="312" spans="1:25" s="104" customFormat="1" hidden="1" x14ac:dyDescent="0.25">
      <c r="A312" s="97" t="str">
        <f t="shared" si="4"/>
        <v>sam62_csirx_wrap_svt16_pct</v>
      </c>
      <c r="B312" s="97" t="s">
        <v>239</v>
      </c>
      <c r="C312" s="97" t="s">
        <v>1090</v>
      </c>
      <c r="D312" s="97"/>
      <c r="E312" s="97" t="s">
        <v>1072</v>
      </c>
      <c r="F312" s="108">
        <v>0.74</v>
      </c>
      <c r="G312" s="97" t="s">
        <v>1077</v>
      </c>
      <c r="H312" s="108">
        <v>0.12</v>
      </c>
      <c r="I312"/>
      <c r="J312"/>
      <c r="K312"/>
      <c r="L312"/>
      <c r="M312"/>
      <c r="N312"/>
      <c r="O312"/>
      <c r="P312"/>
      <c r="Q312"/>
      <c r="R312"/>
      <c r="S312"/>
      <c r="T312"/>
      <c r="U312"/>
      <c r="V312"/>
      <c r="W312"/>
      <c r="X312"/>
      <c r="Y312"/>
    </row>
    <row r="313" spans="1:25" s="104" customFormat="1" hidden="1" x14ac:dyDescent="0.25">
      <c r="A313" s="97" t="str">
        <f t="shared" si="4"/>
        <v>sam62_usb2_wrap_svt16_pct</v>
      </c>
      <c r="B313" s="97" t="s">
        <v>207</v>
      </c>
      <c r="C313" s="97" t="s">
        <v>1090</v>
      </c>
      <c r="D313" s="97"/>
      <c r="E313" s="97" t="s">
        <v>1072</v>
      </c>
      <c r="F313" s="108">
        <v>0.79</v>
      </c>
      <c r="G313" s="97" t="s">
        <v>1077</v>
      </c>
      <c r="H313" s="108">
        <v>0.1</v>
      </c>
      <c r="I313"/>
      <c r="J313"/>
      <c r="K313"/>
      <c r="L313"/>
      <c r="M313"/>
      <c r="N313"/>
      <c r="O313"/>
      <c r="P313"/>
      <c r="Q313"/>
      <c r="R313"/>
      <c r="S313"/>
      <c r="T313"/>
      <c r="U313"/>
      <c r="V313"/>
      <c r="W313"/>
      <c r="X313"/>
      <c r="Y313"/>
    </row>
    <row r="314" spans="1:25" s="104" customFormat="1" hidden="1" x14ac:dyDescent="0.25">
      <c r="A314" s="97" t="str">
        <f t="shared" si="4"/>
        <v>sam62_emmc_4bit_wrap_svt16_pct</v>
      </c>
      <c r="B314" s="97" t="s">
        <v>240</v>
      </c>
      <c r="C314" s="97" t="s">
        <v>1090</v>
      </c>
      <c r="D314" s="97"/>
      <c r="E314" s="97" t="s">
        <v>1072</v>
      </c>
      <c r="F314" s="108">
        <v>0.81</v>
      </c>
      <c r="G314" s="97" t="s">
        <v>1077</v>
      </c>
      <c r="H314" s="108">
        <v>0.06</v>
      </c>
      <c r="I314"/>
      <c r="J314"/>
      <c r="K314"/>
      <c r="L314"/>
      <c r="M314"/>
      <c r="N314"/>
      <c r="O314"/>
      <c r="P314"/>
      <c r="Q314"/>
      <c r="R314"/>
      <c r="S314"/>
      <c r="T314"/>
      <c r="U314"/>
      <c r="V314"/>
      <c r="W314"/>
      <c r="X314"/>
      <c r="Y314"/>
    </row>
    <row r="315" spans="1:25" s="104" customFormat="1" hidden="1" x14ac:dyDescent="0.25">
      <c r="A315" s="97" t="str">
        <f t="shared" si="4"/>
        <v>sam62_emmc_8bit_wrap_svt16_pct</v>
      </c>
      <c r="B315" s="97" t="s">
        <v>241</v>
      </c>
      <c r="C315" s="97" t="s">
        <v>1090</v>
      </c>
      <c r="D315" s="97"/>
      <c r="E315" s="97" t="s">
        <v>1072</v>
      </c>
      <c r="F315" s="108">
        <v>0.84</v>
      </c>
      <c r="G315" s="97" t="s">
        <v>1077</v>
      </c>
      <c r="H315" s="108">
        <v>0.06</v>
      </c>
      <c r="I315"/>
      <c r="J315"/>
      <c r="K315"/>
      <c r="L315"/>
      <c r="M315"/>
      <c r="N315"/>
      <c r="O315"/>
      <c r="P315"/>
      <c r="Q315"/>
      <c r="R315"/>
      <c r="S315"/>
      <c r="T315"/>
      <c r="U315"/>
      <c r="V315"/>
      <c r="W315"/>
      <c r="X315"/>
      <c r="Y315"/>
    </row>
    <row r="316" spans="1:25" s="104" customFormat="1" hidden="1" x14ac:dyDescent="0.25">
      <c r="A316" s="97" t="str">
        <f t="shared" si="4"/>
        <v>sam62_gpmc_elm_wrap_svt16_pct</v>
      </c>
      <c r="B316" s="97" t="s">
        <v>211</v>
      </c>
      <c r="C316" s="97" t="s">
        <v>1090</v>
      </c>
      <c r="D316" s="97"/>
      <c r="E316" s="97" t="s">
        <v>1072</v>
      </c>
      <c r="F316" s="108">
        <v>0.78</v>
      </c>
      <c r="G316" s="97" t="s">
        <v>1077</v>
      </c>
      <c r="H316" s="108">
        <v>0.11</v>
      </c>
      <c r="I316"/>
      <c r="J316"/>
      <c r="K316"/>
      <c r="L316"/>
      <c r="M316"/>
      <c r="N316"/>
      <c r="O316"/>
      <c r="P316"/>
      <c r="Q316"/>
      <c r="R316"/>
      <c r="S316"/>
      <c r="T316"/>
      <c r="U316"/>
      <c r="V316"/>
      <c r="W316"/>
      <c r="X316"/>
      <c r="Y316"/>
    </row>
    <row r="317" spans="1:25" s="104" customFormat="1" hidden="1" x14ac:dyDescent="0.25">
      <c r="A317" s="97" t="str">
        <f t="shared" si="4"/>
        <v>sam62_ddr_wrap_svt16_pct</v>
      </c>
      <c r="B317" s="97" t="s">
        <v>215</v>
      </c>
      <c r="C317" s="97" t="s">
        <v>1090</v>
      </c>
      <c r="D317" s="97"/>
      <c r="E317" s="97" t="s">
        <v>1072</v>
      </c>
      <c r="F317" s="108">
        <v>0.78</v>
      </c>
      <c r="G317" s="97" t="s">
        <v>1077</v>
      </c>
      <c r="H317" s="108">
        <v>0.1</v>
      </c>
      <c r="I317"/>
      <c r="J317"/>
      <c r="K317"/>
      <c r="L317"/>
      <c r="M317"/>
      <c r="N317"/>
      <c r="O317"/>
      <c r="P317"/>
      <c r="Q317"/>
      <c r="R317"/>
      <c r="S317"/>
      <c r="T317"/>
      <c r="U317"/>
      <c r="V317"/>
      <c r="W317"/>
      <c r="X317"/>
      <c r="Y317"/>
    </row>
    <row r="318" spans="1:25" s="104" customFormat="1" hidden="1" x14ac:dyDescent="0.25">
      <c r="A318" s="97" t="str">
        <f t="shared" si="4"/>
        <v>ddr16_1600_phy_svt16_pct</v>
      </c>
      <c r="B318" s="97" t="s">
        <v>314</v>
      </c>
      <c r="C318" s="97" t="s">
        <v>1090</v>
      </c>
      <c r="D318" s="97"/>
      <c r="E318" s="97" t="s">
        <v>1072</v>
      </c>
      <c r="F318" s="108">
        <v>0.7</v>
      </c>
      <c r="G318" s="97" t="s">
        <v>1096</v>
      </c>
      <c r="H318" s="5"/>
      <c r="I318"/>
      <c r="J318"/>
      <c r="K318"/>
      <c r="L318"/>
      <c r="M318"/>
      <c r="N318"/>
      <c r="O318"/>
      <c r="P318"/>
      <c r="Q318"/>
      <c r="R318"/>
      <c r="S318"/>
      <c r="T318"/>
      <c r="U318"/>
      <c r="V318"/>
      <c r="W318"/>
      <c r="X318"/>
      <c r="Y318"/>
    </row>
    <row r="319" spans="1:25" s="104" customFormat="1" hidden="1" x14ac:dyDescent="0.25">
      <c r="A319" s="97" t="str">
        <f t="shared" si="4"/>
        <v>sam62_debug_wrap_svt16_pct</v>
      </c>
      <c r="B319" s="97" t="s">
        <v>186</v>
      </c>
      <c r="C319" s="97" t="s">
        <v>1090</v>
      </c>
      <c r="D319" s="97"/>
      <c r="E319" s="97" t="s">
        <v>1072</v>
      </c>
      <c r="F319" s="108">
        <v>0.63</v>
      </c>
      <c r="G319" s="97" t="s">
        <v>1077</v>
      </c>
      <c r="H319" s="108">
        <v>0.25</v>
      </c>
      <c r="I319"/>
      <c r="J319"/>
      <c r="K319"/>
      <c r="L319"/>
      <c r="M319"/>
      <c r="N319"/>
      <c r="O319"/>
      <c r="P319"/>
      <c r="Q319"/>
      <c r="R319"/>
      <c r="S319"/>
      <c r="T319"/>
      <c r="U319"/>
      <c r="V319"/>
      <c r="W319"/>
      <c r="X319"/>
      <c r="Y319"/>
    </row>
    <row r="320" spans="1:25" s="104" customFormat="1" hidden="1" x14ac:dyDescent="0.25">
      <c r="A320" s="97" t="str">
        <f t="shared" si="4"/>
        <v>sam62_efuse_ctrl_wrap_svt16_pct</v>
      </c>
      <c r="B320" s="97" t="s">
        <v>213</v>
      </c>
      <c r="C320" s="97" t="s">
        <v>1090</v>
      </c>
      <c r="D320" s="97"/>
      <c r="E320" s="97" t="s">
        <v>1072</v>
      </c>
      <c r="F320" s="108">
        <v>0.63</v>
      </c>
      <c r="G320" s="97" t="s">
        <v>1077</v>
      </c>
      <c r="H320" s="108">
        <v>0.21</v>
      </c>
      <c r="I320"/>
      <c r="J320"/>
      <c r="K320"/>
      <c r="L320"/>
      <c r="M320"/>
      <c r="N320"/>
      <c r="O320"/>
      <c r="P320"/>
      <c r="Q320"/>
      <c r="R320"/>
      <c r="S320"/>
      <c r="T320"/>
      <c r="U320"/>
      <c r="V320"/>
      <c r="W320"/>
      <c r="X320"/>
      <c r="Y320"/>
    </row>
    <row r="321" spans="1:25" s="104" customFormat="1" hidden="1" x14ac:dyDescent="0.25">
      <c r="A321" s="97" t="str">
        <f t="shared" si="4"/>
        <v>sam62_main_infra_phys_svt16_pct</v>
      </c>
      <c r="B321" s="97" t="s">
        <v>144</v>
      </c>
      <c r="C321" s="97" t="s">
        <v>1090</v>
      </c>
      <c r="D321" s="97"/>
      <c r="E321" s="97" t="s">
        <v>1072</v>
      </c>
      <c r="F321" s="108">
        <v>0.75</v>
      </c>
      <c r="G321" s="97" t="s">
        <v>1077</v>
      </c>
      <c r="H321" s="108">
        <v>0.09</v>
      </c>
      <c r="I321"/>
      <c r="J321"/>
      <c r="K321"/>
      <c r="L321"/>
      <c r="M321"/>
      <c r="N321"/>
      <c r="O321"/>
      <c r="P321"/>
      <c r="Q321"/>
      <c r="R321"/>
      <c r="S321"/>
      <c r="T321"/>
      <c r="U321"/>
      <c r="V321"/>
      <c r="W321"/>
      <c r="X321"/>
      <c r="Y321"/>
    </row>
    <row r="322" spans="1:25" s="104" customFormat="1" hidden="1" x14ac:dyDescent="0.25">
      <c r="A322" s="97" t="str">
        <f t="shared" si="4"/>
        <v>sam62_main_ip_wrap_svt16_pct</v>
      </c>
      <c r="B322" s="97" t="s">
        <v>238</v>
      </c>
      <c r="C322" s="97" t="s">
        <v>1090</v>
      </c>
      <c r="D322" s="97"/>
      <c r="E322" s="97" t="s">
        <v>1072</v>
      </c>
      <c r="F322" s="108">
        <v>0.62</v>
      </c>
      <c r="G322" s="97" t="s">
        <v>1077</v>
      </c>
      <c r="H322" s="108">
        <v>0.24</v>
      </c>
      <c r="I322"/>
      <c r="J322"/>
      <c r="K322"/>
      <c r="L322"/>
      <c r="M322"/>
      <c r="N322"/>
      <c r="O322"/>
      <c r="P322"/>
      <c r="Q322"/>
      <c r="R322"/>
      <c r="S322"/>
      <c r="T322"/>
      <c r="U322"/>
      <c r="V322"/>
      <c r="W322"/>
      <c r="X322"/>
      <c r="Y322"/>
    </row>
    <row r="323" spans="1:25" s="104" customFormat="1" hidden="1" x14ac:dyDescent="0.25">
      <c r="A323" s="97" t="str">
        <f t="shared" si="4"/>
        <v>sam62_mcu_infra_phys_svt16_pct</v>
      </c>
      <c r="B323" s="97" t="s">
        <v>183</v>
      </c>
      <c r="C323" s="97" t="s">
        <v>1090</v>
      </c>
      <c r="D323" s="97"/>
      <c r="E323" s="97" t="s">
        <v>1072</v>
      </c>
      <c r="F323" s="108">
        <v>0.81</v>
      </c>
      <c r="G323" s="97" t="s">
        <v>1077</v>
      </c>
      <c r="H323" s="108">
        <v>7.0000000000000007E-2</v>
      </c>
      <c r="I323"/>
      <c r="J323"/>
      <c r="K323"/>
      <c r="L323"/>
      <c r="M323"/>
      <c r="N323"/>
      <c r="O323"/>
      <c r="P323"/>
      <c r="Q323"/>
      <c r="R323"/>
      <c r="S323"/>
      <c r="T323"/>
      <c r="U323"/>
      <c r="V323"/>
      <c r="W323"/>
      <c r="X323"/>
      <c r="Y323"/>
    </row>
    <row r="324" spans="1:25" s="104" customFormat="1" hidden="1" x14ac:dyDescent="0.25">
      <c r="A324" s="97" t="str">
        <f t="shared" si="4"/>
        <v>sam62_mcu_wrap_svt16_pct</v>
      </c>
      <c r="B324" s="97" t="s">
        <v>236</v>
      </c>
      <c r="C324" s="97" t="s">
        <v>1090</v>
      </c>
      <c r="D324" s="97"/>
      <c r="E324" s="97" t="s">
        <v>1072</v>
      </c>
      <c r="F324" s="108">
        <v>0.68</v>
      </c>
      <c r="G324" s="97" t="s">
        <v>1077</v>
      </c>
      <c r="H324" s="108">
        <v>0.24</v>
      </c>
      <c r="I324"/>
      <c r="J324"/>
      <c r="K324"/>
      <c r="L324"/>
      <c r="M324"/>
      <c r="N324"/>
      <c r="O324"/>
      <c r="P324"/>
      <c r="Q324"/>
      <c r="R324"/>
      <c r="S324"/>
      <c r="T324"/>
      <c r="U324"/>
      <c r="V324"/>
      <c r="W324"/>
      <c r="X324"/>
      <c r="Y324"/>
    </row>
    <row r="325" spans="1:25" s="104" customFormat="1" hidden="1" x14ac:dyDescent="0.25">
      <c r="A325" s="97" t="str">
        <f t="shared" si="4"/>
        <v>sam62_odp_ctrl_wrap_svt16_pct</v>
      </c>
      <c r="B325" s="97" t="s">
        <v>212</v>
      </c>
      <c r="C325" s="97" t="s">
        <v>1090</v>
      </c>
      <c r="D325" s="97"/>
      <c r="E325" s="97" t="s">
        <v>1072</v>
      </c>
      <c r="F325" s="108">
        <v>0.4</v>
      </c>
      <c r="G325" s="97" t="s">
        <v>1077</v>
      </c>
      <c r="H325" s="108">
        <v>0.16</v>
      </c>
      <c r="I325"/>
      <c r="J325"/>
      <c r="K325"/>
      <c r="L325"/>
      <c r="M325"/>
      <c r="N325"/>
      <c r="O325"/>
      <c r="P325"/>
      <c r="Q325"/>
      <c r="R325"/>
      <c r="S325"/>
      <c r="T325"/>
      <c r="U325"/>
      <c r="V325"/>
      <c r="W325"/>
      <c r="X325"/>
      <c r="Y325"/>
    </row>
    <row r="326" spans="1:25" s="104" customFormat="1" hidden="1" x14ac:dyDescent="0.25">
      <c r="A326" s="97" t="str">
        <f t="shared" si="4"/>
        <v>sam62_sec_wrap_svt16_pct</v>
      </c>
      <c r="B326" s="97" t="s">
        <v>262</v>
      </c>
      <c r="C326" s="97" t="s">
        <v>1090</v>
      </c>
      <c r="D326" s="97"/>
      <c r="E326" s="97" t="s">
        <v>1072</v>
      </c>
      <c r="F326" s="108">
        <v>0.63</v>
      </c>
      <c r="G326" s="97" t="s">
        <v>1077</v>
      </c>
      <c r="H326" s="108">
        <v>0.27</v>
      </c>
      <c r="I326"/>
      <c r="J326"/>
      <c r="K326"/>
      <c r="L326"/>
      <c r="M326"/>
      <c r="N326"/>
      <c r="O326"/>
      <c r="P326"/>
      <c r="Q326"/>
      <c r="R326"/>
      <c r="S326"/>
      <c r="T326"/>
      <c r="U326"/>
      <c r="V326"/>
      <c r="W326"/>
      <c r="X326"/>
      <c r="Y326"/>
    </row>
    <row r="327" spans="1:25" s="104" customFormat="1" hidden="1" x14ac:dyDescent="0.25">
      <c r="A327" s="97" t="str">
        <f t="shared" si="4"/>
        <v>sam62_core_svt16_pct</v>
      </c>
      <c r="B327" s="97" t="s">
        <v>185</v>
      </c>
      <c r="C327" s="97" t="s">
        <v>1090</v>
      </c>
      <c r="D327" s="97"/>
      <c r="E327" s="97" t="s">
        <v>1072</v>
      </c>
      <c r="F327" s="108">
        <v>0.34499999999999997</v>
      </c>
      <c r="G327" s="97" t="s">
        <v>1077</v>
      </c>
      <c r="H327" s="5"/>
      <c r="I327"/>
      <c r="J327"/>
      <c r="K327"/>
      <c r="L327"/>
      <c r="M327"/>
      <c r="N327"/>
      <c r="O327"/>
      <c r="P327"/>
      <c r="Q327"/>
      <c r="R327"/>
      <c r="S327"/>
      <c r="T327"/>
      <c r="U327"/>
      <c r="V327"/>
      <c r="W327"/>
      <c r="X327"/>
      <c r="Y327"/>
    </row>
    <row r="328" spans="1:25" s="104" customFormat="1" hidden="1" x14ac:dyDescent="0.25">
      <c r="A328" s="97" t="str">
        <f t="shared" si="4"/>
        <v>sam62_pll_ctrl_wrap_svt16_pct</v>
      </c>
      <c r="B328" s="97" t="s">
        <v>221</v>
      </c>
      <c r="C328" s="97" t="s">
        <v>1090</v>
      </c>
      <c r="D328" s="97"/>
      <c r="E328" s="97" t="s">
        <v>1072</v>
      </c>
      <c r="F328" s="108">
        <v>0.48</v>
      </c>
      <c r="G328" s="97" t="s">
        <v>1077</v>
      </c>
      <c r="H328" s="108">
        <v>0.06</v>
      </c>
      <c r="I328"/>
      <c r="J328"/>
      <c r="K328"/>
      <c r="L328"/>
      <c r="M328"/>
      <c r="N328"/>
      <c r="O328"/>
      <c r="P328"/>
      <c r="Q328"/>
      <c r="R328"/>
      <c r="S328"/>
      <c r="T328"/>
      <c r="U328"/>
      <c r="V328"/>
      <c r="W328"/>
      <c r="X328"/>
      <c r="Y328"/>
    </row>
    <row r="329" spans="1:25" s="104" customFormat="1" hidden="1" x14ac:dyDescent="0.25">
      <c r="A329" s="97" t="str">
        <f t="shared" si="4"/>
        <v>sam62_m4ss_wrap_svt20_pct</v>
      </c>
      <c r="B329" s="97" t="s">
        <v>219</v>
      </c>
      <c r="C329" s="97" t="s">
        <v>1091</v>
      </c>
      <c r="D329" s="97"/>
      <c r="E329" s="97" t="s">
        <v>1072</v>
      </c>
      <c r="F329" s="108">
        <v>0.24</v>
      </c>
      <c r="G329" s="97" t="s">
        <v>1077</v>
      </c>
      <c r="H329" s="108">
        <v>0.38</v>
      </c>
      <c r="I329"/>
      <c r="J329"/>
      <c r="K329"/>
      <c r="L329"/>
      <c r="M329"/>
      <c r="N329"/>
      <c r="O329"/>
      <c r="P329"/>
      <c r="Q329"/>
      <c r="R329"/>
      <c r="S329"/>
      <c r="T329"/>
      <c r="U329"/>
      <c r="V329"/>
      <c r="W329"/>
      <c r="X329"/>
      <c r="Y329"/>
    </row>
    <row r="330" spans="1:25" s="104" customFormat="1" hidden="1" x14ac:dyDescent="0.25">
      <c r="A330" s="97" t="str">
        <f t="shared" si="4"/>
        <v>sam62_dm_wrap_svt20_pct</v>
      </c>
      <c r="B330" s="97" t="s">
        <v>237</v>
      </c>
      <c r="C330" s="97" t="s">
        <v>1091</v>
      </c>
      <c r="D330" s="97"/>
      <c r="E330" s="97" t="s">
        <v>1072</v>
      </c>
      <c r="F330" s="108">
        <v>0.12</v>
      </c>
      <c r="G330" s="97" t="s">
        <v>1077</v>
      </c>
      <c r="H330" s="108">
        <v>0.72</v>
      </c>
      <c r="I330"/>
      <c r="J330"/>
      <c r="K330"/>
      <c r="L330"/>
      <c r="M330"/>
      <c r="N330"/>
      <c r="O330"/>
      <c r="P330"/>
      <c r="Q330"/>
      <c r="R330"/>
      <c r="S330"/>
      <c r="T330"/>
      <c r="U330"/>
      <c r="V330"/>
      <c r="W330"/>
      <c r="X330"/>
      <c r="Y330"/>
    </row>
    <row r="331" spans="1:25" s="104" customFormat="1" hidden="1" x14ac:dyDescent="0.25">
      <c r="A331" s="97" t="str">
        <f t="shared" si="4"/>
        <v>sam62_a53_dual_wrap_cba_cpu_phys_svt20_pct</v>
      </c>
      <c r="B331" s="97" t="s">
        <v>274</v>
      </c>
      <c r="C331" s="97" t="s">
        <v>1091</v>
      </c>
      <c r="D331" s="97"/>
      <c r="E331" s="97" t="s">
        <v>1072</v>
      </c>
      <c r="F331" s="108">
        <v>0.23</v>
      </c>
      <c r="G331" s="97" t="s">
        <v>1077</v>
      </c>
      <c r="H331" s="108">
        <v>0.03</v>
      </c>
      <c r="I331"/>
      <c r="J331"/>
      <c r="K331"/>
      <c r="L331"/>
      <c r="M331"/>
      <c r="N331"/>
      <c r="O331"/>
      <c r="P331"/>
      <c r="Q331"/>
      <c r="R331"/>
      <c r="S331"/>
      <c r="T331"/>
      <c r="U331"/>
      <c r="V331"/>
      <c r="W331"/>
      <c r="X331"/>
      <c r="Y331"/>
    </row>
    <row r="332" spans="1:25" s="104" customFormat="1" hidden="1" x14ac:dyDescent="0.25">
      <c r="A332" s="97" t="str">
        <f t="shared" si="4"/>
        <v>sam62_a53_512kb_wrap_svt20_pct</v>
      </c>
      <c r="B332" s="97" t="s">
        <v>270</v>
      </c>
      <c r="C332" s="97" t="s">
        <v>1091</v>
      </c>
      <c r="D332" s="97"/>
      <c r="E332" s="97" t="s">
        <v>1072</v>
      </c>
      <c r="F332" s="108">
        <v>0.36</v>
      </c>
      <c r="G332" s="97" t="s">
        <v>1077</v>
      </c>
      <c r="H332" s="108">
        <v>0.05</v>
      </c>
      <c r="I332"/>
      <c r="J332"/>
      <c r="K332"/>
      <c r="L332"/>
      <c r="M332"/>
      <c r="N332"/>
      <c r="O332"/>
      <c r="P332"/>
      <c r="Q332"/>
      <c r="R332"/>
      <c r="S332"/>
      <c r="T332"/>
      <c r="U332"/>
      <c r="V332"/>
      <c r="W332"/>
      <c r="X332"/>
      <c r="Y332"/>
    </row>
    <row r="333" spans="1:25" s="104" customFormat="1" hidden="1" x14ac:dyDescent="0.25">
      <c r="A333" s="97" t="str">
        <f t="shared" si="4"/>
        <v>sam62_cpsw3_wrap_svt20_pct</v>
      </c>
      <c r="B333" s="97" t="s">
        <v>216</v>
      </c>
      <c r="C333" s="97" t="s">
        <v>1091</v>
      </c>
      <c r="D333" s="97"/>
      <c r="E333" s="97" t="s">
        <v>1072</v>
      </c>
      <c r="F333" s="108">
        <v>0.24</v>
      </c>
      <c r="G333" s="97" t="s">
        <v>1077</v>
      </c>
      <c r="H333" s="108">
        <v>0.7</v>
      </c>
      <c r="I333"/>
      <c r="J333"/>
      <c r="K333"/>
      <c r="L333"/>
      <c r="M333"/>
      <c r="N333"/>
      <c r="O333"/>
      <c r="P333"/>
      <c r="Q333"/>
      <c r="R333"/>
      <c r="S333"/>
      <c r="T333"/>
      <c r="U333"/>
      <c r="V333"/>
      <c r="W333"/>
      <c r="X333"/>
      <c r="Y333"/>
    </row>
    <row r="334" spans="1:25" s="104" customFormat="1" hidden="1" x14ac:dyDescent="0.25">
      <c r="A334" s="97" t="str">
        <f t="shared" si="4"/>
        <v>sam62_icss_m_wrap_svt20_pct</v>
      </c>
      <c r="B334" s="97" t="s">
        <v>209</v>
      </c>
      <c r="C334" s="97" t="s">
        <v>1091</v>
      </c>
      <c r="D334" s="97"/>
      <c r="E334" s="97" t="s">
        <v>1072</v>
      </c>
      <c r="F334" s="108">
        <v>0.42</v>
      </c>
      <c r="G334" s="97" t="s">
        <v>1077</v>
      </c>
      <c r="H334" s="108">
        <v>0.43</v>
      </c>
      <c r="I334"/>
      <c r="J334"/>
      <c r="K334"/>
      <c r="L334"/>
      <c r="M334"/>
      <c r="N334"/>
      <c r="O334"/>
      <c r="P334"/>
      <c r="Q334"/>
      <c r="R334"/>
      <c r="S334"/>
      <c r="T334"/>
      <c r="U334"/>
      <c r="V334"/>
      <c r="W334"/>
      <c r="X334"/>
      <c r="Y334"/>
    </row>
    <row r="335" spans="1:25" s="104" customFormat="1" hidden="1" x14ac:dyDescent="0.25">
      <c r="A335" s="97" t="str">
        <f t="shared" si="4"/>
        <v>sam62_dss_oldi_wrap_svt20_pct</v>
      </c>
      <c r="B335" s="97" t="s">
        <v>214</v>
      </c>
      <c r="C335" s="97" t="s">
        <v>1091</v>
      </c>
      <c r="D335" s="97"/>
      <c r="E335" s="97" t="s">
        <v>1072</v>
      </c>
      <c r="F335" s="108">
        <v>0.33</v>
      </c>
      <c r="G335" s="97" t="s">
        <v>1077</v>
      </c>
      <c r="H335" s="108">
        <v>0.59</v>
      </c>
      <c r="I335"/>
      <c r="J335"/>
      <c r="K335"/>
      <c r="L335"/>
      <c r="M335"/>
      <c r="N335"/>
      <c r="O335"/>
      <c r="P335"/>
      <c r="Q335"/>
      <c r="R335"/>
      <c r="S335"/>
      <c r="T335"/>
      <c r="U335"/>
      <c r="V335"/>
      <c r="W335"/>
      <c r="X335"/>
      <c r="Y335"/>
    </row>
    <row r="336" spans="1:25" s="104" customFormat="1" hidden="1" x14ac:dyDescent="0.25">
      <c r="A336" s="97" t="str">
        <f t="shared" si="4"/>
        <v>sam62_k3_gpu_axe116m_wrap_svt20_pct</v>
      </c>
      <c r="B336" s="97" t="s">
        <v>242</v>
      </c>
      <c r="C336" s="97" t="s">
        <v>1091</v>
      </c>
      <c r="D336" s="97"/>
      <c r="E336" s="97" t="s">
        <v>1072</v>
      </c>
      <c r="F336" s="108">
        <v>0.32</v>
      </c>
      <c r="G336" s="97" t="s">
        <v>1077</v>
      </c>
      <c r="H336" s="108">
        <v>0.47</v>
      </c>
      <c r="I336"/>
      <c r="J336"/>
      <c r="K336"/>
      <c r="L336"/>
      <c r="M336"/>
      <c r="N336"/>
      <c r="O336"/>
      <c r="P336"/>
      <c r="Q336"/>
      <c r="R336"/>
      <c r="S336"/>
      <c r="T336"/>
      <c r="U336"/>
      <c r="V336"/>
      <c r="W336"/>
      <c r="X336"/>
      <c r="Y336"/>
    </row>
    <row r="337" spans="1:25" s="104" customFormat="1" hidden="1" x14ac:dyDescent="0.25">
      <c r="A337" s="97" t="str">
        <f t="shared" ref="A337:A400" si="5">B337&amp;"_"&amp;C337</f>
        <v>sam62_mcasp_wrap_svt20_pct</v>
      </c>
      <c r="B337" s="97" t="s">
        <v>208</v>
      </c>
      <c r="C337" s="97" t="s">
        <v>1091</v>
      </c>
      <c r="D337" s="97"/>
      <c r="E337" s="97" t="s">
        <v>1072</v>
      </c>
      <c r="F337" s="108">
        <v>0.08</v>
      </c>
      <c r="G337" s="97" t="s">
        <v>1077</v>
      </c>
      <c r="H337" s="108">
        <v>0.78</v>
      </c>
      <c r="I337"/>
      <c r="J337"/>
      <c r="K337"/>
      <c r="L337"/>
      <c r="M337"/>
      <c r="N337"/>
      <c r="O337"/>
      <c r="P337"/>
      <c r="Q337"/>
      <c r="R337"/>
      <c r="S337"/>
      <c r="T337"/>
      <c r="U337"/>
      <c r="V337"/>
      <c r="W337"/>
      <c r="X337"/>
      <c r="Y337"/>
    </row>
    <row r="338" spans="1:25" s="104" customFormat="1" hidden="1" x14ac:dyDescent="0.25">
      <c r="A338" s="97" t="str">
        <f t="shared" si="5"/>
        <v>sam62_csirx_wrap_svt20_pct</v>
      </c>
      <c r="B338" s="97" t="s">
        <v>239</v>
      </c>
      <c r="C338" s="97" t="s">
        <v>1091</v>
      </c>
      <c r="D338" s="97"/>
      <c r="E338" s="97" t="s">
        <v>1072</v>
      </c>
      <c r="F338" s="108">
        <v>0.12</v>
      </c>
      <c r="G338" s="97" t="s">
        <v>1077</v>
      </c>
      <c r="H338" s="108">
        <v>0.74</v>
      </c>
      <c r="I338"/>
      <c r="J338"/>
      <c r="K338"/>
      <c r="L338"/>
      <c r="M338"/>
      <c r="N338"/>
      <c r="O338"/>
      <c r="P338"/>
      <c r="Q338"/>
      <c r="R338"/>
      <c r="S338"/>
      <c r="T338"/>
      <c r="U338"/>
      <c r="V338"/>
      <c r="W338"/>
      <c r="X338"/>
      <c r="Y338"/>
    </row>
    <row r="339" spans="1:25" s="104" customFormat="1" hidden="1" x14ac:dyDescent="0.25">
      <c r="A339" s="97" t="str">
        <f t="shared" si="5"/>
        <v>sam62_usb2_wrap_svt20_pct</v>
      </c>
      <c r="B339" s="97" t="s">
        <v>207</v>
      </c>
      <c r="C339" s="97" t="s">
        <v>1091</v>
      </c>
      <c r="D339" s="97"/>
      <c r="E339" s="97" t="s">
        <v>1072</v>
      </c>
      <c r="F339" s="108">
        <v>0.1</v>
      </c>
      <c r="G339" s="97" t="s">
        <v>1077</v>
      </c>
      <c r="H339" s="108">
        <v>0.79</v>
      </c>
      <c r="I339"/>
      <c r="J339"/>
      <c r="K339"/>
      <c r="L339"/>
      <c r="M339"/>
      <c r="N339"/>
      <c r="O339"/>
      <c r="P339"/>
      <c r="Q339"/>
      <c r="R339"/>
      <c r="S339"/>
      <c r="T339"/>
      <c r="U339"/>
      <c r="V339"/>
      <c r="W339"/>
      <c r="X339"/>
      <c r="Y339"/>
    </row>
    <row r="340" spans="1:25" s="104" customFormat="1" hidden="1" x14ac:dyDescent="0.25">
      <c r="A340" s="97" t="str">
        <f t="shared" si="5"/>
        <v>sam62_emmc_4bit_wrap_svt20_pct</v>
      </c>
      <c r="B340" s="97" t="s">
        <v>240</v>
      </c>
      <c r="C340" s="97" t="s">
        <v>1091</v>
      </c>
      <c r="D340" s="97"/>
      <c r="E340" s="97" t="s">
        <v>1072</v>
      </c>
      <c r="F340" s="108">
        <v>0.06</v>
      </c>
      <c r="G340" s="97" t="s">
        <v>1077</v>
      </c>
      <c r="H340" s="108">
        <v>0.81</v>
      </c>
      <c r="I340"/>
      <c r="J340"/>
      <c r="K340"/>
      <c r="L340"/>
      <c r="M340"/>
      <c r="N340"/>
      <c r="O340"/>
      <c r="P340"/>
      <c r="Q340"/>
      <c r="R340"/>
      <c r="S340"/>
      <c r="T340"/>
      <c r="U340"/>
      <c r="V340"/>
      <c r="W340"/>
      <c r="X340"/>
      <c r="Y340"/>
    </row>
    <row r="341" spans="1:25" s="104" customFormat="1" hidden="1" x14ac:dyDescent="0.25">
      <c r="A341" s="97" t="str">
        <f t="shared" si="5"/>
        <v>sam62_emmc_8bit_wrap_svt20_pct</v>
      </c>
      <c r="B341" s="97" t="s">
        <v>241</v>
      </c>
      <c r="C341" s="97" t="s">
        <v>1091</v>
      </c>
      <c r="D341" s="97"/>
      <c r="E341" s="97" t="s">
        <v>1072</v>
      </c>
      <c r="F341" s="108">
        <v>0.06</v>
      </c>
      <c r="G341" s="97" t="s">
        <v>1077</v>
      </c>
      <c r="H341" s="108">
        <v>0.84</v>
      </c>
      <c r="I341"/>
      <c r="J341"/>
      <c r="K341"/>
      <c r="L341"/>
      <c r="M341"/>
      <c r="N341"/>
      <c r="O341"/>
      <c r="P341"/>
      <c r="Q341"/>
      <c r="R341"/>
      <c r="S341"/>
      <c r="T341"/>
      <c r="U341"/>
      <c r="V341"/>
      <c r="W341"/>
      <c r="X341"/>
      <c r="Y341"/>
    </row>
    <row r="342" spans="1:25" s="104" customFormat="1" hidden="1" x14ac:dyDescent="0.25">
      <c r="A342" s="97" t="str">
        <f t="shared" si="5"/>
        <v>sam62_gpmc_elm_wrap_svt20_pct</v>
      </c>
      <c r="B342" s="97" t="s">
        <v>211</v>
      </c>
      <c r="C342" s="97" t="s">
        <v>1091</v>
      </c>
      <c r="D342" s="97"/>
      <c r="E342" s="97" t="s">
        <v>1072</v>
      </c>
      <c r="F342" s="108">
        <v>0.11</v>
      </c>
      <c r="G342" s="97" t="s">
        <v>1077</v>
      </c>
      <c r="H342" s="108">
        <v>0.78</v>
      </c>
      <c r="I342"/>
      <c r="J342"/>
      <c r="K342"/>
      <c r="L342"/>
      <c r="M342"/>
      <c r="N342"/>
      <c r="O342"/>
      <c r="P342"/>
      <c r="Q342"/>
      <c r="R342"/>
      <c r="S342"/>
      <c r="T342"/>
      <c r="U342"/>
      <c r="V342"/>
      <c r="W342"/>
      <c r="X342"/>
      <c r="Y342"/>
    </row>
    <row r="343" spans="1:25" s="104" customFormat="1" hidden="1" x14ac:dyDescent="0.25">
      <c r="A343" s="97" t="str">
        <f t="shared" si="5"/>
        <v>sam62_ddr_wrap_svt20_pct</v>
      </c>
      <c r="B343" s="97" t="s">
        <v>215</v>
      </c>
      <c r="C343" s="97" t="s">
        <v>1091</v>
      </c>
      <c r="D343" s="97"/>
      <c r="E343" s="97" t="s">
        <v>1072</v>
      </c>
      <c r="F343" s="108">
        <v>0.1</v>
      </c>
      <c r="G343" s="97" t="s">
        <v>1077</v>
      </c>
      <c r="H343" s="108">
        <v>0.78</v>
      </c>
      <c r="I343"/>
      <c r="J343"/>
      <c r="K343"/>
      <c r="L343"/>
      <c r="M343"/>
      <c r="N343"/>
      <c r="O343"/>
      <c r="P343"/>
      <c r="Q343"/>
      <c r="R343"/>
      <c r="S343"/>
      <c r="T343"/>
      <c r="U343"/>
      <c r="V343"/>
      <c r="W343"/>
      <c r="X343"/>
      <c r="Y343"/>
    </row>
    <row r="344" spans="1:25" s="104" customFormat="1" hidden="1" x14ac:dyDescent="0.25">
      <c r="A344" s="97" t="str">
        <f t="shared" si="5"/>
        <v>ddr16_1600_phy_svt20_pct</v>
      </c>
      <c r="B344" s="97" t="s">
        <v>314</v>
      </c>
      <c r="C344" s="97" t="s">
        <v>1091</v>
      </c>
      <c r="D344" s="97"/>
      <c r="E344" s="97" t="s">
        <v>1072</v>
      </c>
      <c r="F344" s="108">
        <v>0</v>
      </c>
      <c r="G344" s="97"/>
      <c r="H344" s="5"/>
      <c r="I344"/>
      <c r="J344"/>
      <c r="K344"/>
      <c r="L344"/>
      <c r="M344"/>
      <c r="N344"/>
      <c r="O344"/>
      <c r="P344"/>
      <c r="Q344"/>
      <c r="R344"/>
      <c r="S344"/>
      <c r="T344"/>
      <c r="U344"/>
      <c r="V344"/>
      <c r="W344"/>
      <c r="X344"/>
      <c r="Y344"/>
    </row>
    <row r="345" spans="1:25" s="104" customFormat="1" hidden="1" x14ac:dyDescent="0.25">
      <c r="A345" s="97" t="str">
        <f t="shared" si="5"/>
        <v>sam62_debug_wrap_svt20_pct</v>
      </c>
      <c r="B345" s="97" t="s">
        <v>186</v>
      </c>
      <c r="C345" s="97" t="s">
        <v>1091</v>
      </c>
      <c r="D345" s="97"/>
      <c r="E345" s="97" t="s">
        <v>1072</v>
      </c>
      <c r="F345" s="108">
        <v>0.25</v>
      </c>
      <c r="G345" s="97" t="s">
        <v>1077</v>
      </c>
      <c r="H345" s="108">
        <v>0.63</v>
      </c>
      <c r="I345"/>
      <c r="J345"/>
      <c r="K345"/>
      <c r="L345"/>
      <c r="M345"/>
      <c r="N345"/>
      <c r="O345"/>
      <c r="P345"/>
      <c r="Q345"/>
      <c r="R345"/>
      <c r="S345"/>
      <c r="T345"/>
      <c r="U345"/>
      <c r="V345"/>
      <c r="W345"/>
      <c r="X345"/>
      <c r="Y345"/>
    </row>
    <row r="346" spans="1:25" s="104" customFormat="1" hidden="1" x14ac:dyDescent="0.25">
      <c r="A346" s="97" t="str">
        <f t="shared" si="5"/>
        <v>sam62_efuse_ctrl_wrap_svt20_pct</v>
      </c>
      <c r="B346" s="97" t="s">
        <v>213</v>
      </c>
      <c r="C346" s="97" t="s">
        <v>1091</v>
      </c>
      <c r="D346" s="97"/>
      <c r="E346" s="97" t="s">
        <v>1072</v>
      </c>
      <c r="F346" s="108">
        <v>0.21</v>
      </c>
      <c r="G346" s="97" t="s">
        <v>1077</v>
      </c>
      <c r="H346" s="108">
        <v>0.63</v>
      </c>
      <c r="I346"/>
      <c r="J346"/>
      <c r="K346"/>
      <c r="L346"/>
      <c r="M346"/>
      <c r="N346"/>
      <c r="O346"/>
      <c r="P346"/>
      <c r="Q346"/>
      <c r="R346"/>
      <c r="S346"/>
      <c r="T346"/>
      <c r="U346"/>
      <c r="V346"/>
      <c r="W346"/>
      <c r="X346"/>
      <c r="Y346"/>
    </row>
    <row r="347" spans="1:25" s="104" customFormat="1" hidden="1" x14ac:dyDescent="0.25">
      <c r="A347" s="97" t="str">
        <f t="shared" si="5"/>
        <v>sam62_main_infra_phys_svt20_pct</v>
      </c>
      <c r="B347" s="97" t="s">
        <v>144</v>
      </c>
      <c r="C347" s="97" t="s">
        <v>1091</v>
      </c>
      <c r="D347" s="97"/>
      <c r="E347" s="97" t="s">
        <v>1072</v>
      </c>
      <c r="F347" s="108">
        <v>0.09</v>
      </c>
      <c r="G347" s="97" t="s">
        <v>1077</v>
      </c>
      <c r="H347" s="108">
        <v>0.75</v>
      </c>
      <c r="I347"/>
      <c r="J347"/>
      <c r="K347"/>
      <c r="L347"/>
      <c r="M347"/>
      <c r="N347"/>
      <c r="O347"/>
      <c r="P347"/>
      <c r="Q347"/>
      <c r="R347"/>
      <c r="S347"/>
      <c r="T347"/>
      <c r="U347"/>
      <c r="V347"/>
      <c r="W347"/>
      <c r="X347"/>
      <c r="Y347"/>
    </row>
    <row r="348" spans="1:25" s="104" customFormat="1" hidden="1" x14ac:dyDescent="0.25">
      <c r="A348" s="97" t="str">
        <f t="shared" si="5"/>
        <v>sam62_main_ip_wrap_svt20_pct</v>
      </c>
      <c r="B348" s="97" t="s">
        <v>238</v>
      </c>
      <c r="C348" s="97" t="s">
        <v>1091</v>
      </c>
      <c r="D348" s="97"/>
      <c r="E348" s="97" t="s">
        <v>1072</v>
      </c>
      <c r="F348" s="108">
        <v>0.24</v>
      </c>
      <c r="G348" s="97" t="s">
        <v>1077</v>
      </c>
      <c r="H348" s="108">
        <v>0.62</v>
      </c>
      <c r="I348"/>
      <c r="J348"/>
      <c r="K348"/>
      <c r="L348"/>
      <c r="M348"/>
      <c r="N348"/>
      <c r="O348"/>
      <c r="P348"/>
      <c r="Q348"/>
      <c r="R348"/>
      <c r="S348"/>
      <c r="T348"/>
      <c r="U348"/>
      <c r="V348"/>
      <c r="W348"/>
      <c r="X348"/>
      <c r="Y348"/>
    </row>
    <row r="349" spans="1:25" s="104" customFormat="1" hidden="1" x14ac:dyDescent="0.25">
      <c r="A349" s="97" t="str">
        <f t="shared" si="5"/>
        <v>sam62_mcu_infra_phys_svt20_pct</v>
      </c>
      <c r="B349" s="97" t="s">
        <v>183</v>
      </c>
      <c r="C349" s="97" t="s">
        <v>1091</v>
      </c>
      <c r="D349" s="97"/>
      <c r="E349" s="97" t="s">
        <v>1072</v>
      </c>
      <c r="F349" s="108">
        <v>7.0000000000000007E-2</v>
      </c>
      <c r="G349" s="97" t="s">
        <v>1077</v>
      </c>
      <c r="H349" s="108">
        <v>0.81</v>
      </c>
      <c r="I349"/>
      <c r="J349"/>
      <c r="K349"/>
      <c r="L349"/>
      <c r="M349"/>
      <c r="N349"/>
      <c r="O349"/>
      <c r="P349"/>
      <c r="Q349"/>
      <c r="R349"/>
      <c r="S349"/>
      <c r="T349"/>
      <c r="U349"/>
      <c r="V349"/>
      <c r="W349"/>
      <c r="X349"/>
      <c r="Y349"/>
    </row>
    <row r="350" spans="1:25" s="104" customFormat="1" hidden="1" x14ac:dyDescent="0.25">
      <c r="A350" s="97" t="str">
        <f t="shared" si="5"/>
        <v>sam62_mcu_wrap_svt20_pct</v>
      </c>
      <c r="B350" s="97" t="s">
        <v>236</v>
      </c>
      <c r="C350" s="97" t="s">
        <v>1091</v>
      </c>
      <c r="D350" s="97"/>
      <c r="E350" s="97" t="s">
        <v>1072</v>
      </c>
      <c r="F350" s="108">
        <v>0.24</v>
      </c>
      <c r="G350" s="97" t="s">
        <v>1077</v>
      </c>
      <c r="H350" s="108">
        <v>0.68</v>
      </c>
      <c r="I350"/>
      <c r="J350"/>
      <c r="K350"/>
      <c r="L350"/>
      <c r="M350"/>
      <c r="N350"/>
      <c r="O350"/>
      <c r="P350"/>
      <c r="Q350"/>
      <c r="R350"/>
      <c r="S350"/>
      <c r="T350"/>
      <c r="U350"/>
      <c r="V350"/>
      <c r="W350"/>
      <c r="X350"/>
      <c r="Y350"/>
    </row>
    <row r="351" spans="1:25" s="104" customFormat="1" hidden="1" x14ac:dyDescent="0.25">
      <c r="A351" s="97" t="str">
        <f t="shared" si="5"/>
        <v>sam62_odp_ctrl_wrap_svt20_pct</v>
      </c>
      <c r="B351" s="97" t="s">
        <v>212</v>
      </c>
      <c r="C351" s="97" t="s">
        <v>1091</v>
      </c>
      <c r="D351" s="97"/>
      <c r="E351" s="97" t="s">
        <v>1072</v>
      </c>
      <c r="F351" s="108">
        <v>0.16</v>
      </c>
      <c r="G351" s="97" t="s">
        <v>1077</v>
      </c>
      <c r="H351" s="108">
        <v>0.4</v>
      </c>
      <c r="I351"/>
      <c r="J351"/>
      <c r="K351"/>
      <c r="L351"/>
      <c r="M351"/>
      <c r="N351"/>
      <c r="O351"/>
      <c r="P351"/>
      <c r="Q351"/>
      <c r="R351"/>
      <c r="S351"/>
      <c r="T351"/>
      <c r="U351"/>
      <c r="V351"/>
      <c r="W351"/>
      <c r="X351"/>
      <c r="Y351"/>
    </row>
    <row r="352" spans="1:25" s="104" customFormat="1" hidden="1" x14ac:dyDescent="0.25">
      <c r="A352" s="97" t="str">
        <f t="shared" si="5"/>
        <v>sam62_sec_wrap_svt20_pct</v>
      </c>
      <c r="B352" s="97" t="s">
        <v>262</v>
      </c>
      <c r="C352" s="97" t="s">
        <v>1091</v>
      </c>
      <c r="D352" s="97"/>
      <c r="E352" s="97" t="s">
        <v>1072</v>
      </c>
      <c r="F352" s="108">
        <v>0.23</v>
      </c>
      <c r="G352" s="97" t="s">
        <v>1077</v>
      </c>
      <c r="H352" s="108">
        <v>0.59</v>
      </c>
      <c r="I352"/>
      <c r="J352"/>
      <c r="K352"/>
      <c r="L352"/>
      <c r="M352"/>
      <c r="N352"/>
      <c r="O352"/>
      <c r="P352"/>
      <c r="Q352"/>
      <c r="R352"/>
      <c r="S352"/>
      <c r="T352"/>
      <c r="U352"/>
      <c r="V352"/>
      <c r="W352"/>
      <c r="X352"/>
      <c r="Y352"/>
    </row>
    <row r="353" spans="1:25" s="104" customFormat="1" hidden="1" x14ac:dyDescent="0.25">
      <c r="A353" s="97" t="str">
        <f t="shared" si="5"/>
        <v>sam62_core_svt20_pct</v>
      </c>
      <c r="B353" s="97" t="s">
        <v>185</v>
      </c>
      <c r="C353" s="97" t="s">
        <v>1091</v>
      </c>
      <c r="D353" s="97"/>
      <c r="E353" s="97" t="s">
        <v>1072</v>
      </c>
      <c r="F353" s="108">
        <v>0.44600000000000001</v>
      </c>
      <c r="G353" s="97" t="s">
        <v>1077</v>
      </c>
      <c r="H353" s="5"/>
      <c r="I353"/>
      <c r="J353"/>
      <c r="K353"/>
      <c r="L353"/>
      <c r="M353"/>
      <c r="N353"/>
      <c r="O353"/>
      <c r="P353"/>
      <c r="Q353"/>
      <c r="R353"/>
      <c r="S353"/>
      <c r="T353"/>
      <c r="U353"/>
      <c r="V353"/>
      <c r="W353"/>
      <c r="X353"/>
      <c r="Y353"/>
    </row>
    <row r="354" spans="1:25" s="104" customFormat="1" hidden="1" x14ac:dyDescent="0.25">
      <c r="A354" s="97" t="str">
        <f t="shared" si="5"/>
        <v>sam62_pll_ctrl_wrap_svt20_pct</v>
      </c>
      <c r="B354" s="97" t="s">
        <v>221</v>
      </c>
      <c r="C354" s="97" t="s">
        <v>1091</v>
      </c>
      <c r="D354" s="97"/>
      <c r="E354" s="97" t="s">
        <v>1072</v>
      </c>
      <c r="F354" s="108">
        <v>7.0000000000000007E-2</v>
      </c>
      <c r="G354" s="97" t="s">
        <v>1077</v>
      </c>
      <c r="H354" s="108">
        <v>0.48</v>
      </c>
      <c r="I354"/>
      <c r="J354"/>
      <c r="K354"/>
      <c r="L354"/>
      <c r="M354"/>
      <c r="N354"/>
      <c r="O354"/>
      <c r="P354"/>
      <c r="Q354"/>
      <c r="R354"/>
      <c r="S354"/>
      <c r="T354"/>
      <c r="U354"/>
      <c r="V354"/>
      <c r="W354"/>
      <c r="X354"/>
      <c r="Y354"/>
    </row>
    <row r="355" spans="1:25" s="104" customFormat="1" hidden="1" x14ac:dyDescent="0.25">
      <c r="A355" s="97" t="str">
        <f t="shared" si="5"/>
        <v>n16_core_vdd3p3_clamp_tag</v>
      </c>
      <c r="B355" s="5" t="s">
        <v>79</v>
      </c>
      <c r="C355" s="5" t="s">
        <v>70</v>
      </c>
      <c r="D355" s="5"/>
      <c r="E355" s="5" t="s">
        <v>1038</v>
      </c>
      <c r="F355" s="136">
        <v>44499</v>
      </c>
      <c r="G355" s="5" t="s">
        <v>1199</v>
      </c>
      <c r="H355" s="5"/>
      <c r="I355"/>
      <c r="J355"/>
      <c r="K355"/>
      <c r="L355"/>
      <c r="M355"/>
      <c r="N355"/>
      <c r="O355"/>
      <c r="P355"/>
      <c r="Q355"/>
      <c r="R355"/>
      <c r="S355"/>
      <c r="T355"/>
      <c r="U355"/>
      <c r="V355"/>
      <c r="W355"/>
      <c r="X355"/>
      <c r="Y355"/>
    </row>
    <row r="356" spans="1:25" s="104" customFormat="1" hidden="1" x14ac:dyDescent="0.25">
      <c r="A356" s="97" t="str">
        <f t="shared" si="5"/>
        <v>PRCUTLvcMOS_tag</v>
      </c>
      <c r="B356" s="5" t="s">
        <v>110</v>
      </c>
      <c r="C356" s="5" t="s">
        <v>70</v>
      </c>
      <c r="D356" s="5"/>
      <c r="E356" s="5" t="s">
        <v>1038</v>
      </c>
      <c r="F356" s="136">
        <v>44499</v>
      </c>
      <c r="G356" s="5" t="s">
        <v>1199</v>
      </c>
      <c r="H356" s="5"/>
      <c r="I356"/>
      <c r="J356"/>
      <c r="K356"/>
      <c r="L356"/>
      <c r="M356"/>
      <c r="N356"/>
      <c r="O356"/>
      <c r="P356"/>
      <c r="Q356"/>
      <c r="R356"/>
      <c r="S356"/>
      <c r="T356"/>
      <c r="U356"/>
      <c r="V356"/>
      <c r="W356"/>
      <c r="X356"/>
      <c r="Y356"/>
    </row>
    <row r="357" spans="1:25" s="104" customFormat="1" hidden="1" x14ac:dyDescent="0.25">
      <c r="A357" s="97" t="str">
        <f t="shared" si="5"/>
        <v>n16_core_vdd_clamp_tag</v>
      </c>
      <c r="B357" s="5" t="s">
        <v>398</v>
      </c>
      <c r="C357" s="5" t="s">
        <v>70</v>
      </c>
      <c r="D357" s="5"/>
      <c r="E357" s="5" t="s">
        <v>1038</v>
      </c>
      <c r="F357" s="136">
        <v>44499</v>
      </c>
      <c r="G357" s="5" t="s">
        <v>1199</v>
      </c>
      <c r="H357" s="5"/>
      <c r="I357"/>
      <c r="J357"/>
      <c r="K357"/>
      <c r="L357"/>
      <c r="M357"/>
      <c r="N357"/>
      <c r="O357"/>
      <c r="P357"/>
      <c r="Q357"/>
      <c r="R357"/>
      <c r="S357"/>
      <c r="T357"/>
      <c r="U357"/>
      <c r="V357"/>
      <c r="W357"/>
      <c r="X357"/>
      <c r="Y357"/>
    </row>
    <row r="358" spans="1:25" s="104" customFormat="1" hidden="1" x14ac:dyDescent="0.25">
      <c r="A358" s="97" t="str">
        <f t="shared" si="5"/>
        <v>n16_core_vdda_clamp_tag</v>
      </c>
      <c r="B358" s="5" t="s">
        <v>399</v>
      </c>
      <c r="C358" s="5" t="s">
        <v>70</v>
      </c>
      <c r="D358" s="5"/>
      <c r="E358" s="5" t="s">
        <v>1038</v>
      </c>
      <c r="F358" s="136">
        <v>44499</v>
      </c>
      <c r="G358" s="5" t="s">
        <v>1199</v>
      </c>
      <c r="H358" s="5"/>
      <c r="I358"/>
      <c r="J358"/>
      <c r="K358"/>
      <c r="L358"/>
      <c r="M358"/>
      <c r="N358"/>
      <c r="O358"/>
      <c r="P358"/>
      <c r="Q358"/>
      <c r="R358"/>
      <c r="S358"/>
      <c r="T358"/>
      <c r="U358"/>
      <c r="V358"/>
      <c r="W358"/>
      <c r="X358"/>
      <c r="Y358"/>
    </row>
    <row r="359" spans="1:25" s="104" customFormat="1" hidden="1" x14ac:dyDescent="0.25">
      <c r="A359" s="97" t="str">
        <f t="shared" si="5"/>
        <v>n16_core_sig_esd_secondary_tag</v>
      </c>
      <c r="B359" s="5" t="s">
        <v>400</v>
      </c>
      <c r="C359" s="5" t="s">
        <v>70</v>
      </c>
      <c r="D359" s="5"/>
      <c r="E359" s="5" t="s">
        <v>1038</v>
      </c>
      <c r="F359" s="136">
        <v>44499</v>
      </c>
      <c r="G359" s="5" t="s">
        <v>1199</v>
      </c>
      <c r="H359" s="5"/>
      <c r="I359"/>
      <c r="J359"/>
      <c r="K359"/>
      <c r="L359"/>
      <c r="M359"/>
      <c r="N359"/>
      <c r="O359"/>
      <c r="P359"/>
      <c r="Q359"/>
      <c r="R359"/>
      <c r="S359"/>
      <c r="T359"/>
      <c r="U359"/>
      <c r="V359"/>
      <c r="W359"/>
      <c r="X359"/>
      <c r="Y359"/>
    </row>
    <row r="360" spans="1:25" s="104" customFormat="1" hidden="1" x14ac:dyDescent="0.25">
      <c r="A360" s="97" t="str">
        <f t="shared" si="5"/>
        <v>PDBODPMACRO_tag</v>
      </c>
      <c r="B360" s="5" t="s">
        <v>397</v>
      </c>
      <c r="C360" s="5" t="s">
        <v>70</v>
      </c>
      <c r="D360" s="5"/>
      <c r="E360" s="5" t="s">
        <v>1038</v>
      </c>
      <c r="F360" s="136">
        <v>44499</v>
      </c>
      <c r="G360" s="5" t="s">
        <v>1199</v>
      </c>
      <c r="H360" s="5"/>
      <c r="I360"/>
      <c r="J360"/>
      <c r="K360"/>
      <c r="L360"/>
      <c r="M360"/>
      <c r="N360"/>
      <c r="O360"/>
      <c r="P360"/>
      <c r="Q360"/>
      <c r="R360"/>
      <c r="S360"/>
      <c r="T360"/>
      <c r="U360"/>
      <c r="V360"/>
      <c r="W360"/>
      <c r="X360"/>
      <c r="Y360"/>
    </row>
    <row r="361" spans="1:25" s="104" customFormat="1" hidden="1" x14ac:dyDescent="0.25">
      <c r="A361" s="97" t="str">
        <f t="shared" si="5"/>
        <v>PDIDGZRESET_C161202_tag</v>
      </c>
      <c r="B361" s="5" t="s">
        <v>394</v>
      </c>
      <c r="C361" s="5" t="s">
        <v>70</v>
      </c>
      <c r="D361" s="5"/>
      <c r="E361" s="5" t="s">
        <v>1038</v>
      </c>
      <c r="F361" s="136">
        <v>44499</v>
      </c>
      <c r="G361" s="5" t="s">
        <v>1199</v>
      </c>
      <c r="H361" s="5"/>
      <c r="I361"/>
      <c r="J361"/>
      <c r="K361"/>
      <c r="L361"/>
      <c r="M361"/>
      <c r="N361"/>
      <c r="O361"/>
      <c r="P361"/>
      <c r="Q361"/>
      <c r="R361"/>
      <c r="S361"/>
      <c r="T361"/>
      <c r="U361"/>
      <c r="V361"/>
      <c r="W361"/>
      <c r="X361"/>
      <c r="Y361"/>
    </row>
    <row r="362" spans="1:25" s="104" customFormat="1" hidden="1" x14ac:dyDescent="0.25">
      <c r="A362" s="97" t="str">
        <f t="shared" si="5"/>
        <v>PVDD1CDGM_C161202_tag</v>
      </c>
      <c r="B362" s="5" t="s">
        <v>393</v>
      </c>
      <c r="C362" s="5" t="s">
        <v>70</v>
      </c>
      <c r="D362" s="5"/>
      <c r="E362" s="5" t="s">
        <v>1038</v>
      </c>
      <c r="F362" s="136">
        <v>44499</v>
      </c>
      <c r="G362" s="5" t="s">
        <v>1199</v>
      </c>
      <c r="H362" s="5"/>
      <c r="I362"/>
      <c r="J362"/>
      <c r="K362"/>
      <c r="L362"/>
      <c r="M362"/>
      <c r="N362"/>
      <c r="O362"/>
      <c r="P362"/>
      <c r="Q362"/>
      <c r="R362"/>
      <c r="S362"/>
      <c r="T362"/>
      <c r="U362"/>
      <c r="V362"/>
      <c r="W362"/>
      <c r="X362"/>
      <c r="Y362"/>
    </row>
    <row r="363" spans="1:25" s="104" customFormat="1" hidden="1" x14ac:dyDescent="0.25">
      <c r="A363" s="97" t="str">
        <f t="shared" si="5"/>
        <v>PVDD2CDGM_C161202_tag</v>
      </c>
      <c r="B363" s="5" t="s">
        <v>392</v>
      </c>
      <c r="C363" s="5" t="s">
        <v>70</v>
      </c>
      <c r="D363" s="5"/>
      <c r="E363" s="5" t="s">
        <v>1038</v>
      </c>
      <c r="F363" s="136">
        <v>44499</v>
      </c>
      <c r="G363" s="5" t="s">
        <v>1199</v>
      </c>
      <c r="H363" s="5"/>
      <c r="I363"/>
      <c r="J363"/>
      <c r="K363"/>
      <c r="L363"/>
      <c r="M363"/>
      <c r="N363"/>
      <c r="O363"/>
      <c r="P363"/>
      <c r="Q363"/>
      <c r="R363"/>
      <c r="S363"/>
      <c r="T363"/>
      <c r="U363"/>
      <c r="V363"/>
      <c r="W363"/>
      <c r="X363"/>
      <c r="Y363"/>
    </row>
    <row r="364" spans="1:25" s="104" customFormat="1" hidden="1" x14ac:dyDescent="0.25">
      <c r="A364" s="97" t="str">
        <f t="shared" si="5"/>
        <v>PVDD3LDOLVCMOS_tag</v>
      </c>
      <c r="B364" s="5" t="s">
        <v>386</v>
      </c>
      <c r="C364" s="5" t="s">
        <v>70</v>
      </c>
      <c r="D364" s="5"/>
      <c r="E364" s="5" t="s">
        <v>1038</v>
      </c>
      <c r="F364" s="136">
        <v>44499</v>
      </c>
      <c r="G364" s="5" t="s">
        <v>1199</v>
      </c>
      <c r="H364" s="5"/>
      <c r="I364"/>
      <c r="J364"/>
      <c r="K364"/>
      <c r="L364"/>
      <c r="M364"/>
      <c r="N364"/>
      <c r="O364"/>
      <c r="P364"/>
      <c r="Q364"/>
      <c r="R364"/>
      <c r="S364"/>
      <c r="T364"/>
      <c r="U364"/>
      <c r="V364"/>
      <c r="W364"/>
      <c r="X364"/>
      <c r="Y364"/>
    </row>
    <row r="365" spans="1:25" s="104" customFormat="1" hidden="1" x14ac:dyDescent="0.25">
      <c r="A365" s="97" t="str">
        <f t="shared" si="5"/>
        <v>PRBOPDDGZIIC_tag</v>
      </c>
      <c r="B365" s="5" t="s">
        <v>391</v>
      </c>
      <c r="C365" s="5" t="s">
        <v>70</v>
      </c>
      <c r="D365" s="5"/>
      <c r="E365" s="5" t="s">
        <v>1038</v>
      </c>
      <c r="F365" s="136">
        <v>44499</v>
      </c>
      <c r="G365" s="5" t="s">
        <v>1199</v>
      </c>
      <c r="H365" s="5"/>
      <c r="I365"/>
      <c r="J365"/>
      <c r="K365"/>
      <c r="L365"/>
      <c r="M365"/>
      <c r="N365"/>
      <c r="O365"/>
      <c r="P365"/>
      <c r="Q365"/>
      <c r="R365"/>
      <c r="S365"/>
      <c r="T365"/>
      <c r="U365"/>
      <c r="V365"/>
      <c r="W365"/>
      <c r="X365"/>
      <c r="Y365"/>
    </row>
    <row r="366" spans="1:25" s="104" customFormat="1" hidden="1" x14ac:dyDescent="0.25">
      <c r="A366" s="97" t="str">
        <f t="shared" si="5"/>
        <v>PCBRTEPOCODIO_tag</v>
      </c>
      <c r="B366" s="5" t="s">
        <v>387</v>
      </c>
      <c r="C366" s="5" t="s">
        <v>70</v>
      </c>
      <c r="D366" s="5"/>
      <c r="E366" s="5" t="s">
        <v>1038</v>
      </c>
      <c r="F366" s="136">
        <v>44499</v>
      </c>
      <c r="G366" s="5" t="s">
        <v>1199</v>
      </c>
      <c r="H366" s="5"/>
      <c r="I366"/>
      <c r="J366"/>
      <c r="K366"/>
      <c r="L366"/>
      <c r="M366"/>
      <c r="N366"/>
      <c r="O366"/>
      <c r="P366"/>
      <c r="Q366"/>
      <c r="R366"/>
      <c r="S366"/>
      <c r="T366"/>
      <c r="U366"/>
      <c r="V366"/>
      <c r="W366"/>
      <c r="X366"/>
      <c r="Y366"/>
    </row>
    <row r="367" spans="1:25" s="104" customFormat="1" hidden="1" x14ac:dyDescent="0.25">
      <c r="A367" s="97" t="str">
        <f t="shared" si="5"/>
        <v>PVDD1LVCMOSM_tag</v>
      </c>
      <c r="B367" s="5" t="s">
        <v>388</v>
      </c>
      <c r="C367" s="5" t="s">
        <v>70</v>
      </c>
      <c r="D367" s="5"/>
      <c r="E367" s="5" t="s">
        <v>1038</v>
      </c>
      <c r="F367" s="136">
        <v>44499</v>
      </c>
      <c r="G367" s="5" t="s">
        <v>1199</v>
      </c>
      <c r="H367" s="5"/>
      <c r="I367"/>
      <c r="J367"/>
      <c r="K367"/>
      <c r="L367"/>
      <c r="M367"/>
      <c r="N367"/>
      <c r="O367"/>
      <c r="P367"/>
      <c r="Q367"/>
      <c r="R367"/>
      <c r="S367"/>
      <c r="T367"/>
      <c r="U367"/>
      <c r="V367"/>
      <c r="W367"/>
      <c r="X367"/>
      <c r="Y367"/>
    </row>
    <row r="368" spans="1:25" s="104" customFormat="1" hidden="1" x14ac:dyDescent="0.25">
      <c r="A368" s="97" t="str">
        <f t="shared" si="5"/>
        <v>PVDD3LVCMOSM_tag</v>
      </c>
      <c r="B368" s="5" t="s">
        <v>389</v>
      </c>
      <c r="C368" s="5" t="s">
        <v>70</v>
      </c>
      <c r="D368" s="5"/>
      <c r="E368" s="5" t="s">
        <v>1038</v>
      </c>
      <c r="F368" s="136">
        <v>44499</v>
      </c>
      <c r="G368" s="5" t="s">
        <v>1199</v>
      </c>
      <c r="H368" s="5"/>
      <c r="I368"/>
      <c r="J368"/>
      <c r="K368"/>
      <c r="L368"/>
      <c r="M368"/>
      <c r="N368"/>
      <c r="O368"/>
      <c r="P368"/>
      <c r="Q368"/>
      <c r="R368"/>
      <c r="S368"/>
      <c r="T368"/>
      <c r="U368"/>
      <c r="V368"/>
      <c r="W368"/>
      <c r="X368"/>
      <c r="Y368"/>
    </row>
    <row r="369" spans="1:25" s="104" customFormat="1" hidden="1" x14ac:dyDescent="0.25">
      <c r="A369" s="97" t="str">
        <f t="shared" si="5"/>
        <v>PRWDWUWSWEWCDGLVCMOS_tag</v>
      </c>
      <c r="B369" s="5" t="s">
        <v>395</v>
      </c>
      <c r="C369" s="5" t="s">
        <v>70</v>
      </c>
      <c r="D369" s="5"/>
      <c r="E369" s="5" t="s">
        <v>1038</v>
      </c>
      <c r="F369" s="136">
        <v>44499</v>
      </c>
      <c r="G369" s="5" t="s">
        <v>1199</v>
      </c>
      <c r="H369" s="5"/>
      <c r="I369"/>
      <c r="J369"/>
      <c r="K369"/>
      <c r="L369"/>
      <c r="M369"/>
      <c r="N369"/>
      <c r="O369"/>
      <c r="P369"/>
      <c r="Q369"/>
      <c r="R369"/>
      <c r="S369"/>
      <c r="T369"/>
      <c r="U369"/>
      <c r="V369"/>
      <c r="W369"/>
      <c r="X369"/>
      <c r="Y369"/>
    </row>
    <row r="370" spans="1:25" s="104" customFormat="1" hidden="1" x14ac:dyDescent="0.25">
      <c r="A370" s="97" t="str">
        <f t="shared" si="5"/>
        <v>PLLTS16FFCLAFRACF_tag</v>
      </c>
      <c r="B370" s="5" t="s">
        <v>78</v>
      </c>
      <c r="C370" s="5" t="s">
        <v>70</v>
      </c>
      <c r="D370" s="5"/>
      <c r="E370" s="5" t="s">
        <v>1038</v>
      </c>
      <c r="F370" s="136">
        <v>44499</v>
      </c>
      <c r="G370" s="5" t="s">
        <v>1199</v>
      </c>
      <c r="H370" s="5"/>
      <c r="I370"/>
      <c r="J370"/>
      <c r="K370"/>
      <c r="L370"/>
      <c r="M370"/>
      <c r="N370"/>
      <c r="O370"/>
      <c r="P370"/>
      <c r="Q370"/>
      <c r="R370"/>
      <c r="S370"/>
      <c r="T370"/>
      <c r="U370"/>
      <c r="V370"/>
      <c r="W370"/>
      <c r="X370"/>
      <c r="Y370"/>
    </row>
    <row r="371" spans="1:25" s="104" customFormat="1" hidden="1" x14ac:dyDescent="0.25">
      <c r="A371" s="97" t="str">
        <f t="shared" si="5"/>
        <v>PGD_tag</v>
      </c>
      <c r="B371" s="5" t="s">
        <v>11</v>
      </c>
      <c r="C371" s="5" t="s">
        <v>70</v>
      </c>
      <c r="D371" s="5"/>
      <c r="E371" s="5" t="s">
        <v>1038</v>
      </c>
      <c r="F371" s="136">
        <v>44499</v>
      </c>
      <c r="G371" s="5" t="s">
        <v>1199</v>
      </c>
      <c r="H371" s="5"/>
      <c r="I371"/>
      <c r="J371"/>
      <c r="K371"/>
      <c r="L371"/>
      <c r="M371"/>
      <c r="N371"/>
      <c r="O371"/>
      <c r="P371"/>
      <c r="Q371"/>
      <c r="R371"/>
      <c r="S371"/>
      <c r="T371"/>
      <c r="U371"/>
      <c r="V371"/>
      <c r="W371"/>
      <c r="X371"/>
      <c r="Y371"/>
    </row>
    <row r="372" spans="1:25" s="104" customFormat="1" hidden="1" x14ac:dyDescent="0.25">
      <c r="A372" s="97" t="str">
        <f t="shared" si="5"/>
        <v>N16FFC_POK_tag</v>
      </c>
      <c r="B372" s="5" t="s">
        <v>80</v>
      </c>
      <c r="C372" s="5" t="s">
        <v>70</v>
      </c>
      <c r="D372" s="5"/>
      <c r="E372" s="5" t="s">
        <v>1038</v>
      </c>
      <c r="F372" s="136">
        <v>44499</v>
      </c>
      <c r="G372" s="5" t="s">
        <v>1199</v>
      </c>
      <c r="H372" s="5"/>
      <c r="I372"/>
      <c r="J372"/>
      <c r="K372"/>
      <c r="L372"/>
      <c r="M372"/>
      <c r="N372"/>
      <c r="O372"/>
      <c r="P372"/>
      <c r="Q372"/>
      <c r="R372"/>
      <c r="S372"/>
      <c r="T372"/>
      <c r="U372"/>
      <c r="V372"/>
      <c r="W372"/>
      <c r="X372"/>
      <c r="Y372"/>
    </row>
    <row r="373" spans="1:25" s="104" customFormat="1" hidden="1" x14ac:dyDescent="0.25">
      <c r="A373" s="97" t="str">
        <f t="shared" si="5"/>
        <v>N16FFC_POKSA_tag</v>
      </c>
      <c r="B373" s="5" t="s">
        <v>83</v>
      </c>
      <c r="C373" s="5" t="s">
        <v>70</v>
      </c>
      <c r="D373" s="5"/>
      <c r="E373" s="5" t="s">
        <v>1038</v>
      </c>
      <c r="F373" s="136">
        <v>44499</v>
      </c>
      <c r="G373" s="5" t="s">
        <v>1199</v>
      </c>
      <c r="H373" s="5"/>
      <c r="I373"/>
      <c r="J373"/>
      <c r="K373"/>
      <c r="L373"/>
      <c r="M373"/>
      <c r="N373"/>
      <c r="O373"/>
      <c r="P373"/>
      <c r="Q373"/>
      <c r="R373"/>
      <c r="S373"/>
      <c r="T373"/>
      <c r="U373"/>
      <c r="V373"/>
      <c r="W373"/>
      <c r="X373"/>
      <c r="Y373"/>
    </row>
    <row r="374" spans="1:25" s="104" customFormat="1" hidden="1" x14ac:dyDescent="0.25">
      <c r="A374" s="97" t="str">
        <f t="shared" si="5"/>
        <v>TEF16FCLL256X32HD18_PHRM_tag</v>
      </c>
      <c r="B374" s="5" t="s">
        <v>74</v>
      </c>
      <c r="C374" s="5" t="s">
        <v>70</v>
      </c>
      <c r="D374" s="5"/>
      <c r="E374" s="5" t="s">
        <v>1038</v>
      </c>
      <c r="F374" s="136">
        <v>44499</v>
      </c>
      <c r="G374" s="5" t="s">
        <v>1199</v>
      </c>
      <c r="H374" s="5"/>
      <c r="I374"/>
      <c r="J374"/>
      <c r="K374"/>
      <c r="L374"/>
      <c r="M374"/>
      <c r="N374"/>
      <c r="O374"/>
      <c r="P374"/>
      <c r="Q374"/>
      <c r="R374"/>
      <c r="S374"/>
      <c r="T374"/>
      <c r="U374"/>
      <c r="V374"/>
      <c r="W374"/>
      <c r="X374"/>
      <c r="Y374"/>
    </row>
    <row r="375" spans="1:25" s="104" customFormat="1" hidden="1" x14ac:dyDescent="0.25">
      <c r="A375" s="97" t="str">
        <f t="shared" si="5"/>
        <v>DIVTS16FFC1TO128A_tag</v>
      </c>
      <c r="B375" s="5" t="s">
        <v>85</v>
      </c>
      <c r="C375" s="5" t="s">
        <v>70</v>
      </c>
      <c r="D375" s="5"/>
      <c r="E375" s="5" t="s">
        <v>1038</v>
      </c>
      <c r="F375" s="136">
        <v>44499</v>
      </c>
      <c r="G375" s="5" t="s">
        <v>1199</v>
      </c>
      <c r="H375" s="5"/>
      <c r="I375"/>
      <c r="J375"/>
      <c r="K375"/>
      <c r="L375"/>
      <c r="M375"/>
      <c r="N375"/>
      <c r="O375"/>
      <c r="P375"/>
      <c r="Q375"/>
      <c r="R375"/>
      <c r="S375"/>
      <c r="T375"/>
      <c r="U375"/>
      <c r="V375"/>
      <c r="W375"/>
      <c r="X375"/>
      <c r="Y375"/>
    </row>
    <row r="376" spans="1:25" s="104" customFormat="1" hidden="1" x14ac:dyDescent="0.25">
      <c r="A376" s="97" t="str">
        <f t="shared" si="5"/>
        <v>sd0901_rx4_tag</v>
      </c>
      <c r="B376" s="5" t="s">
        <v>607</v>
      </c>
      <c r="C376" s="5" t="s">
        <v>70</v>
      </c>
      <c r="D376" s="5"/>
      <c r="E376" s="5" t="s">
        <v>1038</v>
      </c>
      <c r="F376" s="136">
        <v>44499</v>
      </c>
      <c r="G376" s="5" t="s">
        <v>1199</v>
      </c>
      <c r="H376" s="5"/>
      <c r="I376"/>
      <c r="J376"/>
      <c r="K376"/>
      <c r="L376"/>
      <c r="M376"/>
      <c r="N376"/>
      <c r="O376"/>
      <c r="P376"/>
      <c r="Q376"/>
      <c r="R376"/>
      <c r="S376"/>
      <c r="T376"/>
      <c r="U376"/>
      <c r="V376"/>
      <c r="W376"/>
      <c r="X376"/>
      <c r="Y376"/>
    </row>
    <row r="377" spans="1:25" s="104" customFormat="1" hidden="1" x14ac:dyDescent="0.25">
      <c r="A377" s="97" t="str">
        <f t="shared" si="5"/>
        <v>sd1000_tag</v>
      </c>
      <c r="B377" s="5" t="s">
        <v>608</v>
      </c>
      <c r="C377" s="5" t="s">
        <v>70</v>
      </c>
      <c r="D377" s="5"/>
      <c r="E377" s="5" t="s">
        <v>1038</v>
      </c>
      <c r="F377" s="136">
        <v>44499</v>
      </c>
      <c r="G377" s="5" t="s">
        <v>1199</v>
      </c>
      <c r="H377" s="5"/>
      <c r="I377"/>
      <c r="J377"/>
      <c r="K377"/>
      <c r="L377"/>
      <c r="M377"/>
      <c r="N377"/>
      <c r="O377"/>
      <c r="P377"/>
      <c r="Q377"/>
      <c r="R377"/>
      <c r="S377"/>
      <c r="T377"/>
      <c r="U377"/>
      <c r="V377"/>
      <c r="W377"/>
      <c r="X377"/>
      <c r="Y377"/>
    </row>
    <row r="378" spans="1:25" s="104" customFormat="1" hidden="1" x14ac:dyDescent="0.25">
      <c r="A378" s="97" t="str">
        <f t="shared" si="5"/>
        <v>N16FFC_HFXOSC_tag</v>
      </c>
      <c r="B378" s="5" t="s">
        <v>77</v>
      </c>
      <c r="C378" s="5" t="s">
        <v>70</v>
      </c>
      <c r="D378" s="5"/>
      <c r="E378" s="5" t="s">
        <v>1038</v>
      </c>
      <c r="F378" s="136">
        <v>44499</v>
      </c>
      <c r="G378" s="5" t="s">
        <v>1199</v>
      </c>
      <c r="H378" s="5"/>
      <c r="I378"/>
      <c r="J378"/>
      <c r="K378"/>
      <c r="L378"/>
      <c r="M378"/>
      <c r="N378"/>
      <c r="O378"/>
      <c r="P378"/>
      <c r="Q378"/>
      <c r="R378"/>
      <c r="S378"/>
      <c r="T378"/>
      <c r="U378"/>
      <c r="V378"/>
      <c r="W378"/>
      <c r="X378"/>
      <c r="Y378"/>
    </row>
    <row r="379" spans="1:25" s="104" customFormat="1" hidden="1" x14ac:dyDescent="0.25">
      <c r="A379" s="97" t="str">
        <f t="shared" si="5"/>
        <v>N16FFC_LFXOSC_tag</v>
      </c>
      <c r="B379" s="5" t="s">
        <v>76</v>
      </c>
      <c r="C379" s="5" t="s">
        <v>70</v>
      </c>
      <c r="D379" s="5"/>
      <c r="E379" s="5" t="s">
        <v>1038</v>
      </c>
      <c r="F379" s="136">
        <v>44499</v>
      </c>
      <c r="G379" s="5" t="s">
        <v>1199</v>
      </c>
      <c r="H379" s="5"/>
      <c r="I379"/>
      <c r="J379"/>
      <c r="K379"/>
      <c r="L379"/>
      <c r="M379"/>
      <c r="N379"/>
      <c r="O379"/>
      <c r="P379"/>
      <c r="Q379"/>
      <c r="R379"/>
      <c r="S379"/>
      <c r="T379"/>
      <c r="U379"/>
      <c r="V379"/>
      <c r="W379"/>
      <c r="X379"/>
      <c r="Y379"/>
    </row>
    <row r="380" spans="1:25" s="104" customFormat="1" hidden="1" x14ac:dyDescent="0.25">
      <c r="A380" s="97" t="str">
        <f t="shared" si="5"/>
        <v>N16FFC_RCOSC_tag</v>
      </c>
      <c r="B380" s="5" t="s">
        <v>84</v>
      </c>
      <c r="C380" s="5" t="s">
        <v>70</v>
      </c>
      <c r="D380" s="5"/>
      <c r="E380" s="5" t="s">
        <v>1038</v>
      </c>
      <c r="F380" s="136">
        <v>44499</v>
      </c>
      <c r="G380" s="5" t="s">
        <v>1199</v>
      </c>
      <c r="H380" s="5"/>
      <c r="I380"/>
      <c r="J380"/>
      <c r="K380"/>
      <c r="L380"/>
      <c r="M380"/>
      <c r="N380"/>
      <c r="O380"/>
      <c r="P380"/>
      <c r="Q380"/>
      <c r="R380"/>
      <c r="S380"/>
      <c r="T380"/>
      <c r="U380"/>
      <c r="V380"/>
      <c r="W380"/>
      <c r="X380"/>
      <c r="Y380"/>
    </row>
    <row r="381" spans="1:25" s="104" customFormat="1" hidden="1" x14ac:dyDescent="0.25">
      <c r="A381" s="97" t="str">
        <f t="shared" si="5"/>
        <v>TODP16FFC18_C170915_tag</v>
      </c>
      <c r="B381" s="5" t="s">
        <v>75</v>
      </c>
      <c r="C381" s="5" t="s">
        <v>70</v>
      </c>
      <c r="D381" s="5"/>
      <c r="E381" s="5" t="s">
        <v>1038</v>
      </c>
      <c r="F381" s="136">
        <v>44499</v>
      </c>
      <c r="G381" s="5" t="s">
        <v>1199</v>
      </c>
      <c r="H381" s="5"/>
      <c r="I381"/>
      <c r="J381"/>
      <c r="K381"/>
      <c r="L381"/>
      <c r="M381"/>
      <c r="N381"/>
      <c r="O381"/>
      <c r="P381"/>
      <c r="Q381"/>
      <c r="R381"/>
      <c r="S381"/>
      <c r="T381"/>
      <c r="U381"/>
      <c r="V381"/>
      <c r="W381"/>
      <c r="X381"/>
      <c r="Y381"/>
    </row>
    <row r="382" spans="1:25" s="104" customFormat="1" hidden="1" x14ac:dyDescent="0.25">
      <c r="A382" s="97" t="str">
        <f t="shared" si="5"/>
        <v>N16FFC_POR_tag</v>
      </c>
      <c r="B382" s="5" t="s">
        <v>73</v>
      </c>
      <c r="C382" s="5" t="s">
        <v>70</v>
      </c>
      <c r="D382" s="5"/>
      <c r="E382" s="5" t="s">
        <v>1038</v>
      </c>
      <c r="F382" s="136">
        <v>44499</v>
      </c>
      <c r="G382" s="5" t="s">
        <v>1199</v>
      </c>
      <c r="H382" s="5"/>
      <c r="I382"/>
      <c r="J382"/>
      <c r="K382"/>
      <c r="L382"/>
      <c r="M382"/>
      <c r="N382"/>
      <c r="O382"/>
      <c r="P382"/>
      <c r="Q382"/>
      <c r="R382"/>
      <c r="S382"/>
      <c r="T382"/>
      <c r="U382"/>
      <c r="V382"/>
      <c r="W382"/>
      <c r="X382"/>
      <c r="Y382"/>
    </row>
    <row r="383" spans="1:25" s="104" customFormat="1" hidden="1" x14ac:dyDescent="0.25">
      <c r="A383" s="97" t="str">
        <f t="shared" si="5"/>
        <v>N16FFC_TEMP_DIODE_TOP_tag</v>
      </c>
      <c r="B383" s="5" t="s">
        <v>82</v>
      </c>
      <c r="C383" s="5" t="s">
        <v>70</v>
      </c>
      <c r="D383" s="5"/>
      <c r="E383" s="5" t="s">
        <v>1038</v>
      </c>
      <c r="F383" s="136">
        <v>44499</v>
      </c>
      <c r="G383" s="5" t="s">
        <v>1199</v>
      </c>
      <c r="H383" s="5"/>
      <c r="I383"/>
      <c r="J383"/>
      <c r="K383"/>
      <c r="L383"/>
      <c r="M383"/>
      <c r="N383"/>
      <c r="O383"/>
      <c r="P383"/>
      <c r="Q383"/>
      <c r="R383"/>
      <c r="S383"/>
      <c r="T383"/>
      <c r="U383"/>
      <c r="V383"/>
      <c r="W383"/>
      <c r="X383"/>
      <c r="Y383"/>
    </row>
    <row r="384" spans="1:25" s="104" customFormat="1" hidden="1" x14ac:dyDescent="0.25">
      <c r="A384" s="97" t="str">
        <f t="shared" si="5"/>
        <v>ABJSTBL5_tag</v>
      </c>
      <c r="B384" s="5" t="s">
        <v>269</v>
      </c>
      <c r="C384" s="5" t="s">
        <v>70</v>
      </c>
      <c r="D384" s="5"/>
      <c r="E384" s="5" t="s">
        <v>1038</v>
      </c>
      <c r="F384" s="136">
        <v>44499</v>
      </c>
      <c r="G384" s="5" t="s">
        <v>1199</v>
      </c>
      <c r="H384" s="5"/>
      <c r="I384"/>
      <c r="J384"/>
      <c r="K384"/>
      <c r="L384"/>
      <c r="M384"/>
      <c r="N384"/>
      <c r="O384"/>
      <c r="P384"/>
      <c r="Q384"/>
      <c r="R384"/>
      <c r="S384"/>
      <c r="T384"/>
      <c r="U384"/>
      <c r="V384"/>
      <c r="W384"/>
      <c r="X384"/>
      <c r="Y384"/>
    </row>
    <row r="385" spans="1:25" s="104" customFormat="1" hidden="1" x14ac:dyDescent="0.25">
      <c r="A385" s="97" t="str">
        <f t="shared" si="5"/>
        <v>LVDSTS16LLBI1E_tag</v>
      </c>
      <c r="B385" s="5" t="s">
        <v>81</v>
      </c>
      <c r="C385" s="5" t="s">
        <v>70</v>
      </c>
      <c r="D385" s="5"/>
      <c r="E385" s="5" t="s">
        <v>1038</v>
      </c>
      <c r="F385" s="136">
        <v>44499</v>
      </c>
      <c r="G385" s="5" t="s">
        <v>1199</v>
      </c>
      <c r="H385" s="5"/>
      <c r="I385"/>
      <c r="J385"/>
      <c r="K385"/>
      <c r="L385"/>
      <c r="M385"/>
      <c r="N385"/>
      <c r="O385"/>
      <c r="P385"/>
      <c r="Q385"/>
      <c r="R385"/>
      <c r="S385"/>
      <c r="T385"/>
      <c r="U385"/>
      <c r="V385"/>
      <c r="W385"/>
      <c r="X385"/>
      <c r="Y385"/>
    </row>
    <row r="386" spans="1:25" s="104" customFormat="1" hidden="1" x14ac:dyDescent="0.25">
      <c r="A386" s="97" t="str">
        <f t="shared" si="5"/>
        <v>canfd_tag</v>
      </c>
      <c r="B386" s="5" t="s">
        <v>655</v>
      </c>
      <c r="C386" s="5" t="s">
        <v>70</v>
      </c>
      <c r="D386" s="5"/>
      <c r="E386" s="5" t="s">
        <v>1038</v>
      </c>
      <c r="F386" s="136">
        <v>44499</v>
      </c>
      <c r="G386" s="5" t="s">
        <v>1199</v>
      </c>
      <c r="H386" s="5"/>
      <c r="I386"/>
      <c r="J386"/>
      <c r="K386"/>
      <c r="L386"/>
      <c r="M386"/>
      <c r="N386"/>
      <c r="O386"/>
      <c r="P386"/>
      <c r="Q386"/>
      <c r="R386"/>
      <c r="S386"/>
      <c r="T386"/>
      <c r="U386"/>
      <c r="V386"/>
      <c r="W386"/>
      <c r="X386"/>
      <c r="Y386"/>
    </row>
    <row r="387" spans="1:25" s="104" customFormat="1" hidden="1" x14ac:dyDescent="0.25">
      <c r="A387" s="97" t="str">
        <f t="shared" si="5"/>
        <v>gpmc_tag</v>
      </c>
      <c r="B387" s="5" t="s">
        <v>653</v>
      </c>
      <c r="C387" s="5" t="s">
        <v>70</v>
      </c>
      <c r="D387" s="5"/>
      <c r="E387" s="5" t="s">
        <v>1038</v>
      </c>
      <c r="F387" s="136">
        <v>44499</v>
      </c>
      <c r="G387" s="5" t="s">
        <v>1199</v>
      </c>
      <c r="H387" s="5"/>
      <c r="I387"/>
      <c r="J387"/>
      <c r="K387"/>
      <c r="L387"/>
      <c r="M387"/>
      <c r="N387"/>
      <c r="O387"/>
      <c r="P387"/>
      <c r="Q387"/>
      <c r="R387"/>
      <c r="S387"/>
      <c r="T387"/>
      <c r="U387"/>
      <c r="V387"/>
      <c r="W387"/>
      <c r="X387"/>
      <c r="Y387"/>
    </row>
    <row r="388" spans="1:25" s="104" customFormat="1" hidden="1" x14ac:dyDescent="0.25">
      <c r="A388" s="97" t="str">
        <f t="shared" si="5"/>
        <v>mcasp_tag</v>
      </c>
      <c r="B388" s="5" t="s">
        <v>874</v>
      </c>
      <c r="C388" s="5" t="s">
        <v>70</v>
      </c>
      <c r="D388" s="5"/>
      <c r="E388" s="5" t="s">
        <v>1038</v>
      </c>
      <c r="F388" s="136">
        <v>44499</v>
      </c>
      <c r="G388" s="5" t="s">
        <v>1199</v>
      </c>
      <c r="H388" s="5"/>
      <c r="I388"/>
      <c r="J388"/>
      <c r="K388"/>
      <c r="L388"/>
      <c r="M388"/>
      <c r="N388"/>
      <c r="O388"/>
      <c r="P388"/>
      <c r="Q388"/>
      <c r="R388"/>
      <c r="S388"/>
      <c r="T388"/>
      <c r="U388"/>
      <c r="V388"/>
      <c r="W388"/>
      <c r="X388"/>
      <c r="Y388"/>
    </row>
    <row r="389" spans="1:25" s="104" customFormat="1" hidden="1" x14ac:dyDescent="0.25">
      <c r="A389" s="97" t="str">
        <f t="shared" si="5"/>
        <v>uart_tag</v>
      </c>
      <c r="B389" s="5" t="s">
        <v>918</v>
      </c>
      <c r="C389" s="5" t="s">
        <v>70</v>
      </c>
      <c r="D389" s="5"/>
      <c r="E389" s="5" t="s">
        <v>1038</v>
      </c>
      <c r="F389" s="136">
        <v>44499</v>
      </c>
      <c r="G389" s="5" t="s">
        <v>1199</v>
      </c>
      <c r="H389" s="5"/>
      <c r="I389"/>
      <c r="J389"/>
      <c r="K389"/>
      <c r="L389"/>
      <c r="M389"/>
      <c r="N389"/>
      <c r="O389"/>
      <c r="P389"/>
      <c r="Q389"/>
      <c r="R389"/>
      <c r="S389"/>
      <c r="T389"/>
      <c r="U389"/>
      <c r="V389"/>
      <c r="W389"/>
      <c r="X389"/>
      <c r="Y389"/>
    </row>
    <row r="390" spans="1:25" s="104" customFormat="1" hidden="1" x14ac:dyDescent="0.25">
      <c r="A390" s="97" t="str">
        <f t="shared" si="5"/>
        <v>uart_modem_tag</v>
      </c>
      <c r="B390" s="5" t="s">
        <v>928</v>
      </c>
      <c r="C390" s="5" t="s">
        <v>70</v>
      </c>
      <c r="D390" s="5"/>
      <c r="E390" s="5" t="s">
        <v>1038</v>
      </c>
      <c r="F390" s="136">
        <v>44499</v>
      </c>
      <c r="G390" s="5" t="s">
        <v>1199</v>
      </c>
      <c r="H390" s="5"/>
      <c r="I390"/>
      <c r="J390"/>
      <c r="K390"/>
      <c r="L390"/>
      <c r="M390"/>
      <c r="N390"/>
      <c r="O390"/>
      <c r="P390"/>
      <c r="Q390"/>
      <c r="R390"/>
      <c r="S390"/>
      <c r="T390"/>
      <c r="U390"/>
      <c r="V390"/>
      <c r="W390"/>
      <c r="X390"/>
      <c r="Y390"/>
    </row>
    <row r="391" spans="1:25" s="104" customFormat="1" hidden="1" x14ac:dyDescent="0.25">
      <c r="A391" s="97" t="str">
        <f t="shared" si="5"/>
        <v>dpi_tag</v>
      </c>
      <c r="B391" s="5" t="s">
        <v>699</v>
      </c>
      <c r="C391" s="5" t="s">
        <v>70</v>
      </c>
      <c r="D391" s="5"/>
      <c r="E391" s="5" t="s">
        <v>1038</v>
      </c>
      <c r="F391" s="136">
        <v>44499</v>
      </c>
      <c r="G391" s="5" t="s">
        <v>1199</v>
      </c>
      <c r="H391" s="5"/>
      <c r="I391"/>
      <c r="J391"/>
      <c r="K391"/>
      <c r="L391"/>
      <c r="M391"/>
      <c r="N391"/>
      <c r="O391"/>
      <c r="P391"/>
      <c r="Q391"/>
      <c r="R391"/>
      <c r="S391"/>
      <c r="T391"/>
      <c r="U391"/>
      <c r="V391"/>
      <c r="W391"/>
      <c r="X391"/>
      <c r="Y391"/>
    </row>
    <row r="392" spans="1:25" s="104" customFormat="1" hidden="1" x14ac:dyDescent="0.25">
      <c r="A392" s="97" t="str">
        <f t="shared" si="5"/>
        <v>i2c_od_tag</v>
      </c>
      <c r="B392" s="5" t="s">
        <v>907</v>
      </c>
      <c r="C392" s="5" t="s">
        <v>70</v>
      </c>
      <c r="D392" s="5"/>
      <c r="E392" s="5" t="s">
        <v>1038</v>
      </c>
      <c r="F392" s="136">
        <v>44499</v>
      </c>
      <c r="G392" s="5" t="s">
        <v>1199</v>
      </c>
      <c r="H392" s="5"/>
      <c r="I392"/>
      <c r="J392"/>
      <c r="K392"/>
      <c r="L392"/>
      <c r="M392"/>
      <c r="N392"/>
      <c r="O392"/>
      <c r="P392"/>
      <c r="Q392"/>
      <c r="R392"/>
      <c r="S392"/>
      <c r="T392"/>
      <c r="U392"/>
      <c r="V392"/>
      <c r="W392"/>
      <c r="X392"/>
      <c r="Y392"/>
    </row>
    <row r="393" spans="1:25" s="104" customFormat="1" hidden="1" x14ac:dyDescent="0.25">
      <c r="A393" s="97" t="str">
        <f t="shared" si="5"/>
        <v>i2c_tag</v>
      </c>
      <c r="B393" s="5" t="s">
        <v>906</v>
      </c>
      <c r="C393" s="5" t="s">
        <v>70</v>
      </c>
      <c r="D393" s="5"/>
      <c r="E393" s="5" t="s">
        <v>1038</v>
      </c>
      <c r="F393" s="136">
        <v>44499</v>
      </c>
      <c r="G393" s="5" t="s">
        <v>1199</v>
      </c>
      <c r="H393" s="5"/>
      <c r="I393"/>
      <c r="J393"/>
      <c r="K393"/>
      <c r="L393"/>
      <c r="M393"/>
      <c r="N393"/>
      <c r="O393"/>
      <c r="P393"/>
      <c r="Q393"/>
      <c r="R393"/>
      <c r="S393"/>
      <c r="T393"/>
      <c r="U393"/>
      <c r="V393"/>
      <c r="W393"/>
      <c r="X393"/>
      <c r="Y393"/>
    </row>
    <row r="394" spans="1:25" s="104" customFormat="1" hidden="1" x14ac:dyDescent="0.25">
      <c r="A394" s="97" t="str">
        <f t="shared" si="5"/>
        <v>epwm_tag</v>
      </c>
      <c r="B394" s="5" t="s">
        <v>967</v>
      </c>
      <c r="C394" s="5" t="s">
        <v>70</v>
      </c>
      <c r="D394" s="5"/>
      <c r="E394" s="5" t="s">
        <v>1038</v>
      </c>
      <c r="F394" s="136">
        <v>44499</v>
      </c>
      <c r="G394" s="5" t="s">
        <v>1199</v>
      </c>
      <c r="H394" s="5"/>
      <c r="I394"/>
      <c r="J394"/>
      <c r="K394"/>
      <c r="L394"/>
      <c r="M394"/>
      <c r="N394"/>
      <c r="O394"/>
      <c r="P394"/>
      <c r="Q394"/>
      <c r="R394"/>
      <c r="S394"/>
      <c r="T394"/>
      <c r="U394"/>
      <c r="V394"/>
      <c r="W394"/>
      <c r="X394"/>
      <c r="Y394"/>
    </row>
    <row r="395" spans="1:25" s="104" customFormat="1" hidden="1" x14ac:dyDescent="0.25">
      <c r="A395" s="97" t="str">
        <f t="shared" si="5"/>
        <v>fssul_tag</v>
      </c>
      <c r="B395" s="5" t="s">
        <v>689</v>
      </c>
      <c r="C395" s="5" t="s">
        <v>70</v>
      </c>
      <c r="D395" s="5"/>
      <c r="E395" s="5" t="s">
        <v>1038</v>
      </c>
      <c r="F395" s="136">
        <v>44499</v>
      </c>
      <c r="G395" s="5" t="s">
        <v>1199</v>
      </c>
      <c r="H395" s="5"/>
      <c r="I395"/>
      <c r="J395"/>
      <c r="K395"/>
      <c r="L395"/>
      <c r="M395"/>
      <c r="N395"/>
      <c r="O395"/>
      <c r="P395"/>
      <c r="Q395"/>
      <c r="R395"/>
      <c r="S395"/>
      <c r="T395"/>
      <c r="U395"/>
      <c r="V395"/>
      <c r="W395"/>
      <c r="X395"/>
      <c r="Y395"/>
    </row>
    <row r="396" spans="1:25" s="104" customFormat="1" hidden="1" x14ac:dyDescent="0.25">
      <c r="A396" s="97" t="str">
        <f t="shared" si="5"/>
        <v>ecap_tag</v>
      </c>
      <c r="B396" s="5" t="s">
        <v>938</v>
      </c>
      <c r="C396" s="5" t="s">
        <v>70</v>
      </c>
      <c r="D396" s="5"/>
      <c r="E396" s="5" t="s">
        <v>1038</v>
      </c>
      <c r="F396" s="136">
        <v>44499</v>
      </c>
      <c r="G396" s="5" t="s">
        <v>1199</v>
      </c>
      <c r="H396" s="5"/>
      <c r="I396"/>
      <c r="J396"/>
      <c r="K396"/>
      <c r="L396"/>
      <c r="M396"/>
      <c r="N396"/>
      <c r="O396"/>
      <c r="P396"/>
      <c r="Q396"/>
      <c r="R396"/>
      <c r="S396"/>
      <c r="T396"/>
      <c r="U396"/>
      <c r="V396"/>
      <c r="W396"/>
      <c r="X396"/>
      <c r="Y396"/>
    </row>
    <row r="397" spans="1:25" s="104" customFormat="1" hidden="1" x14ac:dyDescent="0.25">
      <c r="A397" s="97" t="str">
        <f t="shared" si="5"/>
        <v>eqep_tag</v>
      </c>
      <c r="B397" s="5" t="s">
        <v>937</v>
      </c>
      <c r="C397" s="5" t="s">
        <v>70</v>
      </c>
      <c r="D397" s="5"/>
      <c r="E397" s="5" t="s">
        <v>1038</v>
      </c>
      <c r="F397" s="136">
        <v>44499</v>
      </c>
      <c r="G397" s="5" t="s">
        <v>1199</v>
      </c>
      <c r="H397" s="5"/>
      <c r="I397"/>
      <c r="J397"/>
      <c r="K397"/>
      <c r="L397"/>
      <c r="M397"/>
      <c r="N397"/>
      <c r="O397"/>
      <c r="P397"/>
      <c r="Q397"/>
      <c r="R397"/>
      <c r="S397"/>
      <c r="T397"/>
      <c r="U397"/>
      <c r="V397"/>
      <c r="W397"/>
      <c r="X397"/>
      <c r="Y397"/>
    </row>
    <row r="398" spans="1:25" s="104" customFormat="1" hidden="1" x14ac:dyDescent="0.25">
      <c r="A398" s="97" t="str">
        <f t="shared" si="5"/>
        <v>ethernet_tag</v>
      </c>
      <c r="B398" s="5" t="s">
        <v>649</v>
      </c>
      <c r="C398" s="5" t="s">
        <v>70</v>
      </c>
      <c r="D398" s="5"/>
      <c r="E398" s="5" t="s">
        <v>1038</v>
      </c>
      <c r="F398" s="136">
        <v>44499</v>
      </c>
      <c r="G398" s="5" t="s">
        <v>1199</v>
      </c>
      <c r="H398" s="5"/>
      <c r="I398"/>
      <c r="J398"/>
      <c r="K398"/>
      <c r="L398"/>
      <c r="M398"/>
      <c r="N398"/>
      <c r="O398"/>
      <c r="P398"/>
      <c r="Q398"/>
      <c r="R398"/>
      <c r="S398"/>
      <c r="T398"/>
      <c r="U398"/>
      <c r="V398"/>
      <c r="W398"/>
      <c r="X398"/>
      <c r="Y398"/>
    </row>
    <row r="399" spans="1:25" s="104" customFormat="1" hidden="1" x14ac:dyDescent="0.25">
      <c r="A399" s="97" t="str">
        <f t="shared" si="5"/>
        <v>icssm_tag</v>
      </c>
      <c r="B399" s="5" t="s">
        <v>643</v>
      </c>
      <c r="C399" s="5" t="s">
        <v>70</v>
      </c>
      <c r="D399" s="5"/>
      <c r="E399" s="5" t="s">
        <v>1038</v>
      </c>
      <c r="F399" s="136">
        <v>44499</v>
      </c>
      <c r="G399" s="5" t="s">
        <v>1199</v>
      </c>
      <c r="H399" s="5"/>
      <c r="I399"/>
      <c r="J399"/>
      <c r="K399"/>
      <c r="L399"/>
      <c r="M399"/>
      <c r="N399"/>
      <c r="O399"/>
      <c r="P399"/>
      <c r="Q399"/>
      <c r="R399"/>
      <c r="S399"/>
      <c r="T399"/>
      <c r="U399"/>
      <c r="V399"/>
      <c r="W399"/>
      <c r="X399"/>
      <c r="Y399"/>
    </row>
    <row r="400" spans="1:25" s="104" customFormat="1" hidden="1" x14ac:dyDescent="0.25">
      <c r="A400" s="97" t="str">
        <f t="shared" si="5"/>
        <v>spi_tag</v>
      </c>
      <c r="B400" s="5" t="s">
        <v>898</v>
      </c>
      <c r="C400" s="5" t="s">
        <v>70</v>
      </c>
      <c r="D400" s="5"/>
      <c r="E400" s="5" t="s">
        <v>1038</v>
      </c>
      <c r="F400" s="136">
        <v>44499</v>
      </c>
      <c r="G400" s="5" t="s">
        <v>1199</v>
      </c>
      <c r="H400" s="5"/>
      <c r="I400"/>
      <c r="J400"/>
      <c r="K400"/>
      <c r="L400"/>
      <c r="M400"/>
      <c r="N400"/>
      <c r="O400"/>
      <c r="P400"/>
      <c r="Q400"/>
      <c r="R400"/>
      <c r="S400"/>
      <c r="T400"/>
      <c r="U400"/>
      <c r="V400"/>
      <c r="W400"/>
      <c r="X400"/>
      <c r="Y400"/>
    </row>
    <row r="401" spans="1:25" s="104" customFormat="1" hidden="1" x14ac:dyDescent="0.25">
      <c r="A401" s="97" t="str">
        <f t="shared" ref="A401:A464" si="6">B401&amp;"_"&amp;C401</f>
        <v>gpio_tag</v>
      </c>
      <c r="B401" s="5" t="s">
        <v>969</v>
      </c>
      <c r="C401" s="5" t="s">
        <v>70</v>
      </c>
      <c r="D401" s="5"/>
      <c r="E401" s="5" t="s">
        <v>1038</v>
      </c>
      <c r="F401" s="136">
        <v>44499</v>
      </c>
      <c r="G401" s="5" t="s">
        <v>1199</v>
      </c>
      <c r="H401" s="5"/>
      <c r="I401"/>
      <c r="J401"/>
      <c r="K401"/>
      <c r="L401"/>
      <c r="M401"/>
      <c r="N401"/>
      <c r="O401"/>
      <c r="P401"/>
      <c r="Q401"/>
      <c r="R401"/>
      <c r="S401"/>
      <c r="T401"/>
      <c r="U401"/>
      <c r="V401"/>
      <c r="W401"/>
      <c r="X401"/>
      <c r="Y401"/>
    </row>
    <row r="402" spans="1:25" s="104" customFormat="1" hidden="1" x14ac:dyDescent="0.25">
      <c r="A402" s="97" t="str">
        <f t="shared" si="6"/>
        <v>PRWDWUWSWEWCDGSDIO_tag</v>
      </c>
      <c r="B402" s="5" t="s">
        <v>396</v>
      </c>
      <c r="C402" s="5" t="s">
        <v>70</v>
      </c>
      <c r="D402" s="5"/>
      <c r="E402" s="5" t="s">
        <v>1038</v>
      </c>
      <c r="F402" s="136">
        <v>44499</v>
      </c>
      <c r="G402" s="5" t="s">
        <v>1199</v>
      </c>
      <c r="H402" s="5"/>
      <c r="I402"/>
      <c r="J402"/>
      <c r="K402"/>
      <c r="L402"/>
      <c r="M402"/>
      <c r="N402"/>
      <c r="O402"/>
      <c r="P402"/>
      <c r="Q402"/>
      <c r="R402"/>
      <c r="S402"/>
      <c r="T402"/>
      <c r="U402"/>
      <c r="V402"/>
      <c r="W402"/>
      <c r="X402"/>
      <c r="Y402"/>
    </row>
    <row r="403" spans="1:25" s="104" customFormat="1" x14ac:dyDescent="0.25">
      <c r="A403" s="97" t="str">
        <f t="shared" si="6"/>
        <v>ddr16_1600_ios_tag</v>
      </c>
      <c r="B403" s="5" t="s">
        <v>620</v>
      </c>
      <c r="C403" s="5" t="s">
        <v>70</v>
      </c>
      <c r="D403" s="5"/>
      <c r="E403" s="5" t="s">
        <v>1038</v>
      </c>
      <c r="F403" s="136">
        <v>44499</v>
      </c>
      <c r="G403" s="5" t="s">
        <v>1199</v>
      </c>
      <c r="H403" s="5"/>
      <c r="I403"/>
      <c r="J403"/>
      <c r="K403"/>
      <c r="L403"/>
      <c r="M403"/>
      <c r="N403"/>
      <c r="O403"/>
      <c r="P403"/>
      <c r="Q403"/>
      <c r="R403"/>
      <c r="S403"/>
      <c r="T403"/>
      <c r="U403"/>
      <c r="V403"/>
      <c r="W403"/>
      <c r="X403"/>
      <c r="Y403"/>
    </row>
    <row r="404" spans="1:25" s="104" customFormat="1" hidden="1" x14ac:dyDescent="0.25">
      <c r="A404" s="97" t="str">
        <f t="shared" si="6"/>
        <v>sam62_m4ss_wrap_tag</v>
      </c>
      <c r="B404" s="97" t="s">
        <v>219</v>
      </c>
      <c r="C404" s="97" t="s">
        <v>70</v>
      </c>
      <c r="D404" s="97"/>
      <c r="E404" s="97" t="s">
        <v>1072</v>
      </c>
      <c r="F404" s="97" t="s">
        <v>1211</v>
      </c>
      <c r="G404" s="97" t="s">
        <v>1080</v>
      </c>
      <c r="H404" s="97" t="s">
        <v>352</v>
      </c>
      <c r="I404"/>
      <c r="J404"/>
      <c r="K404"/>
      <c r="L404"/>
      <c r="M404"/>
      <c r="N404"/>
      <c r="O404"/>
      <c r="P404"/>
      <c r="Q404"/>
      <c r="R404"/>
      <c r="S404"/>
      <c r="T404"/>
      <c r="U404"/>
      <c r="V404"/>
      <c r="W404"/>
      <c r="X404"/>
      <c r="Y404"/>
    </row>
    <row r="405" spans="1:25" s="104" customFormat="1" hidden="1" x14ac:dyDescent="0.25">
      <c r="A405" s="97" t="str">
        <f t="shared" si="6"/>
        <v>sam62_dm_wrap_tag</v>
      </c>
      <c r="B405" s="97" t="s">
        <v>237</v>
      </c>
      <c r="C405" s="97" t="s">
        <v>70</v>
      </c>
      <c r="D405" s="97"/>
      <c r="E405" s="97" t="s">
        <v>1072</v>
      </c>
      <c r="F405" s="97" t="s">
        <v>1211</v>
      </c>
      <c r="G405" s="97" t="s">
        <v>1080</v>
      </c>
      <c r="H405" s="97" t="s">
        <v>352</v>
      </c>
      <c r="I405"/>
      <c r="J405"/>
      <c r="K405"/>
      <c r="L405"/>
      <c r="M405"/>
      <c r="N405"/>
      <c r="O405"/>
      <c r="P405"/>
      <c r="Q405"/>
      <c r="R405"/>
      <c r="S405"/>
      <c r="T405"/>
      <c r="U405"/>
      <c r="V405"/>
      <c r="W405"/>
      <c r="X405"/>
      <c r="Y405"/>
    </row>
    <row r="406" spans="1:25" s="104" customFormat="1" hidden="1" x14ac:dyDescent="0.25">
      <c r="A406" s="97" t="str">
        <f t="shared" si="6"/>
        <v>sam62_a53_dual_wrap_cba_cpu_phys_tag</v>
      </c>
      <c r="B406" s="97" t="s">
        <v>274</v>
      </c>
      <c r="C406" s="97" t="s">
        <v>70</v>
      </c>
      <c r="D406" s="97"/>
      <c r="E406" s="97" t="s">
        <v>1072</v>
      </c>
      <c r="F406" s="97" t="s">
        <v>1211</v>
      </c>
      <c r="G406" s="97" t="s">
        <v>1080</v>
      </c>
      <c r="H406" s="97" t="s">
        <v>340</v>
      </c>
      <c r="I406"/>
      <c r="J406"/>
      <c r="K406"/>
      <c r="L406"/>
      <c r="M406"/>
      <c r="N406"/>
      <c r="O406"/>
      <c r="P406"/>
      <c r="Q406"/>
      <c r="R406"/>
      <c r="S406"/>
      <c r="T406"/>
      <c r="U406"/>
      <c r="V406"/>
      <c r="W406"/>
      <c r="X406"/>
      <c r="Y406"/>
    </row>
    <row r="407" spans="1:25" s="104" customFormat="1" hidden="1" x14ac:dyDescent="0.25">
      <c r="A407" s="97" t="str">
        <f t="shared" si="6"/>
        <v>sam62_a53_512kb_wrap_tag</v>
      </c>
      <c r="B407" s="97" t="s">
        <v>270</v>
      </c>
      <c r="C407" s="97" t="s">
        <v>70</v>
      </c>
      <c r="D407" s="97"/>
      <c r="E407" s="97" t="s">
        <v>1072</v>
      </c>
      <c r="F407" s="97" t="s">
        <v>1211</v>
      </c>
      <c r="G407" s="97" t="s">
        <v>1080</v>
      </c>
      <c r="H407" s="97" t="s">
        <v>340</v>
      </c>
      <c r="I407"/>
      <c r="J407"/>
      <c r="K407"/>
      <c r="L407"/>
      <c r="M407"/>
      <c r="N407"/>
      <c r="O407"/>
      <c r="P407"/>
      <c r="Q407"/>
      <c r="R407"/>
      <c r="S407"/>
      <c r="T407"/>
      <c r="U407"/>
      <c r="V407"/>
      <c r="W407"/>
      <c r="X407"/>
      <c r="Y407"/>
    </row>
    <row r="408" spans="1:25" s="104" customFormat="1" hidden="1" x14ac:dyDescent="0.25">
      <c r="A408" s="97" t="str">
        <f t="shared" si="6"/>
        <v>sam62_cpsw3_wrap_tag</v>
      </c>
      <c r="B408" s="97" t="s">
        <v>216</v>
      </c>
      <c r="C408" s="97" t="s">
        <v>70</v>
      </c>
      <c r="D408" s="97"/>
      <c r="E408" s="97" t="s">
        <v>1072</v>
      </c>
      <c r="F408" s="97" t="s">
        <v>1211</v>
      </c>
      <c r="G408" s="97" t="s">
        <v>1080</v>
      </c>
      <c r="H408" s="97" t="s">
        <v>352</v>
      </c>
      <c r="I408"/>
      <c r="J408"/>
      <c r="K408"/>
      <c r="L408"/>
      <c r="M408"/>
      <c r="N408"/>
      <c r="O408"/>
      <c r="P408"/>
      <c r="Q408"/>
      <c r="R408"/>
      <c r="S408"/>
      <c r="T408"/>
      <c r="U408"/>
      <c r="V408"/>
      <c r="W408"/>
      <c r="X408"/>
      <c r="Y408"/>
    </row>
    <row r="409" spans="1:25" s="104" customFormat="1" hidden="1" x14ac:dyDescent="0.25">
      <c r="A409" s="97" t="str">
        <f t="shared" si="6"/>
        <v>sam62_icss_m_wrap_tag</v>
      </c>
      <c r="B409" s="97" t="s">
        <v>209</v>
      </c>
      <c r="C409" s="97" t="s">
        <v>70</v>
      </c>
      <c r="D409" s="97"/>
      <c r="E409" s="97" t="s">
        <v>1072</v>
      </c>
      <c r="F409" s="97" t="s">
        <v>1211</v>
      </c>
      <c r="G409" s="97" t="s">
        <v>1080</v>
      </c>
      <c r="H409" s="97" t="s">
        <v>352</v>
      </c>
      <c r="I409"/>
      <c r="J409"/>
      <c r="K409"/>
      <c r="L409"/>
      <c r="M409"/>
      <c r="N409"/>
      <c r="O409"/>
      <c r="P409"/>
      <c r="Q409"/>
      <c r="R409"/>
      <c r="S409"/>
      <c r="T409"/>
      <c r="U409"/>
      <c r="V409"/>
      <c r="W409"/>
      <c r="X409"/>
      <c r="Y409"/>
    </row>
    <row r="410" spans="1:25" s="104" customFormat="1" hidden="1" x14ac:dyDescent="0.25">
      <c r="A410" s="97" t="str">
        <f t="shared" si="6"/>
        <v>sam62_dss_oldi_wrap_tag</v>
      </c>
      <c r="B410" s="97" t="s">
        <v>214</v>
      </c>
      <c r="C410" s="97" t="s">
        <v>70</v>
      </c>
      <c r="D410" s="97"/>
      <c r="E410" s="97" t="s">
        <v>1072</v>
      </c>
      <c r="F410" s="97" t="s">
        <v>1211</v>
      </c>
      <c r="G410" s="97" t="s">
        <v>1080</v>
      </c>
      <c r="H410" s="97" t="s">
        <v>352</v>
      </c>
      <c r="I410"/>
      <c r="J410"/>
      <c r="K410"/>
      <c r="L410"/>
      <c r="M410"/>
      <c r="N410"/>
      <c r="O410"/>
      <c r="P410"/>
      <c r="Q410"/>
      <c r="R410"/>
      <c r="S410"/>
      <c r="T410"/>
      <c r="U410"/>
      <c r="V410"/>
      <c r="W410"/>
      <c r="X410"/>
      <c r="Y410"/>
    </row>
    <row r="411" spans="1:25" s="104" customFormat="1" hidden="1" x14ac:dyDescent="0.25">
      <c r="A411" s="97" t="str">
        <f t="shared" si="6"/>
        <v>sam62_k3_gpu_axe116m_wrap_tag</v>
      </c>
      <c r="B411" s="97" t="s">
        <v>242</v>
      </c>
      <c r="C411" s="97" t="s">
        <v>70</v>
      </c>
      <c r="D411" s="97"/>
      <c r="E411" s="97" t="s">
        <v>1072</v>
      </c>
      <c r="F411" s="97" t="s">
        <v>1211</v>
      </c>
      <c r="G411" s="97" t="s">
        <v>1080</v>
      </c>
      <c r="H411" s="97" t="s">
        <v>352</v>
      </c>
      <c r="I411"/>
      <c r="J411"/>
      <c r="K411"/>
      <c r="L411"/>
      <c r="M411"/>
      <c r="N411"/>
      <c r="O411"/>
      <c r="P411"/>
      <c r="Q411"/>
      <c r="R411"/>
      <c r="S411"/>
      <c r="T411"/>
      <c r="U411"/>
      <c r="V411"/>
      <c r="W411"/>
      <c r="X411"/>
      <c r="Y411"/>
    </row>
    <row r="412" spans="1:25" s="104" customFormat="1" hidden="1" x14ac:dyDescent="0.25">
      <c r="A412" s="97" t="str">
        <f t="shared" si="6"/>
        <v>sam62_mcasp_wrap_tag</v>
      </c>
      <c r="B412" s="97" t="s">
        <v>208</v>
      </c>
      <c r="C412" s="97" t="s">
        <v>70</v>
      </c>
      <c r="D412" s="97"/>
      <c r="E412" s="97" t="s">
        <v>1072</v>
      </c>
      <c r="F412" s="97" t="s">
        <v>1211</v>
      </c>
      <c r="G412" s="97" t="s">
        <v>1080</v>
      </c>
      <c r="H412" s="97" t="s">
        <v>352</v>
      </c>
      <c r="I412"/>
      <c r="J412"/>
      <c r="K412"/>
      <c r="L412"/>
      <c r="M412"/>
      <c r="N412"/>
      <c r="O412"/>
      <c r="P412"/>
      <c r="Q412"/>
      <c r="R412"/>
      <c r="S412"/>
      <c r="T412"/>
      <c r="U412"/>
      <c r="V412"/>
      <c r="W412"/>
      <c r="X412"/>
      <c r="Y412"/>
    </row>
    <row r="413" spans="1:25" s="104" customFormat="1" hidden="1" x14ac:dyDescent="0.25">
      <c r="A413" s="97" t="str">
        <f t="shared" si="6"/>
        <v>sam62_csirx_wrap_tag</v>
      </c>
      <c r="B413" s="97" t="s">
        <v>239</v>
      </c>
      <c r="C413" s="97" t="s">
        <v>70</v>
      </c>
      <c r="D413" s="97"/>
      <c r="E413" s="97" t="s">
        <v>1072</v>
      </c>
      <c r="F413" s="97" t="s">
        <v>1211</v>
      </c>
      <c r="G413" s="97" t="s">
        <v>1080</v>
      </c>
      <c r="H413" s="97" t="s">
        <v>352</v>
      </c>
      <c r="I413"/>
      <c r="J413"/>
      <c r="K413"/>
      <c r="L413"/>
      <c r="M413"/>
      <c r="N413"/>
      <c r="O413"/>
      <c r="P413"/>
      <c r="Q413"/>
      <c r="R413"/>
      <c r="S413"/>
      <c r="T413"/>
      <c r="U413"/>
      <c r="V413"/>
      <c r="W413"/>
      <c r="X413"/>
      <c r="Y413"/>
    </row>
    <row r="414" spans="1:25" s="104" customFormat="1" hidden="1" x14ac:dyDescent="0.25">
      <c r="A414" s="97" t="str">
        <f t="shared" si="6"/>
        <v>sam62_usb2_wrap_tag</v>
      </c>
      <c r="B414" s="97" t="s">
        <v>207</v>
      </c>
      <c r="C414" s="97" t="s">
        <v>70</v>
      </c>
      <c r="D414" s="97"/>
      <c r="E414" s="97" t="s">
        <v>1072</v>
      </c>
      <c r="F414" s="97" t="s">
        <v>1211</v>
      </c>
      <c r="G414" s="97" t="s">
        <v>1080</v>
      </c>
      <c r="H414" s="97" t="s">
        <v>340</v>
      </c>
      <c r="I414"/>
      <c r="J414"/>
      <c r="K414"/>
      <c r="L414"/>
      <c r="M414"/>
      <c r="N414"/>
      <c r="O414"/>
      <c r="P414"/>
      <c r="Q414"/>
      <c r="R414"/>
      <c r="S414"/>
      <c r="T414"/>
      <c r="U414"/>
      <c r="V414"/>
      <c r="W414"/>
      <c r="X414"/>
      <c r="Y414"/>
    </row>
    <row r="415" spans="1:25" s="104" customFormat="1" hidden="1" x14ac:dyDescent="0.25">
      <c r="A415" s="97" t="str">
        <f t="shared" si="6"/>
        <v>sam62_emmc_4bit_wrap_tag</v>
      </c>
      <c r="B415" s="97" t="s">
        <v>240</v>
      </c>
      <c r="C415" s="97" t="s">
        <v>70</v>
      </c>
      <c r="D415" s="97"/>
      <c r="E415" s="97" t="s">
        <v>1072</v>
      </c>
      <c r="F415" s="97" t="s">
        <v>1211</v>
      </c>
      <c r="G415" s="97" t="s">
        <v>1080</v>
      </c>
      <c r="H415" s="97" t="s">
        <v>352</v>
      </c>
      <c r="I415"/>
      <c r="J415"/>
      <c r="K415"/>
      <c r="L415"/>
      <c r="M415"/>
      <c r="N415"/>
      <c r="O415"/>
      <c r="P415"/>
      <c r="Q415"/>
      <c r="R415"/>
      <c r="S415"/>
      <c r="T415"/>
      <c r="U415"/>
      <c r="V415"/>
      <c r="W415"/>
      <c r="X415"/>
      <c r="Y415"/>
    </row>
    <row r="416" spans="1:25" s="104" customFormat="1" hidden="1" x14ac:dyDescent="0.25">
      <c r="A416" s="97" t="str">
        <f t="shared" si="6"/>
        <v>sam62_emmc_8bit_wrap_tag</v>
      </c>
      <c r="B416" s="97" t="s">
        <v>241</v>
      </c>
      <c r="C416" s="97" t="s">
        <v>70</v>
      </c>
      <c r="D416" s="97"/>
      <c r="E416" s="97" t="s">
        <v>1072</v>
      </c>
      <c r="F416" s="97" t="s">
        <v>1211</v>
      </c>
      <c r="G416" s="97" t="s">
        <v>1080</v>
      </c>
      <c r="H416" s="97" t="s">
        <v>352</v>
      </c>
      <c r="I416"/>
      <c r="J416"/>
      <c r="K416"/>
      <c r="L416"/>
      <c r="M416"/>
      <c r="N416"/>
      <c r="O416"/>
      <c r="P416"/>
      <c r="Q416"/>
      <c r="R416"/>
      <c r="S416"/>
      <c r="T416"/>
      <c r="U416"/>
      <c r="V416"/>
      <c r="W416"/>
      <c r="X416"/>
      <c r="Y416"/>
    </row>
    <row r="417" spans="1:25" s="104" customFormat="1" hidden="1" x14ac:dyDescent="0.25">
      <c r="A417" s="97" t="str">
        <f t="shared" si="6"/>
        <v>sam62_gpmc_elm_wrap_tag</v>
      </c>
      <c r="B417" s="97" t="s">
        <v>211</v>
      </c>
      <c r="C417" s="97" t="s">
        <v>70</v>
      </c>
      <c r="D417" s="97"/>
      <c r="E417" s="97" t="s">
        <v>1072</v>
      </c>
      <c r="F417" s="97" t="s">
        <v>1211</v>
      </c>
      <c r="G417" s="97" t="s">
        <v>1080</v>
      </c>
      <c r="H417" s="97" t="s">
        <v>352</v>
      </c>
      <c r="I417"/>
      <c r="J417"/>
      <c r="K417"/>
      <c r="L417"/>
      <c r="M417"/>
      <c r="N417"/>
      <c r="O417"/>
      <c r="P417"/>
      <c r="Q417"/>
      <c r="R417"/>
      <c r="S417"/>
      <c r="T417"/>
      <c r="U417"/>
      <c r="V417"/>
      <c r="W417"/>
      <c r="X417"/>
      <c r="Y417"/>
    </row>
    <row r="418" spans="1:25" s="104" customFormat="1" hidden="1" x14ac:dyDescent="0.25">
      <c r="A418" s="97" t="str">
        <f t="shared" si="6"/>
        <v>sam62_ddr_wrap_tag</v>
      </c>
      <c r="B418" s="97" t="s">
        <v>215</v>
      </c>
      <c r="C418" s="97" t="s">
        <v>70</v>
      </c>
      <c r="D418" s="97"/>
      <c r="E418" s="97" t="s">
        <v>1072</v>
      </c>
      <c r="F418" s="97" t="s">
        <v>1211</v>
      </c>
      <c r="G418" s="97" t="s">
        <v>1080</v>
      </c>
      <c r="H418" s="97" t="s">
        <v>352</v>
      </c>
      <c r="I418"/>
      <c r="J418"/>
      <c r="K418"/>
      <c r="L418"/>
      <c r="M418"/>
      <c r="N418"/>
      <c r="O418"/>
      <c r="P418"/>
      <c r="Q418"/>
      <c r="R418"/>
      <c r="S418"/>
      <c r="T418"/>
      <c r="U418"/>
      <c r="V418"/>
      <c r="W418"/>
      <c r="X418"/>
      <c r="Y418"/>
    </row>
    <row r="419" spans="1:25" s="104" customFormat="1" hidden="1" x14ac:dyDescent="0.25">
      <c r="A419" s="97" t="str">
        <f t="shared" si="6"/>
        <v>ddr16_1600_phy_tag</v>
      </c>
      <c r="B419" s="97" t="s">
        <v>314</v>
      </c>
      <c r="C419" s="97" t="s">
        <v>70</v>
      </c>
      <c r="D419" s="97"/>
      <c r="E419" s="97" t="s">
        <v>1072</v>
      </c>
      <c r="F419" s="97">
        <v>44453</v>
      </c>
      <c r="G419" s="97" t="s">
        <v>1080</v>
      </c>
      <c r="H419" s="5"/>
      <c r="I419"/>
      <c r="J419"/>
      <c r="K419"/>
      <c r="L419"/>
      <c r="M419"/>
      <c r="N419"/>
      <c r="O419"/>
      <c r="P419"/>
      <c r="Q419"/>
      <c r="R419"/>
      <c r="S419"/>
      <c r="T419"/>
      <c r="U419"/>
      <c r="V419"/>
      <c r="W419"/>
      <c r="X419"/>
      <c r="Y419"/>
    </row>
    <row r="420" spans="1:25" s="104" customFormat="1" hidden="1" x14ac:dyDescent="0.25">
      <c r="A420" s="97" t="str">
        <f t="shared" si="6"/>
        <v>sam62_debug_wrap_tag</v>
      </c>
      <c r="B420" s="97" t="s">
        <v>186</v>
      </c>
      <c r="C420" s="97" t="s">
        <v>70</v>
      </c>
      <c r="D420" s="97"/>
      <c r="E420" s="97" t="s">
        <v>1072</v>
      </c>
      <c r="F420" s="97" t="s">
        <v>1211</v>
      </c>
      <c r="G420" s="97" t="s">
        <v>1080</v>
      </c>
      <c r="H420" s="97" t="s">
        <v>352</v>
      </c>
      <c r="I420"/>
      <c r="J420"/>
      <c r="K420"/>
      <c r="L420"/>
      <c r="M420"/>
      <c r="N420"/>
      <c r="O420"/>
      <c r="P420"/>
      <c r="Q420"/>
      <c r="R420"/>
      <c r="S420"/>
      <c r="T420"/>
      <c r="U420"/>
      <c r="V420"/>
      <c r="W420"/>
      <c r="X420"/>
      <c r="Y420"/>
    </row>
    <row r="421" spans="1:25" s="104" customFormat="1" hidden="1" x14ac:dyDescent="0.25">
      <c r="A421" s="97" t="str">
        <f t="shared" si="6"/>
        <v>sam62_efuse_ctrl_wrap_tag</v>
      </c>
      <c r="B421" s="97" t="s">
        <v>213</v>
      </c>
      <c r="C421" s="97" t="s">
        <v>70</v>
      </c>
      <c r="D421" s="97"/>
      <c r="E421" s="97" t="s">
        <v>1072</v>
      </c>
      <c r="F421" s="97" t="s">
        <v>1211</v>
      </c>
      <c r="G421" s="97" t="s">
        <v>1080</v>
      </c>
      <c r="H421" s="97" t="s">
        <v>352</v>
      </c>
      <c r="I421"/>
      <c r="J421"/>
      <c r="K421"/>
      <c r="L421"/>
      <c r="M421"/>
      <c r="N421"/>
      <c r="O421"/>
      <c r="P421"/>
      <c r="Q421"/>
      <c r="R421"/>
      <c r="S421"/>
      <c r="T421"/>
      <c r="U421"/>
      <c r="V421"/>
      <c r="W421"/>
      <c r="X421"/>
      <c r="Y421"/>
    </row>
    <row r="422" spans="1:25" s="104" customFormat="1" hidden="1" x14ac:dyDescent="0.25">
      <c r="A422" s="97" t="str">
        <f t="shared" si="6"/>
        <v>sam62_main_infra_phys_tag</v>
      </c>
      <c r="B422" s="97" t="s">
        <v>144</v>
      </c>
      <c r="C422" s="97" t="s">
        <v>70</v>
      </c>
      <c r="D422" s="97"/>
      <c r="E422" s="97" t="s">
        <v>1072</v>
      </c>
      <c r="F422" s="97" t="s">
        <v>1211</v>
      </c>
      <c r="G422" s="97" t="s">
        <v>1080</v>
      </c>
      <c r="H422" s="97" t="s">
        <v>340</v>
      </c>
      <c r="I422"/>
      <c r="J422"/>
      <c r="K422"/>
      <c r="L422"/>
      <c r="M422"/>
      <c r="N422"/>
      <c r="O422"/>
      <c r="P422"/>
      <c r="Q422"/>
      <c r="R422"/>
      <c r="S422"/>
      <c r="T422"/>
      <c r="U422"/>
      <c r="V422"/>
      <c r="W422"/>
      <c r="X422"/>
      <c r="Y422"/>
    </row>
    <row r="423" spans="1:25" s="104" customFormat="1" hidden="1" x14ac:dyDescent="0.25">
      <c r="A423" s="97" t="str">
        <f t="shared" si="6"/>
        <v>sam62_main_ip_wrap_tag</v>
      </c>
      <c r="B423" s="97" t="s">
        <v>238</v>
      </c>
      <c r="C423" s="97" t="s">
        <v>70</v>
      </c>
      <c r="D423" s="97"/>
      <c r="E423" s="97" t="s">
        <v>1072</v>
      </c>
      <c r="F423" s="97" t="s">
        <v>1211</v>
      </c>
      <c r="G423" s="97" t="s">
        <v>1080</v>
      </c>
      <c r="H423" s="97" t="s">
        <v>352</v>
      </c>
      <c r="I423"/>
      <c r="J423"/>
      <c r="K423"/>
      <c r="L423"/>
      <c r="M423"/>
      <c r="N423"/>
      <c r="O423"/>
      <c r="P423"/>
      <c r="Q423"/>
      <c r="R423"/>
      <c r="S423"/>
      <c r="T423"/>
      <c r="U423"/>
      <c r="V423"/>
      <c r="W423"/>
      <c r="X423"/>
      <c r="Y423"/>
    </row>
    <row r="424" spans="1:25" s="104" customFormat="1" hidden="1" x14ac:dyDescent="0.25">
      <c r="A424" s="97" t="str">
        <f t="shared" si="6"/>
        <v>sam62_mcu_infra_phys_tag</v>
      </c>
      <c r="B424" s="97" t="s">
        <v>183</v>
      </c>
      <c r="C424" s="97" t="s">
        <v>70</v>
      </c>
      <c r="D424" s="97"/>
      <c r="E424" s="97" t="s">
        <v>1072</v>
      </c>
      <c r="F424" s="97" t="s">
        <v>1211</v>
      </c>
      <c r="G424" s="97" t="s">
        <v>1080</v>
      </c>
      <c r="H424" s="97" t="s">
        <v>340</v>
      </c>
      <c r="I424"/>
      <c r="J424"/>
      <c r="K424"/>
      <c r="L424"/>
      <c r="M424"/>
      <c r="N424"/>
      <c r="O424"/>
      <c r="P424"/>
      <c r="Q424"/>
      <c r="R424"/>
      <c r="S424"/>
      <c r="T424"/>
      <c r="U424"/>
      <c r="V424"/>
      <c r="W424"/>
      <c r="X424"/>
      <c r="Y424"/>
    </row>
    <row r="425" spans="1:25" s="104" customFormat="1" hidden="1" x14ac:dyDescent="0.25">
      <c r="A425" s="97" t="str">
        <f t="shared" si="6"/>
        <v>sam62_mcu_wrap_tag</v>
      </c>
      <c r="B425" s="97" t="s">
        <v>236</v>
      </c>
      <c r="C425" s="97" t="s">
        <v>70</v>
      </c>
      <c r="D425" s="97"/>
      <c r="E425" s="97" t="s">
        <v>1072</v>
      </c>
      <c r="F425" s="97" t="s">
        <v>1211</v>
      </c>
      <c r="G425" s="97" t="s">
        <v>1080</v>
      </c>
      <c r="H425" s="97" t="s">
        <v>340</v>
      </c>
      <c r="I425"/>
      <c r="J425"/>
      <c r="K425"/>
      <c r="L425"/>
      <c r="M425"/>
      <c r="N425"/>
      <c r="O425"/>
      <c r="P425"/>
      <c r="Q425"/>
      <c r="R425"/>
      <c r="S425"/>
      <c r="T425"/>
      <c r="U425"/>
      <c r="V425"/>
      <c r="W425"/>
      <c r="X425"/>
      <c r="Y425"/>
    </row>
    <row r="426" spans="1:25" s="104" customFormat="1" hidden="1" x14ac:dyDescent="0.25">
      <c r="A426" s="97" t="str">
        <f t="shared" si="6"/>
        <v>sam62_odp_ctrl_wrap_tag</v>
      </c>
      <c r="B426" s="97" t="s">
        <v>212</v>
      </c>
      <c r="C426" s="97" t="s">
        <v>70</v>
      </c>
      <c r="D426" s="97"/>
      <c r="E426" s="97" t="s">
        <v>1072</v>
      </c>
      <c r="F426" s="97" t="s">
        <v>1211</v>
      </c>
      <c r="G426" s="97" t="s">
        <v>1080</v>
      </c>
      <c r="H426" s="97" t="s">
        <v>340</v>
      </c>
      <c r="I426"/>
      <c r="J426"/>
      <c r="K426"/>
      <c r="L426"/>
      <c r="M426"/>
      <c r="N426"/>
      <c r="O426"/>
      <c r="P426"/>
      <c r="Q426"/>
      <c r="R426"/>
      <c r="S426"/>
      <c r="T426"/>
      <c r="U426"/>
      <c r="V426"/>
      <c r="W426"/>
      <c r="X426"/>
      <c r="Y426"/>
    </row>
    <row r="427" spans="1:25" s="104" customFormat="1" hidden="1" x14ac:dyDescent="0.25">
      <c r="A427" s="97" t="str">
        <f t="shared" si="6"/>
        <v>sam62_sec_wrap_tag</v>
      </c>
      <c r="B427" s="97" t="s">
        <v>262</v>
      </c>
      <c r="C427" s="97" t="s">
        <v>70</v>
      </c>
      <c r="D427" s="97"/>
      <c r="E427" s="97" t="s">
        <v>1072</v>
      </c>
      <c r="F427" s="97" t="s">
        <v>1211</v>
      </c>
      <c r="G427" s="97" t="s">
        <v>1080</v>
      </c>
      <c r="H427" s="97" t="s">
        <v>340</v>
      </c>
      <c r="I427"/>
      <c r="J427"/>
      <c r="K427"/>
      <c r="L427"/>
      <c r="M427"/>
      <c r="N427"/>
      <c r="O427"/>
      <c r="P427"/>
      <c r="Q427"/>
      <c r="R427"/>
      <c r="S427"/>
      <c r="T427"/>
      <c r="U427"/>
      <c r="V427"/>
      <c r="W427"/>
      <c r="X427"/>
      <c r="Y427"/>
    </row>
    <row r="428" spans="1:25" s="104" customFormat="1" hidden="1" x14ac:dyDescent="0.25">
      <c r="A428" s="97" t="str">
        <f t="shared" si="6"/>
        <v>sam62_core_tag</v>
      </c>
      <c r="B428" s="97" t="s">
        <v>185</v>
      </c>
      <c r="C428" s="97" t="s">
        <v>70</v>
      </c>
      <c r="D428" s="97"/>
      <c r="E428" s="97" t="s">
        <v>1072</v>
      </c>
      <c r="F428" s="97" t="s">
        <v>1211</v>
      </c>
      <c r="G428" s="97" t="s">
        <v>1212</v>
      </c>
      <c r="H428" s="5"/>
      <c r="I428"/>
      <c r="J428"/>
      <c r="K428"/>
      <c r="L428"/>
      <c r="M428"/>
      <c r="N428"/>
      <c r="O428"/>
      <c r="P428"/>
      <c r="Q428"/>
      <c r="R428"/>
      <c r="S428"/>
      <c r="T428"/>
      <c r="U428"/>
      <c r="V428"/>
      <c r="W428"/>
      <c r="X428"/>
      <c r="Y428"/>
    </row>
    <row r="429" spans="1:25" s="104" customFormat="1" hidden="1" x14ac:dyDescent="0.25">
      <c r="A429" s="97" t="str">
        <f t="shared" si="6"/>
        <v>sam62_pll_ctrl_wrap_tag</v>
      </c>
      <c r="B429" s="97" t="s">
        <v>221</v>
      </c>
      <c r="C429" s="97" t="s">
        <v>70</v>
      </c>
      <c r="D429" s="97"/>
      <c r="E429" s="97" t="s">
        <v>1072</v>
      </c>
      <c r="F429" s="97" t="s">
        <v>1211</v>
      </c>
      <c r="G429" s="97" t="s">
        <v>1080</v>
      </c>
      <c r="H429" s="97" t="s">
        <v>340</v>
      </c>
      <c r="I429"/>
      <c r="J429"/>
      <c r="K429"/>
      <c r="L429"/>
      <c r="M429"/>
      <c r="N429"/>
      <c r="O429"/>
      <c r="P429"/>
      <c r="Q429"/>
      <c r="R429"/>
      <c r="S429"/>
      <c r="T429"/>
      <c r="U429"/>
      <c r="V429"/>
      <c r="W429"/>
      <c r="X429"/>
      <c r="Y429"/>
    </row>
    <row r="430" spans="1:25" s="104" customFormat="1" hidden="1" x14ac:dyDescent="0.25">
      <c r="A430" s="97" t="str">
        <f t="shared" si="6"/>
        <v>n16_core_vdd3p3_clamp_Type</v>
      </c>
      <c r="B430" s="97" t="s">
        <v>79</v>
      </c>
      <c r="C430" s="98" t="s">
        <v>0</v>
      </c>
      <c r="D430" s="97"/>
      <c r="E430" s="97" t="s">
        <v>1038</v>
      </c>
      <c r="F430" s="97" t="s">
        <v>646</v>
      </c>
      <c r="G430" s="97" t="s">
        <v>570</v>
      </c>
      <c r="H430" s="5"/>
      <c r="I430"/>
      <c r="J430"/>
      <c r="K430"/>
      <c r="L430"/>
      <c r="M430"/>
      <c r="N430"/>
      <c r="O430"/>
      <c r="P430"/>
      <c r="Q430"/>
      <c r="R430"/>
      <c r="S430"/>
      <c r="T430"/>
      <c r="U430"/>
      <c r="V430"/>
      <c r="W430"/>
      <c r="X430"/>
      <c r="Y430"/>
    </row>
    <row r="431" spans="1:25" s="104" customFormat="1" hidden="1" x14ac:dyDescent="0.25">
      <c r="A431" s="97" t="str">
        <f t="shared" si="6"/>
        <v>PRCUTLvcMOS_Type</v>
      </c>
      <c r="B431" s="97" t="s">
        <v>110</v>
      </c>
      <c r="C431" s="98" t="s">
        <v>0</v>
      </c>
      <c r="D431" s="97"/>
      <c r="E431" s="97" t="s">
        <v>1038</v>
      </c>
      <c r="F431" s="97" t="s">
        <v>646</v>
      </c>
      <c r="G431" s="97"/>
      <c r="H431" s="5"/>
      <c r="I431"/>
      <c r="J431"/>
      <c r="K431"/>
      <c r="L431"/>
      <c r="M431"/>
      <c r="N431"/>
      <c r="O431"/>
      <c r="P431"/>
      <c r="Q431"/>
      <c r="R431"/>
      <c r="S431"/>
      <c r="T431"/>
      <c r="U431"/>
      <c r="V431"/>
      <c r="W431"/>
      <c r="X431"/>
      <c r="Y431"/>
    </row>
    <row r="432" spans="1:25" s="104" customFormat="1" hidden="1" x14ac:dyDescent="0.25">
      <c r="A432" s="97" t="str">
        <f t="shared" si="6"/>
        <v>n16_core_vdd_clamp_Type</v>
      </c>
      <c r="B432" s="97" t="s">
        <v>398</v>
      </c>
      <c r="C432" s="98" t="s">
        <v>0</v>
      </c>
      <c r="D432" s="97"/>
      <c r="E432" s="97" t="s">
        <v>1038</v>
      </c>
      <c r="F432" s="97" t="s">
        <v>646</v>
      </c>
      <c r="G432" s="97" t="s">
        <v>570</v>
      </c>
      <c r="H432" s="5"/>
      <c r="I432"/>
      <c r="J432"/>
      <c r="K432"/>
      <c r="L432"/>
      <c r="M432"/>
      <c r="N432"/>
      <c r="O432"/>
      <c r="P432"/>
      <c r="Q432"/>
      <c r="R432"/>
      <c r="S432"/>
      <c r="T432"/>
      <c r="U432"/>
      <c r="V432"/>
      <c r="W432"/>
      <c r="X432"/>
      <c r="Y432"/>
    </row>
    <row r="433" spans="1:25" s="104" customFormat="1" hidden="1" x14ac:dyDescent="0.25">
      <c r="A433" s="97" t="str">
        <f t="shared" si="6"/>
        <v>n16_core_vdda_clamp_Type</v>
      </c>
      <c r="B433" s="97" t="s">
        <v>399</v>
      </c>
      <c r="C433" s="98" t="s">
        <v>0</v>
      </c>
      <c r="D433" s="97"/>
      <c r="E433" s="97" t="s">
        <v>1038</v>
      </c>
      <c r="F433" s="97" t="s">
        <v>646</v>
      </c>
      <c r="G433" s="97" t="s">
        <v>570</v>
      </c>
      <c r="H433" s="5"/>
      <c r="I433"/>
      <c r="J433"/>
      <c r="K433"/>
      <c r="L433"/>
      <c r="M433"/>
      <c r="N433"/>
      <c r="O433"/>
      <c r="P433"/>
      <c r="Q433"/>
      <c r="R433"/>
      <c r="S433"/>
      <c r="T433"/>
      <c r="U433"/>
      <c r="V433"/>
      <c r="W433"/>
      <c r="X433"/>
      <c r="Y433"/>
    </row>
    <row r="434" spans="1:25" s="104" customFormat="1" hidden="1" x14ac:dyDescent="0.25">
      <c r="A434" s="97" t="str">
        <f t="shared" si="6"/>
        <v>n16_core_sig_esd_secondary_Type</v>
      </c>
      <c r="B434" s="97" t="s">
        <v>400</v>
      </c>
      <c r="C434" s="98" t="s">
        <v>0</v>
      </c>
      <c r="D434" s="97"/>
      <c r="E434" s="97" t="s">
        <v>1038</v>
      </c>
      <c r="F434" s="97" t="s">
        <v>646</v>
      </c>
      <c r="G434" s="97" t="s">
        <v>570</v>
      </c>
      <c r="H434" s="5"/>
      <c r="I434"/>
      <c r="J434"/>
      <c r="K434"/>
      <c r="L434"/>
      <c r="M434"/>
      <c r="N434"/>
      <c r="O434"/>
      <c r="P434"/>
      <c r="Q434"/>
      <c r="R434"/>
      <c r="S434"/>
      <c r="T434"/>
      <c r="U434"/>
      <c r="V434"/>
      <c r="W434"/>
      <c r="X434"/>
      <c r="Y434"/>
    </row>
    <row r="435" spans="1:25" s="104" customFormat="1" hidden="1" x14ac:dyDescent="0.25">
      <c r="A435" s="97" t="str">
        <f t="shared" si="6"/>
        <v>PDBODPMACRO_Type</v>
      </c>
      <c r="B435" s="97" t="s">
        <v>397</v>
      </c>
      <c r="C435" s="98" t="s">
        <v>0</v>
      </c>
      <c r="D435" s="97"/>
      <c r="E435" s="97" t="s">
        <v>1038</v>
      </c>
      <c r="F435" s="97" t="s">
        <v>647</v>
      </c>
      <c r="G435" s="97" t="s">
        <v>562</v>
      </c>
      <c r="H435" s="5"/>
      <c r="I435"/>
      <c r="J435"/>
      <c r="K435"/>
      <c r="L435"/>
      <c r="M435"/>
      <c r="N435"/>
      <c r="O435"/>
      <c r="P435"/>
      <c r="Q435"/>
      <c r="R435"/>
      <c r="S435"/>
      <c r="T435"/>
      <c r="U435"/>
      <c r="V435"/>
      <c r="W435"/>
      <c r="X435"/>
      <c r="Y435"/>
    </row>
    <row r="436" spans="1:25" s="104" customFormat="1" hidden="1" x14ac:dyDescent="0.25">
      <c r="A436" s="97" t="str">
        <f t="shared" si="6"/>
        <v>PDIDGZRESET_C161202_Type</v>
      </c>
      <c r="B436" s="97" t="s">
        <v>394</v>
      </c>
      <c r="C436" s="98" t="s">
        <v>0</v>
      </c>
      <c r="D436" s="97"/>
      <c r="E436" s="97" t="s">
        <v>1038</v>
      </c>
      <c r="F436" s="97" t="s">
        <v>647</v>
      </c>
      <c r="G436" s="97" t="s">
        <v>561</v>
      </c>
      <c r="H436" s="5"/>
      <c r="I436"/>
      <c r="J436"/>
      <c r="K436"/>
      <c r="L436"/>
      <c r="M436"/>
      <c r="N436"/>
      <c r="O436"/>
      <c r="P436"/>
      <c r="Q436"/>
      <c r="R436"/>
      <c r="S436"/>
      <c r="T436"/>
      <c r="U436"/>
      <c r="V436"/>
      <c r="W436"/>
      <c r="X436"/>
      <c r="Y436"/>
    </row>
    <row r="437" spans="1:25" s="104" customFormat="1" hidden="1" x14ac:dyDescent="0.25">
      <c r="A437" s="97" t="str">
        <f t="shared" si="6"/>
        <v>PVDD1CDGM_C161202_Type</v>
      </c>
      <c r="B437" s="97" t="s">
        <v>393</v>
      </c>
      <c r="C437" s="98" t="s">
        <v>0</v>
      </c>
      <c r="D437" s="97"/>
      <c r="E437" s="97" t="s">
        <v>1038</v>
      </c>
      <c r="F437" s="97" t="s">
        <v>647</v>
      </c>
      <c r="G437" s="97"/>
      <c r="H437" s="5"/>
      <c r="I437"/>
      <c r="J437"/>
      <c r="K437"/>
      <c r="L437"/>
      <c r="M437"/>
      <c r="N437"/>
      <c r="O437"/>
      <c r="P437"/>
      <c r="Q437"/>
      <c r="R437"/>
      <c r="S437"/>
      <c r="T437"/>
      <c r="U437"/>
      <c r="V437"/>
      <c r="W437"/>
      <c r="X437"/>
      <c r="Y437"/>
    </row>
    <row r="438" spans="1:25" s="104" customFormat="1" hidden="1" x14ac:dyDescent="0.25">
      <c r="A438" s="97" t="str">
        <f t="shared" si="6"/>
        <v>PVDD2CDGM_C161202_Type</v>
      </c>
      <c r="B438" s="97" t="s">
        <v>392</v>
      </c>
      <c r="C438" s="98" t="s">
        <v>0</v>
      </c>
      <c r="D438" s="97"/>
      <c r="E438" s="97" t="s">
        <v>1038</v>
      </c>
      <c r="F438" s="97" t="s">
        <v>647</v>
      </c>
      <c r="G438" s="97"/>
      <c r="H438" s="5"/>
      <c r="I438"/>
      <c r="J438"/>
      <c r="K438"/>
      <c r="L438"/>
      <c r="M438"/>
      <c r="N438"/>
      <c r="O438"/>
      <c r="P438"/>
      <c r="Q438"/>
      <c r="R438"/>
      <c r="S438"/>
      <c r="T438"/>
      <c r="U438"/>
      <c r="V438"/>
      <c r="W438"/>
      <c r="X438"/>
      <c r="Y438"/>
    </row>
    <row r="439" spans="1:25" s="104" customFormat="1" hidden="1" x14ac:dyDescent="0.25">
      <c r="A439" s="97" t="str">
        <f t="shared" si="6"/>
        <v>PVDD3LDOLVCMOS_Type</v>
      </c>
      <c r="B439" s="97" t="s">
        <v>386</v>
      </c>
      <c r="C439" s="98" t="s">
        <v>0</v>
      </c>
      <c r="D439" s="97"/>
      <c r="E439" s="97" t="s">
        <v>1038</v>
      </c>
      <c r="F439" s="97" t="s">
        <v>647</v>
      </c>
      <c r="G439" s="97"/>
      <c r="H439" s="5"/>
      <c r="I439"/>
      <c r="J439"/>
      <c r="K439"/>
      <c r="L439"/>
      <c r="M439"/>
      <c r="N439"/>
      <c r="O439"/>
      <c r="P439"/>
      <c r="Q439"/>
      <c r="R439"/>
      <c r="S439"/>
      <c r="T439"/>
      <c r="U439"/>
      <c r="V439"/>
      <c r="W439"/>
      <c r="X439"/>
      <c r="Y439"/>
    </row>
    <row r="440" spans="1:25" s="104" customFormat="1" hidden="1" x14ac:dyDescent="0.25">
      <c r="A440" s="97" t="str">
        <f t="shared" si="6"/>
        <v>PRBOPDDGZIIC_Type</v>
      </c>
      <c r="B440" s="97" t="s">
        <v>391</v>
      </c>
      <c r="C440" s="98" t="s">
        <v>0</v>
      </c>
      <c r="D440" s="97"/>
      <c r="E440" s="97" t="s">
        <v>1038</v>
      </c>
      <c r="F440" s="97" t="s">
        <v>647</v>
      </c>
      <c r="G440" s="97"/>
      <c r="H440" s="5"/>
      <c r="I440"/>
      <c r="J440"/>
      <c r="K440"/>
      <c r="L440"/>
      <c r="M440"/>
      <c r="N440"/>
      <c r="O440"/>
      <c r="P440"/>
      <c r="Q440"/>
      <c r="R440"/>
      <c r="S440"/>
      <c r="T440"/>
      <c r="U440"/>
      <c r="V440"/>
      <c r="W440"/>
      <c r="X440"/>
      <c r="Y440"/>
    </row>
    <row r="441" spans="1:25" s="104" customFormat="1" hidden="1" x14ac:dyDescent="0.25">
      <c r="A441" s="97" t="str">
        <f t="shared" si="6"/>
        <v>PCBRTEPOCODIO_Type</v>
      </c>
      <c r="B441" s="97" t="s">
        <v>387</v>
      </c>
      <c r="C441" s="98" t="s">
        <v>0</v>
      </c>
      <c r="D441" s="97"/>
      <c r="E441" s="97" t="s">
        <v>1038</v>
      </c>
      <c r="F441" s="97" t="s">
        <v>647</v>
      </c>
      <c r="G441" s="97" t="s">
        <v>563</v>
      </c>
      <c r="H441" s="5"/>
      <c r="I441"/>
      <c r="J441"/>
      <c r="K441"/>
      <c r="L441"/>
      <c r="M441"/>
      <c r="N441"/>
      <c r="O441"/>
      <c r="P441"/>
      <c r="Q441"/>
      <c r="R441"/>
      <c r="S441"/>
      <c r="T441"/>
      <c r="U441"/>
      <c r="V441"/>
      <c r="W441"/>
      <c r="X441"/>
      <c r="Y441"/>
    </row>
    <row r="442" spans="1:25" s="104" customFormat="1" hidden="1" x14ac:dyDescent="0.25">
      <c r="A442" s="97" t="str">
        <f t="shared" si="6"/>
        <v>PVDD1LVCMOSM_Type</v>
      </c>
      <c r="B442" s="97" t="s">
        <v>388</v>
      </c>
      <c r="C442" s="98" t="s">
        <v>0</v>
      </c>
      <c r="D442" s="97"/>
      <c r="E442" s="97" t="s">
        <v>1038</v>
      </c>
      <c r="F442" s="97" t="s">
        <v>647</v>
      </c>
      <c r="G442" s="97"/>
      <c r="H442" s="5"/>
      <c r="I442"/>
      <c r="J442"/>
      <c r="K442"/>
      <c r="L442"/>
      <c r="M442"/>
      <c r="N442"/>
      <c r="O442"/>
      <c r="P442"/>
      <c r="Q442"/>
      <c r="R442"/>
      <c r="S442"/>
      <c r="T442"/>
      <c r="U442"/>
      <c r="V442"/>
      <c r="W442"/>
      <c r="X442"/>
      <c r="Y442"/>
    </row>
    <row r="443" spans="1:25" s="104" customFormat="1" hidden="1" x14ac:dyDescent="0.25">
      <c r="A443" s="97" t="str">
        <f t="shared" si="6"/>
        <v>PVDD3LVCMOSM_Type</v>
      </c>
      <c r="B443" s="97" t="s">
        <v>389</v>
      </c>
      <c r="C443" s="98" t="s">
        <v>0</v>
      </c>
      <c r="D443" s="97"/>
      <c r="E443" s="97" t="s">
        <v>1038</v>
      </c>
      <c r="F443" s="97" t="s">
        <v>647</v>
      </c>
      <c r="G443" s="97"/>
      <c r="H443" s="5"/>
      <c r="I443"/>
      <c r="J443"/>
      <c r="K443"/>
      <c r="L443"/>
      <c r="M443"/>
      <c r="N443"/>
      <c r="O443"/>
      <c r="P443"/>
      <c r="Q443"/>
      <c r="R443"/>
      <c r="S443"/>
      <c r="T443"/>
      <c r="U443"/>
      <c r="V443"/>
      <c r="W443"/>
      <c r="X443"/>
      <c r="Y443"/>
    </row>
    <row r="444" spans="1:25" s="104" customFormat="1" hidden="1" x14ac:dyDescent="0.25">
      <c r="A444" s="97" t="str">
        <f t="shared" si="6"/>
        <v>PRWDWUWSWEWCDGLVCMOS_Type</v>
      </c>
      <c r="B444" s="97" t="s">
        <v>395</v>
      </c>
      <c r="C444" s="98" t="s">
        <v>0</v>
      </c>
      <c r="D444" s="97"/>
      <c r="E444" s="97" t="s">
        <v>1038</v>
      </c>
      <c r="F444" s="97" t="s">
        <v>647</v>
      </c>
      <c r="G444" s="97"/>
      <c r="H444" s="5"/>
      <c r="I444"/>
      <c r="J444"/>
      <c r="K444"/>
      <c r="L444"/>
      <c r="M444"/>
      <c r="N444"/>
      <c r="O444"/>
      <c r="P444"/>
      <c r="Q444"/>
      <c r="R444"/>
      <c r="S444"/>
      <c r="T444"/>
      <c r="U444"/>
      <c r="V444"/>
      <c r="W444"/>
      <c r="X444"/>
      <c r="Y444"/>
    </row>
    <row r="445" spans="1:25" s="104" customFormat="1" hidden="1" x14ac:dyDescent="0.25">
      <c r="A445" s="97" t="str">
        <f t="shared" si="6"/>
        <v>PLLTS16FFCLAFRACF_Type</v>
      </c>
      <c r="B445" s="97" t="s">
        <v>78</v>
      </c>
      <c r="C445" s="98" t="s">
        <v>0</v>
      </c>
      <c r="D445" s="97"/>
      <c r="E445" s="97" t="s">
        <v>1038</v>
      </c>
      <c r="F445" s="97" t="s">
        <v>646</v>
      </c>
      <c r="G445" s="97" t="s">
        <v>559</v>
      </c>
      <c r="H445" s="5"/>
      <c r="I445"/>
      <c r="J445"/>
      <c r="K445"/>
      <c r="L445"/>
      <c r="M445"/>
      <c r="N445"/>
      <c r="O445"/>
      <c r="P445"/>
      <c r="Q445"/>
      <c r="R445"/>
      <c r="S445"/>
      <c r="T445"/>
      <c r="U445"/>
      <c r="V445"/>
      <c r="W445"/>
      <c r="X445"/>
      <c r="Y445"/>
    </row>
    <row r="446" spans="1:25" s="104" customFormat="1" hidden="1" x14ac:dyDescent="0.25">
      <c r="A446" s="97" t="str">
        <f t="shared" si="6"/>
        <v>PGD_Type</v>
      </c>
      <c r="B446" s="97" t="s">
        <v>11</v>
      </c>
      <c r="C446" s="98" t="s">
        <v>0</v>
      </c>
      <c r="D446" s="97"/>
      <c r="E446" s="97" t="s">
        <v>1038</v>
      </c>
      <c r="F446" s="97" t="s">
        <v>646</v>
      </c>
      <c r="G446" s="97" t="s">
        <v>560</v>
      </c>
      <c r="H446" s="5"/>
      <c r="I446"/>
      <c r="J446"/>
      <c r="K446"/>
      <c r="L446"/>
      <c r="M446"/>
      <c r="N446"/>
      <c r="O446"/>
      <c r="P446"/>
      <c r="Q446"/>
      <c r="R446"/>
      <c r="S446"/>
      <c r="T446"/>
      <c r="U446"/>
      <c r="V446"/>
      <c r="W446"/>
      <c r="X446"/>
      <c r="Y446"/>
    </row>
    <row r="447" spans="1:25" s="104" customFormat="1" hidden="1" x14ac:dyDescent="0.25">
      <c r="A447" s="97" t="str">
        <f t="shared" si="6"/>
        <v>N16FFC_POK_Type</v>
      </c>
      <c r="B447" s="97" t="s">
        <v>80</v>
      </c>
      <c r="C447" s="98" t="s">
        <v>0</v>
      </c>
      <c r="D447" s="97"/>
      <c r="E447" s="97" t="s">
        <v>1038</v>
      </c>
      <c r="F447" s="97" t="s">
        <v>646</v>
      </c>
      <c r="G447" s="97" t="s">
        <v>567</v>
      </c>
      <c r="H447" s="5"/>
      <c r="I447"/>
      <c r="J447"/>
      <c r="K447"/>
      <c r="L447"/>
      <c r="M447"/>
      <c r="N447"/>
      <c r="O447"/>
      <c r="P447"/>
      <c r="Q447"/>
      <c r="R447"/>
      <c r="S447"/>
      <c r="T447"/>
      <c r="U447"/>
      <c r="V447"/>
      <c r="W447"/>
      <c r="X447"/>
      <c r="Y447"/>
    </row>
    <row r="448" spans="1:25" s="104" customFormat="1" hidden="1" x14ac:dyDescent="0.25">
      <c r="A448" s="97" t="str">
        <f t="shared" si="6"/>
        <v>N16FFC_POKSA_Type</v>
      </c>
      <c r="B448" s="97" t="s">
        <v>83</v>
      </c>
      <c r="C448" s="98" t="s">
        <v>0</v>
      </c>
      <c r="D448" s="97"/>
      <c r="E448" s="97" t="s">
        <v>1038</v>
      </c>
      <c r="F448" s="97" t="s">
        <v>646</v>
      </c>
      <c r="G448" s="97" t="s">
        <v>567</v>
      </c>
      <c r="H448" s="5"/>
      <c r="I448"/>
      <c r="J448"/>
      <c r="K448"/>
      <c r="L448"/>
      <c r="M448"/>
      <c r="N448"/>
      <c r="O448"/>
      <c r="P448"/>
      <c r="Q448"/>
      <c r="R448"/>
      <c r="S448"/>
      <c r="T448"/>
      <c r="U448"/>
      <c r="V448"/>
      <c r="W448"/>
      <c r="X448"/>
      <c r="Y448"/>
    </row>
    <row r="449" spans="1:25" s="104" customFormat="1" hidden="1" x14ac:dyDescent="0.25">
      <c r="A449" s="97" t="str">
        <f t="shared" si="6"/>
        <v>TEF16FCLL256X32HD18_PHRM_Type</v>
      </c>
      <c r="B449" s="97" t="s">
        <v>74</v>
      </c>
      <c r="C449" s="98" t="s">
        <v>0</v>
      </c>
      <c r="D449" s="97"/>
      <c r="E449" s="97" t="s">
        <v>1038</v>
      </c>
      <c r="F449" s="97" t="s">
        <v>646</v>
      </c>
      <c r="G449" s="97"/>
      <c r="H449" s="5"/>
      <c r="I449"/>
      <c r="J449"/>
      <c r="K449"/>
      <c r="L449"/>
      <c r="M449"/>
      <c r="N449"/>
      <c r="O449"/>
      <c r="P449"/>
      <c r="Q449"/>
      <c r="R449"/>
      <c r="S449"/>
      <c r="T449"/>
      <c r="U449"/>
      <c r="V449"/>
      <c r="W449"/>
      <c r="X449"/>
      <c r="Y449"/>
    </row>
    <row r="450" spans="1:25" s="104" customFormat="1" hidden="1" x14ac:dyDescent="0.25">
      <c r="A450" s="97" t="str">
        <f t="shared" si="6"/>
        <v>DIVTS16FFC1TO128A_Type</v>
      </c>
      <c r="B450" s="97" t="s">
        <v>85</v>
      </c>
      <c r="C450" s="98" t="s">
        <v>0</v>
      </c>
      <c r="D450" s="97"/>
      <c r="E450" s="97" t="s">
        <v>1038</v>
      </c>
      <c r="F450" s="97" t="s">
        <v>646</v>
      </c>
      <c r="G450" s="97"/>
      <c r="H450" s="5"/>
      <c r="I450"/>
      <c r="J450"/>
      <c r="K450"/>
      <c r="L450"/>
      <c r="M450"/>
      <c r="N450"/>
      <c r="O450"/>
      <c r="P450"/>
      <c r="Q450"/>
      <c r="R450"/>
      <c r="S450"/>
      <c r="T450"/>
      <c r="U450"/>
      <c r="V450"/>
      <c r="W450"/>
      <c r="X450"/>
      <c r="Y450"/>
    </row>
    <row r="451" spans="1:25" s="104" customFormat="1" hidden="1" x14ac:dyDescent="0.25">
      <c r="A451" s="97" t="str">
        <f t="shared" si="6"/>
        <v>sd0901_rx4_Type</v>
      </c>
      <c r="B451" s="97" t="s">
        <v>607</v>
      </c>
      <c r="C451" s="98" t="s">
        <v>0</v>
      </c>
      <c r="D451" s="97"/>
      <c r="E451" s="97" t="s">
        <v>1038</v>
      </c>
      <c r="F451" s="97" t="s">
        <v>647</v>
      </c>
      <c r="G451" s="97" t="s">
        <v>385</v>
      </c>
      <c r="H451" s="5"/>
      <c r="I451"/>
      <c r="J451"/>
      <c r="K451"/>
      <c r="L451"/>
      <c r="M451"/>
      <c r="N451"/>
      <c r="O451"/>
      <c r="P451"/>
      <c r="Q451"/>
      <c r="R451"/>
      <c r="S451"/>
      <c r="T451"/>
      <c r="U451"/>
      <c r="V451"/>
      <c r="W451"/>
      <c r="X451"/>
      <c r="Y451"/>
    </row>
    <row r="452" spans="1:25" s="104" customFormat="1" hidden="1" x14ac:dyDescent="0.25">
      <c r="A452" s="97" t="str">
        <f t="shared" si="6"/>
        <v>sd1000_Type</v>
      </c>
      <c r="B452" s="97" t="s">
        <v>608</v>
      </c>
      <c r="C452" s="98" t="s">
        <v>0</v>
      </c>
      <c r="D452" s="97"/>
      <c r="E452" s="97" t="s">
        <v>1038</v>
      </c>
      <c r="F452" s="97" t="s">
        <v>647</v>
      </c>
      <c r="G452" s="97" t="s">
        <v>149</v>
      </c>
      <c r="H452" s="5"/>
      <c r="I452"/>
      <c r="J452"/>
      <c r="K452"/>
      <c r="L452"/>
      <c r="M452"/>
      <c r="N452"/>
      <c r="O452"/>
      <c r="P452"/>
      <c r="Q452"/>
      <c r="R452"/>
      <c r="S452"/>
      <c r="T452"/>
      <c r="U452"/>
      <c r="V452"/>
      <c r="W452"/>
      <c r="X452"/>
      <c r="Y452"/>
    </row>
    <row r="453" spans="1:25" s="104" customFormat="1" hidden="1" x14ac:dyDescent="0.25">
      <c r="A453" s="97" t="str">
        <f t="shared" si="6"/>
        <v>N16FFC_HFXOSC_Type</v>
      </c>
      <c r="B453" s="97" t="s">
        <v>77</v>
      </c>
      <c r="C453" s="98" t="s">
        <v>0</v>
      </c>
      <c r="D453" s="97"/>
      <c r="E453" s="97" t="s">
        <v>1038</v>
      </c>
      <c r="F453" s="97" t="s">
        <v>647</v>
      </c>
      <c r="G453" s="97" t="s">
        <v>569</v>
      </c>
      <c r="H453" s="5"/>
      <c r="I453"/>
      <c r="J453"/>
      <c r="K453"/>
      <c r="L453"/>
      <c r="M453"/>
      <c r="N453"/>
      <c r="O453"/>
      <c r="P453"/>
      <c r="Q453"/>
      <c r="R453"/>
      <c r="S453"/>
      <c r="T453"/>
      <c r="U453"/>
      <c r="V453"/>
      <c r="W453"/>
      <c r="X453"/>
      <c r="Y453"/>
    </row>
    <row r="454" spans="1:25" s="104" customFormat="1" hidden="1" x14ac:dyDescent="0.25">
      <c r="A454" s="97" t="str">
        <f t="shared" si="6"/>
        <v>N16FFC_LFXOSC_Type</v>
      </c>
      <c r="B454" s="97" t="s">
        <v>76</v>
      </c>
      <c r="C454" s="98" t="s">
        <v>0</v>
      </c>
      <c r="D454" s="97"/>
      <c r="E454" s="97" t="s">
        <v>1038</v>
      </c>
      <c r="F454" s="97" t="s">
        <v>647</v>
      </c>
      <c r="G454" s="97" t="s">
        <v>568</v>
      </c>
      <c r="H454" s="5"/>
      <c r="I454"/>
      <c r="J454"/>
      <c r="K454"/>
      <c r="L454"/>
      <c r="M454"/>
      <c r="N454"/>
      <c r="O454"/>
      <c r="P454"/>
      <c r="Q454"/>
      <c r="R454"/>
      <c r="S454"/>
      <c r="T454"/>
      <c r="U454"/>
      <c r="V454"/>
      <c r="W454"/>
      <c r="X454"/>
      <c r="Y454"/>
    </row>
    <row r="455" spans="1:25" s="104" customFormat="1" hidden="1" x14ac:dyDescent="0.25">
      <c r="A455" s="97" t="str">
        <f t="shared" si="6"/>
        <v>N16FFC_RCOSC_Type</v>
      </c>
      <c r="B455" s="97" t="s">
        <v>84</v>
      </c>
      <c r="C455" s="98" t="s">
        <v>0</v>
      </c>
      <c r="D455" s="97"/>
      <c r="E455" s="97" t="s">
        <v>1038</v>
      </c>
      <c r="F455" s="97" t="s">
        <v>647</v>
      </c>
      <c r="G455" s="97" t="s">
        <v>565</v>
      </c>
      <c r="H455" s="5"/>
      <c r="I455"/>
      <c r="J455"/>
      <c r="K455"/>
      <c r="L455"/>
      <c r="M455"/>
      <c r="N455"/>
      <c r="O455"/>
      <c r="P455"/>
      <c r="Q455"/>
      <c r="R455"/>
      <c r="S455"/>
      <c r="T455"/>
      <c r="U455"/>
      <c r="V455"/>
      <c r="W455"/>
      <c r="X455"/>
      <c r="Y455"/>
    </row>
    <row r="456" spans="1:25" s="104" customFormat="1" hidden="1" x14ac:dyDescent="0.25">
      <c r="A456" s="97" t="str">
        <f t="shared" si="6"/>
        <v>TODP16FFC18_C170915_Type</v>
      </c>
      <c r="B456" s="97" t="s">
        <v>75</v>
      </c>
      <c r="C456" s="98" t="s">
        <v>0</v>
      </c>
      <c r="D456" s="97"/>
      <c r="E456" s="97" t="s">
        <v>1038</v>
      </c>
      <c r="F456" s="97" t="s">
        <v>647</v>
      </c>
      <c r="G456" s="97"/>
      <c r="H456" s="5"/>
      <c r="I456"/>
      <c r="J456"/>
      <c r="K456"/>
      <c r="L456"/>
      <c r="M456"/>
      <c r="N456"/>
      <c r="O456"/>
      <c r="P456"/>
      <c r="Q456"/>
      <c r="R456"/>
      <c r="S456"/>
      <c r="T456"/>
      <c r="U456"/>
      <c r="V456"/>
      <c r="W456"/>
      <c r="X456"/>
      <c r="Y456"/>
    </row>
    <row r="457" spans="1:25" s="104" customFormat="1" hidden="1" x14ac:dyDescent="0.25">
      <c r="A457" s="97" t="str">
        <f t="shared" si="6"/>
        <v>N16FFC_POR_Type</v>
      </c>
      <c r="B457" s="97" t="s">
        <v>73</v>
      </c>
      <c r="C457" s="98" t="s">
        <v>0</v>
      </c>
      <c r="D457" s="97"/>
      <c r="E457" s="97" t="s">
        <v>1038</v>
      </c>
      <c r="F457" s="97" t="s">
        <v>647</v>
      </c>
      <c r="G457" s="97" t="s">
        <v>566</v>
      </c>
      <c r="H457" s="5"/>
      <c r="I457"/>
      <c r="J457"/>
      <c r="K457"/>
      <c r="L457"/>
      <c r="M457"/>
      <c r="N457"/>
      <c r="O457"/>
      <c r="P457"/>
      <c r="Q457"/>
      <c r="R457"/>
      <c r="S457"/>
      <c r="T457"/>
      <c r="U457"/>
      <c r="V457"/>
      <c r="W457"/>
      <c r="X457"/>
      <c r="Y457"/>
    </row>
    <row r="458" spans="1:25" s="104" customFormat="1" hidden="1" x14ac:dyDescent="0.25">
      <c r="A458" s="97" t="str">
        <f t="shared" si="6"/>
        <v>N16FFC_TEMP_DIODE_TOP_Type</v>
      </c>
      <c r="B458" s="97" t="s">
        <v>82</v>
      </c>
      <c r="C458" s="98" t="s">
        <v>0</v>
      </c>
      <c r="D458" s="97"/>
      <c r="E458" s="97" t="s">
        <v>1038</v>
      </c>
      <c r="F458" s="97" t="s">
        <v>647</v>
      </c>
      <c r="G458" s="97" t="s">
        <v>564</v>
      </c>
      <c r="H458" s="5"/>
      <c r="I458"/>
      <c r="J458"/>
      <c r="K458"/>
      <c r="L458"/>
      <c r="M458"/>
      <c r="N458"/>
      <c r="O458"/>
      <c r="P458"/>
      <c r="Q458"/>
      <c r="R458"/>
      <c r="S458"/>
      <c r="T458"/>
      <c r="U458"/>
      <c r="V458"/>
      <c r="W458"/>
      <c r="X458"/>
      <c r="Y458"/>
    </row>
    <row r="459" spans="1:25" s="104" customFormat="1" hidden="1" x14ac:dyDescent="0.25">
      <c r="A459" s="97" t="str">
        <f t="shared" si="6"/>
        <v>ABJSTBL5_Type</v>
      </c>
      <c r="B459" s="97" t="s">
        <v>269</v>
      </c>
      <c r="C459" s="98" t="s">
        <v>0</v>
      </c>
      <c r="D459" s="97"/>
      <c r="E459" s="97" t="s">
        <v>1038</v>
      </c>
      <c r="F459" s="97" t="s">
        <v>647</v>
      </c>
      <c r="G459" s="97" t="s">
        <v>267</v>
      </c>
      <c r="H459" s="5"/>
      <c r="I459"/>
      <c r="J459"/>
      <c r="K459"/>
      <c r="L459"/>
      <c r="M459"/>
      <c r="N459"/>
      <c r="O459"/>
      <c r="P459"/>
      <c r="Q459"/>
      <c r="R459"/>
      <c r="S459"/>
      <c r="T459"/>
      <c r="U459"/>
      <c r="V459"/>
      <c r="W459"/>
      <c r="X459"/>
      <c r="Y459"/>
    </row>
    <row r="460" spans="1:25" s="104" customFormat="1" hidden="1" x14ac:dyDescent="0.25">
      <c r="A460" s="97" t="str">
        <f t="shared" si="6"/>
        <v>LVDSTS16LLBI1E_Type</v>
      </c>
      <c r="B460" s="97" t="s">
        <v>81</v>
      </c>
      <c r="C460" s="98" t="s">
        <v>0</v>
      </c>
      <c r="D460" s="97"/>
      <c r="E460" s="97" t="s">
        <v>1038</v>
      </c>
      <c r="F460" s="97" t="s">
        <v>647</v>
      </c>
      <c r="G460" s="97" t="s">
        <v>453</v>
      </c>
      <c r="H460" s="5"/>
      <c r="I460"/>
      <c r="J460"/>
      <c r="K460"/>
      <c r="L460"/>
      <c r="M460"/>
      <c r="N460"/>
      <c r="O460"/>
      <c r="P460"/>
      <c r="Q460"/>
      <c r="R460"/>
      <c r="S460"/>
      <c r="T460"/>
      <c r="U460"/>
      <c r="V460"/>
      <c r="W460"/>
      <c r="X460"/>
      <c r="Y460"/>
    </row>
    <row r="461" spans="1:25" s="104" customFormat="1" hidden="1" x14ac:dyDescent="0.25">
      <c r="A461" s="97" t="str">
        <f t="shared" si="6"/>
        <v>canfd_Type</v>
      </c>
      <c r="B461" s="97" t="s">
        <v>655</v>
      </c>
      <c r="C461" s="97" t="s">
        <v>0</v>
      </c>
      <c r="D461" s="97"/>
      <c r="E461" s="97" t="s">
        <v>1038</v>
      </c>
      <c r="F461" s="97" t="s">
        <v>648</v>
      </c>
      <c r="G461" s="97" t="s">
        <v>629</v>
      </c>
      <c r="H461" s="5"/>
      <c r="I461"/>
      <c r="J461"/>
      <c r="K461"/>
      <c r="L461"/>
      <c r="M461"/>
      <c r="N461"/>
      <c r="O461"/>
      <c r="P461"/>
      <c r="Q461"/>
      <c r="R461"/>
      <c r="S461"/>
      <c r="T461"/>
      <c r="U461"/>
      <c r="V461"/>
      <c r="W461"/>
      <c r="X461"/>
      <c r="Y461"/>
    </row>
    <row r="462" spans="1:25" s="104" customFormat="1" hidden="1" x14ac:dyDescent="0.25">
      <c r="A462" s="97" t="str">
        <f t="shared" si="6"/>
        <v>gpmc_Type</v>
      </c>
      <c r="B462" s="97" t="s">
        <v>653</v>
      </c>
      <c r="C462" s="97" t="s">
        <v>0</v>
      </c>
      <c r="D462" s="97"/>
      <c r="E462" s="97" t="s">
        <v>1038</v>
      </c>
      <c r="F462" s="97" t="s">
        <v>648</v>
      </c>
      <c r="G462" s="97" t="s">
        <v>629</v>
      </c>
      <c r="H462" s="5"/>
      <c r="I462"/>
      <c r="J462"/>
      <c r="K462"/>
      <c r="L462"/>
      <c r="M462"/>
      <c r="N462"/>
      <c r="O462"/>
      <c r="P462"/>
      <c r="Q462"/>
      <c r="R462"/>
      <c r="S462"/>
      <c r="T462"/>
      <c r="U462"/>
      <c r="V462"/>
      <c r="W462"/>
      <c r="X462"/>
      <c r="Y462"/>
    </row>
    <row r="463" spans="1:25" s="104" customFormat="1" hidden="1" x14ac:dyDescent="0.25">
      <c r="A463" s="97" t="str">
        <f t="shared" si="6"/>
        <v>mcasp_Type</v>
      </c>
      <c r="B463" s="97" t="s">
        <v>874</v>
      </c>
      <c r="C463" s="97" t="s">
        <v>0</v>
      </c>
      <c r="D463" s="97"/>
      <c r="E463" s="97" t="s">
        <v>1038</v>
      </c>
      <c r="F463" s="97" t="s">
        <v>648</v>
      </c>
      <c r="G463" s="97" t="s">
        <v>629</v>
      </c>
      <c r="H463" s="5"/>
      <c r="I463"/>
      <c r="J463"/>
      <c r="K463"/>
      <c r="L463"/>
      <c r="M463"/>
      <c r="N463"/>
      <c r="O463"/>
      <c r="P463"/>
      <c r="Q463"/>
      <c r="R463"/>
      <c r="S463"/>
      <c r="T463"/>
      <c r="U463"/>
      <c r="V463"/>
      <c r="W463"/>
      <c r="X463"/>
      <c r="Y463"/>
    </row>
    <row r="464" spans="1:25" s="104" customFormat="1" hidden="1" x14ac:dyDescent="0.25">
      <c r="A464" s="97" t="str">
        <f t="shared" si="6"/>
        <v>uart_Type</v>
      </c>
      <c r="B464" s="97" t="s">
        <v>918</v>
      </c>
      <c r="C464" s="97" t="s">
        <v>0</v>
      </c>
      <c r="D464" s="97"/>
      <c r="E464" s="97" t="s">
        <v>1038</v>
      </c>
      <c r="F464" s="97" t="s">
        <v>648</v>
      </c>
      <c r="G464" s="97" t="s">
        <v>935</v>
      </c>
      <c r="H464" s="5"/>
      <c r="I464"/>
      <c r="J464"/>
      <c r="K464"/>
      <c r="L464"/>
      <c r="M464"/>
      <c r="N464"/>
      <c r="O464"/>
      <c r="P464"/>
      <c r="Q464"/>
      <c r="R464"/>
      <c r="S464"/>
      <c r="T464"/>
      <c r="U464"/>
      <c r="V464"/>
      <c r="W464"/>
      <c r="X464"/>
      <c r="Y464"/>
    </row>
    <row r="465" spans="1:25" s="104" customFormat="1" hidden="1" x14ac:dyDescent="0.25">
      <c r="A465" s="97" t="str">
        <f t="shared" ref="A465:A528" si="7">B465&amp;"_"&amp;C465</f>
        <v>uart_modem_Type</v>
      </c>
      <c r="B465" s="97" t="s">
        <v>928</v>
      </c>
      <c r="C465" s="97" t="s">
        <v>0</v>
      </c>
      <c r="D465" s="97"/>
      <c r="E465" s="97" t="s">
        <v>1038</v>
      </c>
      <c r="F465" s="97" t="s">
        <v>648</v>
      </c>
      <c r="G465" s="97" t="s">
        <v>934</v>
      </c>
      <c r="H465" s="5"/>
      <c r="I465"/>
      <c r="J465"/>
      <c r="K465"/>
      <c r="L465"/>
      <c r="M465"/>
      <c r="N465"/>
      <c r="O465"/>
      <c r="P465"/>
      <c r="Q465"/>
      <c r="R465"/>
      <c r="S465"/>
      <c r="T465"/>
      <c r="U465"/>
      <c r="V465"/>
      <c r="W465"/>
      <c r="X465"/>
      <c r="Y465"/>
    </row>
    <row r="466" spans="1:25" s="104" customFormat="1" hidden="1" x14ac:dyDescent="0.25">
      <c r="A466" s="97" t="str">
        <f t="shared" si="7"/>
        <v>dpi_Type</v>
      </c>
      <c r="B466" s="97" t="s">
        <v>699</v>
      </c>
      <c r="C466" s="97" t="s">
        <v>0</v>
      </c>
      <c r="D466" s="97"/>
      <c r="E466" s="97" t="s">
        <v>1038</v>
      </c>
      <c r="F466" s="97" t="s">
        <v>648</v>
      </c>
      <c r="G466" s="97" t="s">
        <v>629</v>
      </c>
      <c r="H466" s="5"/>
      <c r="I466"/>
      <c r="J466"/>
      <c r="K466"/>
      <c r="L466"/>
      <c r="M466"/>
      <c r="N466"/>
      <c r="O466"/>
      <c r="P466"/>
      <c r="Q466"/>
      <c r="R466"/>
      <c r="S466"/>
      <c r="T466"/>
      <c r="U466"/>
      <c r="V466"/>
      <c r="W466"/>
      <c r="X466"/>
      <c r="Y466"/>
    </row>
    <row r="467" spans="1:25" s="104" customFormat="1" hidden="1" x14ac:dyDescent="0.25">
      <c r="A467" s="97" t="str">
        <f t="shared" si="7"/>
        <v>i2c_od_Type</v>
      </c>
      <c r="B467" s="97" t="s">
        <v>907</v>
      </c>
      <c r="C467" s="97" t="s">
        <v>0</v>
      </c>
      <c r="D467" s="97"/>
      <c r="E467" s="97" t="s">
        <v>1038</v>
      </c>
      <c r="F467" s="97" t="s">
        <v>648</v>
      </c>
      <c r="G467" s="97"/>
      <c r="H467" s="5"/>
      <c r="I467"/>
      <c r="J467"/>
      <c r="K467"/>
      <c r="L467"/>
      <c r="M467"/>
      <c r="N467"/>
      <c r="O467"/>
      <c r="P467"/>
      <c r="Q467"/>
      <c r="R467"/>
      <c r="S467"/>
      <c r="T467"/>
      <c r="U467"/>
      <c r="V467"/>
      <c r="W467"/>
      <c r="X467"/>
      <c r="Y467"/>
    </row>
    <row r="468" spans="1:25" s="104" customFormat="1" hidden="1" x14ac:dyDescent="0.25">
      <c r="A468" s="97" t="str">
        <f t="shared" si="7"/>
        <v>i2c_Type</v>
      </c>
      <c r="B468" s="97" t="s">
        <v>906</v>
      </c>
      <c r="C468" s="97" t="s">
        <v>0</v>
      </c>
      <c r="D468" s="97"/>
      <c r="E468" s="97" t="s">
        <v>1038</v>
      </c>
      <c r="F468" s="97" t="s">
        <v>648</v>
      </c>
      <c r="G468" s="97" t="s">
        <v>629</v>
      </c>
      <c r="H468" s="5"/>
      <c r="I468"/>
      <c r="J468"/>
      <c r="K468"/>
      <c r="L468"/>
      <c r="M468"/>
      <c r="N468"/>
      <c r="O468"/>
      <c r="P468"/>
      <c r="Q468"/>
      <c r="R468"/>
      <c r="S468"/>
      <c r="T468"/>
      <c r="U468"/>
      <c r="V468"/>
      <c r="W468"/>
      <c r="X468"/>
      <c r="Y468"/>
    </row>
    <row r="469" spans="1:25" s="104" customFormat="1" hidden="1" x14ac:dyDescent="0.25">
      <c r="A469" s="97" t="str">
        <f t="shared" si="7"/>
        <v>epwm_Type</v>
      </c>
      <c r="B469" s="97" t="s">
        <v>967</v>
      </c>
      <c r="C469" s="97" t="s">
        <v>0</v>
      </c>
      <c r="D469" s="97"/>
      <c r="E469" s="97" t="s">
        <v>1038</v>
      </c>
      <c r="F469" s="97" t="s">
        <v>648</v>
      </c>
      <c r="G469" s="97"/>
      <c r="H469" s="5"/>
      <c r="I469"/>
      <c r="J469"/>
      <c r="K469"/>
      <c r="L469"/>
      <c r="M469"/>
      <c r="N469"/>
      <c r="O469"/>
      <c r="P469"/>
      <c r="Q469"/>
      <c r="R469"/>
      <c r="S469"/>
      <c r="T469"/>
      <c r="U469"/>
      <c r="V469"/>
      <c r="W469"/>
      <c r="X469"/>
      <c r="Y469"/>
    </row>
    <row r="470" spans="1:25" s="104" customFormat="1" hidden="1" x14ac:dyDescent="0.25">
      <c r="A470" s="97" t="str">
        <f t="shared" si="7"/>
        <v>fssul_Type</v>
      </c>
      <c r="B470" s="97" t="s">
        <v>689</v>
      </c>
      <c r="C470" s="97" t="s">
        <v>0</v>
      </c>
      <c r="D470" s="97"/>
      <c r="E470" s="97" t="s">
        <v>1038</v>
      </c>
      <c r="F470" s="97" t="s">
        <v>648</v>
      </c>
      <c r="G470" s="97" t="s">
        <v>629</v>
      </c>
      <c r="H470" s="5"/>
      <c r="I470"/>
      <c r="J470"/>
      <c r="K470"/>
      <c r="L470"/>
      <c r="M470"/>
      <c r="N470"/>
      <c r="O470"/>
      <c r="P470"/>
      <c r="Q470"/>
      <c r="R470"/>
      <c r="S470"/>
      <c r="T470"/>
      <c r="U470"/>
      <c r="V470"/>
      <c r="W470"/>
      <c r="X470"/>
      <c r="Y470"/>
    </row>
    <row r="471" spans="1:25" s="104" customFormat="1" hidden="1" x14ac:dyDescent="0.25">
      <c r="A471" s="97" t="str">
        <f t="shared" si="7"/>
        <v>ecap_Type</v>
      </c>
      <c r="B471" s="97" t="s">
        <v>938</v>
      </c>
      <c r="C471" s="97" t="s">
        <v>0</v>
      </c>
      <c r="D471" s="97"/>
      <c r="E471" s="97" t="s">
        <v>1038</v>
      </c>
      <c r="F471" s="97" t="s">
        <v>648</v>
      </c>
      <c r="G471" s="97"/>
      <c r="H471" s="5"/>
      <c r="I471"/>
      <c r="J471"/>
      <c r="K471"/>
      <c r="L471"/>
      <c r="M471"/>
      <c r="N471"/>
      <c r="O471"/>
      <c r="P471"/>
      <c r="Q471"/>
      <c r="R471"/>
      <c r="S471"/>
      <c r="T471"/>
      <c r="U471"/>
      <c r="V471"/>
      <c r="W471"/>
      <c r="X471"/>
      <c r="Y471"/>
    </row>
    <row r="472" spans="1:25" s="104" customFormat="1" hidden="1" x14ac:dyDescent="0.25">
      <c r="A472" s="97" t="str">
        <f t="shared" si="7"/>
        <v>eqep_Type</v>
      </c>
      <c r="B472" s="97" t="s">
        <v>937</v>
      </c>
      <c r="C472" s="97" t="s">
        <v>0</v>
      </c>
      <c r="D472" s="97"/>
      <c r="E472" s="97" t="s">
        <v>1038</v>
      </c>
      <c r="F472" s="97" t="s">
        <v>648</v>
      </c>
      <c r="G472" s="97"/>
      <c r="H472" s="5"/>
      <c r="I472"/>
      <c r="J472"/>
      <c r="K472"/>
      <c r="L472"/>
      <c r="M472"/>
      <c r="N472"/>
      <c r="O472"/>
      <c r="P472"/>
      <c r="Q472"/>
      <c r="R472"/>
      <c r="S472"/>
      <c r="T472"/>
      <c r="U472"/>
      <c r="V472"/>
      <c r="W472"/>
      <c r="X472"/>
      <c r="Y472"/>
    </row>
    <row r="473" spans="1:25" s="104" customFormat="1" hidden="1" x14ac:dyDescent="0.25">
      <c r="A473" s="97" t="str">
        <f t="shared" si="7"/>
        <v>ethernet_Type</v>
      </c>
      <c r="B473" s="97" t="s">
        <v>649</v>
      </c>
      <c r="C473" s="97" t="s">
        <v>0</v>
      </c>
      <c r="D473" s="97"/>
      <c r="E473" s="97" t="s">
        <v>1038</v>
      </c>
      <c r="F473" s="97" t="s">
        <v>648</v>
      </c>
      <c r="G473" s="97" t="s">
        <v>629</v>
      </c>
      <c r="H473" s="5"/>
      <c r="I473"/>
      <c r="J473"/>
      <c r="K473"/>
      <c r="L473"/>
      <c r="M473"/>
      <c r="N473"/>
      <c r="O473"/>
      <c r="P473"/>
      <c r="Q473"/>
      <c r="R473"/>
      <c r="S473"/>
      <c r="T473"/>
      <c r="U473"/>
      <c r="V473"/>
      <c r="W473"/>
      <c r="X473"/>
      <c r="Y473"/>
    </row>
    <row r="474" spans="1:25" s="104" customFormat="1" hidden="1" x14ac:dyDescent="0.25">
      <c r="A474" s="97" t="str">
        <f t="shared" si="7"/>
        <v>icssm_Type</v>
      </c>
      <c r="B474" s="97" t="s">
        <v>643</v>
      </c>
      <c r="C474" s="97" t="s">
        <v>0</v>
      </c>
      <c r="D474" s="97"/>
      <c r="E474" s="97" t="s">
        <v>1038</v>
      </c>
      <c r="F474" s="97" t="s">
        <v>648</v>
      </c>
      <c r="G474" s="97" t="s">
        <v>629</v>
      </c>
      <c r="H474" s="5"/>
      <c r="I474"/>
      <c r="J474"/>
      <c r="K474"/>
      <c r="L474"/>
      <c r="M474"/>
      <c r="N474"/>
      <c r="O474"/>
      <c r="P474"/>
      <c r="Q474"/>
      <c r="R474"/>
      <c r="S474"/>
      <c r="T474"/>
      <c r="U474"/>
      <c r="V474"/>
      <c r="W474"/>
      <c r="X474"/>
      <c r="Y474"/>
    </row>
    <row r="475" spans="1:25" s="104" customFormat="1" hidden="1" x14ac:dyDescent="0.25">
      <c r="A475" s="97" t="str">
        <f t="shared" si="7"/>
        <v>spi_Type</v>
      </c>
      <c r="B475" s="97" t="s">
        <v>898</v>
      </c>
      <c r="C475" s="97" t="s">
        <v>0</v>
      </c>
      <c r="D475" s="97"/>
      <c r="E475" s="97" t="s">
        <v>1038</v>
      </c>
      <c r="F475" s="97" t="s">
        <v>648</v>
      </c>
      <c r="G475" s="97" t="s">
        <v>629</v>
      </c>
      <c r="H475" s="5"/>
      <c r="I475"/>
      <c r="J475"/>
      <c r="K475"/>
      <c r="L475"/>
      <c r="M475"/>
      <c r="N475"/>
      <c r="O475"/>
      <c r="P475"/>
      <c r="Q475"/>
      <c r="R475"/>
      <c r="S475"/>
      <c r="T475"/>
      <c r="U475"/>
      <c r="V475"/>
      <c r="W475"/>
      <c r="X475"/>
      <c r="Y475"/>
    </row>
    <row r="476" spans="1:25" s="104" customFormat="1" hidden="1" x14ac:dyDescent="0.25">
      <c r="A476" s="97" t="str">
        <f t="shared" si="7"/>
        <v>gpio_Type</v>
      </c>
      <c r="B476" s="97" t="s">
        <v>969</v>
      </c>
      <c r="C476" s="97" t="s">
        <v>0</v>
      </c>
      <c r="D476" s="97"/>
      <c r="E476" s="97" t="s">
        <v>1038</v>
      </c>
      <c r="F476" s="97" t="s">
        <v>648</v>
      </c>
      <c r="G476" s="97"/>
      <c r="H476" s="5"/>
      <c r="I476"/>
      <c r="J476"/>
      <c r="K476"/>
      <c r="L476"/>
      <c r="M476"/>
      <c r="N476"/>
      <c r="O476"/>
      <c r="P476"/>
      <c r="Q476"/>
      <c r="R476"/>
      <c r="S476"/>
      <c r="T476"/>
      <c r="U476"/>
      <c r="V476"/>
      <c r="W476"/>
      <c r="X476"/>
      <c r="Y476"/>
    </row>
    <row r="477" spans="1:25" s="104" customFormat="1" hidden="1" x14ac:dyDescent="0.25">
      <c r="A477" s="97" t="str">
        <f t="shared" si="7"/>
        <v>PRWDWUWSWEWCDGSDIO_Type</v>
      </c>
      <c r="B477" s="97" t="s">
        <v>396</v>
      </c>
      <c r="C477" s="98" t="s">
        <v>0</v>
      </c>
      <c r="D477" s="97"/>
      <c r="E477" s="97" t="s">
        <v>1038</v>
      </c>
      <c r="F477" s="97" t="s">
        <v>647</v>
      </c>
      <c r="G477" s="97"/>
      <c r="H477" s="5"/>
      <c r="I477"/>
      <c r="J477"/>
      <c r="K477"/>
      <c r="L477"/>
      <c r="M477"/>
      <c r="N477"/>
      <c r="O477"/>
      <c r="P477"/>
      <c r="Q477"/>
      <c r="R477"/>
      <c r="S477"/>
      <c r="T477"/>
      <c r="U477"/>
      <c r="V477"/>
      <c r="W477"/>
      <c r="X477"/>
      <c r="Y477"/>
    </row>
    <row r="478" spans="1:25" s="104" customFormat="1" x14ac:dyDescent="0.25">
      <c r="A478" s="97" t="str">
        <f t="shared" si="7"/>
        <v>ddr16_1600_ios_Type</v>
      </c>
      <c r="B478" s="97" t="s">
        <v>620</v>
      </c>
      <c r="C478" s="98" t="s">
        <v>0</v>
      </c>
      <c r="D478" s="97"/>
      <c r="E478" s="97" t="s">
        <v>1038</v>
      </c>
      <c r="F478" s="97" t="s">
        <v>647</v>
      </c>
      <c r="G478" s="97" t="s">
        <v>571</v>
      </c>
      <c r="H478" s="5"/>
      <c r="I478"/>
      <c r="J478"/>
      <c r="K478"/>
      <c r="L478"/>
      <c r="M478"/>
      <c r="N478"/>
      <c r="O478"/>
      <c r="P478"/>
      <c r="Q478"/>
      <c r="R478"/>
      <c r="S478"/>
      <c r="T478"/>
      <c r="U478"/>
      <c r="V478"/>
      <c r="W478"/>
      <c r="X478"/>
      <c r="Y478"/>
    </row>
    <row r="479" spans="1:25" s="104" customFormat="1" hidden="1" x14ac:dyDescent="0.25">
      <c r="A479" s="97" t="str">
        <f t="shared" si="7"/>
        <v>sam62_m4ss_wrap_Type</v>
      </c>
      <c r="B479" s="97" t="s">
        <v>219</v>
      </c>
      <c r="C479" s="97" t="s">
        <v>0</v>
      </c>
      <c r="D479" s="97"/>
      <c r="E479" s="97" t="s">
        <v>1072</v>
      </c>
      <c r="F479" s="97" t="s">
        <v>644</v>
      </c>
      <c r="G479" s="97" t="s">
        <v>1074</v>
      </c>
      <c r="H479" s="5"/>
      <c r="I479"/>
      <c r="J479"/>
      <c r="K479"/>
      <c r="L479"/>
      <c r="M479"/>
      <c r="N479"/>
      <c r="O479"/>
      <c r="P479"/>
      <c r="Q479"/>
      <c r="R479"/>
      <c r="S479"/>
      <c r="T479"/>
      <c r="U479"/>
      <c r="V479"/>
      <c r="W479"/>
      <c r="X479"/>
      <c r="Y479"/>
    </row>
    <row r="480" spans="1:25" s="104" customFormat="1" hidden="1" x14ac:dyDescent="0.25">
      <c r="A480" s="97" t="str">
        <f t="shared" si="7"/>
        <v>sam62_dm_wrap_Type</v>
      </c>
      <c r="B480" s="97" t="s">
        <v>237</v>
      </c>
      <c r="C480" s="97" t="s">
        <v>0</v>
      </c>
      <c r="D480" s="97"/>
      <c r="E480" s="97" t="s">
        <v>1072</v>
      </c>
      <c r="F480" s="97" t="s">
        <v>644</v>
      </c>
      <c r="G480" s="97" t="s">
        <v>1074</v>
      </c>
      <c r="H480" s="5"/>
      <c r="I480"/>
      <c r="J480"/>
      <c r="K480"/>
      <c r="L480"/>
      <c r="M480"/>
      <c r="N480"/>
      <c r="O480"/>
      <c r="P480"/>
      <c r="Q480"/>
      <c r="R480"/>
      <c r="S480"/>
      <c r="T480"/>
      <c r="U480"/>
      <c r="V480"/>
      <c r="W480"/>
      <c r="X480"/>
      <c r="Y480"/>
    </row>
    <row r="481" spans="1:25" s="104" customFormat="1" hidden="1" x14ac:dyDescent="0.25">
      <c r="A481" s="97" t="str">
        <f t="shared" si="7"/>
        <v>sam62_a53_dual_wrap_cba_cpu_phys_Type</v>
      </c>
      <c r="B481" s="97" t="s">
        <v>274</v>
      </c>
      <c r="C481" s="97" t="s">
        <v>0</v>
      </c>
      <c r="D481" s="97"/>
      <c r="E481" s="97" t="s">
        <v>1072</v>
      </c>
      <c r="F481" s="97" t="s">
        <v>644</v>
      </c>
      <c r="G481" s="97" t="s">
        <v>1074</v>
      </c>
      <c r="H481" s="5"/>
      <c r="I481"/>
      <c r="J481"/>
      <c r="K481"/>
      <c r="L481"/>
      <c r="M481"/>
      <c r="N481"/>
      <c r="O481"/>
      <c r="P481"/>
      <c r="Q481"/>
      <c r="R481"/>
      <c r="S481"/>
      <c r="T481"/>
      <c r="U481"/>
      <c r="V481"/>
      <c r="W481"/>
      <c r="X481"/>
      <c r="Y481"/>
    </row>
    <row r="482" spans="1:25" s="104" customFormat="1" hidden="1" x14ac:dyDescent="0.25">
      <c r="A482" s="97" t="str">
        <f t="shared" si="7"/>
        <v>sam62_a53_512kb_wrap_Type</v>
      </c>
      <c r="B482" s="97" t="s">
        <v>270</v>
      </c>
      <c r="C482" s="97" t="s">
        <v>0</v>
      </c>
      <c r="D482" s="97"/>
      <c r="E482" s="97" t="s">
        <v>1072</v>
      </c>
      <c r="F482" s="97" t="s">
        <v>644</v>
      </c>
      <c r="G482" s="97" t="s">
        <v>1074</v>
      </c>
      <c r="H482" s="5"/>
      <c r="I482"/>
      <c r="J482"/>
      <c r="K482"/>
      <c r="L482"/>
      <c r="M482"/>
      <c r="N482"/>
      <c r="O482"/>
      <c r="P482"/>
      <c r="Q482"/>
      <c r="R482"/>
      <c r="S482"/>
      <c r="T482"/>
      <c r="U482"/>
      <c r="V482"/>
      <c r="W482"/>
      <c r="X482"/>
      <c r="Y482"/>
    </row>
    <row r="483" spans="1:25" s="104" customFormat="1" hidden="1" x14ac:dyDescent="0.25">
      <c r="A483" s="97" t="str">
        <f t="shared" si="7"/>
        <v>sam62_cpsw3_wrap_Type</v>
      </c>
      <c r="B483" s="97" t="s">
        <v>216</v>
      </c>
      <c r="C483" s="97" t="s">
        <v>0</v>
      </c>
      <c r="D483" s="97"/>
      <c r="E483" s="97" t="s">
        <v>1072</v>
      </c>
      <c r="F483" s="97" t="s">
        <v>645</v>
      </c>
      <c r="G483" s="97" t="s">
        <v>1074</v>
      </c>
      <c r="H483" s="5"/>
      <c r="I483"/>
      <c r="J483"/>
      <c r="K483"/>
      <c r="L483"/>
      <c r="M483"/>
      <c r="N483"/>
      <c r="O483"/>
      <c r="P483"/>
      <c r="Q483"/>
      <c r="R483"/>
      <c r="S483"/>
      <c r="T483"/>
      <c r="U483"/>
      <c r="V483"/>
      <c r="W483"/>
      <c r="X483"/>
      <c r="Y483"/>
    </row>
    <row r="484" spans="1:25" s="104" customFormat="1" hidden="1" x14ac:dyDescent="0.25">
      <c r="A484" s="97" t="str">
        <f t="shared" si="7"/>
        <v>sam62_icss_m_wrap_Type</v>
      </c>
      <c r="B484" s="97" t="s">
        <v>209</v>
      </c>
      <c r="C484" s="97" t="s">
        <v>0</v>
      </c>
      <c r="D484" s="97"/>
      <c r="E484" s="97" t="s">
        <v>1072</v>
      </c>
      <c r="F484" s="97" t="s">
        <v>645</v>
      </c>
      <c r="G484" s="97" t="s">
        <v>1074</v>
      </c>
      <c r="H484" s="5"/>
      <c r="I484"/>
      <c r="J484"/>
      <c r="K484"/>
      <c r="L484"/>
      <c r="M484"/>
      <c r="N484"/>
      <c r="O484"/>
      <c r="P484"/>
      <c r="Q484"/>
      <c r="R484"/>
      <c r="S484"/>
      <c r="T484"/>
      <c r="U484"/>
      <c r="V484"/>
      <c r="W484"/>
      <c r="X484"/>
      <c r="Y484"/>
    </row>
    <row r="485" spans="1:25" s="104" customFormat="1" hidden="1" x14ac:dyDescent="0.25">
      <c r="A485" s="97" t="str">
        <f t="shared" si="7"/>
        <v>sam62_dss_oldi_wrap_Type</v>
      </c>
      <c r="B485" s="97" t="s">
        <v>214</v>
      </c>
      <c r="C485" s="97" t="s">
        <v>0</v>
      </c>
      <c r="D485" s="97"/>
      <c r="E485" s="97" t="s">
        <v>1072</v>
      </c>
      <c r="F485" s="97" t="s">
        <v>645</v>
      </c>
      <c r="G485" s="97" t="s">
        <v>1074</v>
      </c>
      <c r="H485" s="5"/>
      <c r="I485"/>
      <c r="J485"/>
      <c r="K485"/>
      <c r="L485"/>
      <c r="M485"/>
      <c r="N485"/>
      <c r="O485"/>
      <c r="P485"/>
      <c r="Q485"/>
      <c r="R485"/>
      <c r="S485"/>
      <c r="T485"/>
      <c r="U485"/>
      <c r="V485"/>
      <c r="W485"/>
      <c r="X485"/>
      <c r="Y485"/>
    </row>
    <row r="486" spans="1:25" s="104" customFormat="1" hidden="1" x14ac:dyDescent="0.25">
      <c r="A486" s="97" t="str">
        <f t="shared" si="7"/>
        <v>sam62_k3_gpu_axe116m_wrap_Type</v>
      </c>
      <c r="B486" s="97" t="s">
        <v>242</v>
      </c>
      <c r="C486" s="97" t="s">
        <v>0</v>
      </c>
      <c r="D486" s="97"/>
      <c r="E486" s="97" t="s">
        <v>1072</v>
      </c>
      <c r="F486" s="97" t="s">
        <v>645</v>
      </c>
      <c r="G486" s="97" t="s">
        <v>1074</v>
      </c>
      <c r="H486" s="5"/>
      <c r="I486"/>
      <c r="J486"/>
      <c r="K486"/>
      <c r="L486"/>
      <c r="M486"/>
      <c r="N486"/>
      <c r="O486"/>
      <c r="P486"/>
      <c r="Q486"/>
      <c r="R486"/>
      <c r="S486"/>
      <c r="T486"/>
      <c r="U486"/>
      <c r="V486"/>
      <c r="W486"/>
      <c r="X486"/>
      <c r="Y486"/>
    </row>
    <row r="487" spans="1:25" s="104" customFormat="1" hidden="1" x14ac:dyDescent="0.25">
      <c r="A487" s="97" t="str">
        <f t="shared" si="7"/>
        <v>sam62_mcasp_wrap_Type</v>
      </c>
      <c r="B487" s="97" t="s">
        <v>208</v>
      </c>
      <c r="C487" s="97" t="s">
        <v>0</v>
      </c>
      <c r="D487" s="97"/>
      <c r="E487" s="97" t="s">
        <v>1072</v>
      </c>
      <c r="F487" s="97" t="s">
        <v>166</v>
      </c>
      <c r="G487" s="97" t="s">
        <v>1074</v>
      </c>
      <c r="H487" s="5"/>
      <c r="I487"/>
      <c r="J487"/>
      <c r="K487"/>
      <c r="L487"/>
      <c r="M487"/>
      <c r="N487"/>
      <c r="O487"/>
      <c r="P487"/>
      <c r="Q487"/>
      <c r="R487"/>
      <c r="S487"/>
      <c r="T487"/>
      <c r="U487"/>
      <c r="V487"/>
      <c r="W487"/>
      <c r="X487"/>
      <c r="Y487"/>
    </row>
    <row r="488" spans="1:25" s="104" customFormat="1" hidden="1" x14ac:dyDescent="0.25">
      <c r="A488" s="97" t="str">
        <f t="shared" si="7"/>
        <v>sam62_csirx_wrap_Type</v>
      </c>
      <c r="B488" s="97" t="s">
        <v>239</v>
      </c>
      <c r="C488" s="97" t="s">
        <v>0</v>
      </c>
      <c r="D488" s="97"/>
      <c r="E488" s="97" t="s">
        <v>1072</v>
      </c>
      <c r="F488" s="97" t="s">
        <v>166</v>
      </c>
      <c r="G488" s="97" t="s">
        <v>1074</v>
      </c>
      <c r="H488" s="5"/>
      <c r="I488"/>
      <c r="J488"/>
      <c r="K488"/>
      <c r="L488"/>
      <c r="M488"/>
      <c r="N488"/>
      <c r="O488"/>
      <c r="P488"/>
      <c r="Q488"/>
      <c r="R488"/>
      <c r="S488"/>
      <c r="T488"/>
      <c r="U488"/>
      <c r="V488"/>
      <c r="W488"/>
      <c r="X488"/>
      <c r="Y488"/>
    </row>
    <row r="489" spans="1:25" s="104" customFormat="1" hidden="1" x14ac:dyDescent="0.25">
      <c r="A489" s="97" t="str">
        <f t="shared" si="7"/>
        <v>sam62_usb2_wrap_Type</v>
      </c>
      <c r="B489" s="97" t="s">
        <v>207</v>
      </c>
      <c r="C489" s="97" t="s">
        <v>0</v>
      </c>
      <c r="D489" s="97"/>
      <c r="E489" s="97" t="s">
        <v>1072</v>
      </c>
      <c r="F489" s="97" t="s">
        <v>166</v>
      </c>
      <c r="G489" s="97" t="s">
        <v>1074</v>
      </c>
      <c r="H489" s="5"/>
      <c r="I489"/>
      <c r="J489"/>
      <c r="K489"/>
      <c r="L489"/>
      <c r="M489"/>
      <c r="N489"/>
      <c r="O489"/>
      <c r="P489"/>
      <c r="Q489"/>
      <c r="R489"/>
      <c r="S489"/>
      <c r="T489"/>
      <c r="U489"/>
      <c r="V489"/>
      <c r="W489"/>
      <c r="X489"/>
      <c r="Y489"/>
    </row>
    <row r="490" spans="1:25" s="104" customFormat="1" hidden="1" x14ac:dyDescent="0.25">
      <c r="A490" s="97" t="str">
        <f t="shared" si="7"/>
        <v>sam62_emmc_4bit_wrap_Type</v>
      </c>
      <c r="B490" s="97" t="s">
        <v>240</v>
      </c>
      <c r="C490" s="97" t="s">
        <v>0</v>
      </c>
      <c r="D490" s="97"/>
      <c r="E490" s="97" t="s">
        <v>1072</v>
      </c>
      <c r="F490" s="97" t="s">
        <v>166</v>
      </c>
      <c r="G490" s="97" t="s">
        <v>1074</v>
      </c>
      <c r="H490" s="5"/>
      <c r="I490"/>
      <c r="J490"/>
      <c r="K490"/>
      <c r="L490"/>
      <c r="M490"/>
      <c r="N490"/>
      <c r="O490"/>
      <c r="P490"/>
      <c r="Q490"/>
      <c r="R490"/>
      <c r="S490"/>
      <c r="T490"/>
      <c r="U490"/>
      <c r="V490"/>
      <c r="W490"/>
      <c r="X490"/>
      <c r="Y490"/>
    </row>
    <row r="491" spans="1:25" s="104" customFormat="1" hidden="1" x14ac:dyDescent="0.25">
      <c r="A491" s="97" t="str">
        <f t="shared" si="7"/>
        <v>sam62_emmc_8bit_wrap_Type</v>
      </c>
      <c r="B491" s="97" t="s">
        <v>241</v>
      </c>
      <c r="C491" s="97" t="s">
        <v>0</v>
      </c>
      <c r="D491" s="97"/>
      <c r="E491" s="97" t="s">
        <v>1072</v>
      </c>
      <c r="F491" s="97" t="s">
        <v>166</v>
      </c>
      <c r="G491" s="97" t="s">
        <v>1074</v>
      </c>
      <c r="H491" s="5"/>
      <c r="I491"/>
      <c r="J491"/>
      <c r="K491"/>
      <c r="L491"/>
      <c r="M491"/>
      <c r="N491"/>
      <c r="O491"/>
      <c r="P491"/>
      <c r="Q491"/>
      <c r="R491"/>
      <c r="S491"/>
      <c r="T491"/>
      <c r="U491"/>
      <c r="V491"/>
      <c r="W491"/>
      <c r="X491"/>
      <c r="Y491"/>
    </row>
    <row r="492" spans="1:25" s="104" customFormat="1" hidden="1" x14ac:dyDescent="0.25">
      <c r="A492" s="97" t="str">
        <f t="shared" si="7"/>
        <v>sam62_gpmc_elm_wrap_Type</v>
      </c>
      <c r="B492" s="97" t="s">
        <v>211</v>
      </c>
      <c r="C492" s="97" t="s">
        <v>0</v>
      </c>
      <c r="D492" s="97"/>
      <c r="E492" s="97" t="s">
        <v>1072</v>
      </c>
      <c r="F492" s="97" t="s">
        <v>166</v>
      </c>
      <c r="G492" s="97" t="s">
        <v>1074</v>
      </c>
      <c r="H492" s="5"/>
      <c r="I492"/>
      <c r="J492"/>
      <c r="K492"/>
      <c r="L492"/>
      <c r="M492"/>
      <c r="N492"/>
      <c r="O492"/>
      <c r="P492"/>
      <c r="Q492"/>
      <c r="R492"/>
      <c r="S492"/>
      <c r="T492"/>
      <c r="U492"/>
      <c r="V492"/>
      <c r="W492"/>
      <c r="X492"/>
      <c r="Y492"/>
    </row>
    <row r="493" spans="1:25" s="104" customFormat="1" hidden="1" x14ac:dyDescent="0.25">
      <c r="A493" s="97" t="str">
        <f t="shared" si="7"/>
        <v>sam62_ddr_wrap_Type</v>
      </c>
      <c r="B493" s="97" t="s">
        <v>215</v>
      </c>
      <c r="C493" s="97" t="s">
        <v>0</v>
      </c>
      <c r="D493" s="97"/>
      <c r="E493" s="97" t="s">
        <v>1072</v>
      </c>
      <c r="F493" s="97" t="s">
        <v>166</v>
      </c>
      <c r="G493" s="97" t="s">
        <v>1074</v>
      </c>
      <c r="H493" s="5"/>
      <c r="I493"/>
      <c r="J493"/>
      <c r="K493"/>
      <c r="L493"/>
      <c r="M493"/>
      <c r="N493"/>
      <c r="O493"/>
      <c r="P493"/>
      <c r="Q493"/>
      <c r="R493"/>
      <c r="S493"/>
      <c r="T493"/>
      <c r="U493"/>
      <c r="V493"/>
      <c r="W493"/>
      <c r="X493"/>
      <c r="Y493"/>
    </row>
    <row r="494" spans="1:25" s="104" customFormat="1" hidden="1" x14ac:dyDescent="0.25">
      <c r="A494" s="97" t="str">
        <f t="shared" si="7"/>
        <v>ddr16_1600_phy_Type</v>
      </c>
      <c r="B494" s="97" t="s">
        <v>314</v>
      </c>
      <c r="C494" s="97" t="s">
        <v>0</v>
      </c>
      <c r="D494" s="97"/>
      <c r="E494" s="97" t="s">
        <v>1072</v>
      </c>
      <c r="F494" s="97" t="s">
        <v>166</v>
      </c>
      <c r="G494" s="97" t="s">
        <v>1074</v>
      </c>
      <c r="H494" s="5"/>
      <c r="I494"/>
      <c r="J494"/>
      <c r="K494"/>
      <c r="L494"/>
      <c r="M494"/>
      <c r="N494"/>
      <c r="O494"/>
      <c r="P494"/>
      <c r="Q494"/>
      <c r="R494"/>
      <c r="S494"/>
      <c r="T494"/>
      <c r="U494"/>
      <c r="V494"/>
      <c r="W494"/>
      <c r="X494"/>
      <c r="Y494"/>
    </row>
    <row r="495" spans="1:25" s="104" customFormat="1" hidden="1" x14ac:dyDescent="0.25">
      <c r="A495" s="97" t="str">
        <f t="shared" si="7"/>
        <v>sam62_debug_wrap_Type</v>
      </c>
      <c r="B495" s="97" t="s">
        <v>186</v>
      </c>
      <c r="C495" s="97" t="s">
        <v>0</v>
      </c>
      <c r="D495" s="97"/>
      <c r="E495" s="97" t="s">
        <v>1072</v>
      </c>
      <c r="F495" s="97" t="s">
        <v>167</v>
      </c>
      <c r="G495" s="97" t="s">
        <v>1074</v>
      </c>
      <c r="H495" s="5"/>
      <c r="I495"/>
      <c r="J495"/>
      <c r="K495"/>
      <c r="L495"/>
      <c r="M495"/>
      <c r="N495"/>
      <c r="O495"/>
      <c r="P495"/>
      <c r="Q495"/>
      <c r="R495"/>
      <c r="S495"/>
      <c r="T495"/>
      <c r="U495"/>
      <c r="V495"/>
      <c r="W495"/>
      <c r="X495"/>
      <c r="Y495"/>
    </row>
    <row r="496" spans="1:25" s="104" customFormat="1" hidden="1" x14ac:dyDescent="0.25">
      <c r="A496" s="97" t="str">
        <f t="shared" si="7"/>
        <v>sam62_efuse_ctrl_wrap_Type</v>
      </c>
      <c r="B496" s="97" t="s">
        <v>213</v>
      </c>
      <c r="C496" s="97" t="s">
        <v>0</v>
      </c>
      <c r="D496" s="97"/>
      <c r="E496" s="97" t="s">
        <v>1072</v>
      </c>
      <c r="F496" s="97" t="s">
        <v>167</v>
      </c>
      <c r="G496" s="97" t="s">
        <v>1074</v>
      </c>
      <c r="H496" s="5"/>
      <c r="I496"/>
      <c r="J496"/>
      <c r="K496"/>
      <c r="L496"/>
      <c r="M496"/>
      <c r="N496"/>
      <c r="O496"/>
      <c r="P496"/>
      <c r="Q496"/>
      <c r="R496"/>
      <c r="S496"/>
      <c r="T496"/>
      <c r="U496"/>
      <c r="V496"/>
      <c r="W496"/>
      <c r="X496"/>
      <c r="Y496"/>
    </row>
    <row r="497" spans="1:25" s="104" customFormat="1" hidden="1" x14ac:dyDescent="0.25">
      <c r="A497" s="97" t="str">
        <f t="shared" si="7"/>
        <v>sam62_main_infra_phys_Type</v>
      </c>
      <c r="B497" s="97" t="s">
        <v>144</v>
      </c>
      <c r="C497" s="97" t="s">
        <v>0</v>
      </c>
      <c r="D497" s="97"/>
      <c r="E497" s="97" t="s">
        <v>1072</v>
      </c>
      <c r="F497" s="97" t="s">
        <v>167</v>
      </c>
      <c r="G497" s="97" t="s">
        <v>1074</v>
      </c>
      <c r="H497" s="5"/>
      <c r="I497"/>
      <c r="J497"/>
      <c r="K497"/>
      <c r="L497"/>
      <c r="M497"/>
      <c r="N497"/>
      <c r="O497"/>
      <c r="P497"/>
      <c r="Q497"/>
      <c r="R497"/>
      <c r="S497"/>
      <c r="T497"/>
      <c r="U497"/>
      <c r="V497"/>
      <c r="W497"/>
      <c r="X497"/>
      <c r="Y497"/>
    </row>
    <row r="498" spans="1:25" s="104" customFormat="1" hidden="1" x14ac:dyDescent="0.25">
      <c r="A498" s="97" t="str">
        <f t="shared" si="7"/>
        <v>sam62_main_ip_wrap_Type</v>
      </c>
      <c r="B498" s="97" t="s">
        <v>238</v>
      </c>
      <c r="C498" s="97" t="s">
        <v>0</v>
      </c>
      <c r="D498" s="97"/>
      <c r="E498" s="97" t="s">
        <v>1072</v>
      </c>
      <c r="F498" s="97" t="s">
        <v>167</v>
      </c>
      <c r="G498" s="97" t="s">
        <v>1074</v>
      </c>
      <c r="H498" s="5"/>
      <c r="I498"/>
      <c r="J498"/>
      <c r="K498"/>
      <c r="L498"/>
      <c r="M498"/>
      <c r="N498"/>
      <c r="O498"/>
      <c r="P498"/>
      <c r="Q498"/>
      <c r="R498"/>
      <c r="S498"/>
      <c r="T498"/>
      <c r="U498"/>
      <c r="V498"/>
      <c r="W498"/>
      <c r="X498"/>
      <c r="Y498"/>
    </row>
    <row r="499" spans="1:25" s="104" customFormat="1" hidden="1" x14ac:dyDescent="0.25">
      <c r="A499" s="97" t="str">
        <f t="shared" si="7"/>
        <v>sam62_mcu_infra_phys_Type</v>
      </c>
      <c r="B499" s="97" t="s">
        <v>183</v>
      </c>
      <c r="C499" s="97" t="s">
        <v>0</v>
      </c>
      <c r="D499" s="97"/>
      <c r="E499" s="97" t="s">
        <v>1072</v>
      </c>
      <c r="F499" s="97" t="s">
        <v>167</v>
      </c>
      <c r="G499" s="97" t="s">
        <v>1074</v>
      </c>
      <c r="H499" s="5"/>
      <c r="I499"/>
      <c r="J499"/>
      <c r="K499"/>
      <c r="L499"/>
      <c r="M499"/>
      <c r="N499"/>
      <c r="O499"/>
      <c r="P499"/>
      <c r="Q499"/>
      <c r="R499"/>
      <c r="S499"/>
      <c r="T499"/>
      <c r="U499"/>
      <c r="V499"/>
      <c r="W499"/>
      <c r="X499"/>
      <c r="Y499"/>
    </row>
    <row r="500" spans="1:25" s="104" customFormat="1" hidden="1" x14ac:dyDescent="0.25">
      <c r="A500" s="97" t="str">
        <f t="shared" si="7"/>
        <v>sam62_mcu_wrap_Type</v>
      </c>
      <c r="B500" s="97" t="s">
        <v>236</v>
      </c>
      <c r="C500" s="97" t="s">
        <v>0</v>
      </c>
      <c r="D500" s="97"/>
      <c r="E500" s="97" t="s">
        <v>1072</v>
      </c>
      <c r="F500" s="97" t="s">
        <v>167</v>
      </c>
      <c r="G500" s="97" t="s">
        <v>1074</v>
      </c>
      <c r="H500" s="5"/>
      <c r="I500"/>
      <c r="J500"/>
      <c r="K500"/>
      <c r="L500"/>
      <c r="M500"/>
      <c r="N500"/>
      <c r="O500"/>
      <c r="P500"/>
      <c r="Q500"/>
      <c r="R500"/>
      <c r="S500"/>
      <c r="T500"/>
      <c r="U500"/>
      <c r="V500"/>
      <c r="W500"/>
      <c r="X500"/>
      <c r="Y500"/>
    </row>
    <row r="501" spans="1:25" s="104" customFormat="1" hidden="1" x14ac:dyDescent="0.25">
      <c r="A501" s="97" t="str">
        <f t="shared" si="7"/>
        <v>sam62_odp_ctrl_wrap_Type</v>
      </c>
      <c r="B501" s="97" t="s">
        <v>212</v>
      </c>
      <c r="C501" s="97" t="s">
        <v>0</v>
      </c>
      <c r="D501" s="97"/>
      <c r="E501" s="97" t="s">
        <v>1072</v>
      </c>
      <c r="F501" s="97" t="s">
        <v>167</v>
      </c>
      <c r="G501" s="97" t="s">
        <v>1074</v>
      </c>
      <c r="H501" s="5"/>
      <c r="I501"/>
      <c r="J501"/>
      <c r="K501"/>
      <c r="L501"/>
      <c r="M501"/>
      <c r="N501"/>
      <c r="O501"/>
      <c r="P501"/>
      <c r="Q501"/>
      <c r="R501"/>
      <c r="S501"/>
      <c r="T501"/>
      <c r="U501"/>
      <c r="V501"/>
      <c r="W501"/>
      <c r="X501"/>
      <c r="Y501"/>
    </row>
    <row r="502" spans="1:25" s="104" customFormat="1" hidden="1" x14ac:dyDescent="0.25">
      <c r="A502" s="97" t="str">
        <f t="shared" si="7"/>
        <v>sam62_sec_wrap_Type</v>
      </c>
      <c r="B502" s="97" t="s">
        <v>262</v>
      </c>
      <c r="C502" s="97" t="s">
        <v>0</v>
      </c>
      <c r="D502" s="97"/>
      <c r="E502" s="97" t="s">
        <v>1072</v>
      </c>
      <c r="F502" s="97" t="s">
        <v>167</v>
      </c>
      <c r="G502" s="97" t="s">
        <v>1074</v>
      </c>
      <c r="H502" s="5"/>
      <c r="I502"/>
      <c r="J502"/>
      <c r="K502"/>
      <c r="L502"/>
      <c r="M502"/>
      <c r="N502"/>
      <c r="O502"/>
      <c r="P502"/>
      <c r="Q502"/>
      <c r="R502"/>
      <c r="S502"/>
      <c r="T502"/>
      <c r="U502"/>
      <c r="V502"/>
      <c r="W502"/>
      <c r="X502"/>
      <c r="Y502"/>
    </row>
    <row r="503" spans="1:25" s="104" customFormat="1" hidden="1" x14ac:dyDescent="0.25">
      <c r="A503" s="97" t="str">
        <f t="shared" si="7"/>
        <v>sam62_core_Type</v>
      </c>
      <c r="B503" s="97" t="s">
        <v>185</v>
      </c>
      <c r="C503" s="97" t="s">
        <v>0</v>
      </c>
      <c r="D503" s="97"/>
      <c r="E503" s="97" t="s">
        <v>1072</v>
      </c>
      <c r="F503" s="97" t="s">
        <v>167</v>
      </c>
      <c r="G503" s="97" t="s">
        <v>1074</v>
      </c>
      <c r="H503" s="5"/>
      <c r="I503"/>
      <c r="J503"/>
      <c r="K503"/>
      <c r="L503"/>
      <c r="M503"/>
      <c r="N503"/>
      <c r="O503"/>
      <c r="P503"/>
      <c r="Q503"/>
      <c r="R503"/>
      <c r="S503"/>
      <c r="T503"/>
      <c r="U503"/>
      <c r="V503"/>
      <c r="W503"/>
      <c r="X503"/>
      <c r="Y503"/>
    </row>
    <row r="504" spans="1:25" s="104" customFormat="1" hidden="1" x14ac:dyDescent="0.25">
      <c r="A504" s="97" t="str">
        <f t="shared" si="7"/>
        <v>sam62_pll_ctrl_wrap_Type</v>
      </c>
      <c r="B504" s="97" t="s">
        <v>221</v>
      </c>
      <c r="C504" s="97" t="s">
        <v>0</v>
      </c>
      <c r="D504" s="97"/>
      <c r="E504" s="97" t="s">
        <v>1072</v>
      </c>
      <c r="F504" s="97" t="s">
        <v>167</v>
      </c>
      <c r="G504" s="97" t="s">
        <v>1074</v>
      </c>
      <c r="H504" s="5"/>
      <c r="I504"/>
      <c r="J504"/>
      <c r="K504"/>
      <c r="L504"/>
      <c r="M504"/>
      <c r="N504"/>
      <c r="O504"/>
      <c r="P504"/>
      <c r="Q504"/>
      <c r="R504"/>
      <c r="S504"/>
      <c r="T504"/>
      <c r="U504"/>
      <c r="V504"/>
      <c r="W504"/>
      <c r="X504"/>
      <c r="Y504"/>
    </row>
    <row r="505" spans="1:25" s="104" customFormat="1" hidden="1" x14ac:dyDescent="0.25">
      <c r="A505" s="97" t="str">
        <f t="shared" si="7"/>
        <v>sam62_m4ss_wrap_ulvt16_pct</v>
      </c>
      <c r="B505" s="97" t="s">
        <v>219</v>
      </c>
      <c r="C505" s="97" t="s">
        <v>1086</v>
      </c>
      <c r="D505" s="97"/>
      <c r="E505" s="97" t="s">
        <v>1072</v>
      </c>
      <c r="F505" s="108">
        <v>0</v>
      </c>
      <c r="G505" s="97" t="s">
        <v>1077</v>
      </c>
      <c r="H505" s="108">
        <v>0</v>
      </c>
      <c r="I505"/>
      <c r="J505"/>
      <c r="K505"/>
      <c r="L505"/>
      <c r="M505"/>
      <c r="N505"/>
      <c r="O505"/>
      <c r="P505"/>
      <c r="Q505"/>
      <c r="R505"/>
      <c r="S505"/>
      <c r="T505"/>
      <c r="U505"/>
      <c r="V505"/>
      <c r="W505"/>
      <c r="X505"/>
      <c r="Y505"/>
    </row>
    <row r="506" spans="1:25" s="104" customFormat="1" hidden="1" x14ac:dyDescent="0.25">
      <c r="A506" s="97" t="str">
        <f t="shared" si="7"/>
        <v>sam62_dm_wrap_ulvt16_pct</v>
      </c>
      <c r="B506" s="97" t="s">
        <v>237</v>
      </c>
      <c r="C506" s="97" t="s">
        <v>1086</v>
      </c>
      <c r="D506" s="97"/>
      <c r="E506" s="97" t="s">
        <v>1072</v>
      </c>
      <c r="F506" s="108">
        <v>0</v>
      </c>
      <c r="G506" s="97" t="s">
        <v>1077</v>
      </c>
      <c r="H506" s="108">
        <v>0</v>
      </c>
      <c r="I506"/>
      <c r="J506"/>
      <c r="K506"/>
      <c r="L506"/>
      <c r="M506"/>
      <c r="N506"/>
      <c r="O506"/>
      <c r="P506"/>
      <c r="Q506"/>
      <c r="R506"/>
      <c r="S506"/>
      <c r="T506"/>
      <c r="U506"/>
      <c r="V506"/>
      <c r="W506"/>
      <c r="X506"/>
      <c r="Y506"/>
    </row>
    <row r="507" spans="1:25" s="104" customFormat="1" hidden="1" x14ac:dyDescent="0.25">
      <c r="A507" s="97" t="str">
        <f t="shared" si="7"/>
        <v>sam62_a53_dual_wrap_cba_cpu_phys_ulvt16_pct</v>
      </c>
      <c r="B507" s="97" t="s">
        <v>274</v>
      </c>
      <c r="C507" s="97" t="s">
        <v>1086</v>
      </c>
      <c r="D507" s="97"/>
      <c r="E507" s="97" t="s">
        <v>1072</v>
      </c>
      <c r="F507" s="108">
        <v>0.01</v>
      </c>
      <c r="G507" s="97" t="s">
        <v>1077</v>
      </c>
      <c r="H507" s="108">
        <v>0</v>
      </c>
      <c r="I507"/>
      <c r="J507"/>
      <c r="K507"/>
      <c r="L507"/>
      <c r="M507"/>
      <c r="N507"/>
      <c r="O507"/>
      <c r="P507"/>
      <c r="Q507"/>
      <c r="R507"/>
      <c r="S507"/>
      <c r="T507"/>
      <c r="U507"/>
      <c r="V507"/>
      <c r="W507"/>
      <c r="X507"/>
      <c r="Y507"/>
    </row>
    <row r="508" spans="1:25" s="104" customFormat="1" hidden="1" x14ac:dyDescent="0.25">
      <c r="A508" s="97" t="str">
        <f t="shared" si="7"/>
        <v>sam62_a53_512kb_wrap_ulvt16_pct</v>
      </c>
      <c r="B508" s="97" t="s">
        <v>270</v>
      </c>
      <c r="C508" s="97" t="s">
        <v>1086</v>
      </c>
      <c r="D508" s="97"/>
      <c r="E508" s="97" t="s">
        <v>1072</v>
      </c>
      <c r="F508" s="108">
        <v>0.04</v>
      </c>
      <c r="G508" s="97" t="s">
        <v>1077</v>
      </c>
      <c r="H508" s="108">
        <v>0</v>
      </c>
      <c r="I508"/>
      <c r="J508"/>
      <c r="K508"/>
      <c r="L508"/>
      <c r="M508"/>
      <c r="N508"/>
      <c r="O508"/>
      <c r="P508"/>
      <c r="Q508"/>
      <c r="R508"/>
      <c r="S508"/>
      <c r="T508"/>
      <c r="U508"/>
      <c r="V508"/>
      <c r="W508"/>
      <c r="X508"/>
      <c r="Y508"/>
    </row>
    <row r="509" spans="1:25" s="104" customFormat="1" hidden="1" x14ac:dyDescent="0.25">
      <c r="A509" s="97" t="str">
        <f t="shared" si="7"/>
        <v>sam62_cpsw3_wrap_ulvt16_pct</v>
      </c>
      <c r="B509" s="97" t="s">
        <v>216</v>
      </c>
      <c r="C509" s="97" t="s">
        <v>1086</v>
      </c>
      <c r="D509" s="97"/>
      <c r="E509" s="97" t="s">
        <v>1072</v>
      </c>
      <c r="F509" s="108">
        <v>0</v>
      </c>
      <c r="G509" s="97" t="s">
        <v>1077</v>
      </c>
      <c r="H509" s="108">
        <v>0</v>
      </c>
      <c r="I509"/>
      <c r="J509"/>
      <c r="K509"/>
      <c r="L509"/>
      <c r="M509"/>
      <c r="N509"/>
      <c r="O509"/>
      <c r="P509"/>
      <c r="Q509"/>
      <c r="R509"/>
      <c r="S509"/>
      <c r="T509"/>
      <c r="U509"/>
      <c r="V509"/>
      <c r="W509"/>
      <c r="X509"/>
      <c r="Y509"/>
    </row>
    <row r="510" spans="1:25" s="104" customFormat="1" hidden="1" x14ac:dyDescent="0.25">
      <c r="A510" s="97" t="str">
        <f t="shared" si="7"/>
        <v>sam62_icss_m_wrap_ulvt16_pct</v>
      </c>
      <c r="B510" s="97" t="s">
        <v>209</v>
      </c>
      <c r="C510" s="97" t="s">
        <v>1086</v>
      </c>
      <c r="D510" s="97"/>
      <c r="E510" s="97" t="s">
        <v>1072</v>
      </c>
      <c r="F510" s="108">
        <v>0</v>
      </c>
      <c r="G510" s="97" t="s">
        <v>1077</v>
      </c>
      <c r="H510" s="108">
        <v>0</v>
      </c>
      <c r="I510"/>
      <c r="J510"/>
      <c r="K510"/>
      <c r="L510"/>
      <c r="M510"/>
      <c r="N510"/>
      <c r="O510"/>
      <c r="P510"/>
      <c r="Q510"/>
      <c r="R510"/>
      <c r="S510"/>
      <c r="T510"/>
      <c r="U510"/>
      <c r="V510"/>
      <c r="W510"/>
      <c r="X510"/>
      <c r="Y510"/>
    </row>
    <row r="511" spans="1:25" s="104" customFormat="1" hidden="1" x14ac:dyDescent="0.25">
      <c r="A511" s="97" t="str">
        <f t="shared" si="7"/>
        <v>sam62_dss_oldi_wrap_ulvt16_pct</v>
      </c>
      <c r="B511" s="97" t="s">
        <v>214</v>
      </c>
      <c r="C511" s="97" t="s">
        <v>1086</v>
      </c>
      <c r="D511" s="97"/>
      <c r="E511" s="97" t="s">
        <v>1072</v>
      </c>
      <c r="F511" s="108">
        <v>0</v>
      </c>
      <c r="G511" s="97" t="s">
        <v>1077</v>
      </c>
      <c r="H511" s="108">
        <v>0</v>
      </c>
      <c r="I511"/>
      <c r="J511"/>
      <c r="K511"/>
      <c r="L511"/>
      <c r="M511"/>
      <c r="N511"/>
      <c r="O511"/>
      <c r="P511"/>
      <c r="Q511"/>
      <c r="R511"/>
      <c r="S511"/>
      <c r="T511"/>
      <c r="U511"/>
      <c r="V511"/>
      <c r="W511"/>
      <c r="X511"/>
      <c r="Y511"/>
    </row>
    <row r="512" spans="1:25" s="104" customFormat="1" hidden="1" x14ac:dyDescent="0.25">
      <c r="A512" s="97" t="str">
        <f t="shared" si="7"/>
        <v>sam62_k3_gpu_axe116m_wrap_ulvt16_pct</v>
      </c>
      <c r="B512" s="97" t="s">
        <v>242</v>
      </c>
      <c r="C512" s="97" t="s">
        <v>1086</v>
      </c>
      <c r="D512" s="97"/>
      <c r="E512" s="97" t="s">
        <v>1072</v>
      </c>
      <c r="F512" s="108">
        <v>0</v>
      </c>
      <c r="G512" s="97" t="s">
        <v>1077</v>
      </c>
      <c r="H512" s="108">
        <v>0</v>
      </c>
      <c r="I512"/>
      <c r="J512"/>
      <c r="K512"/>
      <c r="L512"/>
      <c r="M512"/>
      <c r="N512"/>
      <c r="O512"/>
      <c r="P512"/>
      <c r="Q512"/>
      <c r="R512"/>
      <c r="S512"/>
      <c r="T512"/>
      <c r="U512"/>
      <c r="V512"/>
      <c r="W512"/>
      <c r="X512"/>
      <c r="Y512"/>
    </row>
    <row r="513" spans="1:25" s="104" customFormat="1" hidden="1" x14ac:dyDescent="0.25">
      <c r="A513" s="97" t="str">
        <f t="shared" si="7"/>
        <v>sam62_mcasp_wrap_ulvt16_pct</v>
      </c>
      <c r="B513" s="97" t="s">
        <v>208</v>
      </c>
      <c r="C513" s="97" t="s">
        <v>1086</v>
      </c>
      <c r="D513" s="97"/>
      <c r="E513" s="97" t="s">
        <v>1072</v>
      </c>
      <c r="F513" s="108">
        <v>0</v>
      </c>
      <c r="G513" s="97" t="s">
        <v>1077</v>
      </c>
      <c r="H513" s="108">
        <v>0</v>
      </c>
      <c r="I513"/>
      <c r="J513"/>
      <c r="K513"/>
      <c r="L513"/>
      <c r="M513"/>
      <c r="N513"/>
      <c r="O513"/>
      <c r="P513"/>
      <c r="Q513"/>
      <c r="R513"/>
      <c r="S513"/>
      <c r="T513"/>
      <c r="U513"/>
      <c r="V513"/>
      <c r="W513"/>
      <c r="X513"/>
      <c r="Y513"/>
    </row>
    <row r="514" spans="1:25" s="104" customFormat="1" hidden="1" x14ac:dyDescent="0.25">
      <c r="A514" s="97" t="str">
        <f t="shared" si="7"/>
        <v>sam62_csirx_wrap_ulvt16_pct</v>
      </c>
      <c r="B514" s="97" t="s">
        <v>239</v>
      </c>
      <c r="C514" s="97" t="s">
        <v>1086</v>
      </c>
      <c r="D514" s="97"/>
      <c r="E514" s="97" t="s">
        <v>1072</v>
      </c>
      <c r="F514" s="108">
        <v>0</v>
      </c>
      <c r="G514" s="97" t="s">
        <v>1077</v>
      </c>
      <c r="H514" s="108">
        <v>0</v>
      </c>
      <c r="I514"/>
      <c r="J514"/>
      <c r="K514"/>
      <c r="L514"/>
      <c r="M514"/>
      <c r="N514"/>
      <c r="O514"/>
      <c r="P514"/>
      <c r="Q514"/>
      <c r="R514"/>
      <c r="S514"/>
      <c r="T514"/>
      <c r="U514"/>
      <c r="V514"/>
      <c r="W514"/>
      <c r="X514"/>
      <c r="Y514"/>
    </row>
    <row r="515" spans="1:25" s="104" customFormat="1" hidden="1" x14ac:dyDescent="0.25">
      <c r="A515" s="97" t="str">
        <f t="shared" si="7"/>
        <v>sam62_usb2_wrap_ulvt16_pct</v>
      </c>
      <c r="B515" s="97" t="s">
        <v>207</v>
      </c>
      <c r="C515" s="97" t="s">
        <v>1086</v>
      </c>
      <c r="D515" s="97"/>
      <c r="E515" s="97" t="s">
        <v>1072</v>
      </c>
      <c r="F515" s="108">
        <v>0</v>
      </c>
      <c r="G515" s="97" t="s">
        <v>1077</v>
      </c>
      <c r="H515" s="108">
        <v>0</v>
      </c>
      <c r="I515"/>
      <c r="J515"/>
      <c r="K515"/>
      <c r="L515"/>
      <c r="M515"/>
      <c r="N515"/>
      <c r="O515"/>
      <c r="P515"/>
      <c r="Q515"/>
      <c r="R515"/>
      <c r="S515"/>
      <c r="T515"/>
      <c r="U515"/>
      <c r="V515"/>
      <c r="W515"/>
      <c r="X515"/>
      <c r="Y515"/>
    </row>
    <row r="516" spans="1:25" s="104" customFormat="1" hidden="1" x14ac:dyDescent="0.25">
      <c r="A516" s="97" t="str">
        <f t="shared" si="7"/>
        <v>sam62_emmc_4bit_wrap_ulvt16_pct</v>
      </c>
      <c r="B516" s="97" t="s">
        <v>240</v>
      </c>
      <c r="C516" s="97" t="s">
        <v>1086</v>
      </c>
      <c r="D516" s="97"/>
      <c r="E516" s="97" t="s">
        <v>1072</v>
      </c>
      <c r="F516" s="108">
        <v>0</v>
      </c>
      <c r="G516" s="97" t="s">
        <v>1077</v>
      </c>
      <c r="H516" s="108">
        <v>0</v>
      </c>
      <c r="I516"/>
      <c r="J516"/>
      <c r="K516"/>
      <c r="L516"/>
      <c r="M516"/>
      <c r="N516"/>
      <c r="O516"/>
      <c r="P516"/>
      <c r="Q516"/>
      <c r="R516"/>
      <c r="S516"/>
      <c r="T516"/>
      <c r="U516"/>
      <c r="V516"/>
      <c r="W516"/>
      <c r="X516"/>
      <c r="Y516"/>
    </row>
    <row r="517" spans="1:25" s="104" customFormat="1" hidden="1" x14ac:dyDescent="0.25">
      <c r="A517" s="97" t="str">
        <f t="shared" si="7"/>
        <v>sam62_emmc_8bit_wrap_ulvt16_pct</v>
      </c>
      <c r="B517" s="97" t="s">
        <v>241</v>
      </c>
      <c r="C517" s="97" t="s">
        <v>1086</v>
      </c>
      <c r="D517" s="97"/>
      <c r="E517" s="97" t="s">
        <v>1072</v>
      </c>
      <c r="F517" s="108">
        <v>0</v>
      </c>
      <c r="G517" s="97" t="s">
        <v>1077</v>
      </c>
      <c r="H517" s="108">
        <v>0</v>
      </c>
      <c r="I517"/>
      <c r="J517"/>
      <c r="K517"/>
      <c r="L517"/>
      <c r="M517"/>
      <c r="N517"/>
      <c r="O517"/>
      <c r="P517"/>
      <c r="Q517"/>
      <c r="R517"/>
      <c r="S517"/>
      <c r="T517"/>
      <c r="U517"/>
      <c r="V517"/>
      <c r="W517"/>
      <c r="X517"/>
      <c r="Y517"/>
    </row>
    <row r="518" spans="1:25" s="104" customFormat="1" hidden="1" x14ac:dyDescent="0.25">
      <c r="A518" s="97" t="str">
        <f t="shared" si="7"/>
        <v>sam62_gpmc_elm_wrap_ulvt16_pct</v>
      </c>
      <c r="B518" s="97" t="s">
        <v>211</v>
      </c>
      <c r="C518" s="97" t="s">
        <v>1086</v>
      </c>
      <c r="D518" s="97"/>
      <c r="E518" s="97" t="s">
        <v>1072</v>
      </c>
      <c r="F518" s="108">
        <v>0</v>
      </c>
      <c r="G518" s="97" t="s">
        <v>1077</v>
      </c>
      <c r="H518" s="108">
        <v>0</v>
      </c>
      <c r="I518"/>
      <c r="J518"/>
      <c r="K518"/>
      <c r="L518"/>
      <c r="M518"/>
      <c r="N518"/>
      <c r="O518"/>
      <c r="P518"/>
      <c r="Q518"/>
      <c r="R518"/>
      <c r="S518"/>
      <c r="T518"/>
      <c r="U518"/>
      <c r="V518"/>
      <c r="W518"/>
      <c r="X518"/>
      <c r="Y518"/>
    </row>
    <row r="519" spans="1:25" s="104" customFormat="1" hidden="1" x14ac:dyDescent="0.25">
      <c r="A519" s="97" t="str">
        <f t="shared" si="7"/>
        <v>sam62_ddr_wrap_ulvt16_pct</v>
      </c>
      <c r="B519" s="97" t="s">
        <v>215</v>
      </c>
      <c r="C519" s="97" t="s">
        <v>1086</v>
      </c>
      <c r="D519" s="97"/>
      <c r="E519" s="97" t="s">
        <v>1072</v>
      </c>
      <c r="F519" s="108">
        <v>0</v>
      </c>
      <c r="G519" s="97" t="s">
        <v>1077</v>
      </c>
      <c r="H519" s="108">
        <v>0</v>
      </c>
      <c r="I519"/>
      <c r="J519"/>
      <c r="K519"/>
      <c r="L519"/>
      <c r="M519"/>
      <c r="N519"/>
      <c r="O519"/>
      <c r="P519"/>
      <c r="Q519"/>
      <c r="R519"/>
      <c r="S519"/>
      <c r="T519"/>
      <c r="U519"/>
      <c r="V519"/>
      <c r="W519"/>
      <c r="X519"/>
      <c r="Y519"/>
    </row>
    <row r="520" spans="1:25" s="104" customFormat="1" hidden="1" x14ac:dyDescent="0.25">
      <c r="A520" s="97" t="str">
        <f t="shared" si="7"/>
        <v>ddr16_1600_phy_ulvt16_pct</v>
      </c>
      <c r="B520" s="97" t="s">
        <v>314</v>
      </c>
      <c r="C520" s="97" t="s">
        <v>1086</v>
      </c>
      <c r="D520" s="97"/>
      <c r="E520" s="97" t="s">
        <v>1072</v>
      </c>
      <c r="F520" s="108">
        <v>0</v>
      </c>
      <c r="G520" s="97"/>
      <c r="H520" s="5"/>
      <c r="I520"/>
      <c r="J520"/>
      <c r="K520"/>
      <c r="L520"/>
      <c r="M520"/>
      <c r="N520"/>
      <c r="O520"/>
      <c r="P520"/>
      <c r="Q520"/>
      <c r="R520"/>
      <c r="S520"/>
      <c r="T520"/>
      <c r="U520"/>
      <c r="V520"/>
      <c r="W520"/>
      <c r="X520"/>
      <c r="Y520"/>
    </row>
    <row r="521" spans="1:25" s="104" customFormat="1" hidden="1" x14ac:dyDescent="0.25">
      <c r="A521" s="97" t="str">
        <f t="shared" si="7"/>
        <v>sam62_debug_wrap_ulvt16_pct</v>
      </c>
      <c r="B521" s="97" t="s">
        <v>186</v>
      </c>
      <c r="C521" s="97" t="s">
        <v>1086</v>
      </c>
      <c r="D521" s="97"/>
      <c r="E521" s="97" t="s">
        <v>1072</v>
      </c>
      <c r="F521" s="108">
        <v>0</v>
      </c>
      <c r="G521" s="97" t="s">
        <v>1077</v>
      </c>
      <c r="H521" s="108">
        <v>0</v>
      </c>
      <c r="I521"/>
      <c r="J521"/>
      <c r="K521"/>
      <c r="L521"/>
      <c r="M521"/>
      <c r="N521"/>
      <c r="O521"/>
      <c r="P521"/>
      <c r="Q521"/>
      <c r="R521"/>
      <c r="S521"/>
      <c r="T521"/>
      <c r="U521"/>
      <c r="V521"/>
      <c r="W521"/>
      <c r="X521"/>
      <c r="Y521"/>
    </row>
    <row r="522" spans="1:25" s="104" customFormat="1" hidden="1" x14ac:dyDescent="0.25">
      <c r="A522" s="97" t="str">
        <f t="shared" si="7"/>
        <v>sam62_efuse_ctrl_wrap_ulvt16_pct</v>
      </c>
      <c r="B522" s="97" t="s">
        <v>213</v>
      </c>
      <c r="C522" s="97" t="s">
        <v>1086</v>
      </c>
      <c r="D522" s="97"/>
      <c r="E522" s="97" t="s">
        <v>1072</v>
      </c>
      <c r="F522" s="108">
        <v>0</v>
      </c>
      <c r="G522" s="97" t="s">
        <v>1077</v>
      </c>
      <c r="H522" s="108">
        <v>0</v>
      </c>
      <c r="I522"/>
      <c r="J522"/>
      <c r="K522"/>
      <c r="L522"/>
      <c r="M522"/>
      <c r="N522"/>
      <c r="O522"/>
      <c r="P522"/>
      <c r="Q522"/>
      <c r="R522"/>
      <c r="S522"/>
      <c r="T522"/>
      <c r="U522"/>
      <c r="V522"/>
      <c r="W522"/>
      <c r="X522"/>
      <c r="Y522"/>
    </row>
    <row r="523" spans="1:25" s="104" customFormat="1" hidden="1" x14ac:dyDescent="0.25">
      <c r="A523" s="97" t="str">
        <f t="shared" si="7"/>
        <v>sam62_main_infra_phys_ulvt16_pct</v>
      </c>
      <c r="B523" s="97" t="s">
        <v>144</v>
      </c>
      <c r="C523" s="97" t="s">
        <v>1086</v>
      </c>
      <c r="D523" s="97"/>
      <c r="E523" s="97" t="s">
        <v>1072</v>
      </c>
      <c r="F523" s="108">
        <v>0</v>
      </c>
      <c r="G523" s="97" t="s">
        <v>1077</v>
      </c>
      <c r="H523" s="108">
        <v>0</v>
      </c>
      <c r="I523"/>
      <c r="J523"/>
      <c r="K523"/>
      <c r="L523"/>
      <c r="M523"/>
      <c r="N523"/>
      <c r="O523"/>
      <c r="P523"/>
      <c r="Q523"/>
      <c r="R523"/>
      <c r="S523"/>
      <c r="T523"/>
      <c r="U523"/>
      <c r="V523"/>
      <c r="W523"/>
      <c r="X523"/>
      <c r="Y523"/>
    </row>
    <row r="524" spans="1:25" s="104" customFormat="1" hidden="1" x14ac:dyDescent="0.25">
      <c r="A524" s="97" t="str">
        <f t="shared" si="7"/>
        <v>sam62_main_ip_wrap_ulvt16_pct</v>
      </c>
      <c r="B524" s="97" t="s">
        <v>238</v>
      </c>
      <c r="C524" s="97" t="s">
        <v>1086</v>
      </c>
      <c r="D524" s="97"/>
      <c r="E524" s="97" t="s">
        <v>1072</v>
      </c>
      <c r="F524" s="108">
        <v>0</v>
      </c>
      <c r="G524" s="97" t="s">
        <v>1077</v>
      </c>
      <c r="H524" s="108">
        <v>0</v>
      </c>
      <c r="I524"/>
      <c r="J524"/>
      <c r="K524"/>
      <c r="L524"/>
      <c r="M524"/>
      <c r="N524"/>
      <c r="O524"/>
      <c r="P524"/>
      <c r="Q524"/>
      <c r="R524"/>
      <c r="S524"/>
      <c r="T524"/>
      <c r="U524"/>
      <c r="V524"/>
      <c r="W524"/>
      <c r="X524"/>
      <c r="Y524"/>
    </row>
    <row r="525" spans="1:25" s="104" customFormat="1" hidden="1" x14ac:dyDescent="0.25">
      <c r="A525" s="97" t="str">
        <f t="shared" si="7"/>
        <v>sam62_mcu_infra_phys_ulvt16_pct</v>
      </c>
      <c r="B525" s="97" t="s">
        <v>183</v>
      </c>
      <c r="C525" s="97" t="s">
        <v>1086</v>
      </c>
      <c r="D525" s="97"/>
      <c r="E525" s="97" t="s">
        <v>1072</v>
      </c>
      <c r="F525" s="108">
        <v>0</v>
      </c>
      <c r="G525" s="97" t="s">
        <v>1077</v>
      </c>
      <c r="H525" s="108">
        <v>0</v>
      </c>
      <c r="I525"/>
      <c r="J525"/>
      <c r="K525"/>
      <c r="L525"/>
      <c r="M525"/>
      <c r="N525"/>
      <c r="O525"/>
      <c r="P525"/>
      <c r="Q525"/>
      <c r="R525"/>
      <c r="S525"/>
      <c r="T525"/>
      <c r="U525"/>
      <c r="V525"/>
      <c r="W525"/>
      <c r="X525"/>
      <c r="Y525"/>
    </row>
    <row r="526" spans="1:25" s="104" customFormat="1" hidden="1" x14ac:dyDescent="0.25">
      <c r="A526" s="97" t="str">
        <f t="shared" si="7"/>
        <v>sam62_mcu_wrap_ulvt16_pct</v>
      </c>
      <c r="B526" s="97" t="s">
        <v>236</v>
      </c>
      <c r="C526" s="97" t="s">
        <v>1086</v>
      </c>
      <c r="D526" s="97"/>
      <c r="E526" s="97" t="s">
        <v>1072</v>
      </c>
      <c r="F526" s="108">
        <v>0</v>
      </c>
      <c r="G526" s="97" t="s">
        <v>1077</v>
      </c>
      <c r="H526" s="108">
        <v>0</v>
      </c>
      <c r="I526"/>
      <c r="J526"/>
      <c r="K526"/>
      <c r="L526"/>
      <c r="M526"/>
      <c r="N526"/>
      <c r="O526"/>
      <c r="P526"/>
      <c r="Q526"/>
      <c r="R526"/>
      <c r="S526"/>
      <c r="T526"/>
      <c r="U526"/>
      <c r="V526"/>
      <c r="W526"/>
      <c r="X526"/>
      <c r="Y526"/>
    </row>
    <row r="527" spans="1:25" s="104" customFormat="1" hidden="1" x14ac:dyDescent="0.25">
      <c r="A527" s="97" t="str">
        <f t="shared" si="7"/>
        <v>sam62_odp_ctrl_wrap_ulvt16_pct</v>
      </c>
      <c r="B527" s="97" t="s">
        <v>212</v>
      </c>
      <c r="C527" s="97" t="s">
        <v>1086</v>
      </c>
      <c r="D527" s="97"/>
      <c r="E527" s="97" t="s">
        <v>1072</v>
      </c>
      <c r="F527" s="108">
        <v>0</v>
      </c>
      <c r="G527" s="97" t="s">
        <v>1077</v>
      </c>
      <c r="H527" s="108">
        <v>0</v>
      </c>
      <c r="I527"/>
      <c r="J527"/>
      <c r="K527"/>
      <c r="L527"/>
      <c r="M527"/>
      <c r="N527"/>
      <c r="O527"/>
      <c r="P527"/>
      <c r="Q527"/>
      <c r="R527"/>
      <c r="S527"/>
      <c r="T527"/>
      <c r="U527"/>
      <c r="V527"/>
      <c r="W527"/>
      <c r="X527"/>
      <c r="Y527"/>
    </row>
    <row r="528" spans="1:25" s="104" customFormat="1" hidden="1" x14ac:dyDescent="0.25">
      <c r="A528" s="97" t="str">
        <f t="shared" si="7"/>
        <v>sam62_sec_wrap_ulvt16_pct</v>
      </c>
      <c r="B528" s="97" t="s">
        <v>262</v>
      </c>
      <c r="C528" s="97" t="s">
        <v>1086</v>
      </c>
      <c r="D528" s="97"/>
      <c r="E528" s="97" t="s">
        <v>1072</v>
      </c>
      <c r="F528" s="108">
        <v>0</v>
      </c>
      <c r="G528" s="97" t="s">
        <v>1077</v>
      </c>
      <c r="H528" s="108">
        <v>0</v>
      </c>
      <c r="I528"/>
      <c r="J528"/>
      <c r="K528"/>
      <c r="L528"/>
      <c r="M528"/>
      <c r="N528"/>
      <c r="O528"/>
      <c r="P528"/>
      <c r="Q528"/>
      <c r="R528"/>
      <c r="S528"/>
      <c r="T528"/>
      <c r="U528"/>
      <c r="V528"/>
      <c r="W528"/>
      <c r="X528"/>
      <c r="Y528"/>
    </row>
    <row r="529" spans="1:25" s="104" customFormat="1" hidden="1" x14ac:dyDescent="0.25">
      <c r="A529" s="97" t="str">
        <f t="shared" ref="A529:A556" si="8">B529&amp;"_"&amp;C529</f>
        <v>sam62_core_ulvt16_pct</v>
      </c>
      <c r="B529" s="97" t="s">
        <v>185</v>
      </c>
      <c r="C529" s="97" t="s">
        <v>1086</v>
      </c>
      <c r="D529" s="97"/>
      <c r="E529" s="97" t="s">
        <v>1072</v>
      </c>
      <c r="F529" s="108">
        <v>0</v>
      </c>
      <c r="G529" s="97" t="s">
        <v>1077</v>
      </c>
      <c r="H529" s="5"/>
      <c r="I529"/>
      <c r="J529"/>
      <c r="K529"/>
      <c r="L529"/>
      <c r="M529"/>
      <c r="N529"/>
      <c r="O529"/>
      <c r="P529"/>
      <c r="Q529"/>
      <c r="R529"/>
      <c r="S529"/>
      <c r="T529"/>
      <c r="U529"/>
      <c r="V529"/>
      <c r="W529"/>
      <c r="X529"/>
      <c r="Y529"/>
    </row>
    <row r="530" spans="1:25" s="104" customFormat="1" hidden="1" x14ac:dyDescent="0.25">
      <c r="A530" s="97" t="str">
        <f t="shared" si="8"/>
        <v>sam62_pll_ctrl_wrap_ulvt16_pct</v>
      </c>
      <c r="B530" s="97" t="s">
        <v>221</v>
      </c>
      <c r="C530" s="97" t="s">
        <v>1086</v>
      </c>
      <c r="D530" s="97"/>
      <c r="E530" s="97" t="s">
        <v>1072</v>
      </c>
      <c r="F530" s="108">
        <v>0</v>
      </c>
      <c r="G530" s="97" t="s">
        <v>1077</v>
      </c>
      <c r="H530" s="108">
        <v>0</v>
      </c>
      <c r="I530"/>
      <c r="J530"/>
      <c r="K530"/>
      <c r="L530"/>
      <c r="M530"/>
      <c r="N530"/>
      <c r="O530"/>
      <c r="P530"/>
      <c r="Q530"/>
      <c r="R530"/>
      <c r="S530"/>
      <c r="T530"/>
      <c r="U530"/>
      <c r="V530"/>
      <c r="W530"/>
      <c r="X530"/>
      <c r="Y530"/>
    </row>
    <row r="531" spans="1:25" s="104" customFormat="1" hidden="1" x14ac:dyDescent="0.25">
      <c r="A531" s="97" t="str">
        <f t="shared" si="8"/>
        <v>sam62_m4ss_wrap_ulvt20_pct</v>
      </c>
      <c r="B531" s="97" t="s">
        <v>219</v>
      </c>
      <c r="C531" s="97" t="s">
        <v>1087</v>
      </c>
      <c r="D531" s="97"/>
      <c r="E531" s="97" t="s">
        <v>1072</v>
      </c>
      <c r="F531" s="108">
        <v>0.02</v>
      </c>
      <c r="G531" s="97" t="s">
        <v>1077</v>
      </c>
      <c r="H531" s="108">
        <v>0.02</v>
      </c>
      <c r="I531"/>
      <c r="J531"/>
      <c r="K531"/>
      <c r="L531"/>
      <c r="M531"/>
      <c r="N531"/>
      <c r="O531"/>
      <c r="P531"/>
      <c r="Q531"/>
      <c r="R531"/>
      <c r="S531"/>
      <c r="T531"/>
      <c r="U531"/>
      <c r="V531"/>
      <c r="W531"/>
      <c r="X531"/>
      <c r="Y531"/>
    </row>
    <row r="532" spans="1:25" s="104" customFormat="1" hidden="1" x14ac:dyDescent="0.25">
      <c r="A532" s="97" t="str">
        <f t="shared" si="8"/>
        <v>sam62_dm_wrap_ulvt20_pct</v>
      </c>
      <c r="B532" s="97" t="s">
        <v>237</v>
      </c>
      <c r="C532" s="97" t="s">
        <v>1087</v>
      </c>
      <c r="D532" s="97"/>
      <c r="E532" s="97" t="s">
        <v>1072</v>
      </c>
      <c r="F532" s="108">
        <v>0</v>
      </c>
      <c r="G532" s="97" t="s">
        <v>1077</v>
      </c>
      <c r="H532" s="108">
        <v>0</v>
      </c>
      <c r="I532"/>
      <c r="J532"/>
      <c r="K532"/>
      <c r="L532"/>
      <c r="M532"/>
      <c r="N532"/>
      <c r="O532"/>
      <c r="P532"/>
      <c r="Q532"/>
      <c r="R532"/>
      <c r="S532"/>
      <c r="T532"/>
      <c r="U532"/>
      <c r="V532"/>
      <c r="W532"/>
      <c r="X532"/>
      <c r="Y532"/>
    </row>
    <row r="533" spans="1:25" s="104" customFormat="1" hidden="1" x14ac:dyDescent="0.25">
      <c r="A533" s="97" t="str">
        <f t="shared" si="8"/>
        <v>sam62_a53_dual_wrap_cba_cpu_phys_ulvt20_pct</v>
      </c>
      <c r="B533" s="97" t="s">
        <v>274</v>
      </c>
      <c r="C533" s="97" t="s">
        <v>1087</v>
      </c>
      <c r="D533" s="97"/>
      <c r="E533" s="97" t="s">
        <v>1072</v>
      </c>
      <c r="F533" s="108">
        <v>0.35</v>
      </c>
      <c r="G533" s="97" t="s">
        <v>1077</v>
      </c>
      <c r="H533" s="108">
        <v>0.36</v>
      </c>
      <c r="I533"/>
      <c r="J533"/>
      <c r="K533"/>
      <c r="L533"/>
      <c r="M533"/>
      <c r="N533"/>
      <c r="O533"/>
      <c r="P533"/>
      <c r="Q533"/>
      <c r="R533"/>
      <c r="S533"/>
      <c r="T533"/>
      <c r="U533"/>
      <c r="V533"/>
      <c r="W533"/>
      <c r="X533"/>
      <c r="Y533"/>
    </row>
    <row r="534" spans="1:25" s="104" customFormat="1" hidden="1" x14ac:dyDescent="0.25">
      <c r="A534" s="97" t="str">
        <f t="shared" si="8"/>
        <v>sam62_a53_512kb_wrap_ulvt20_pct</v>
      </c>
      <c r="B534" s="97" t="s">
        <v>270</v>
      </c>
      <c r="C534" s="97" t="s">
        <v>1087</v>
      </c>
      <c r="D534" s="97"/>
      <c r="E534" s="97" t="s">
        <v>1072</v>
      </c>
      <c r="F534" s="108">
        <v>0.19</v>
      </c>
      <c r="G534" s="97" t="s">
        <v>1077</v>
      </c>
      <c r="H534" s="108">
        <v>0.22</v>
      </c>
      <c r="I534"/>
      <c r="J534"/>
      <c r="K534"/>
      <c r="L534"/>
      <c r="M534"/>
      <c r="N534"/>
      <c r="O534"/>
      <c r="P534"/>
      <c r="Q534"/>
      <c r="R534"/>
      <c r="S534"/>
      <c r="T534"/>
      <c r="U534"/>
      <c r="V534"/>
      <c r="W534"/>
      <c r="X534"/>
      <c r="Y534"/>
    </row>
    <row r="535" spans="1:25" s="104" customFormat="1" hidden="1" x14ac:dyDescent="0.25">
      <c r="A535" s="97" t="str">
        <f t="shared" si="8"/>
        <v>sam62_cpsw3_wrap_ulvt20_pct</v>
      </c>
      <c r="B535" s="97" t="s">
        <v>216</v>
      </c>
      <c r="C535" s="97" t="s">
        <v>1087</v>
      </c>
      <c r="D535" s="97"/>
      <c r="E535" s="97" t="s">
        <v>1072</v>
      </c>
      <c r="F535" s="108">
        <v>0</v>
      </c>
      <c r="G535" s="97" t="s">
        <v>1077</v>
      </c>
      <c r="H535" s="108">
        <v>0</v>
      </c>
      <c r="I535"/>
      <c r="J535"/>
      <c r="K535"/>
      <c r="L535"/>
      <c r="M535"/>
      <c r="N535"/>
      <c r="O535"/>
      <c r="P535"/>
      <c r="Q535"/>
      <c r="R535"/>
      <c r="S535"/>
      <c r="T535"/>
      <c r="U535"/>
      <c r="V535"/>
      <c r="W535"/>
      <c r="X535"/>
      <c r="Y535"/>
    </row>
    <row r="536" spans="1:25" s="104" customFormat="1" hidden="1" x14ac:dyDescent="0.25">
      <c r="A536" s="97" t="str">
        <f t="shared" si="8"/>
        <v>sam62_icss_m_wrap_ulvt20_pct</v>
      </c>
      <c r="B536" s="97" t="s">
        <v>209</v>
      </c>
      <c r="C536" s="97" t="s">
        <v>1087</v>
      </c>
      <c r="D536" s="97"/>
      <c r="E536" s="97" t="s">
        <v>1072</v>
      </c>
      <c r="F536" s="108">
        <v>0</v>
      </c>
      <c r="G536" s="97" t="s">
        <v>1077</v>
      </c>
      <c r="H536" s="108">
        <v>0</v>
      </c>
      <c r="I536"/>
      <c r="J536"/>
      <c r="K536"/>
      <c r="L536"/>
      <c r="M536"/>
      <c r="N536"/>
      <c r="O536"/>
      <c r="P536"/>
      <c r="Q536"/>
      <c r="R536"/>
      <c r="S536"/>
      <c r="T536"/>
      <c r="U536"/>
      <c r="V536"/>
      <c r="W536"/>
      <c r="X536"/>
      <c r="Y536"/>
    </row>
    <row r="537" spans="1:25" s="104" customFormat="1" hidden="1" x14ac:dyDescent="0.25">
      <c r="A537" s="97" t="str">
        <f t="shared" si="8"/>
        <v>sam62_dss_oldi_wrap_ulvt20_pct</v>
      </c>
      <c r="B537" s="97" t="s">
        <v>214</v>
      </c>
      <c r="C537" s="97" t="s">
        <v>1087</v>
      </c>
      <c r="D537" s="97"/>
      <c r="E537" s="97" t="s">
        <v>1072</v>
      </c>
      <c r="F537" s="108">
        <v>0</v>
      </c>
      <c r="G537" s="97" t="s">
        <v>1077</v>
      </c>
      <c r="H537" s="108">
        <v>0</v>
      </c>
      <c r="I537"/>
      <c r="J537"/>
      <c r="K537"/>
      <c r="L537"/>
      <c r="M537"/>
      <c r="N537"/>
      <c r="O537"/>
      <c r="P537"/>
      <c r="Q537"/>
      <c r="R537"/>
      <c r="S537"/>
      <c r="T537"/>
      <c r="U537"/>
      <c r="V537"/>
      <c r="W537"/>
      <c r="X537"/>
      <c r="Y537"/>
    </row>
    <row r="538" spans="1:25" s="104" customFormat="1" hidden="1" x14ac:dyDescent="0.25">
      <c r="A538" s="97" t="str">
        <f t="shared" si="8"/>
        <v>sam62_k3_gpu_axe116m_wrap_ulvt20_pct</v>
      </c>
      <c r="B538" s="97" t="s">
        <v>242</v>
      </c>
      <c r="C538" s="97" t="s">
        <v>1087</v>
      </c>
      <c r="D538" s="97"/>
      <c r="E538" s="97" t="s">
        <v>1072</v>
      </c>
      <c r="F538" s="108">
        <v>0.03</v>
      </c>
      <c r="G538" s="97" t="s">
        <v>1077</v>
      </c>
      <c r="H538" s="108">
        <v>0.03</v>
      </c>
      <c r="I538"/>
      <c r="J538"/>
      <c r="K538"/>
      <c r="L538"/>
      <c r="M538"/>
      <c r="N538"/>
      <c r="O538"/>
      <c r="P538"/>
      <c r="Q538"/>
      <c r="R538"/>
      <c r="S538"/>
      <c r="T538"/>
      <c r="U538"/>
      <c r="V538"/>
      <c r="W538"/>
      <c r="X538"/>
      <c r="Y538"/>
    </row>
    <row r="539" spans="1:25" s="104" customFormat="1" hidden="1" x14ac:dyDescent="0.25">
      <c r="A539" s="97" t="str">
        <f t="shared" si="8"/>
        <v>sam62_mcasp_wrap_ulvt20_pct</v>
      </c>
      <c r="B539" s="97" t="s">
        <v>208</v>
      </c>
      <c r="C539" s="97" t="s">
        <v>1087</v>
      </c>
      <c r="D539" s="97"/>
      <c r="E539" s="97" t="s">
        <v>1072</v>
      </c>
      <c r="F539" s="108">
        <v>0</v>
      </c>
      <c r="G539" s="97" t="s">
        <v>1077</v>
      </c>
      <c r="H539" s="108">
        <v>0</v>
      </c>
      <c r="I539"/>
      <c r="J539"/>
      <c r="K539"/>
      <c r="L539"/>
      <c r="M539"/>
      <c r="N539"/>
      <c r="O539"/>
      <c r="P539"/>
      <c r="Q539"/>
      <c r="R539"/>
      <c r="S539"/>
      <c r="T539"/>
      <c r="U539"/>
      <c r="V539"/>
      <c r="W539"/>
      <c r="X539"/>
      <c r="Y539"/>
    </row>
    <row r="540" spans="1:25" s="104" customFormat="1" hidden="1" x14ac:dyDescent="0.25">
      <c r="A540" s="97" t="str">
        <f t="shared" si="8"/>
        <v>sam62_csirx_wrap_ulvt20_pct</v>
      </c>
      <c r="B540" s="97" t="s">
        <v>239</v>
      </c>
      <c r="C540" s="97" t="s">
        <v>1087</v>
      </c>
      <c r="D540" s="97"/>
      <c r="E540" s="97" t="s">
        <v>1072</v>
      </c>
      <c r="F540" s="108">
        <v>0</v>
      </c>
      <c r="G540" s="97" t="s">
        <v>1077</v>
      </c>
      <c r="H540" s="108">
        <v>0</v>
      </c>
      <c r="I540"/>
      <c r="J540"/>
      <c r="K540"/>
      <c r="L540"/>
      <c r="M540"/>
      <c r="N540"/>
      <c r="O540"/>
      <c r="P540"/>
      <c r="Q540"/>
      <c r="R540"/>
      <c r="S540"/>
      <c r="T540"/>
      <c r="U540"/>
      <c r="V540"/>
      <c r="W540"/>
      <c r="X540"/>
      <c r="Y540"/>
    </row>
    <row r="541" spans="1:25" s="104" customFormat="1" hidden="1" x14ac:dyDescent="0.25">
      <c r="A541" s="97" t="str">
        <f t="shared" si="8"/>
        <v>sam62_usb2_wrap_ulvt20_pct</v>
      </c>
      <c r="B541" s="97" t="s">
        <v>207</v>
      </c>
      <c r="C541" s="97" t="s">
        <v>1087</v>
      </c>
      <c r="D541" s="97"/>
      <c r="E541" s="97" t="s">
        <v>1072</v>
      </c>
      <c r="F541" s="108">
        <v>0</v>
      </c>
      <c r="G541" s="97" t="s">
        <v>1077</v>
      </c>
      <c r="H541" s="108">
        <v>0</v>
      </c>
      <c r="I541"/>
      <c r="J541"/>
      <c r="K541"/>
      <c r="L541"/>
      <c r="M541"/>
      <c r="N541"/>
      <c r="O541"/>
      <c r="P541"/>
      <c r="Q541"/>
      <c r="R541"/>
      <c r="S541"/>
      <c r="T541"/>
      <c r="U541"/>
      <c r="V541"/>
      <c r="W541"/>
      <c r="X541"/>
      <c r="Y541"/>
    </row>
    <row r="542" spans="1:25" s="104" customFormat="1" hidden="1" x14ac:dyDescent="0.25">
      <c r="A542" s="97" t="str">
        <f t="shared" si="8"/>
        <v>sam62_emmc_4bit_wrap_ulvt20_pct</v>
      </c>
      <c r="B542" s="97" t="s">
        <v>240</v>
      </c>
      <c r="C542" s="97" t="s">
        <v>1087</v>
      </c>
      <c r="D542" s="97"/>
      <c r="E542" s="97" t="s">
        <v>1072</v>
      </c>
      <c r="F542" s="108">
        <v>0.01</v>
      </c>
      <c r="G542" s="97" t="s">
        <v>1077</v>
      </c>
      <c r="H542" s="108">
        <v>0.01</v>
      </c>
      <c r="I542"/>
      <c r="J542"/>
      <c r="K542"/>
      <c r="L542"/>
      <c r="M542"/>
      <c r="N542"/>
      <c r="O542"/>
      <c r="P542"/>
      <c r="Q542"/>
      <c r="R542"/>
      <c r="S542"/>
      <c r="T542"/>
      <c r="U542"/>
      <c r="V542"/>
      <c r="W542"/>
      <c r="X542"/>
      <c r="Y542"/>
    </row>
    <row r="543" spans="1:25" s="104" customFormat="1" hidden="1" x14ac:dyDescent="0.25">
      <c r="A543" s="97" t="str">
        <f t="shared" si="8"/>
        <v>sam62_emmc_8bit_wrap_ulvt20_pct</v>
      </c>
      <c r="B543" s="97" t="s">
        <v>241</v>
      </c>
      <c r="C543" s="97" t="s">
        <v>1087</v>
      </c>
      <c r="D543" s="97"/>
      <c r="E543" s="97" t="s">
        <v>1072</v>
      </c>
      <c r="F543" s="108">
        <v>0.01</v>
      </c>
      <c r="G543" s="97" t="s">
        <v>1077</v>
      </c>
      <c r="H543" s="108">
        <v>0.01</v>
      </c>
      <c r="I543"/>
      <c r="J543"/>
      <c r="K543"/>
      <c r="L543"/>
      <c r="M543"/>
      <c r="N543"/>
      <c r="O543"/>
      <c r="P543"/>
      <c r="Q543"/>
      <c r="R543"/>
      <c r="S543"/>
      <c r="T543"/>
      <c r="U543"/>
      <c r="V543"/>
      <c r="W543"/>
      <c r="X543"/>
      <c r="Y543"/>
    </row>
    <row r="544" spans="1:25" s="104" customFormat="1" hidden="1" x14ac:dyDescent="0.25">
      <c r="A544" s="97" t="str">
        <f t="shared" si="8"/>
        <v>sam62_gpmc_elm_wrap_ulvt20_pct</v>
      </c>
      <c r="B544" s="97" t="s">
        <v>211</v>
      </c>
      <c r="C544" s="97" t="s">
        <v>1087</v>
      </c>
      <c r="D544" s="97"/>
      <c r="E544" s="97" t="s">
        <v>1072</v>
      </c>
      <c r="F544" s="108">
        <v>0</v>
      </c>
      <c r="G544" s="97" t="s">
        <v>1077</v>
      </c>
      <c r="H544" s="108">
        <v>0</v>
      </c>
      <c r="I544"/>
      <c r="J544"/>
      <c r="K544"/>
      <c r="L544"/>
      <c r="M544"/>
      <c r="N544"/>
      <c r="O544"/>
      <c r="P544"/>
      <c r="Q544"/>
      <c r="R544"/>
      <c r="S544"/>
      <c r="T544"/>
      <c r="U544"/>
      <c r="V544"/>
      <c r="W544"/>
      <c r="X544"/>
      <c r="Y544"/>
    </row>
    <row r="545" spans="1:25" s="104" customFormat="1" hidden="1" x14ac:dyDescent="0.25">
      <c r="A545" s="97" t="str">
        <f t="shared" si="8"/>
        <v>sam62_ddr_wrap_ulvt20_pct</v>
      </c>
      <c r="B545" s="97" t="s">
        <v>215</v>
      </c>
      <c r="C545" s="97" t="s">
        <v>1087</v>
      </c>
      <c r="D545" s="97"/>
      <c r="E545" s="97" t="s">
        <v>1072</v>
      </c>
      <c r="F545" s="108">
        <v>0</v>
      </c>
      <c r="G545" s="97" t="s">
        <v>1077</v>
      </c>
      <c r="H545" s="108">
        <v>0</v>
      </c>
      <c r="I545"/>
      <c r="J545"/>
      <c r="K545"/>
      <c r="L545"/>
      <c r="M545"/>
      <c r="N545"/>
      <c r="O545"/>
      <c r="P545"/>
      <c r="Q545"/>
      <c r="R545"/>
      <c r="S545"/>
      <c r="T545"/>
      <c r="U545"/>
      <c r="V545"/>
      <c r="W545"/>
      <c r="X545"/>
      <c r="Y545"/>
    </row>
    <row r="546" spans="1:25" s="104" customFormat="1" hidden="1" x14ac:dyDescent="0.25">
      <c r="A546" s="97" t="str">
        <f t="shared" si="8"/>
        <v>ddr16_1600_phy_ulvt20_pct</v>
      </c>
      <c r="B546" s="97" t="s">
        <v>314</v>
      </c>
      <c r="C546" s="97" t="s">
        <v>1087</v>
      </c>
      <c r="D546" s="97"/>
      <c r="E546" s="97" t="s">
        <v>1072</v>
      </c>
      <c r="F546" s="108">
        <v>0</v>
      </c>
      <c r="G546" s="97"/>
      <c r="H546" s="5"/>
      <c r="I546"/>
      <c r="J546"/>
      <c r="K546"/>
      <c r="L546"/>
      <c r="M546"/>
      <c r="N546"/>
      <c r="O546"/>
      <c r="P546"/>
      <c r="Q546"/>
      <c r="R546"/>
      <c r="S546"/>
      <c r="T546"/>
      <c r="U546"/>
      <c r="V546"/>
      <c r="W546"/>
      <c r="X546"/>
      <c r="Y546"/>
    </row>
    <row r="547" spans="1:25" s="104" customFormat="1" hidden="1" x14ac:dyDescent="0.25">
      <c r="A547" s="97" t="str">
        <f t="shared" si="8"/>
        <v>sam62_debug_wrap_ulvt20_pct</v>
      </c>
      <c r="B547" s="97" t="s">
        <v>186</v>
      </c>
      <c r="C547" s="97" t="s">
        <v>1087</v>
      </c>
      <c r="D547" s="97"/>
      <c r="E547" s="97" t="s">
        <v>1072</v>
      </c>
      <c r="F547" s="108">
        <v>0</v>
      </c>
      <c r="G547" s="97" t="s">
        <v>1077</v>
      </c>
      <c r="H547" s="108">
        <v>0</v>
      </c>
      <c r="I547"/>
      <c r="J547"/>
      <c r="K547"/>
      <c r="L547"/>
      <c r="M547"/>
      <c r="N547"/>
      <c r="O547"/>
      <c r="P547"/>
      <c r="Q547"/>
      <c r="R547"/>
      <c r="S547"/>
      <c r="T547"/>
      <c r="U547"/>
      <c r="V547"/>
      <c r="W547"/>
      <c r="X547"/>
      <c r="Y547"/>
    </row>
    <row r="548" spans="1:25" s="104" customFormat="1" hidden="1" x14ac:dyDescent="0.25">
      <c r="A548" s="97" t="str">
        <f t="shared" si="8"/>
        <v>sam62_efuse_ctrl_wrap_ulvt20_pct</v>
      </c>
      <c r="B548" s="97" t="s">
        <v>213</v>
      </c>
      <c r="C548" s="97" t="s">
        <v>1087</v>
      </c>
      <c r="D548" s="97"/>
      <c r="E548" s="97" t="s">
        <v>1072</v>
      </c>
      <c r="F548" s="108">
        <v>0</v>
      </c>
      <c r="G548" s="97" t="s">
        <v>1077</v>
      </c>
      <c r="H548" s="108">
        <v>0</v>
      </c>
      <c r="I548"/>
      <c r="J548"/>
      <c r="K548"/>
      <c r="L548"/>
      <c r="M548"/>
      <c r="N548"/>
      <c r="O548"/>
      <c r="P548"/>
      <c r="Q548"/>
      <c r="R548"/>
      <c r="S548"/>
      <c r="T548"/>
      <c r="U548"/>
      <c r="V548"/>
      <c r="W548"/>
      <c r="X548"/>
      <c r="Y548"/>
    </row>
    <row r="549" spans="1:25" s="104" customFormat="1" hidden="1" x14ac:dyDescent="0.25">
      <c r="A549" s="97" t="str">
        <f t="shared" si="8"/>
        <v>sam62_main_infra_phys_ulvt20_pct</v>
      </c>
      <c r="B549" s="97" t="s">
        <v>144</v>
      </c>
      <c r="C549" s="97" t="s">
        <v>1087</v>
      </c>
      <c r="D549" s="97"/>
      <c r="E549" s="97" t="s">
        <v>1072</v>
      </c>
      <c r="F549" s="108">
        <v>0</v>
      </c>
      <c r="G549" s="97" t="s">
        <v>1077</v>
      </c>
      <c r="H549" s="108">
        <v>0</v>
      </c>
      <c r="I549"/>
      <c r="J549"/>
      <c r="K549"/>
      <c r="L549"/>
      <c r="M549"/>
      <c r="N549"/>
      <c r="O549"/>
      <c r="P549"/>
      <c r="Q549"/>
      <c r="R549"/>
      <c r="S549"/>
      <c r="T549"/>
      <c r="U549"/>
      <c r="V549"/>
      <c r="W549"/>
      <c r="X549"/>
      <c r="Y549"/>
    </row>
    <row r="550" spans="1:25" s="104" customFormat="1" hidden="1" x14ac:dyDescent="0.25">
      <c r="A550" s="97" t="str">
        <f t="shared" si="8"/>
        <v>sam62_main_ip_wrap_ulvt20_pct</v>
      </c>
      <c r="B550" s="97" t="s">
        <v>238</v>
      </c>
      <c r="C550" s="97" t="s">
        <v>1087</v>
      </c>
      <c r="D550" s="97"/>
      <c r="E550" s="97" t="s">
        <v>1072</v>
      </c>
      <c r="F550" s="108">
        <v>0</v>
      </c>
      <c r="G550" s="97" t="s">
        <v>1077</v>
      </c>
      <c r="H550" s="108">
        <v>0</v>
      </c>
      <c r="I550"/>
      <c r="J550"/>
      <c r="K550"/>
      <c r="L550"/>
      <c r="M550"/>
      <c r="N550"/>
      <c r="O550"/>
      <c r="P550"/>
      <c r="Q550"/>
      <c r="R550"/>
      <c r="S550"/>
      <c r="T550"/>
      <c r="U550"/>
      <c r="V550"/>
      <c r="W550"/>
      <c r="X550"/>
      <c r="Y550"/>
    </row>
    <row r="551" spans="1:25" s="104" customFormat="1" hidden="1" x14ac:dyDescent="0.25">
      <c r="A551" s="97" t="str">
        <f t="shared" si="8"/>
        <v>sam62_mcu_infra_phys_ulvt20_pct</v>
      </c>
      <c r="B551" s="97" t="s">
        <v>183</v>
      </c>
      <c r="C551" s="97" t="s">
        <v>1087</v>
      </c>
      <c r="D551" s="97"/>
      <c r="E551" s="97" t="s">
        <v>1072</v>
      </c>
      <c r="F551" s="108">
        <v>0</v>
      </c>
      <c r="G551" s="97" t="s">
        <v>1077</v>
      </c>
      <c r="H551" s="108">
        <v>0</v>
      </c>
      <c r="I551"/>
      <c r="J551"/>
      <c r="K551"/>
      <c r="L551"/>
      <c r="M551"/>
      <c r="N551"/>
      <c r="O551"/>
      <c r="P551"/>
      <c r="Q551"/>
      <c r="R551"/>
      <c r="S551"/>
      <c r="T551"/>
      <c r="U551"/>
      <c r="V551"/>
      <c r="W551"/>
      <c r="X551"/>
      <c r="Y551"/>
    </row>
    <row r="552" spans="1:25" s="104" customFormat="1" hidden="1" x14ac:dyDescent="0.25">
      <c r="A552" s="97" t="str">
        <f t="shared" si="8"/>
        <v>sam62_mcu_wrap_ulvt20_pct</v>
      </c>
      <c r="B552" s="97" t="s">
        <v>236</v>
      </c>
      <c r="C552" s="97" t="s">
        <v>1087</v>
      </c>
      <c r="D552" s="97"/>
      <c r="E552" s="97" t="s">
        <v>1072</v>
      </c>
      <c r="F552" s="108">
        <v>0</v>
      </c>
      <c r="G552" s="97" t="s">
        <v>1077</v>
      </c>
      <c r="H552" s="108">
        <v>0</v>
      </c>
      <c r="I552"/>
      <c r="J552"/>
      <c r="K552"/>
      <c r="L552"/>
      <c r="M552"/>
      <c r="N552"/>
      <c r="O552"/>
      <c r="P552"/>
      <c r="Q552"/>
      <c r="R552"/>
      <c r="S552"/>
      <c r="T552"/>
      <c r="U552"/>
      <c r="V552"/>
      <c r="W552"/>
      <c r="X552"/>
      <c r="Y552"/>
    </row>
    <row r="553" spans="1:25" s="104" customFormat="1" hidden="1" x14ac:dyDescent="0.25">
      <c r="A553" s="97" t="str">
        <f t="shared" si="8"/>
        <v>sam62_odp_ctrl_wrap_ulvt20_pct</v>
      </c>
      <c r="B553" s="97" t="s">
        <v>212</v>
      </c>
      <c r="C553" s="97" t="s">
        <v>1087</v>
      </c>
      <c r="D553" s="97"/>
      <c r="E553" s="97" t="s">
        <v>1072</v>
      </c>
      <c r="F553" s="108">
        <v>0</v>
      </c>
      <c r="G553" s="97" t="s">
        <v>1077</v>
      </c>
      <c r="H553" s="108">
        <v>0</v>
      </c>
      <c r="I553"/>
      <c r="J553"/>
      <c r="K553"/>
      <c r="L553"/>
      <c r="M553"/>
      <c r="N553"/>
      <c r="O553"/>
      <c r="P553"/>
      <c r="Q553"/>
      <c r="R553"/>
      <c r="S553"/>
      <c r="T553"/>
      <c r="U553"/>
      <c r="V553"/>
      <c r="W553"/>
      <c r="X553"/>
      <c r="Y553"/>
    </row>
    <row r="554" spans="1:25" s="104" customFormat="1" hidden="1" x14ac:dyDescent="0.25">
      <c r="A554" s="97" t="str">
        <f t="shared" si="8"/>
        <v>sam62_sec_wrap_ulvt20_pct</v>
      </c>
      <c r="B554" s="97" t="s">
        <v>262</v>
      </c>
      <c r="C554" s="97" t="s">
        <v>1087</v>
      </c>
      <c r="D554" s="97"/>
      <c r="E554" s="97" t="s">
        <v>1072</v>
      </c>
      <c r="F554" s="108">
        <v>0.01</v>
      </c>
      <c r="G554" s="97" t="s">
        <v>1077</v>
      </c>
      <c r="H554" s="108">
        <v>0.01</v>
      </c>
      <c r="I554"/>
      <c r="J554"/>
      <c r="K554"/>
      <c r="L554"/>
      <c r="M554"/>
      <c r="N554"/>
      <c r="O554"/>
      <c r="P554"/>
      <c r="Q554"/>
      <c r="R554"/>
      <c r="S554"/>
      <c r="T554"/>
      <c r="U554"/>
      <c r="V554"/>
      <c r="W554"/>
      <c r="X554"/>
      <c r="Y554"/>
    </row>
    <row r="555" spans="1:25" s="104" customFormat="1" hidden="1" x14ac:dyDescent="0.25">
      <c r="A555" s="97" t="str">
        <f t="shared" si="8"/>
        <v>sam62_core_ulvt20_pct</v>
      </c>
      <c r="B555" s="97" t="s">
        <v>185</v>
      </c>
      <c r="C555" s="97" t="s">
        <v>1087</v>
      </c>
      <c r="D555" s="97"/>
      <c r="E555" s="97" t="s">
        <v>1072</v>
      </c>
      <c r="F555" s="108">
        <v>0</v>
      </c>
      <c r="G555" s="97" t="s">
        <v>1077</v>
      </c>
      <c r="H555" s="5"/>
      <c r="I555"/>
      <c r="J555"/>
      <c r="K555"/>
      <c r="L555"/>
      <c r="M555"/>
      <c r="N555"/>
      <c r="O555"/>
      <c r="P555"/>
      <c r="Q555"/>
      <c r="R555"/>
      <c r="S555"/>
      <c r="T555"/>
      <c r="U555"/>
      <c r="V555"/>
      <c r="W555"/>
      <c r="X555"/>
      <c r="Y555"/>
    </row>
    <row r="556" spans="1:25" s="104" customFormat="1" hidden="1" x14ac:dyDescent="0.25">
      <c r="A556" s="97" t="str">
        <f t="shared" si="8"/>
        <v>sam62_pll_ctrl_wrap_ulvt20_pct</v>
      </c>
      <c r="B556" s="97" t="s">
        <v>221</v>
      </c>
      <c r="C556" s="97" t="s">
        <v>1087</v>
      </c>
      <c r="D556" s="97"/>
      <c r="E556" s="97" t="s">
        <v>1072</v>
      </c>
      <c r="F556" s="108">
        <v>0.01</v>
      </c>
      <c r="G556" s="97" t="s">
        <v>1077</v>
      </c>
      <c r="H556" s="108">
        <v>0.01</v>
      </c>
      <c r="I556"/>
      <c r="J556"/>
      <c r="K556"/>
      <c r="L556"/>
      <c r="M556"/>
      <c r="N556"/>
      <c r="O556"/>
      <c r="P556"/>
      <c r="Q556"/>
      <c r="R556"/>
      <c r="S556"/>
      <c r="T556"/>
      <c r="U556"/>
      <c r="V556"/>
      <c r="W556"/>
      <c r="X556"/>
      <c r="Y556"/>
    </row>
    <row r="557" spans="1:25" s="104" customFormat="1" hidden="1" x14ac:dyDescent="0.25">
      <c r="A557" s="97" t="str">
        <f t="shared" ref="A557:A620" si="9">B557&amp;"_"&amp;C557&amp;"_"&amp;D557</f>
        <v>PLLTS16FFCLAFRACF_vdd_dyn_0</v>
      </c>
      <c r="B557" s="97" t="s">
        <v>78</v>
      </c>
      <c r="C557" s="97" t="s">
        <v>369</v>
      </c>
      <c r="D557" s="97">
        <v>0</v>
      </c>
      <c r="E557" s="97" t="s">
        <v>1038</v>
      </c>
      <c r="F557" s="97">
        <v>0</v>
      </c>
      <c r="G557" s="97" t="s">
        <v>558</v>
      </c>
      <c r="H557" s="5"/>
      <c r="I557"/>
      <c r="J557"/>
      <c r="K557"/>
      <c r="L557"/>
      <c r="M557"/>
      <c r="N557"/>
      <c r="O557"/>
      <c r="P557"/>
      <c r="Q557"/>
      <c r="R557"/>
      <c r="S557"/>
      <c r="T557"/>
      <c r="U557"/>
      <c r="V557"/>
      <c r="W557"/>
      <c r="X557"/>
      <c r="Y557"/>
    </row>
    <row r="558" spans="1:25" s="104" customFormat="1" hidden="1" x14ac:dyDescent="0.25">
      <c r="A558" s="97" t="str">
        <f t="shared" si="9"/>
        <v>PLLTS16FFCLAFRACF_vdd_dyn_1000</v>
      </c>
      <c r="B558" s="97" t="s">
        <v>78</v>
      </c>
      <c r="C558" s="97" t="s">
        <v>369</v>
      </c>
      <c r="D558" s="97">
        <v>1000</v>
      </c>
      <c r="E558" s="97" t="s">
        <v>1038</v>
      </c>
      <c r="F558" s="97">
        <v>0.95040000000000002</v>
      </c>
      <c r="G558" s="97" t="s">
        <v>559</v>
      </c>
      <c r="H558" s="5"/>
      <c r="I558"/>
      <c r="J558"/>
      <c r="K558"/>
      <c r="L558"/>
      <c r="M558"/>
      <c r="N558"/>
      <c r="O558"/>
      <c r="P558"/>
      <c r="Q558"/>
      <c r="R558"/>
      <c r="S558"/>
      <c r="T558"/>
      <c r="U558"/>
      <c r="V558"/>
      <c r="W558"/>
      <c r="X558"/>
      <c r="Y558"/>
    </row>
    <row r="559" spans="1:25" s="104" customFormat="1" hidden="1" x14ac:dyDescent="0.25">
      <c r="A559" s="97" t="str">
        <f t="shared" si="9"/>
        <v>PLLTS16FFCLAFRACF_vdd_dyn_1250</v>
      </c>
      <c r="B559" s="97" t="s">
        <v>78</v>
      </c>
      <c r="C559" s="97" t="s">
        <v>369</v>
      </c>
      <c r="D559" s="97">
        <v>1250</v>
      </c>
      <c r="E559" s="97" t="s">
        <v>1038</v>
      </c>
      <c r="F559" s="97">
        <v>1.1880000000000002</v>
      </c>
      <c r="G559" s="97" t="s">
        <v>559</v>
      </c>
      <c r="H559" s="5"/>
      <c r="I559"/>
      <c r="J559"/>
      <c r="K559"/>
      <c r="L559"/>
      <c r="M559"/>
      <c r="N559"/>
      <c r="O559"/>
      <c r="P559"/>
      <c r="Q559"/>
      <c r="R559"/>
      <c r="S559"/>
      <c r="T559"/>
      <c r="U559"/>
      <c r="V559"/>
      <c r="W559"/>
      <c r="X559"/>
      <c r="Y559"/>
    </row>
    <row r="560" spans="1:25" s="104" customFormat="1" hidden="1" x14ac:dyDescent="0.25">
      <c r="A560" s="97" t="str">
        <f t="shared" si="9"/>
        <v>PLLTS16FFCLAFRACF_vdd_dyn_1500</v>
      </c>
      <c r="B560" s="97" t="s">
        <v>78</v>
      </c>
      <c r="C560" s="97" t="s">
        <v>369</v>
      </c>
      <c r="D560" s="97">
        <v>1500</v>
      </c>
      <c r="E560" s="97" t="s">
        <v>1038</v>
      </c>
      <c r="F560" s="97">
        <v>1.4256000000000002</v>
      </c>
      <c r="G560" s="97" t="s">
        <v>559</v>
      </c>
      <c r="H560" s="5"/>
      <c r="I560"/>
      <c r="J560"/>
      <c r="K560"/>
      <c r="L560"/>
      <c r="M560"/>
      <c r="N560"/>
      <c r="O560"/>
      <c r="P560"/>
      <c r="Q560"/>
      <c r="R560"/>
      <c r="S560"/>
      <c r="T560"/>
      <c r="U560"/>
      <c r="V560"/>
      <c r="W560"/>
      <c r="X560"/>
      <c r="Y560"/>
    </row>
    <row r="561" spans="1:25" s="104" customFormat="1" hidden="1" x14ac:dyDescent="0.25">
      <c r="A561" s="97" t="str">
        <f t="shared" si="9"/>
        <v>PLLTS16FFCLAFRACF_vdd_dyn_1750</v>
      </c>
      <c r="B561" s="97" t="s">
        <v>78</v>
      </c>
      <c r="C561" s="97" t="s">
        <v>369</v>
      </c>
      <c r="D561" s="97">
        <v>1750</v>
      </c>
      <c r="E561" s="97" t="s">
        <v>1038</v>
      </c>
      <c r="F561" s="97">
        <v>1.6632000000000002</v>
      </c>
      <c r="G561" s="97" t="s">
        <v>559</v>
      </c>
      <c r="H561" s="5"/>
      <c r="I561"/>
      <c r="J561"/>
      <c r="K561"/>
      <c r="L561"/>
      <c r="M561"/>
      <c r="N561"/>
      <c r="O561"/>
      <c r="P561"/>
      <c r="Q561"/>
      <c r="R561"/>
      <c r="S561"/>
      <c r="T561"/>
      <c r="U561"/>
      <c r="V561"/>
      <c r="W561"/>
      <c r="X561"/>
      <c r="Y561"/>
    </row>
    <row r="562" spans="1:25" s="104" customFormat="1" hidden="1" x14ac:dyDescent="0.25">
      <c r="A562" s="97" t="str">
        <f t="shared" si="9"/>
        <v>PLLTS16FFCLAFRACF_vdd_dyn_2000</v>
      </c>
      <c r="B562" s="97" t="s">
        <v>78</v>
      </c>
      <c r="C562" s="97" t="s">
        <v>369</v>
      </c>
      <c r="D562" s="97">
        <v>2000</v>
      </c>
      <c r="E562" s="97" t="s">
        <v>1038</v>
      </c>
      <c r="F562" s="97">
        <v>1.9008</v>
      </c>
      <c r="G562" s="97" t="s">
        <v>559</v>
      </c>
      <c r="H562" s="5"/>
      <c r="I562"/>
      <c r="J562"/>
      <c r="K562"/>
      <c r="L562"/>
      <c r="M562"/>
      <c r="N562"/>
      <c r="O562"/>
      <c r="P562"/>
      <c r="Q562"/>
      <c r="R562"/>
      <c r="S562"/>
      <c r="T562"/>
      <c r="U562"/>
      <c r="V562"/>
      <c r="W562"/>
      <c r="X562"/>
      <c r="Y562"/>
    </row>
    <row r="563" spans="1:25" s="104" customFormat="1" hidden="1" x14ac:dyDescent="0.25">
      <c r="A563" s="97" t="str">
        <f t="shared" si="9"/>
        <v>PLLTS16FFCLAFRACF_vdd_dyn_2250</v>
      </c>
      <c r="B563" s="97" t="s">
        <v>78</v>
      </c>
      <c r="C563" s="97" t="s">
        <v>369</v>
      </c>
      <c r="D563" s="97">
        <v>2250</v>
      </c>
      <c r="E563" s="97" t="s">
        <v>1038</v>
      </c>
      <c r="F563" s="97">
        <v>2.1384000000000003</v>
      </c>
      <c r="G563" s="97" t="s">
        <v>559</v>
      </c>
      <c r="H563" s="5"/>
      <c r="I563"/>
      <c r="J563"/>
      <c r="K563"/>
      <c r="L563"/>
      <c r="M563"/>
      <c r="N563"/>
      <c r="O563"/>
      <c r="P563"/>
      <c r="Q563"/>
      <c r="R563"/>
      <c r="S563"/>
      <c r="T563"/>
      <c r="U563"/>
      <c r="V563"/>
      <c r="W563"/>
      <c r="X563"/>
      <c r="Y563"/>
    </row>
    <row r="564" spans="1:25" s="104" customFormat="1" hidden="1" x14ac:dyDescent="0.25">
      <c r="A564" s="97" t="str">
        <f t="shared" si="9"/>
        <v>PLLTS16FFCLAFRACF_vdd_dyn_250</v>
      </c>
      <c r="B564" s="97" t="s">
        <v>78</v>
      </c>
      <c r="C564" s="97" t="s">
        <v>369</v>
      </c>
      <c r="D564" s="97">
        <v>250</v>
      </c>
      <c r="E564" s="97" t="s">
        <v>1038</v>
      </c>
      <c r="F564" s="97">
        <v>0.3</v>
      </c>
      <c r="G564" s="97" t="s">
        <v>558</v>
      </c>
      <c r="H564" s="5"/>
      <c r="I564"/>
      <c r="J564"/>
      <c r="K564"/>
      <c r="L564"/>
      <c r="M564"/>
      <c r="N564"/>
      <c r="O564"/>
      <c r="P564"/>
      <c r="Q564"/>
      <c r="R564"/>
      <c r="S564"/>
      <c r="T564"/>
      <c r="U564"/>
      <c r="V564"/>
      <c r="W564"/>
      <c r="X564"/>
      <c r="Y564"/>
    </row>
    <row r="565" spans="1:25" s="104" customFormat="1" hidden="1" x14ac:dyDescent="0.25">
      <c r="A565" s="97" t="str">
        <f t="shared" si="9"/>
        <v>PLLTS16FFCLAFRACF_vdd_dyn_2500</v>
      </c>
      <c r="B565" s="97" t="s">
        <v>78</v>
      </c>
      <c r="C565" s="97" t="s">
        <v>369</v>
      </c>
      <c r="D565" s="97">
        <v>2500</v>
      </c>
      <c r="E565" s="97" t="s">
        <v>1038</v>
      </c>
      <c r="F565" s="97">
        <v>2.3760000000000003</v>
      </c>
      <c r="G565" s="97" t="s">
        <v>559</v>
      </c>
      <c r="H565" s="5"/>
      <c r="I565"/>
      <c r="J565"/>
      <c r="K565"/>
      <c r="L565"/>
      <c r="M565"/>
      <c r="N565"/>
      <c r="O565"/>
      <c r="P565"/>
      <c r="Q565"/>
      <c r="R565"/>
      <c r="S565"/>
      <c r="T565"/>
      <c r="U565"/>
      <c r="V565"/>
      <c r="W565"/>
      <c r="X565"/>
      <c r="Y565"/>
    </row>
    <row r="566" spans="1:25" s="104" customFormat="1" hidden="1" x14ac:dyDescent="0.25">
      <c r="A566" s="97" t="str">
        <f t="shared" si="9"/>
        <v>PLLTS16FFCLAFRACF_vdd_dyn_2750</v>
      </c>
      <c r="B566" s="97" t="s">
        <v>78</v>
      </c>
      <c r="C566" s="97" t="s">
        <v>369</v>
      </c>
      <c r="D566" s="97">
        <v>2750</v>
      </c>
      <c r="E566" s="97" t="s">
        <v>1038</v>
      </c>
      <c r="F566" s="97">
        <v>2.6136000000000004</v>
      </c>
      <c r="G566" s="97" t="s">
        <v>559</v>
      </c>
      <c r="H566" s="5"/>
      <c r="I566"/>
      <c r="J566"/>
      <c r="K566"/>
      <c r="L566"/>
      <c r="M566"/>
      <c r="N566"/>
      <c r="O566"/>
      <c r="P566"/>
      <c r="Q566"/>
      <c r="R566"/>
      <c r="S566"/>
      <c r="T566"/>
      <c r="U566"/>
      <c r="V566"/>
      <c r="W566"/>
      <c r="X566"/>
      <c r="Y566"/>
    </row>
    <row r="567" spans="1:25" s="104" customFormat="1" hidden="1" x14ac:dyDescent="0.25">
      <c r="A567" s="97" t="str">
        <f t="shared" si="9"/>
        <v>PLLTS16FFCLAFRACF_vdd_dyn_3000</v>
      </c>
      <c r="B567" s="97" t="s">
        <v>78</v>
      </c>
      <c r="C567" s="97" t="s">
        <v>369</v>
      </c>
      <c r="D567" s="97">
        <v>3000</v>
      </c>
      <c r="E567" s="97" t="s">
        <v>1038</v>
      </c>
      <c r="F567" s="97">
        <v>2.8512000000000004</v>
      </c>
      <c r="G567" s="97" t="s">
        <v>559</v>
      </c>
      <c r="H567" s="5"/>
      <c r="I567"/>
      <c r="J567"/>
      <c r="K567"/>
      <c r="L567"/>
      <c r="M567"/>
      <c r="N567"/>
      <c r="O567"/>
      <c r="P567"/>
      <c r="Q567"/>
      <c r="R567"/>
      <c r="S567"/>
      <c r="T567"/>
      <c r="U567"/>
      <c r="V567"/>
      <c r="W567"/>
      <c r="X567"/>
      <c r="Y567"/>
    </row>
    <row r="568" spans="1:25" s="104" customFormat="1" hidden="1" x14ac:dyDescent="0.25">
      <c r="A568" s="97" t="str">
        <f t="shared" si="9"/>
        <v>PLLTS16FFCLAFRACF_vdd_dyn_3250</v>
      </c>
      <c r="B568" s="97" t="s">
        <v>78</v>
      </c>
      <c r="C568" s="97" t="s">
        <v>369</v>
      </c>
      <c r="D568" s="97">
        <v>3250</v>
      </c>
      <c r="E568" s="97" t="s">
        <v>1038</v>
      </c>
      <c r="F568" s="97">
        <v>3.0888000000000004</v>
      </c>
      <c r="G568" s="97" t="s">
        <v>559</v>
      </c>
      <c r="H568" s="5"/>
      <c r="I568"/>
      <c r="J568"/>
      <c r="K568"/>
      <c r="L568"/>
      <c r="M568"/>
      <c r="N568"/>
      <c r="O568"/>
      <c r="P568"/>
      <c r="Q568"/>
      <c r="R568"/>
      <c r="S568"/>
      <c r="T568"/>
      <c r="U568"/>
      <c r="V568"/>
      <c r="W568"/>
      <c r="X568"/>
      <c r="Y568"/>
    </row>
    <row r="569" spans="1:25" s="104" customFormat="1" hidden="1" x14ac:dyDescent="0.25">
      <c r="A569" s="97" t="str">
        <f t="shared" si="9"/>
        <v>PLLTS16FFCLAFRACF_vdd_dyn_3500</v>
      </c>
      <c r="B569" s="97" t="s">
        <v>78</v>
      </c>
      <c r="C569" s="97" t="s">
        <v>369</v>
      </c>
      <c r="D569" s="97">
        <v>3500</v>
      </c>
      <c r="E569" s="97" t="s">
        <v>1038</v>
      </c>
      <c r="F569" s="97">
        <v>3.3264000000000005</v>
      </c>
      <c r="G569" s="97" t="s">
        <v>559</v>
      </c>
      <c r="H569" s="5"/>
      <c r="I569"/>
      <c r="J569"/>
      <c r="K569"/>
      <c r="L569"/>
      <c r="M569"/>
      <c r="N569"/>
      <c r="O569"/>
      <c r="P569"/>
      <c r="Q569"/>
      <c r="R569"/>
      <c r="S569"/>
      <c r="T569"/>
      <c r="U569"/>
      <c r="V569"/>
      <c r="W569"/>
      <c r="X569"/>
      <c r="Y569"/>
    </row>
    <row r="570" spans="1:25" s="104" customFormat="1" hidden="1" x14ac:dyDescent="0.25">
      <c r="A570" s="97" t="str">
        <f t="shared" si="9"/>
        <v>PLLTS16FFCLAFRACF_vdd_dyn_3750</v>
      </c>
      <c r="B570" s="97" t="s">
        <v>78</v>
      </c>
      <c r="C570" s="97" t="s">
        <v>369</v>
      </c>
      <c r="D570" s="97">
        <v>3750</v>
      </c>
      <c r="E570" s="97" t="s">
        <v>1038</v>
      </c>
      <c r="F570" s="97">
        <v>3.5640000000000005</v>
      </c>
      <c r="G570" s="97" t="s">
        <v>559</v>
      </c>
      <c r="H570" s="5"/>
      <c r="I570"/>
      <c r="J570"/>
      <c r="K570"/>
      <c r="L570"/>
      <c r="M570"/>
      <c r="N570"/>
      <c r="O570"/>
      <c r="P570"/>
      <c r="Q570"/>
      <c r="R570"/>
      <c r="S570"/>
      <c r="T570"/>
      <c r="U570"/>
      <c r="V570"/>
      <c r="W570"/>
      <c r="X570"/>
      <c r="Y570"/>
    </row>
    <row r="571" spans="1:25" s="104" customFormat="1" hidden="1" x14ac:dyDescent="0.25">
      <c r="A571" s="97" t="str">
        <f t="shared" si="9"/>
        <v>PLLTS16FFCLAFRACF_vdd_dyn_500</v>
      </c>
      <c r="B571" s="97" t="s">
        <v>78</v>
      </c>
      <c r="C571" s="97" t="s">
        <v>369</v>
      </c>
      <c r="D571" s="97">
        <v>500</v>
      </c>
      <c r="E571" s="97" t="s">
        <v>1038</v>
      </c>
      <c r="F571" s="97">
        <v>0.47520000000000001</v>
      </c>
      <c r="G571" s="97" t="s">
        <v>559</v>
      </c>
      <c r="H571" s="5"/>
      <c r="I571"/>
      <c r="J571"/>
      <c r="K571"/>
      <c r="L571"/>
      <c r="M571"/>
      <c r="N571"/>
      <c r="O571"/>
      <c r="P571"/>
      <c r="Q571"/>
      <c r="R571"/>
      <c r="S571"/>
      <c r="T571"/>
      <c r="U571"/>
      <c r="V571"/>
      <c r="W571"/>
      <c r="X571"/>
      <c r="Y571"/>
    </row>
    <row r="572" spans="1:25" s="104" customFormat="1" hidden="1" x14ac:dyDescent="0.25">
      <c r="A572" s="97" t="str">
        <f t="shared" si="9"/>
        <v>PLLTS16FFCLAFRACF_vdd_dyn_750</v>
      </c>
      <c r="B572" s="97" t="s">
        <v>78</v>
      </c>
      <c r="C572" s="97" t="s">
        <v>369</v>
      </c>
      <c r="D572" s="97">
        <v>750</v>
      </c>
      <c r="E572" s="97" t="s">
        <v>1038</v>
      </c>
      <c r="F572" s="97">
        <v>0.7128000000000001</v>
      </c>
      <c r="G572" s="97" t="s">
        <v>559</v>
      </c>
      <c r="H572" s="5"/>
      <c r="I572"/>
      <c r="J572"/>
      <c r="K572"/>
      <c r="L572"/>
      <c r="M572"/>
      <c r="N572"/>
      <c r="O572"/>
      <c r="P572"/>
      <c r="Q572"/>
      <c r="R572"/>
      <c r="S572"/>
      <c r="T572"/>
      <c r="U572"/>
      <c r="V572"/>
      <c r="W572"/>
      <c r="X572"/>
      <c r="Y572"/>
    </row>
    <row r="573" spans="1:25" s="104" customFormat="1" hidden="1" x14ac:dyDescent="0.25">
      <c r="A573" s="97" t="str">
        <f t="shared" si="9"/>
        <v>TEF16FCLL256X32HD18_PHRM_vdd_dyn_on</v>
      </c>
      <c r="B573" s="98" t="s">
        <v>74</v>
      </c>
      <c r="C573" s="97" t="s">
        <v>369</v>
      </c>
      <c r="D573" s="97" t="s">
        <v>68</v>
      </c>
      <c r="E573" s="97" t="s">
        <v>1038</v>
      </c>
      <c r="F573" s="97">
        <v>5.28E-3</v>
      </c>
      <c r="G573" s="97"/>
      <c r="H573" s="5"/>
      <c r="I573"/>
      <c r="J573"/>
      <c r="K573"/>
      <c r="L573"/>
      <c r="M573"/>
      <c r="N573"/>
      <c r="O573"/>
      <c r="P573"/>
      <c r="Q573"/>
      <c r="R573"/>
      <c r="S573"/>
      <c r="T573"/>
      <c r="U573"/>
      <c r="V573"/>
      <c r="W573"/>
      <c r="X573"/>
      <c r="Y573"/>
    </row>
    <row r="574" spans="1:25" s="104" customFormat="1" hidden="1" x14ac:dyDescent="0.25">
      <c r="A574" s="97" t="str">
        <f t="shared" si="9"/>
        <v>DIVTS16FFC1TO128A_vdd_dyn_0</v>
      </c>
      <c r="B574" s="98" t="s">
        <v>85</v>
      </c>
      <c r="C574" s="97" t="s">
        <v>369</v>
      </c>
      <c r="D574" s="97">
        <v>0</v>
      </c>
      <c r="E574" s="97" t="s">
        <v>1038</v>
      </c>
      <c r="F574" s="97">
        <v>0</v>
      </c>
      <c r="G574" s="97">
        <v>100</v>
      </c>
      <c r="H574" s="5"/>
      <c r="I574"/>
      <c r="J574"/>
      <c r="K574"/>
      <c r="L574"/>
      <c r="M574"/>
      <c r="N574"/>
      <c r="O574"/>
      <c r="P574"/>
      <c r="Q574"/>
      <c r="R574"/>
      <c r="S574"/>
      <c r="T574"/>
      <c r="U574"/>
      <c r="V574"/>
      <c r="W574"/>
      <c r="X574"/>
      <c r="Y574"/>
    </row>
    <row r="575" spans="1:25" s="104" customFormat="1" hidden="1" x14ac:dyDescent="0.25">
      <c r="A575" s="97" t="str">
        <f t="shared" si="9"/>
        <v>DIVTS16FFC1TO128A_vdd_dyn_100</v>
      </c>
      <c r="B575" s="98" t="s">
        <v>85</v>
      </c>
      <c r="C575" s="97" t="s">
        <v>369</v>
      </c>
      <c r="D575" s="97">
        <v>100</v>
      </c>
      <c r="E575" s="97" t="s">
        <v>1038</v>
      </c>
      <c r="F575" s="97">
        <v>0.14080000000000001</v>
      </c>
      <c r="G575" s="97">
        <v>100</v>
      </c>
      <c r="H575" s="5"/>
      <c r="I575"/>
      <c r="J575"/>
      <c r="K575"/>
      <c r="L575"/>
      <c r="M575"/>
      <c r="N575"/>
      <c r="O575"/>
      <c r="P575"/>
      <c r="Q575"/>
      <c r="R575"/>
      <c r="S575"/>
      <c r="T575"/>
      <c r="U575"/>
      <c r="V575"/>
      <c r="W575"/>
      <c r="X575"/>
      <c r="Y575"/>
    </row>
    <row r="576" spans="1:25" s="104" customFormat="1" hidden="1" x14ac:dyDescent="0.25">
      <c r="A576" s="97" t="str">
        <f t="shared" si="9"/>
        <v>DIVTS16FFC1TO128A_vdd_dyn_1000</v>
      </c>
      <c r="B576" s="98" t="s">
        <v>85</v>
      </c>
      <c r="C576" s="97" t="s">
        <v>369</v>
      </c>
      <c r="D576" s="97">
        <v>1000</v>
      </c>
      <c r="E576" s="97" t="s">
        <v>1038</v>
      </c>
      <c r="F576" s="97">
        <v>1.4080000000000001</v>
      </c>
      <c r="G576" s="97">
        <v>1000</v>
      </c>
      <c r="H576" s="5"/>
      <c r="I576"/>
      <c r="J576"/>
      <c r="K576"/>
      <c r="L576"/>
      <c r="M576"/>
      <c r="N576"/>
      <c r="O576"/>
      <c r="P576"/>
      <c r="Q576"/>
      <c r="R576"/>
      <c r="S576"/>
      <c r="T576"/>
      <c r="U576"/>
      <c r="V576"/>
      <c r="W576"/>
      <c r="X576"/>
      <c r="Y576"/>
    </row>
    <row r="577" spans="1:25" s="104" customFormat="1" hidden="1" x14ac:dyDescent="0.25">
      <c r="A577" s="97" t="str">
        <f t="shared" si="9"/>
        <v>DIVTS16FFC1TO128A_vdd_dyn_200</v>
      </c>
      <c r="B577" s="98" t="s">
        <v>85</v>
      </c>
      <c r="C577" s="97" t="s">
        <v>369</v>
      </c>
      <c r="D577" s="97">
        <v>200</v>
      </c>
      <c r="E577" s="97" t="s">
        <v>1038</v>
      </c>
      <c r="F577" s="97">
        <v>0.28160000000000002</v>
      </c>
      <c r="G577" s="97">
        <v>200</v>
      </c>
      <c r="H577" s="5"/>
      <c r="I577"/>
      <c r="J577"/>
      <c r="K577"/>
      <c r="L577"/>
      <c r="M577"/>
      <c r="N577"/>
      <c r="O577"/>
      <c r="P577"/>
      <c r="Q577"/>
      <c r="R577"/>
      <c r="S577"/>
      <c r="T577"/>
      <c r="U577"/>
      <c r="V577"/>
      <c r="W577"/>
      <c r="X577"/>
      <c r="Y577"/>
    </row>
    <row r="578" spans="1:25" s="104" customFormat="1" hidden="1" x14ac:dyDescent="0.25">
      <c r="A578" s="97" t="str">
        <f t="shared" si="9"/>
        <v>DIVTS16FFC1TO128A_vdd_dyn_25</v>
      </c>
      <c r="B578" s="98" t="s">
        <v>85</v>
      </c>
      <c r="C578" s="97" t="s">
        <v>369</v>
      </c>
      <c r="D578" s="97">
        <v>25</v>
      </c>
      <c r="E578" s="97" t="s">
        <v>1038</v>
      </c>
      <c r="F578" s="97">
        <v>3.5000000000000003E-2</v>
      </c>
      <c r="G578" s="97">
        <v>200</v>
      </c>
      <c r="H578" s="5"/>
      <c r="I578"/>
      <c r="J578"/>
      <c r="K578"/>
      <c r="L578"/>
      <c r="M578"/>
      <c r="N578"/>
      <c r="O578"/>
      <c r="P578"/>
      <c r="Q578"/>
      <c r="R578"/>
      <c r="S578"/>
      <c r="T578"/>
      <c r="U578"/>
      <c r="V578"/>
      <c r="W578"/>
      <c r="X578"/>
      <c r="Y578"/>
    </row>
    <row r="579" spans="1:25" s="104" customFormat="1" hidden="1" x14ac:dyDescent="0.25">
      <c r="A579" s="97" t="str">
        <f t="shared" si="9"/>
        <v>DIVTS16FFC1TO128A_vdd_dyn_300</v>
      </c>
      <c r="B579" s="98" t="s">
        <v>85</v>
      </c>
      <c r="C579" s="97" t="s">
        <v>369</v>
      </c>
      <c r="D579" s="97">
        <v>300</v>
      </c>
      <c r="E579" s="97" t="s">
        <v>1038</v>
      </c>
      <c r="F579" s="97">
        <v>0.42240000000000005</v>
      </c>
      <c r="G579" s="97">
        <v>300</v>
      </c>
      <c r="H579" s="5"/>
      <c r="I579"/>
      <c r="J579"/>
      <c r="K579"/>
      <c r="L579"/>
      <c r="M579"/>
      <c r="N579"/>
      <c r="O579"/>
      <c r="P579"/>
      <c r="Q579"/>
      <c r="R579"/>
      <c r="S579"/>
      <c r="T579"/>
      <c r="U579"/>
      <c r="V579"/>
      <c r="W579"/>
      <c r="X579"/>
      <c r="Y579"/>
    </row>
    <row r="580" spans="1:25" s="104" customFormat="1" hidden="1" x14ac:dyDescent="0.25">
      <c r="A580" s="97" t="str">
        <f t="shared" si="9"/>
        <v>DIVTS16FFC1TO128A_vdd_dyn_400</v>
      </c>
      <c r="B580" s="98" t="s">
        <v>85</v>
      </c>
      <c r="C580" s="97" t="s">
        <v>369</v>
      </c>
      <c r="D580" s="97">
        <v>400</v>
      </c>
      <c r="E580" s="97" t="s">
        <v>1038</v>
      </c>
      <c r="F580" s="97">
        <v>0.56320000000000003</v>
      </c>
      <c r="G580" s="97">
        <v>400</v>
      </c>
      <c r="H580" s="5"/>
      <c r="I580"/>
      <c r="J580"/>
      <c r="K580"/>
      <c r="L580"/>
      <c r="M580"/>
      <c r="N580"/>
      <c r="O580"/>
      <c r="P580"/>
      <c r="Q580"/>
      <c r="R580"/>
      <c r="S580"/>
      <c r="T580"/>
      <c r="U580"/>
      <c r="V580"/>
      <c r="W580"/>
      <c r="X580"/>
      <c r="Y580"/>
    </row>
    <row r="581" spans="1:25" s="104" customFormat="1" hidden="1" x14ac:dyDescent="0.25">
      <c r="A581" s="97" t="str">
        <f t="shared" si="9"/>
        <v>DIVTS16FFC1TO128A_vdd_dyn_50</v>
      </c>
      <c r="B581" s="98" t="s">
        <v>85</v>
      </c>
      <c r="C581" s="97" t="s">
        <v>369</v>
      </c>
      <c r="D581" s="97">
        <v>50</v>
      </c>
      <c r="E581" s="97" t="s">
        <v>1038</v>
      </c>
      <c r="F581" s="97">
        <v>7.0000000000000007E-2</v>
      </c>
      <c r="G581" s="97">
        <v>300</v>
      </c>
      <c r="H581" s="5"/>
      <c r="I581"/>
      <c r="J581"/>
      <c r="K581"/>
      <c r="L581"/>
      <c r="M581"/>
      <c r="N581"/>
      <c r="O581"/>
      <c r="P581"/>
      <c r="Q581"/>
      <c r="R581"/>
      <c r="S581"/>
      <c r="T581"/>
      <c r="U581"/>
      <c r="V581"/>
      <c r="W581"/>
      <c r="X581"/>
      <c r="Y581"/>
    </row>
    <row r="582" spans="1:25" s="104" customFormat="1" hidden="1" x14ac:dyDescent="0.25">
      <c r="A582" s="97" t="str">
        <f t="shared" si="9"/>
        <v>DIVTS16FFC1TO128A_vdd_dyn_500</v>
      </c>
      <c r="B582" s="98" t="s">
        <v>85</v>
      </c>
      <c r="C582" s="97" t="s">
        <v>369</v>
      </c>
      <c r="D582" s="97">
        <v>500</v>
      </c>
      <c r="E582" s="97" t="s">
        <v>1038</v>
      </c>
      <c r="F582" s="97">
        <v>0.70400000000000007</v>
      </c>
      <c r="G582" s="97">
        <v>500</v>
      </c>
      <c r="H582" s="5"/>
      <c r="I582"/>
      <c r="J582"/>
      <c r="K582"/>
      <c r="L582"/>
      <c r="M582"/>
      <c r="N582"/>
      <c r="O582"/>
      <c r="P582"/>
      <c r="Q582"/>
      <c r="R582"/>
      <c r="S582"/>
      <c r="T582"/>
      <c r="U582"/>
      <c r="V582"/>
      <c r="W582"/>
      <c r="X582"/>
      <c r="Y582"/>
    </row>
    <row r="583" spans="1:25" s="104" customFormat="1" hidden="1" x14ac:dyDescent="0.25">
      <c r="A583" s="97" t="str">
        <f t="shared" si="9"/>
        <v>DIVTS16FFC1TO128A_vdd_dyn_600</v>
      </c>
      <c r="B583" s="98" t="s">
        <v>85</v>
      </c>
      <c r="C583" s="97" t="s">
        <v>369</v>
      </c>
      <c r="D583" s="97">
        <v>600</v>
      </c>
      <c r="E583" s="97" t="s">
        <v>1038</v>
      </c>
      <c r="F583" s="97">
        <v>0.84480000000000011</v>
      </c>
      <c r="G583" s="97">
        <v>600</v>
      </c>
      <c r="H583" s="5"/>
      <c r="I583"/>
      <c r="J583"/>
      <c r="K583"/>
      <c r="L583"/>
      <c r="M583"/>
      <c r="N583"/>
      <c r="O583"/>
      <c r="P583"/>
      <c r="Q583"/>
      <c r="R583"/>
      <c r="S583"/>
      <c r="T583"/>
      <c r="U583"/>
      <c r="V583"/>
      <c r="W583"/>
      <c r="X583"/>
      <c r="Y583"/>
    </row>
    <row r="584" spans="1:25" s="104" customFormat="1" hidden="1" x14ac:dyDescent="0.25">
      <c r="A584" s="97" t="str">
        <f t="shared" si="9"/>
        <v>DIVTS16FFC1TO128A_vdd_dyn_700</v>
      </c>
      <c r="B584" s="98" t="s">
        <v>85</v>
      </c>
      <c r="C584" s="97" t="s">
        <v>369</v>
      </c>
      <c r="D584" s="97">
        <v>700</v>
      </c>
      <c r="E584" s="97" t="s">
        <v>1038</v>
      </c>
      <c r="F584" s="97">
        <v>0.98560000000000014</v>
      </c>
      <c r="G584" s="97">
        <v>700</v>
      </c>
      <c r="H584" s="5"/>
      <c r="I584"/>
      <c r="J584"/>
      <c r="K584"/>
      <c r="L584"/>
      <c r="M584"/>
      <c r="N584"/>
      <c r="O584"/>
      <c r="P584"/>
      <c r="Q584"/>
      <c r="R584"/>
      <c r="S584"/>
      <c r="T584"/>
      <c r="U584"/>
      <c r="V584"/>
      <c r="W584"/>
      <c r="X584"/>
      <c r="Y584"/>
    </row>
    <row r="585" spans="1:25" s="104" customFormat="1" hidden="1" x14ac:dyDescent="0.25">
      <c r="A585" s="97" t="str">
        <f t="shared" si="9"/>
        <v>DIVTS16FFC1TO128A_vdd_dyn_800</v>
      </c>
      <c r="B585" s="98" t="s">
        <v>85</v>
      </c>
      <c r="C585" s="97" t="s">
        <v>369</v>
      </c>
      <c r="D585" s="97">
        <v>800</v>
      </c>
      <c r="E585" s="97" t="s">
        <v>1038</v>
      </c>
      <c r="F585" s="97">
        <v>1.1264000000000001</v>
      </c>
      <c r="G585" s="97">
        <v>800</v>
      </c>
      <c r="H585" s="5"/>
      <c r="I585"/>
      <c r="J585"/>
      <c r="K585"/>
      <c r="L585"/>
      <c r="M585"/>
      <c r="N585"/>
      <c r="O585"/>
      <c r="P585"/>
      <c r="Q585"/>
      <c r="R585"/>
      <c r="S585"/>
      <c r="T585"/>
      <c r="U585"/>
      <c r="V585"/>
      <c r="W585"/>
      <c r="X585"/>
      <c r="Y585"/>
    </row>
    <row r="586" spans="1:25" s="104" customFormat="1" hidden="1" x14ac:dyDescent="0.25">
      <c r="A586" s="97" t="str">
        <f t="shared" si="9"/>
        <v>DIVTS16FFC1TO128A_vdd_dyn_900</v>
      </c>
      <c r="B586" s="98" t="s">
        <v>85</v>
      </c>
      <c r="C586" s="97" t="s">
        <v>369</v>
      </c>
      <c r="D586" s="97">
        <v>900</v>
      </c>
      <c r="E586" s="97" t="s">
        <v>1038</v>
      </c>
      <c r="F586" s="97">
        <v>1.2672000000000001</v>
      </c>
      <c r="G586" s="97">
        <v>900</v>
      </c>
      <c r="H586" s="5"/>
      <c r="I586"/>
      <c r="J586"/>
      <c r="K586"/>
      <c r="L586"/>
      <c r="M586"/>
      <c r="N586"/>
      <c r="O586"/>
      <c r="P586"/>
      <c r="Q586"/>
      <c r="R586"/>
      <c r="S586"/>
      <c r="T586"/>
      <c r="U586"/>
      <c r="V586"/>
      <c r="W586"/>
      <c r="X586"/>
      <c r="Y586"/>
    </row>
    <row r="587" spans="1:25" s="104" customFormat="1" hidden="1" x14ac:dyDescent="0.25">
      <c r="A587" s="97" t="str">
        <f t="shared" si="9"/>
        <v>sd1000_vdd_dyn_device_fs</v>
      </c>
      <c r="B587" s="97" t="s">
        <v>608</v>
      </c>
      <c r="C587" s="98" t="s">
        <v>369</v>
      </c>
      <c r="D587" s="97" t="s">
        <v>468</v>
      </c>
      <c r="E587" s="97" t="s">
        <v>1038</v>
      </c>
      <c r="F587" s="105">
        <f>(1.578+1.603)/2</f>
        <v>1.5905</v>
      </c>
      <c r="G587" s="97" t="s">
        <v>473</v>
      </c>
      <c r="H587" s="5"/>
      <c r="I587"/>
      <c r="J587"/>
      <c r="K587"/>
      <c r="L587"/>
      <c r="M587"/>
      <c r="N587"/>
      <c r="O587"/>
      <c r="P587"/>
      <c r="Q587"/>
      <c r="R587"/>
      <c r="S587"/>
      <c r="T587"/>
      <c r="U587"/>
      <c r="V587"/>
      <c r="W587"/>
      <c r="X587"/>
      <c r="Y587"/>
    </row>
    <row r="588" spans="1:25" s="104" customFormat="1" hidden="1" x14ac:dyDescent="0.25">
      <c r="A588" s="97" t="str">
        <f t="shared" si="9"/>
        <v>sd1000_vdd_dyn_device_fs_idle</v>
      </c>
      <c r="B588" s="97" t="s">
        <v>608</v>
      </c>
      <c r="C588" s="98" t="s">
        <v>369</v>
      </c>
      <c r="D588" s="97" t="s">
        <v>478</v>
      </c>
      <c r="E588" s="97" t="s">
        <v>1038</v>
      </c>
      <c r="F588" s="105">
        <v>1.5629999999999999</v>
      </c>
      <c r="G588" s="97" t="s">
        <v>480</v>
      </c>
      <c r="H588" s="5"/>
      <c r="I588"/>
      <c r="J588"/>
      <c r="K588"/>
      <c r="L588"/>
      <c r="M588"/>
      <c r="N588"/>
      <c r="O588"/>
      <c r="P588"/>
      <c r="Q588"/>
      <c r="R588"/>
      <c r="S588"/>
      <c r="T588"/>
      <c r="U588"/>
      <c r="V588"/>
      <c r="W588"/>
      <c r="X588"/>
      <c r="Y588"/>
    </row>
    <row r="589" spans="1:25" s="104" customFormat="1" hidden="1" x14ac:dyDescent="0.25">
      <c r="A589" s="97" t="str">
        <f t="shared" si="9"/>
        <v>sd1000_vdd_dyn_device_hs</v>
      </c>
      <c r="B589" s="97" t="s">
        <v>608</v>
      </c>
      <c r="C589" s="98" t="s">
        <v>369</v>
      </c>
      <c r="D589" s="97" t="s">
        <v>467</v>
      </c>
      <c r="E589" s="97" t="s">
        <v>1038</v>
      </c>
      <c r="F589" s="105">
        <f>(1.457+1.834)/2</f>
        <v>1.6455000000000002</v>
      </c>
      <c r="G589" s="97" t="s">
        <v>473</v>
      </c>
      <c r="H589" s="5"/>
      <c r="I589"/>
      <c r="J589"/>
      <c r="K589"/>
      <c r="L589"/>
      <c r="M589"/>
      <c r="N589"/>
      <c r="O589"/>
      <c r="P589"/>
      <c r="Q589"/>
      <c r="R589"/>
      <c r="S589"/>
      <c r="T589"/>
      <c r="U589"/>
      <c r="V589"/>
      <c r="W589"/>
      <c r="X589"/>
      <c r="Y589"/>
    </row>
    <row r="590" spans="1:25" s="104" customFormat="1" hidden="1" x14ac:dyDescent="0.25">
      <c r="A590" s="97" t="str">
        <f t="shared" si="9"/>
        <v>sd1000_vdd_dyn_device_hs_idle</v>
      </c>
      <c r="B590" s="97" t="s">
        <v>608</v>
      </c>
      <c r="C590" s="98" t="s">
        <v>369</v>
      </c>
      <c r="D590" s="97" t="s">
        <v>477</v>
      </c>
      <c r="E590" s="97" t="s">
        <v>1038</v>
      </c>
      <c r="F590" s="105">
        <v>1.28</v>
      </c>
      <c r="G590" s="97" t="s">
        <v>480</v>
      </c>
      <c r="H590" s="5"/>
      <c r="I590"/>
      <c r="J590"/>
      <c r="K590"/>
      <c r="L590"/>
      <c r="M590"/>
      <c r="N590"/>
      <c r="O590"/>
      <c r="P590"/>
      <c r="Q590"/>
      <c r="R590"/>
      <c r="S590"/>
      <c r="T590"/>
      <c r="U590"/>
      <c r="V590"/>
      <c r="W590"/>
      <c r="X590"/>
      <c r="Y590"/>
    </row>
    <row r="591" spans="1:25" s="104" customFormat="1" hidden="1" x14ac:dyDescent="0.25">
      <c r="A591" s="97" t="str">
        <f t="shared" si="9"/>
        <v>sd1000_vdd_dyn_device_ls</v>
      </c>
      <c r="B591" s="97" t="s">
        <v>608</v>
      </c>
      <c r="C591" s="98" t="s">
        <v>369</v>
      </c>
      <c r="D591" s="97" t="s">
        <v>469</v>
      </c>
      <c r="E591" s="97" t="s">
        <v>1038</v>
      </c>
      <c r="F591" s="105">
        <f>(1.568+1.582)/2</f>
        <v>1.5750000000000002</v>
      </c>
      <c r="G591" s="97" t="s">
        <v>473</v>
      </c>
      <c r="H591" s="5"/>
      <c r="I591"/>
      <c r="J591"/>
      <c r="K591"/>
      <c r="L591"/>
      <c r="M591"/>
      <c r="N591"/>
      <c r="O591"/>
      <c r="P591"/>
      <c r="Q591"/>
      <c r="R591"/>
      <c r="S591"/>
      <c r="T591"/>
      <c r="U591"/>
      <c r="V591"/>
      <c r="W591"/>
      <c r="X591"/>
      <c r="Y591"/>
    </row>
    <row r="592" spans="1:25" s="104" customFormat="1" hidden="1" x14ac:dyDescent="0.25">
      <c r="A592" s="97" t="str">
        <f t="shared" si="9"/>
        <v>sd1000_vdd_dyn_device_ls_idle</v>
      </c>
      <c r="B592" s="97" t="s">
        <v>608</v>
      </c>
      <c r="C592" s="98" t="s">
        <v>369</v>
      </c>
      <c r="D592" s="97" t="s">
        <v>479</v>
      </c>
      <c r="E592" s="97" t="s">
        <v>1038</v>
      </c>
      <c r="F592" s="105">
        <v>1.5629999999999999</v>
      </c>
      <c r="G592" s="97" t="s">
        <v>480</v>
      </c>
      <c r="H592" s="5"/>
      <c r="I592"/>
      <c r="J592"/>
      <c r="K592"/>
      <c r="L592"/>
      <c r="M592"/>
      <c r="N592"/>
      <c r="O592"/>
      <c r="P592"/>
      <c r="Q592"/>
      <c r="R592"/>
      <c r="S592"/>
      <c r="T592"/>
      <c r="U592"/>
      <c r="V592"/>
      <c r="W592"/>
      <c r="X592"/>
      <c r="Y592"/>
    </row>
    <row r="593" spans="1:25" s="104" customFormat="1" hidden="1" x14ac:dyDescent="0.25">
      <c r="A593" s="97" t="str">
        <f t="shared" si="9"/>
        <v>sd1000_vdd_dyn_host_fs</v>
      </c>
      <c r="B593" s="97" t="s">
        <v>608</v>
      </c>
      <c r="C593" s="98" t="s">
        <v>369</v>
      </c>
      <c r="D593" s="97" t="s">
        <v>465</v>
      </c>
      <c r="E593" s="97" t="s">
        <v>1038</v>
      </c>
      <c r="F593" s="105">
        <f>(1.577+1.599)/2</f>
        <v>1.5880000000000001</v>
      </c>
      <c r="G593" s="97" t="s">
        <v>473</v>
      </c>
      <c r="H593" s="5"/>
      <c r="I593"/>
      <c r="J593"/>
      <c r="K593"/>
      <c r="L593"/>
      <c r="M593"/>
      <c r="N593"/>
      <c r="O593"/>
      <c r="P593"/>
      <c r="Q593"/>
      <c r="R593"/>
      <c r="S593"/>
      <c r="T593"/>
      <c r="U593"/>
      <c r="V593"/>
      <c r="W593"/>
      <c r="X593"/>
      <c r="Y593"/>
    </row>
    <row r="594" spans="1:25" s="104" customFormat="1" hidden="1" x14ac:dyDescent="0.25">
      <c r="A594" s="97" t="str">
        <f t="shared" si="9"/>
        <v>sd1000_vdd_dyn_host_fs_idle</v>
      </c>
      <c r="B594" s="97" t="s">
        <v>608</v>
      </c>
      <c r="C594" s="98" t="s">
        <v>369</v>
      </c>
      <c r="D594" s="97" t="s">
        <v>475</v>
      </c>
      <c r="E594" s="97" t="s">
        <v>1038</v>
      </c>
      <c r="F594" s="105">
        <v>1.5629999999999999</v>
      </c>
      <c r="G594" s="97" t="s">
        <v>149</v>
      </c>
      <c r="H594" s="5"/>
      <c r="I594"/>
      <c r="J594"/>
      <c r="K594"/>
      <c r="L594"/>
      <c r="M594"/>
      <c r="N594"/>
      <c r="O594"/>
      <c r="P594"/>
      <c r="Q594"/>
      <c r="R594"/>
      <c r="S594"/>
      <c r="T594"/>
      <c r="U594"/>
      <c r="V594"/>
      <c r="W594"/>
      <c r="X594"/>
      <c r="Y594"/>
    </row>
    <row r="595" spans="1:25" s="104" customFormat="1" hidden="1" x14ac:dyDescent="0.25">
      <c r="A595" s="97" t="str">
        <f t="shared" si="9"/>
        <v>sd1000_vdd_dyn_host_hs</v>
      </c>
      <c r="B595" s="97" t="s">
        <v>608</v>
      </c>
      <c r="C595" s="98" t="s">
        <v>369</v>
      </c>
      <c r="D595" s="97" t="s">
        <v>464</v>
      </c>
      <c r="E595" s="97" t="s">
        <v>1038</v>
      </c>
      <c r="F595" s="105">
        <f>(1.457+1.811)/2</f>
        <v>1.6339999999999999</v>
      </c>
      <c r="G595" s="97" t="s">
        <v>473</v>
      </c>
      <c r="H595" s="5"/>
      <c r="I595"/>
      <c r="J595"/>
      <c r="K595"/>
      <c r="L595"/>
      <c r="M595"/>
      <c r="N595"/>
      <c r="O595"/>
      <c r="P595"/>
      <c r="Q595"/>
      <c r="R595"/>
      <c r="S595"/>
      <c r="T595"/>
      <c r="U595"/>
      <c r="V595"/>
      <c r="W595"/>
      <c r="X595"/>
      <c r="Y595"/>
    </row>
    <row r="596" spans="1:25" s="104" customFormat="1" hidden="1" x14ac:dyDescent="0.25">
      <c r="A596" s="97" t="str">
        <f t="shared" si="9"/>
        <v>sd1000_vdd_dyn_host_hs_idle</v>
      </c>
      <c r="B596" s="97" t="s">
        <v>608</v>
      </c>
      <c r="C596" s="98" t="s">
        <v>369</v>
      </c>
      <c r="D596" s="97" t="s">
        <v>474</v>
      </c>
      <c r="E596" s="97" t="s">
        <v>1038</v>
      </c>
      <c r="F596" s="105">
        <v>1.28</v>
      </c>
      <c r="G596" s="97" t="s">
        <v>149</v>
      </c>
      <c r="H596" s="5"/>
      <c r="I596"/>
      <c r="J596"/>
      <c r="K596"/>
      <c r="L596"/>
      <c r="M596"/>
      <c r="N596"/>
      <c r="O596"/>
      <c r="P596"/>
      <c r="Q596"/>
      <c r="R596"/>
      <c r="S596"/>
      <c r="T596"/>
      <c r="U596"/>
      <c r="V596"/>
      <c r="W596"/>
      <c r="X596"/>
      <c r="Y596"/>
    </row>
    <row r="597" spans="1:25" s="104" customFormat="1" hidden="1" x14ac:dyDescent="0.25">
      <c r="A597" s="97" t="str">
        <f t="shared" si="9"/>
        <v>sd1000_vdd_dyn_host_ls</v>
      </c>
      <c r="B597" s="97" t="s">
        <v>608</v>
      </c>
      <c r="C597" s="98" t="s">
        <v>369</v>
      </c>
      <c r="D597" s="97" t="s">
        <v>466</v>
      </c>
      <c r="E597" s="97" t="s">
        <v>1038</v>
      </c>
      <c r="F597" s="105">
        <f>(1.566+1.58)/2</f>
        <v>1.573</v>
      </c>
      <c r="G597" s="97" t="s">
        <v>149</v>
      </c>
      <c r="H597" s="5"/>
      <c r="I597"/>
      <c r="J597"/>
      <c r="K597"/>
      <c r="L597"/>
      <c r="M597"/>
      <c r="N597"/>
      <c r="O597"/>
      <c r="P597"/>
      <c r="Q597"/>
      <c r="R597"/>
      <c r="S597"/>
      <c r="T597"/>
      <c r="U597"/>
      <c r="V597"/>
      <c r="W597"/>
      <c r="X597"/>
      <c r="Y597"/>
    </row>
    <row r="598" spans="1:25" s="104" customFormat="1" hidden="1" x14ac:dyDescent="0.25">
      <c r="A598" s="97" t="str">
        <f t="shared" si="9"/>
        <v>sd1000_vdd_dyn_host_ls_idle</v>
      </c>
      <c r="B598" s="97" t="s">
        <v>608</v>
      </c>
      <c r="C598" s="98" t="s">
        <v>369</v>
      </c>
      <c r="D598" s="97" t="s">
        <v>476</v>
      </c>
      <c r="E598" s="97" t="s">
        <v>1038</v>
      </c>
      <c r="F598" s="105">
        <v>1.5629999999999999</v>
      </c>
      <c r="G598" s="97" t="s">
        <v>149</v>
      </c>
      <c r="H598" s="5"/>
      <c r="I598"/>
      <c r="J598"/>
      <c r="K598"/>
      <c r="L598"/>
      <c r="M598"/>
      <c r="N598"/>
      <c r="O598"/>
      <c r="P598"/>
      <c r="Q598"/>
      <c r="R598"/>
      <c r="S598"/>
      <c r="T598"/>
      <c r="U598"/>
      <c r="V598"/>
      <c r="W598"/>
      <c r="X598"/>
      <c r="Y598"/>
    </row>
    <row r="599" spans="1:25" s="104" customFormat="1" hidden="1" x14ac:dyDescent="0.25">
      <c r="A599" s="97" t="str">
        <f t="shared" si="9"/>
        <v>sd1000_vdd_dyn_Power_down</v>
      </c>
      <c r="B599" s="97" t="s">
        <v>608</v>
      </c>
      <c r="C599" s="98" t="s">
        <v>369</v>
      </c>
      <c r="D599" s="97" t="s">
        <v>470</v>
      </c>
      <c r="E599" s="97" t="s">
        <v>1038</v>
      </c>
      <c r="F599" s="105">
        <v>0.25600000000000001</v>
      </c>
      <c r="G599" s="97" t="s">
        <v>472</v>
      </c>
      <c r="H599" s="5"/>
      <c r="I599"/>
      <c r="J599"/>
      <c r="K599"/>
      <c r="L599"/>
      <c r="M599"/>
      <c r="N599"/>
      <c r="O599"/>
      <c r="P599"/>
      <c r="Q599"/>
      <c r="R599"/>
      <c r="S599"/>
      <c r="T599"/>
      <c r="U599"/>
      <c r="V599"/>
      <c r="W599"/>
      <c r="X599"/>
      <c r="Y599"/>
    </row>
    <row r="600" spans="1:25" s="104" customFormat="1" hidden="1" x14ac:dyDescent="0.25">
      <c r="A600" s="97" t="str">
        <f t="shared" si="9"/>
        <v>sd1000_vdd_dyn_sleep</v>
      </c>
      <c r="B600" s="97" t="s">
        <v>608</v>
      </c>
      <c r="C600" s="98" t="s">
        <v>369</v>
      </c>
      <c r="D600" s="97" t="s">
        <v>463</v>
      </c>
      <c r="E600" s="97" t="s">
        <v>1038</v>
      </c>
      <c r="F600" s="105">
        <v>0.255</v>
      </c>
      <c r="G600" s="97" t="s">
        <v>471</v>
      </c>
      <c r="H600" s="5"/>
      <c r="I600"/>
      <c r="J600"/>
      <c r="K600"/>
      <c r="L600"/>
      <c r="M600"/>
      <c r="N600"/>
      <c r="O600"/>
      <c r="P600"/>
      <c r="Q600"/>
      <c r="R600"/>
      <c r="S600"/>
      <c r="T600"/>
      <c r="U600"/>
      <c r="V600"/>
      <c r="W600"/>
      <c r="X600"/>
      <c r="Y600"/>
    </row>
    <row r="601" spans="1:25" s="104" customFormat="1" hidden="1" x14ac:dyDescent="0.25">
      <c r="A601" s="97" t="str">
        <f t="shared" si="9"/>
        <v>N16FFC_POR_vdd_dyn_on</v>
      </c>
      <c r="B601" s="97" t="s">
        <v>73</v>
      </c>
      <c r="C601" s="97" t="s">
        <v>369</v>
      </c>
      <c r="D601" s="97" t="s">
        <v>68</v>
      </c>
      <c r="E601" s="97" t="s">
        <v>1038</v>
      </c>
      <c r="F601" s="97">
        <v>4.8000000000000004E-3</v>
      </c>
      <c r="G601" s="97" t="s">
        <v>566</v>
      </c>
      <c r="H601" s="5"/>
      <c r="I601"/>
      <c r="J601"/>
      <c r="K601"/>
      <c r="L601"/>
      <c r="M601"/>
      <c r="N601"/>
      <c r="O601"/>
      <c r="P601"/>
      <c r="Q601"/>
      <c r="R601"/>
      <c r="S601"/>
      <c r="T601"/>
      <c r="U601"/>
      <c r="V601"/>
      <c r="W601"/>
      <c r="X601"/>
      <c r="Y601"/>
    </row>
    <row r="602" spans="1:25" s="104" customFormat="1" hidden="1" x14ac:dyDescent="0.25">
      <c r="A602" s="97" t="str">
        <f t="shared" si="9"/>
        <v>ABJSTBL5_vdd_dyn_on</v>
      </c>
      <c r="B602" s="98" t="s">
        <v>269</v>
      </c>
      <c r="C602" s="97" t="s">
        <v>369</v>
      </c>
      <c r="D602" s="97" t="s">
        <v>68</v>
      </c>
      <c r="E602" s="97" t="s">
        <v>1038</v>
      </c>
      <c r="F602" s="97">
        <v>0.08</v>
      </c>
      <c r="G602" s="97" t="s">
        <v>267</v>
      </c>
      <c r="H602" s="5"/>
      <c r="I602"/>
      <c r="J602"/>
      <c r="K602"/>
      <c r="L602"/>
      <c r="M602"/>
      <c r="N602"/>
      <c r="O602"/>
      <c r="P602"/>
      <c r="Q602"/>
      <c r="R602"/>
      <c r="S602"/>
      <c r="T602"/>
      <c r="U602"/>
      <c r="V602"/>
      <c r="W602"/>
      <c r="X602"/>
      <c r="Y602"/>
    </row>
    <row r="603" spans="1:25" s="104" customFormat="1" hidden="1" x14ac:dyDescent="0.25">
      <c r="A603" s="97" t="str">
        <f t="shared" si="9"/>
        <v>LVDSTS16LLBI1E_vdd_dyn_aurora</v>
      </c>
      <c r="B603" s="97" t="s">
        <v>81</v>
      </c>
      <c r="C603" s="98" t="s">
        <v>369</v>
      </c>
      <c r="D603" s="97" t="s">
        <v>1036</v>
      </c>
      <c r="E603" s="97" t="s">
        <v>1038</v>
      </c>
      <c r="F603" s="97">
        <f>1.13/10</f>
        <v>0.11299999999999999</v>
      </c>
      <c r="G603" s="97" t="s">
        <v>454</v>
      </c>
      <c r="H603" s="5"/>
      <c r="I603"/>
      <c r="J603"/>
      <c r="K603"/>
      <c r="L603"/>
      <c r="M603"/>
      <c r="N603"/>
      <c r="O603"/>
      <c r="P603"/>
      <c r="Q603"/>
      <c r="R603"/>
      <c r="S603"/>
      <c r="T603"/>
      <c r="U603"/>
      <c r="V603"/>
      <c r="W603"/>
      <c r="X603"/>
      <c r="Y603"/>
    </row>
    <row r="604" spans="1:25" s="104" customFormat="1" hidden="1" x14ac:dyDescent="0.25">
      <c r="A604" s="97" t="str">
        <f t="shared" si="9"/>
        <v>LVDSTS16LLBI1E_vdd_dyn_disabled</v>
      </c>
      <c r="B604" s="97" t="s">
        <v>81</v>
      </c>
      <c r="C604" s="98" t="s">
        <v>369</v>
      </c>
      <c r="D604" s="97" t="s">
        <v>439</v>
      </c>
      <c r="E604" s="97" t="s">
        <v>1038</v>
      </c>
      <c r="F604" s="97">
        <v>0</v>
      </c>
      <c r="G604" s="97" t="s">
        <v>453</v>
      </c>
      <c r="H604" s="5"/>
      <c r="I604"/>
      <c r="J604"/>
      <c r="K604"/>
      <c r="L604"/>
      <c r="M604"/>
      <c r="N604"/>
      <c r="O604"/>
      <c r="P604"/>
      <c r="Q604"/>
      <c r="R604"/>
      <c r="S604"/>
      <c r="T604"/>
      <c r="U604"/>
      <c r="V604"/>
      <c r="W604"/>
      <c r="X604"/>
      <c r="Y604"/>
    </row>
    <row r="605" spans="1:25" s="104" customFormat="1" hidden="1" x14ac:dyDescent="0.25">
      <c r="A605" s="97" t="str">
        <f t="shared" si="9"/>
        <v>LVDSTS16LLBI1E_vdd_dyn_mlb</v>
      </c>
      <c r="B605" s="97" t="s">
        <v>81</v>
      </c>
      <c r="C605" s="98" t="s">
        <v>369</v>
      </c>
      <c r="D605" s="97" t="s">
        <v>449</v>
      </c>
      <c r="E605" s="97" t="s">
        <v>1038</v>
      </c>
      <c r="F605" s="97">
        <f>0.13*3/10</f>
        <v>3.9E-2</v>
      </c>
      <c r="G605" s="97" t="s">
        <v>458</v>
      </c>
      <c r="H605" s="5"/>
      <c r="I605"/>
      <c r="J605"/>
      <c r="K605"/>
      <c r="L605"/>
      <c r="M605"/>
      <c r="N605"/>
      <c r="O605"/>
      <c r="P605"/>
      <c r="Q605"/>
      <c r="R605"/>
      <c r="S605"/>
      <c r="T605"/>
      <c r="U605"/>
      <c r="V605"/>
      <c r="W605"/>
      <c r="X605"/>
      <c r="Y605"/>
    </row>
    <row r="606" spans="1:25" s="104" customFormat="1" hidden="1" x14ac:dyDescent="0.25">
      <c r="A606" s="97" t="str">
        <f t="shared" si="9"/>
        <v>LVDSTS16LLBI1E_vdd_dyn_oldi_dual_18b_modes</v>
      </c>
      <c r="B606" s="97" t="s">
        <v>81</v>
      </c>
      <c r="C606" s="98" t="s">
        <v>369</v>
      </c>
      <c r="D606" s="97" t="s">
        <v>442</v>
      </c>
      <c r="E606" s="97" t="s">
        <v>1038</v>
      </c>
      <c r="F606" s="97">
        <f>1.13/10</f>
        <v>0.11299999999999999</v>
      </c>
      <c r="G606" s="97" t="s">
        <v>454</v>
      </c>
      <c r="H606" s="5"/>
      <c r="I606"/>
      <c r="J606"/>
      <c r="K606"/>
      <c r="L606"/>
      <c r="M606"/>
      <c r="N606"/>
      <c r="O606"/>
      <c r="P606"/>
      <c r="Q606"/>
      <c r="R606"/>
      <c r="S606"/>
      <c r="T606"/>
      <c r="U606"/>
      <c r="V606"/>
      <c r="W606"/>
      <c r="X606"/>
      <c r="Y606"/>
    </row>
    <row r="607" spans="1:25" s="104" customFormat="1" hidden="1" x14ac:dyDescent="0.25">
      <c r="A607" s="97" t="str">
        <f t="shared" si="9"/>
        <v>LVDSTS16LLBI1E_vdd_dyn_oldi_dual_24b_modes</v>
      </c>
      <c r="B607" s="97" t="s">
        <v>81</v>
      </c>
      <c r="C607" s="98" t="s">
        <v>369</v>
      </c>
      <c r="D607" s="97" t="s">
        <v>443</v>
      </c>
      <c r="E607" s="97" t="s">
        <v>1038</v>
      </c>
      <c r="F607" s="97">
        <f>1.37/10</f>
        <v>0.13700000000000001</v>
      </c>
      <c r="G607" s="97" t="s">
        <v>455</v>
      </c>
      <c r="H607" s="5"/>
      <c r="I607"/>
      <c r="J607"/>
      <c r="K607"/>
      <c r="L607"/>
      <c r="M607"/>
      <c r="N607"/>
      <c r="O607"/>
      <c r="P607"/>
      <c r="Q607"/>
      <c r="R607"/>
      <c r="S607"/>
      <c r="T607"/>
      <c r="U607"/>
      <c r="V607"/>
      <c r="W607"/>
      <c r="X607"/>
      <c r="Y607"/>
    </row>
    <row r="608" spans="1:25" s="104" customFormat="1" hidden="1" x14ac:dyDescent="0.25">
      <c r="A608" s="97" t="str">
        <f t="shared" si="9"/>
        <v>LVDSTS16LLBI1E_vdd_dyn_oldi_single_18b_modes</v>
      </c>
      <c r="B608" s="97" t="s">
        <v>81</v>
      </c>
      <c r="C608" s="98" t="s">
        <v>369</v>
      </c>
      <c r="D608" s="97" t="s">
        <v>440</v>
      </c>
      <c r="E608" s="97" t="s">
        <v>1038</v>
      </c>
      <c r="F608" s="97">
        <f>0.66/10</f>
        <v>6.6000000000000003E-2</v>
      </c>
      <c r="G608" s="97" t="s">
        <v>457</v>
      </c>
      <c r="H608" s="5"/>
      <c r="I608"/>
      <c r="J608"/>
      <c r="K608"/>
      <c r="L608"/>
      <c r="M608"/>
      <c r="N608"/>
      <c r="O608"/>
      <c r="P608"/>
      <c r="Q608"/>
      <c r="R608"/>
      <c r="S608"/>
      <c r="T608"/>
      <c r="U608"/>
      <c r="V608"/>
      <c r="W608"/>
      <c r="X608"/>
      <c r="Y608"/>
    </row>
    <row r="609" spans="1:25" s="104" customFormat="1" hidden="1" x14ac:dyDescent="0.25">
      <c r="A609" s="97" t="str">
        <f t="shared" si="9"/>
        <v>LVDSTS16LLBI1E_vdd_dyn_oldi_single_24b_modes</v>
      </c>
      <c r="B609" s="97" t="s">
        <v>81</v>
      </c>
      <c r="C609" s="98" t="s">
        <v>369</v>
      </c>
      <c r="D609" s="97" t="s">
        <v>441</v>
      </c>
      <c r="E609" s="97" t="s">
        <v>1038</v>
      </c>
      <c r="F609" s="97">
        <f>0.8/10</f>
        <v>0.08</v>
      </c>
      <c r="G609" s="97" t="s">
        <v>456</v>
      </c>
      <c r="H609" s="5"/>
      <c r="I609"/>
      <c r="J609"/>
      <c r="K609"/>
      <c r="L609"/>
      <c r="M609"/>
      <c r="N609"/>
      <c r="O609"/>
      <c r="P609"/>
      <c r="Q609"/>
      <c r="R609"/>
      <c r="S609"/>
      <c r="T609"/>
      <c r="U609"/>
      <c r="V609"/>
      <c r="W609"/>
      <c r="X609"/>
      <c r="Y609"/>
    </row>
    <row r="610" spans="1:25" s="104" customFormat="1" hidden="1" x14ac:dyDescent="0.25">
      <c r="A610" s="97" t="str">
        <f t="shared" si="9"/>
        <v>canfd_vdd_dyn_12mbs_1p8v</v>
      </c>
      <c r="B610" s="97" t="s">
        <v>655</v>
      </c>
      <c r="C610" s="97" t="s">
        <v>369</v>
      </c>
      <c r="D610" s="97" t="s">
        <v>660</v>
      </c>
      <c r="E610" s="97" t="s">
        <v>1050</v>
      </c>
      <c r="F610" s="97">
        <v>6.506755199999999E-7</v>
      </c>
      <c r="G610" s="97" t="s">
        <v>629</v>
      </c>
      <c r="H610" s="5"/>
      <c r="I610"/>
      <c r="J610"/>
      <c r="K610"/>
      <c r="L610"/>
      <c r="M610"/>
      <c r="N610"/>
      <c r="O610"/>
      <c r="P610"/>
      <c r="Q610"/>
      <c r="R610"/>
      <c r="S610"/>
      <c r="T610"/>
      <c r="U610"/>
      <c r="V610"/>
      <c r="W610"/>
      <c r="X610"/>
      <c r="Y610"/>
    </row>
    <row r="611" spans="1:25" s="104" customFormat="1" hidden="1" x14ac:dyDescent="0.25">
      <c r="A611" s="97" t="str">
        <f t="shared" si="9"/>
        <v>canfd_vdd_dyn_12mbs_3p3v</v>
      </c>
      <c r="B611" s="97" t="s">
        <v>655</v>
      </c>
      <c r="C611" s="97" t="s">
        <v>369</v>
      </c>
      <c r="D611" s="97" t="s">
        <v>656</v>
      </c>
      <c r="E611" s="97" t="s">
        <v>1050</v>
      </c>
      <c r="F611" s="97">
        <v>6.506755199999999E-7</v>
      </c>
      <c r="G611" s="97" t="s">
        <v>629</v>
      </c>
      <c r="H611" s="5"/>
      <c r="I611"/>
      <c r="J611"/>
      <c r="K611"/>
      <c r="L611"/>
      <c r="M611"/>
      <c r="N611"/>
      <c r="O611"/>
      <c r="P611"/>
      <c r="Q611"/>
      <c r="R611"/>
      <c r="S611"/>
      <c r="T611"/>
      <c r="U611"/>
      <c r="V611"/>
      <c r="W611"/>
      <c r="X611"/>
      <c r="Y611"/>
    </row>
    <row r="612" spans="1:25" s="104" customFormat="1" hidden="1" x14ac:dyDescent="0.25">
      <c r="A612" s="97" t="str">
        <f t="shared" si="9"/>
        <v>canfd_vdd_dyn_1mbs_1p8v</v>
      </c>
      <c r="B612" s="97" t="s">
        <v>655</v>
      </c>
      <c r="C612" s="97" t="s">
        <v>369</v>
      </c>
      <c r="D612" s="97" t="s">
        <v>662</v>
      </c>
      <c r="E612" s="97" t="s">
        <v>1050</v>
      </c>
      <c r="F612" s="97">
        <v>5.4222960000000002E-8</v>
      </c>
      <c r="G612" s="97" t="s">
        <v>629</v>
      </c>
      <c r="H612" s="5"/>
      <c r="I612"/>
      <c r="J612"/>
      <c r="K612"/>
      <c r="L612"/>
      <c r="M612"/>
      <c r="N612"/>
      <c r="O612"/>
      <c r="P612"/>
      <c r="Q612"/>
      <c r="R612"/>
      <c r="S612"/>
      <c r="T612"/>
      <c r="U612"/>
      <c r="V612"/>
      <c r="W612"/>
      <c r="X612"/>
      <c r="Y612"/>
    </row>
    <row r="613" spans="1:25" s="104" customFormat="1" hidden="1" x14ac:dyDescent="0.25">
      <c r="A613" s="97" t="str">
        <f t="shared" si="9"/>
        <v>canfd_vdd_dyn_1mbs_3p3v</v>
      </c>
      <c r="B613" s="97" t="s">
        <v>655</v>
      </c>
      <c r="C613" s="97" t="s">
        <v>369</v>
      </c>
      <c r="D613" s="97" t="s">
        <v>658</v>
      </c>
      <c r="E613" s="97" t="s">
        <v>1050</v>
      </c>
      <c r="F613" s="97">
        <v>5.4222960000000002E-8</v>
      </c>
      <c r="G613" s="97" t="s">
        <v>629</v>
      </c>
      <c r="H613" s="5"/>
      <c r="I613"/>
      <c r="J613"/>
      <c r="K613"/>
      <c r="L613"/>
      <c r="M613"/>
      <c r="N613"/>
      <c r="O613"/>
      <c r="P613"/>
      <c r="Q613"/>
      <c r="R613"/>
      <c r="S613"/>
      <c r="T613"/>
      <c r="U613"/>
      <c r="V613"/>
      <c r="W613"/>
      <c r="X613"/>
      <c r="Y613"/>
    </row>
    <row r="614" spans="1:25" s="104" customFormat="1" hidden="1" x14ac:dyDescent="0.25">
      <c r="A614" s="97" t="str">
        <f t="shared" si="9"/>
        <v>canfd_vdd_dyn_250kbs_1p8v</v>
      </c>
      <c r="B614" s="97" t="s">
        <v>655</v>
      </c>
      <c r="C614" s="97" t="s">
        <v>369</v>
      </c>
      <c r="D614" s="97" t="s">
        <v>663</v>
      </c>
      <c r="E614" s="97" t="s">
        <v>1050</v>
      </c>
      <c r="F614" s="97">
        <v>1.3555740000000001E-8</v>
      </c>
      <c r="G614" s="97" t="s">
        <v>629</v>
      </c>
      <c r="H614" s="5"/>
      <c r="I614"/>
      <c r="J614"/>
      <c r="K614"/>
      <c r="L614"/>
      <c r="M614"/>
      <c r="N614"/>
      <c r="O614"/>
      <c r="P614"/>
      <c r="Q614"/>
      <c r="R614"/>
      <c r="S614"/>
      <c r="T614"/>
      <c r="U614"/>
      <c r="V614"/>
      <c r="W614"/>
      <c r="X614"/>
      <c r="Y614"/>
    </row>
    <row r="615" spans="1:25" s="104" customFormat="1" hidden="1" x14ac:dyDescent="0.25">
      <c r="A615" s="97" t="str">
        <f t="shared" si="9"/>
        <v>canfd_vdd_dyn_250kbs_3p3v</v>
      </c>
      <c r="B615" s="97" t="s">
        <v>655</v>
      </c>
      <c r="C615" s="97" t="s">
        <v>369</v>
      </c>
      <c r="D615" s="97" t="s">
        <v>659</v>
      </c>
      <c r="E615" s="97" t="s">
        <v>1050</v>
      </c>
      <c r="F615" s="97">
        <v>1.3555740000000001E-8</v>
      </c>
      <c r="G615" s="97" t="s">
        <v>629</v>
      </c>
      <c r="H615" s="5"/>
      <c r="I615"/>
      <c r="J615"/>
      <c r="K615"/>
      <c r="L615"/>
      <c r="M615"/>
      <c r="N615"/>
      <c r="O615"/>
      <c r="P615"/>
      <c r="Q615"/>
      <c r="R615"/>
      <c r="S615"/>
      <c r="T615"/>
      <c r="U615"/>
      <c r="V615"/>
      <c r="W615"/>
      <c r="X615"/>
      <c r="Y615"/>
    </row>
    <row r="616" spans="1:25" s="104" customFormat="1" hidden="1" x14ac:dyDescent="0.25">
      <c r="A616" s="97" t="str">
        <f t="shared" si="9"/>
        <v>canfd_vdd_dyn_5mbs_1p8v</v>
      </c>
      <c r="B616" s="97" t="s">
        <v>655</v>
      </c>
      <c r="C616" s="97" t="s">
        <v>369</v>
      </c>
      <c r="D616" s="97" t="s">
        <v>661</v>
      </c>
      <c r="E616" s="97" t="s">
        <v>1050</v>
      </c>
      <c r="F616" s="97">
        <v>2.7111479999999994E-7</v>
      </c>
      <c r="G616" s="97" t="s">
        <v>629</v>
      </c>
      <c r="H616" s="5"/>
      <c r="I616"/>
      <c r="J616"/>
      <c r="K616"/>
      <c r="L616"/>
      <c r="M616"/>
      <c r="N616"/>
      <c r="O616"/>
      <c r="P616"/>
      <c r="Q616"/>
      <c r="R616"/>
      <c r="S616"/>
      <c r="T616"/>
      <c r="U616"/>
      <c r="V616"/>
      <c r="W616"/>
      <c r="X616"/>
      <c r="Y616"/>
    </row>
    <row r="617" spans="1:25" s="104" customFormat="1" hidden="1" x14ac:dyDescent="0.25">
      <c r="A617" s="97" t="str">
        <f t="shared" si="9"/>
        <v>canfd_vdd_dyn_5mbs_3p3v</v>
      </c>
      <c r="B617" s="97" t="s">
        <v>655</v>
      </c>
      <c r="C617" s="97" t="s">
        <v>369</v>
      </c>
      <c r="D617" s="97" t="s">
        <v>657</v>
      </c>
      <c r="E617" s="97" t="s">
        <v>1050</v>
      </c>
      <c r="F617" s="97">
        <v>2.7111479999999994E-7</v>
      </c>
      <c r="G617" s="97" t="s">
        <v>629</v>
      </c>
      <c r="H617" s="5"/>
      <c r="I617"/>
      <c r="J617"/>
      <c r="K617"/>
      <c r="L617"/>
      <c r="M617"/>
      <c r="N617"/>
      <c r="O617"/>
      <c r="P617"/>
      <c r="Q617"/>
      <c r="R617"/>
      <c r="S617"/>
      <c r="T617"/>
      <c r="U617"/>
      <c r="V617"/>
      <c r="W617"/>
      <c r="X617"/>
      <c r="Y617"/>
    </row>
    <row r="618" spans="1:25" s="104" customFormat="1" hidden="1" x14ac:dyDescent="0.25">
      <c r="A618" s="97" t="str">
        <f t="shared" si="9"/>
        <v>canfd_vdd_dyn_8mbs_1p8v</v>
      </c>
      <c r="B618" s="97" t="s">
        <v>655</v>
      </c>
      <c r="C618" s="97" t="s">
        <v>369</v>
      </c>
      <c r="D618" s="97" t="s">
        <v>1201</v>
      </c>
      <c r="E618" s="97" t="s">
        <v>1050</v>
      </c>
      <c r="F618" s="97">
        <v>4.3378368000000002E-7</v>
      </c>
      <c r="G618" s="97" t="s">
        <v>629</v>
      </c>
      <c r="H618" s="5"/>
      <c r="I618"/>
      <c r="J618"/>
      <c r="K618"/>
      <c r="L618"/>
      <c r="M618"/>
      <c r="N618"/>
      <c r="O618"/>
      <c r="P618"/>
      <c r="Q618"/>
      <c r="R618"/>
      <c r="S618"/>
      <c r="T618"/>
      <c r="U618"/>
      <c r="V618"/>
      <c r="W618"/>
      <c r="X618"/>
      <c r="Y618"/>
    </row>
    <row r="619" spans="1:25" s="104" customFormat="1" hidden="1" x14ac:dyDescent="0.25">
      <c r="A619" s="97" t="str">
        <f t="shared" si="9"/>
        <v>canfd_vdd_dyn_8mbs_3p3v</v>
      </c>
      <c r="B619" s="97" t="s">
        <v>655</v>
      </c>
      <c r="C619" s="97" t="s">
        <v>369</v>
      </c>
      <c r="D619" s="97" t="s">
        <v>1202</v>
      </c>
      <c r="E619" s="97" t="s">
        <v>1050</v>
      </c>
      <c r="F619" s="97">
        <v>4.3378368000000002E-7</v>
      </c>
      <c r="G619" s="97" t="s">
        <v>629</v>
      </c>
      <c r="H619" s="5"/>
      <c r="I619"/>
      <c r="J619"/>
      <c r="K619"/>
      <c r="L619"/>
      <c r="M619"/>
      <c r="N619"/>
      <c r="O619"/>
      <c r="P619"/>
      <c r="Q619"/>
      <c r="R619"/>
      <c r="S619"/>
      <c r="T619"/>
      <c r="U619"/>
      <c r="V619"/>
      <c r="W619"/>
      <c r="X619"/>
      <c r="Y619"/>
    </row>
    <row r="620" spans="1:25" s="104" customFormat="1" hidden="1" x14ac:dyDescent="0.25">
      <c r="A620" s="97" t="str">
        <f t="shared" si="9"/>
        <v>canfd_vdd_dyn_off</v>
      </c>
      <c r="B620" s="97" t="s">
        <v>655</v>
      </c>
      <c r="C620" s="97" t="s">
        <v>369</v>
      </c>
      <c r="D620" s="97" t="s">
        <v>69</v>
      </c>
      <c r="E620" s="97" t="s">
        <v>1050</v>
      </c>
      <c r="F620" s="97">
        <v>0</v>
      </c>
      <c r="G620" s="97" t="s">
        <v>629</v>
      </c>
      <c r="H620" s="5"/>
      <c r="I620"/>
      <c r="J620"/>
      <c r="K620"/>
      <c r="L620"/>
      <c r="M620"/>
      <c r="N620"/>
      <c r="O620"/>
      <c r="P620"/>
      <c r="Q620"/>
      <c r="R620"/>
      <c r="S620"/>
      <c r="T620"/>
      <c r="U620"/>
      <c r="V620"/>
      <c r="W620"/>
      <c r="X620"/>
      <c r="Y620"/>
    </row>
    <row r="621" spans="1:25" s="104" customFormat="1" hidden="1" x14ac:dyDescent="0.25">
      <c r="A621" s="97" t="str">
        <f t="shared" ref="A621:A684" si="10">B621&amp;"_"&amp;C621&amp;"_"&amp;D621</f>
        <v>gpmc_vdd_dyn_16b_100_MHz_1p8V</v>
      </c>
      <c r="B621" s="97" t="s">
        <v>653</v>
      </c>
      <c r="C621" s="97" t="s">
        <v>369</v>
      </c>
      <c r="D621" s="107" t="s">
        <v>671</v>
      </c>
      <c r="E621" s="97" t="s">
        <v>1050</v>
      </c>
      <c r="F621" s="105">
        <v>5.4923783682239995E-5</v>
      </c>
      <c r="G621" s="97" t="s">
        <v>629</v>
      </c>
      <c r="H621" s="5"/>
      <c r="I621"/>
      <c r="J621"/>
      <c r="K621"/>
      <c r="L621"/>
      <c r="M621"/>
      <c r="N621"/>
      <c r="O621"/>
      <c r="P621"/>
      <c r="Q621"/>
      <c r="R621"/>
      <c r="S621"/>
      <c r="T621"/>
      <c r="U621"/>
      <c r="V621"/>
      <c r="W621"/>
      <c r="X621"/>
      <c r="Y621"/>
    </row>
    <row r="622" spans="1:25" s="104" customFormat="1" hidden="1" x14ac:dyDescent="0.25">
      <c r="A622" s="97" t="str">
        <f t="shared" si="10"/>
        <v>gpmc_vdd_dyn_16b_100_MHz_3p3V</v>
      </c>
      <c r="B622" s="97" t="s">
        <v>653</v>
      </c>
      <c r="C622" s="97" t="s">
        <v>369</v>
      </c>
      <c r="D622" s="107" t="s">
        <v>679</v>
      </c>
      <c r="E622" s="97" t="s">
        <v>1050</v>
      </c>
      <c r="F622" s="105">
        <v>5.4923783682239995E-5</v>
      </c>
      <c r="G622" s="97" t="s">
        <v>629</v>
      </c>
      <c r="H622" s="5"/>
      <c r="I622"/>
      <c r="J622"/>
      <c r="K622"/>
      <c r="L622"/>
      <c r="M622"/>
      <c r="N622"/>
      <c r="O622"/>
      <c r="P622"/>
      <c r="Q622"/>
      <c r="R622"/>
      <c r="S622"/>
      <c r="T622"/>
      <c r="U622"/>
      <c r="V622"/>
      <c r="W622"/>
      <c r="X622"/>
      <c r="Y622"/>
    </row>
    <row r="623" spans="1:25" s="104" customFormat="1" hidden="1" x14ac:dyDescent="0.25">
      <c r="A623" s="97" t="str">
        <f t="shared" si="10"/>
        <v>gpmc_vdd_dyn_16b_133_MHz_1p8V</v>
      </c>
      <c r="B623" s="97" t="s">
        <v>653</v>
      </c>
      <c r="C623" s="97" t="s">
        <v>369</v>
      </c>
      <c r="D623" s="107" t="s">
        <v>670</v>
      </c>
      <c r="E623" s="97" t="s">
        <v>1050</v>
      </c>
      <c r="F623" s="105">
        <v>7.3048632297379205E-5</v>
      </c>
      <c r="G623" s="97" t="s">
        <v>629</v>
      </c>
      <c r="H623" s="5"/>
      <c r="I623"/>
      <c r="J623"/>
      <c r="K623"/>
      <c r="L623"/>
      <c r="M623"/>
      <c r="N623"/>
      <c r="O623"/>
      <c r="P623"/>
      <c r="Q623"/>
      <c r="R623"/>
      <c r="S623"/>
      <c r="T623"/>
      <c r="U623"/>
      <c r="V623"/>
      <c r="W623"/>
      <c r="X623"/>
      <c r="Y623"/>
    </row>
    <row r="624" spans="1:25" s="104" customFormat="1" hidden="1" x14ac:dyDescent="0.25">
      <c r="A624" s="97" t="str">
        <f t="shared" si="10"/>
        <v>gpmc_vdd_dyn_16b_133_MHz_3p3V</v>
      </c>
      <c r="B624" s="97" t="s">
        <v>653</v>
      </c>
      <c r="C624" s="97" t="s">
        <v>369</v>
      </c>
      <c r="D624" s="107" t="s">
        <v>678</v>
      </c>
      <c r="E624" s="97" t="s">
        <v>1050</v>
      </c>
      <c r="F624" s="105">
        <v>7.3048632297379205E-5</v>
      </c>
      <c r="G624" s="97" t="s">
        <v>629</v>
      </c>
      <c r="H624" s="5"/>
      <c r="I624"/>
      <c r="J624"/>
      <c r="K624"/>
      <c r="L624"/>
      <c r="M624"/>
      <c r="N624"/>
      <c r="O624"/>
      <c r="P624"/>
      <c r="Q624"/>
      <c r="R624"/>
      <c r="S624"/>
      <c r="T624"/>
      <c r="U624"/>
      <c r="V624"/>
      <c r="W624"/>
      <c r="X624"/>
      <c r="Y624"/>
    </row>
    <row r="625" spans="1:25" s="104" customFormat="1" hidden="1" x14ac:dyDescent="0.25">
      <c r="A625" s="97" t="str">
        <f t="shared" si="10"/>
        <v>gpmc_vdd_dyn_16b_80_MHz_1p8V</v>
      </c>
      <c r="B625" s="97" t="s">
        <v>653</v>
      </c>
      <c r="C625" s="97" t="s">
        <v>369</v>
      </c>
      <c r="D625" s="107" t="s">
        <v>672</v>
      </c>
      <c r="E625" s="97" t="s">
        <v>1050</v>
      </c>
      <c r="F625" s="105">
        <v>4.3939026945792E-5</v>
      </c>
      <c r="G625" s="97" t="s">
        <v>629</v>
      </c>
      <c r="H625" s="5"/>
      <c r="I625"/>
      <c r="J625"/>
      <c r="K625"/>
      <c r="L625"/>
      <c r="M625"/>
      <c r="N625"/>
      <c r="O625"/>
      <c r="P625"/>
      <c r="Q625"/>
      <c r="R625"/>
      <c r="S625"/>
      <c r="T625"/>
      <c r="U625"/>
      <c r="V625"/>
      <c r="W625"/>
      <c r="X625"/>
      <c r="Y625"/>
    </row>
    <row r="626" spans="1:25" s="104" customFormat="1" hidden="1" x14ac:dyDescent="0.25">
      <c r="A626" s="97" t="str">
        <f t="shared" si="10"/>
        <v>gpmc_vdd_dyn_16b_80_MHz_3p3V</v>
      </c>
      <c r="B626" s="97" t="s">
        <v>653</v>
      </c>
      <c r="C626" s="97" t="s">
        <v>369</v>
      </c>
      <c r="D626" s="107" t="s">
        <v>680</v>
      </c>
      <c r="E626" s="97" t="s">
        <v>1050</v>
      </c>
      <c r="F626" s="105">
        <v>4.3939026945792E-5</v>
      </c>
      <c r="G626" s="97" t="s">
        <v>629</v>
      </c>
      <c r="H626" s="5"/>
      <c r="I626"/>
      <c r="J626"/>
      <c r="K626"/>
      <c r="L626"/>
      <c r="M626"/>
      <c r="N626"/>
      <c r="O626"/>
      <c r="P626"/>
      <c r="Q626"/>
      <c r="R626"/>
      <c r="S626"/>
      <c r="T626"/>
      <c r="U626"/>
      <c r="V626"/>
      <c r="W626"/>
      <c r="X626"/>
      <c r="Y626"/>
    </row>
    <row r="627" spans="1:25" s="104" customFormat="1" hidden="1" x14ac:dyDescent="0.25">
      <c r="A627" s="97" t="str">
        <f t="shared" si="10"/>
        <v>gpmc_vdd_dyn_off</v>
      </c>
      <c r="B627" s="97" t="s">
        <v>653</v>
      </c>
      <c r="C627" s="97" t="s">
        <v>369</v>
      </c>
      <c r="D627" s="107" t="s">
        <v>69</v>
      </c>
      <c r="E627" s="97" t="s">
        <v>1050</v>
      </c>
      <c r="F627" s="105">
        <v>0</v>
      </c>
      <c r="G627" s="97" t="s">
        <v>629</v>
      </c>
      <c r="H627" s="5"/>
      <c r="I627"/>
      <c r="J627"/>
      <c r="K627"/>
      <c r="L627"/>
      <c r="M627"/>
      <c r="N627"/>
      <c r="O627"/>
      <c r="P627"/>
      <c r="Q627"/>
      <c r="R627"/>
      <c r="S627"/>
      <c r="T627"/>
      <c r="U627"/>
      <c r="V627"/>
      <c r="W627"/>
      <c r="X627"/>
      <c r="Y627"/>
    </row>
    <row r="628" spans="1:25" s="104" customFormat="1" hidden="1" x14ac:dyDescent="0.25">
      <c r="A628" s="97" t="str">
        <f t="shared" si="10"/>
        <v>mcasp_vdd_dyn_12Ch_RXTX_48_ksps_24b_1p8v</v>
      </c>
      <c r="B628" s="97" t="s">
        <v>874</v>
      </c>
      <c r="C628" s="97" t="s">
        <v>369</v>
      </c>
      <c r="D628" s="97" t="s">
        <v>870</v>
      </c>
      <c r="E628" s="97" t="s">
        <v>1050</v>
      </c>
      <c r="F628" s="97">
        <v>6.1680716697599998E-7</v>
      </c>
      <c r="G628" s="97" t="s">
        <v>629</v>
      </c>
      <c r="H628" s="5"/>
      <c r="I628"/>
      <c r="J628"/>
      <c r="K628"/>
      <c r="L628"/>
      <c r="M628"/>
      <c r="N628"/>
      <c r="O628"/>
      <c r="P628"/>
      <c r="Q628"/>
      <c r="R628"/>
      <c r="S628"/>
      <c r="T628"/>
      <c r="U628"/>
      <c r="V628"/>
      <c r="W628"/>
      <c r="X628"/>
      <c r="Y628"/>
    </row>
    <row r="629" spans="1:25" s="104" customFormat="1" hidden="1" x14ac:dyDescent="0.25">
      <c r="A629" s="97" t="str">
        <f t="shared" si="10"/>
        <v>mcasp_vdd_dyn_12Ch_RXTX_48_ksps_24b_3p3v</v>
      </c>
      <c r="B629" s="97" t="s">
        <v>874</v>
      </c>
      <c r="C629" s="97" t="s">
        <v>369</v>
      </c>
      <c r="D629" s="97" t="s">
        <v>857</v>
      </c>
      <c r="E629" s="97" t="s">
        <v>1050</v>
      </c>
      <c r="F629" s="97">
        <v>6.1680716697599998E-7</v>
      </c>
      <c r="G629" s="97" t="s">
        <v>629</v>
      </c>
      <c r="H629" s="5"/>
      <c r="I629"/>
      <c r="J629"/>
      <c r="K629"/>
      <c r="L629"/>
      <c r="M629"/>
      <c r="N629"/>
      <c r="O629"/>
      <c r="P629"/>
      <c r="Q629"/>
      <c r="R629"/>
      <c r="S629"/>
      <c r="T629"/>
      <c r="U629"/>
      <c r="V629"/>
      <c r="W629"/>
      <c r="X629"/>
      <c r="Y629"/>
    </row>
    <row r="630" spans="1:25" s="104" customFormat="1" hidden="1" x14ac:dyDescent="0.25">
      <c r="A630" s="97" t="str">
        <f t="shared" si="10"/>
        <v>mcasp_vdd_dyn_12Ch_TX_48_ksps_24b_1p8v</v>
      </c>
      <c r="B630" s="97" t="s">
        <v>874</v>
      </c>
      <c r="C630" s="97" t="s">
        <v>369</v>
      </c>
      <c r="D630" s="97" t="s">
        <v>865</v>
      </c>
      <c r="E630" s="97" t="s">
        <v>1050</v>
      </c>
      <c r="F630" s="97">
        <v>5.3188155187199992E-7</v>
      </c>
      <c r="G630" s="97" t="s">
        <v>629</v>
      </c>
      <c r="H630" s="5"/>
      <c r="I630"/>
      <c r="J630"/>
      <c r="K630"/>
      <c r="L630"/>
      <c r="M630"/>
      <c r="N630"/>
      <c r="O630"/>
      <c r="P630"/>
      <c r="Q630"/>
      <c r="R630"/>
      <c r="S630"/>
      <c r="T630"/>
      <c r="U630"/>
      <c r="V630"/>
      <c r="W630"/>
      <c r="X630"/>
      <c r="Y630"/>
    </row>
    <row r="631" spans="1:25" s="104" customFormat="1" hidden="1" x14ac:dyDescent="0.25">
      <c r="A631" s="97" t="str">
        <f t="shared" si="10"/>
        <v>mcasp_vdd_dyn_12Ch_TX_48_ksps_24b_3p3v</v>
      </c>
      <c r="B631" s="97" t="s">
        <v>874</v>
      </c>
      <c r="C631" s="97" t="s">
        <v>369</v>
      </c>
      <c r="D631" s="97" t="s">
        <v>852</v>
      </c>
      <c r="E631" s="97" t="s">
        <v>1050</v>
      </c>
      <c r="F631" s="97">
        <v>5.3188155187199992E-7</v>
      </c>
      <c r="G631" s="97" t="s">
        <v>629</v>
      </c>
      <c r="H631" s="5"/>
      <c r="I631"/>
      <c r="J631"/>
      <c r="K631"/>
      <c r="L631"/>
      <c r="M631"/>
      <c r="N631"/>
      <c r="O631"/>
      <c r="P631"/>
      <c r="Q631"/>
      <c r="R631"/>
      <c r="S631"/>
      <c r="T631"/>
      <c r="U631"/>
      <c r="V631"/>
      <c r="W631"/>
      <c r="X631"/>
      <c r="Y631"/>
    </row>
    <row r="632" spans="1:25" s="104" customFormat="1" hidden="1" x14ac:dyDescent="0.25">
      <c r="A632" s="97" t="str">
        <f t="shared" si="10"/>
        <v>mcasp_vdd_dyn_16Ch_RXTX_48ksps_24b_1p8v</v>
      </c>
      <c r="B632" s="97" t="s">
        <v>874</v>
      </c>
      <c r="C632" s="97" t="s">
        <v>369</v>
      </c>
      <c r="D632" s="97" t="s">
        <v>869</v>
      </c>
      <c r="E632" s="97" t="s">
        <v>1050</v>
      </c>
      <c r="F632" s="97">
        <v>7.3376263065599995E-7</v>
      </c>
      <c r="G632" s="97" t="s">
        <v>629</v>
      </c>
      <c r="H632" s="5"/>
      <c r="I632"/>
      <c r="J632"/>
      <c r="K632"/>
      <c r="L632"/>
      <c r="M632"/>
      <c r="N632"/>
      <c r="O632"/>
      <c r="P632"/>
      <c r="Q632"/>
      <c r="R632"/>
      <c r="S632"/>
      <c r="T632"/>
      <c r="U632"/>
      <c r="V632"/>
      <c r="W632"/>
      <c r="X632"/>
      <c r="Y632"/>
    </row>
    <row r="633" spans="1:25" s="104" customFormat="1" hidden="1" x14ac:dyDescent="0.25">
      <c r="A633" s="97" t="str">
        <f t="shared" si="10"/>
        <v>mcasp_vdd_dyn_16Ch_RXTX_48ksps_24b_3p3v</v>
      </c>
      <c r="B633" s="97" t="s">
        <v>874</v>
      </c>
      <c r="C633" s="97" t="s">
        <v>369</v>
      </c>
      <c r="D633" s="97" t="s">
        <v>856</v>
      </c>
      <c r="E633" s="97" t="s">
        <v>1050</v>
      </c>
      <c r="F633" s="97">
        <v>7.3376263065599995E-7</v>
      </c>
      <c r="G633" s="97" t="s">
        <v>629</v>
      </c>
      <c r="H633" s="5"/>
      <c r="I633"/>
      <c r="J633"/>
      <c r="K633"/>
      <c r="L633"/>
      <c r="M633"/>
      <c r="N633"/>
      <c r="O633"/>
      <c r="P633"/>
      <c r="Q633"/>
      <c r="R633"/>
      <c r="S633"/>
      <c r="T633"/>
      <c r="U633"/>
      <c r="V633"/>
      <c r="W633"/>
      <c r="X633"/>
      <c r="Y633"/>
    </row>
    <row r="634" spans="1:25" s="104" customFormat="1" hidden="1" x14ac:dyDescent="0.25">
      <c r="A634" s="97" t="str">
        <f t="shared" si="10"/>
        <v>mcasp_vdd_dyn_16Ch_TX_48_ksps_24b_1p8v</v>
      </c>
      <c r="B634" s="97" t="s">
        <v>874</v>
      </c>
      <c r="C634" s="97" t="s">
        <v>369</v>
      </c>
      <c r="D634" s="97" t="s">
        <v>864</v>
      </c>
      <c r="E634" s="97" t="s">
        <v>1050</v>
      </c>
      <c r="F634" s="97">
        <v>6.6485193983999984E-7</v>
      </c>
      <c r="G634" s="97" t="s">
        <v>629</v>
      </c>
      <c r="H634" s="5"/>
      <c r="I634"/>
      <c r="J634"/>
      <c r="K634"/>
      <c r="L634"/>
      <c r="M634"/>
      <c r="N634"/>
      <c r="O634"/>
      <c r="P634"/>
      <c r="Q634"/>
      <c r="R634"/>
      <c r="S634"/>
      <c r="T634"/>
      <c r="U634"/>
      <c r="V634"/>
      <c r="W634"/>
      <c r="X634"/>
      <c r="Y634"/>
    </row>
    <row r="635" spans="1:25" s="104" customFormat="1" hidden="1" x14ac:dyDescent="0.25">
      <c r="A635" s="97" t="str">
        <f t="shared" si="10"/>
        <v>mcasp_vdd_dyn_16Ch_TX_48_ksps_24b_3p3v</v>
      </c>
      <c r="B635" s="97" t="s">
        <v>874</v>
      </c>
      <c r="C635" s="97" t="s">
        <v>369</v>
      </c>
      <c r="D635" s="97" t="s">
        <v>851</v>
      </c>
      <c r="E635" s="97" t="s">
        <v>1050</v>
      </c>
      <c r="F635" s="97">
        <v>6.6485193983999984E-7</v>
      </c>
      <c r="G635" s="97" t="s">
        <v>629</v>
      </c>
      <c r="H635" s="5"/>
      <c r="I635"/>
      <c r="J635"/>
      <c r="K635"/>
      <c r="L635"/>
      <c r="M635"/>
      <c r="N635"/>
      <c r="O635"/>
      <c r="P635"/>
      <c r="Q635"/>
      <c r="R635"/>
      <c r="S635"/>
      <c r="T635"/>
      <c r="U635"/>
      <c r="V635"/>
      <c r="W635"/>
      <c r="X635"/>
      <c r="Y635"/>
    </row>
    <row r="636" spans="1:25" s="104" customFormat="1" hidden="1" x14ac:dyDescent="0.25">
      <c r="A636" s="97" t="str">
        <f t="shared" si="10"/>
        <v>mcasp_vdd_dyn_2Ch_RX_48_ksps_24b_1p8v</v>
      </c>
      <c r="B636" s="97" t="s">
        <v>874</v>
      </c>
      <c r="C636" s="97" t="s">
        <v>369</v>
      </c>
      <c r="D636" s="97" t="s">
        <v>863</v>
      </c>
      <c r="E636" s="97" t="s">
        <v>1050</v>
      </c>
      <c r="F636" s="97">
        <v>1.6220925388799997E-7</v>
      </c>
      <c r="G636" s="97" t="s">
        <v>629</v>
      </c>
      <c r="H636" s="5"/>
      <c r="I636"/>
      <c r="J636"/>
      <c r="K636"/>
      <c r="L636"/>
      <c r="M636"/>
      <c r="N636"/>
      <c r="O636"/>
      <c r="P636"/>
      <c r="Q636"/>
      <c r="R636"/>
      <c r="S636"/>
      <c r="T636"/>
      <c r="U636"/>
      <c r="V636"/>
      <c r="W636"/>
      <c r="X636"/>
      <c r="Y636"/>
    </row>
    <row r="637" spans="1:25" s="104" customFormat="1" hidden="1" x14ac:dyDescent="0.25">
      <c r="A637" s="97" t="str">
        <f t="shared" si="10"/>
        <v>mcasp_vdd_dyn_2Ch_RX_48_ksps_24b_3p3v</v>
      </c>
      <c r="B637" s="97" t="s">
        <v>874</v>
      </c>
      <c r="C637" s="97" t="s">
        <v>369</v>
      </c>
      <c r="D637" s="97" t="s">
        <v>850</v>
      </c>
      <c r="E637" s="97" t="s">
        <v>1050</v>
      </c>
      <c r="F637" s="97">
        <v>1.6220925388799997E-7</v>
      </c>
      <c r="G637" s="97" t="s">
        <v>629</v>
      </c>
      <c r="H637" s="5"/>
      <c r="I637"/>
      <c r="J637"/>
      <c r="K637"/>
      <c r="L637"/>
      <c r="M637"/>
      <c r="N637"/>
      <c r="O637"/>
      <c r="P637"/>
      <c r="Q637"/>
      <c r="R637"/>
      <c r="S637"/>
      <c r="T637"/>
      <c r="U637"/>
      <c r="V637"/>
      <c r="W637"/>
      <c r="X637"/>
      <c r="Y637"/>
    </row>
    <row r="638" spans="1:25" s="104" customFormat="1" hidden="1" x14ac:dyDescent="0.25">
      <c r="A638" s="97" t="str">
        <f t="shared" si="10"/>
        <v>mcasp_vdd_dyn_2Ch_RXTX_48_ksps_24b_1p8v</v>
      </c>
      <c r="B638" s="97" t="s">
        <v>874</v>
      </c>
      <c r="C638" s="97" t="s">
        <v>369</v>
      </c>
      <c r="D638" s="97" t="s">
        <v>873</v>
      </c>
      <c r="E638" s="97" t="s">
        <v>1050</v>
      </c>
      <c r="F638" s="97">
        <v>3.2441850777599994E-7</v>
      </c>
      <c r="G638" s="97" t="s">
        <v>629</v>
      </c>
      <c r="H638" s="5"/>
      <c r="I638"/>
      <c r="J638"/>
      <c r="K638"/>
      <c r="L638"/>
      <c r="M638"/>
      <c r="N638"/>
      <c r="O638"/>
      <c r="P638"/>
      <c r="Q638"/>
      <c r="R638"/>
      <c r="S638"/>
      <c r="T638"/>
      <c r="U638"/>
      <c r="V638"/>
      <c r="W638"/>
      <c r="X638"/>
      <c r="Y638"/>
    </row>
    <row r="639" spans="1:25" s="104" customFormat="1" hidden="1" x14ac:dyDescent="0.25">
      <c r="A639" s="97" t="str">
        <f t="shared" si="10"/>
        <v>mcasp_vdd_dyn_2Ch_RXTX_48_ksps_24b_3p3v</v>
      </c>
      <c r="B639" s="97" t="s">
        <v>874</v>
      </c>
      <c r="C639" s="97" t="s">
        <v>369</v>
      </c>
      <c r="D639" s="97" t="s">
        <v>860</v>
      </c>
      <c r="E639" s="97" t="s">
        <v>1050</v>
      </c>
      <c r="F639" s="97">
        <v>3.2441850777599994E-7</v>
      </c>
      <c r="G639" s="97" t="s">
        <v>629</v>
      </c>
      <c r="H639" s="5"/>
      <c r="I639"/>
      <c r="J639"/>
      <c r="K639"/>
      <c r="L639"/>
      <c r="M639"/>
      <c r="N639"/>
      <c r="O639"/>
      <c r="P639"/>
      <c r="Q639"/>
      <c r="R639"/>
      <c r="S639"/>
      <c r="T639"/>
      <c r="U639"/>
      <c r="V639"/>
      <c r="W639"/>
      <c r="X639"/>
      <c r="Y639"/>
    </row>
    <row r="640" spans="1:25" s="104" customFormat="1" hidden="1" x14ac:dyDescent="0.25">
      <c r="A640" s="97" t="str">
        <f t="shared" si="10"/>
        <v>mcasp_vdd_dyn_2Ch_TX_48_ksps_24b_1p8v</v>
      </c>
      <c r="B640" s="97" t="s">
        <v>874</v>
      </c>
      <c r="C640" s="97" t="s">
        <v>369</v>
      </c>
      <c r="D640" s="97" t="s">
        <v>868</v>
      </c>
      <c r="E640" s="97" t="s">
        <v>1050</v>
      </c>
      <c r="F640" s="97">
        <v>3.9891116390399999E-7</v>
      </c>
      <c r="G640" s="97" t="s">
        <v>629</v>
      </c>
      <c r="H640" s="5"/>
      <c r="I640"/>
      <c r="J640"/>
      <c r="K640"/>
      <c r="L640"/>
      <c r="M640"/>
      <c r="N640"/>
      <c r="O640"/>
      <c r="P640"/>
      <c r="Q640"/>
      <c r="R640"/>
      <c r="S640"/>
      <c r="T640"/>
      <c r="U640"/>
      <c r="V640"/>
      <c r="W640"/>
      <c r="X640"/>
      <c r="Y640"/>
    </row>
    <row r="641" spans="1:25" s="104" customFormat="1" hidden="1" x14ac:dyDescent="0.25">
      <c r="A641" s="97" t="str">
        <f t="shared" si="10"/>
        <v>mcasp_vdd_dyn_2Ch_TX_48_ksps_24b_3p3v</v>
      </c>
      <c r="B641" s="97" t="s">
        <v>874</v>
      </c>
      <c r="C641" s="97" t="s">
        <v>369</v>
      </c>
      <c r="D641" s="97" t="s">
        <v>855</v>
      </c>
      <c r="E641" s="97" t="s">
        <v>1050</v>
      </c>
      <c r="F641" s="97">
        <v>3.9891116390399999E-7</v>
      </c>
      <c r="G641" s="97" t="s">
        <v>629</v>
      </c>
      <c r="H641" s="5"/>
      <c r="I641"/>
      <c r="J641"/>
      <c r="K641"/>
      <c r="L641"/>
      <c r="M641"/>
      <c r="N641"/>
      <c r="O641"/>
      <c r="P641"/>
      <c r="Q641"/>
      <c r="R641"/>
      <c r="S641"/>
      <c r="T641"/>
      <c r="U641"/>
      <c r="V641"/>
      <c r="W641"/>
      <c r="X641"/>
      <c r="Y641"/>
    </row>
    <row r="642" spans="1:25" s="104" customFormat="1" hidden="1" x14ac:dyDescent="0.25">
      <c r="A642" s="97" t="str">
        <f t="shared" si="10"/>
        <v>mcasp_vdd_dyn_4Ch_RX_48_ksps_24b_1p8v</v>
      </c>
      <c r="B642" s="97" t="s">
        <v>874</v>
      </c>
      <c r="C642" s="97" t="s">
        <v>369</v>
      </c>
      <c r="D642" s="97" t="s">
        <v>862</v>
      </c>
      <c r="E642" s="97" t="s">
        <v>1050</v>
      </c>
      <c r="F642" s="97">
        <v>1.9144811980799996E-7</v>
      </c>
      <c r="G642" s="97" t="s">
        <v>629</v>
      </c>
      <c r="H642" s="5"/>
      <c r="I642"/>
      <c r="J642"/>
      <c r="K642"/>
      <c r="L642"/>
      <c r="M642"/>
      <c r="N642"/>
      <c r="O642"/>
      <c r="P642"/>
      <c r="Q642"/>
      <c r="R642"/>
      <c r="S642"/>
      <c r="T642"/>
      <c r="U642"/>
      <c r="V642"/>
      <c r="W642"/>
      <c r="X642"/>
      <c r="Y642"/>
    </row>
    <row r="643" spans="1:25" s="104" customFormat="1" hidden="1" x14ac:dyDescent="0.25">
      <c r="A643" s="97" t="str">
        <f t="shared" si="10"/>
        <v>mcasp_vdd_dyn_4Ch_RX_48_ksps_24b_3p3v</v>
      </c>
      <c r="B643" s="97" t="s">
        <v>874</v>
      </c>
      <c r="C643" s="97" t="s">
        <v>369</v>
      </c>
      <c r="D643" s="97" t="s">
        <v>849</v>
      </c>
      <c r="E643" s="97" t="s">
        <v>1050</v>
      </c>
      <c r="F643" s="97">
        <v>1.9144811980799996E-7</v>
      </c>
      <c r="G643" s="97" t="s">
        <v>629</v>
      </c>
      <c r="H643" s="5"/>
      <c r="I643"/>
      <c r="J643"/>
      <c r="K643"/>
      <c r="L643"/>
      <c r="M643"/>
      <c r="N643"/>
      <c r="O643"/>
      <c r="P643"/>
      <c r="Q643"/>
      <c r="R643"/>
      <c r="S643"/>
      <c r="T643"/>
      <c r="U643"/>
      <c r="V643"/>
      <c r="W643"/>
      <c r="X643"/>
      <c r="Y643"/>
    </row>
    <row r="644" spans="1:25" s="104" customFormat="1" hidden="1" x14ac:dyDescent="0.25">
      <c r="A644" s="97" t="str">
        <f t="shared" si="10"/>
        <v>mcasp_vdd_dyn_4Ch_RXTX_48_ksps_24b_1p8v</v>
      </c>
      <c r="B644" s="97" t="s">
        <v>874</v>
      </c>
      <c r="C644" s="97" t="s">
        <v>369</v>
      </c>
      <c r="D644" s="97" t="s">
        <v>872</v>
      </c>
      <c r="E644" s="97" t="s">
        <v>1050</v>
      </c>
      <c r="F644" s="97">
        <v>3.8289623961599993E-7</v>
      </c>
      <c r="G644" s="97" t="s">
        <v>629</v>
      </c>
      <c r="H644" s="5"/>
      <c r="I644"/>
      <c r="J644"/>
      <c r="K644"/>
      <c r="L644"/>
      <c r="M644"/>
      <c r="N644"/>
      <c r="O644"/>
      <c r="P644"/>
      <c r="Q644"/>
      <c r="R644"/>
      <c r="S644"/>
      <c r="T644"/>
      <c r="U644"/>
      <c r="V644"/>
      <c r="W644"/>
      <c r="X644"/>
      <c r="Y644"/>
    </row>
    <row r="645" spans="1:25" s="104" customFormat="1" hidden="1" x14ac:dyDescent="0.25">
      <c r="A645" s="97" t="str">
        <f t="shared" si="10"/>
        <v>mcasp_vdd_dyn_4Ch_RXTX_48_ksps_24b_3p3v</v>
      </c>
      <c r="B645" s="97" t="s">
        <v>874</v>
      </c>
      <c r="C645" s="97" t="s">
        <v>369</v>
      </c>
      <c r="D645" s="97" t="s">
        <v>859</v>
      </c>
      <c r="E645" s="97" t="s">
        <v>1050</v>
      </c>
      <c r="F645" s="97">
        <v>3.8289623961599993E-7</v>
      </c>
      <c r="G645" s="97" t="s">
        <v>629</v>
      </c>
      <c r="H645" s="5"/>
      <c r="I645"/>
      <c r="J645"/>
      <c r="K645"/>
      <c r="L645"/>
      <c r="M645"/>
      <c r="N645"/>
      <c r="O645"/>
      <c r="P645"/>
      <c r="Q645"/>
      <c r="R645"/>
      <c r="S645"/>
      <c r="T645"/>
      <c r="U645"/>
      <c r="V645"/>
      <c r="W645"/>
      <c r="X645"/>
      <c r="Y645"/>
    </row>
    <row r="646" spans="1:25" s="104" customFormat="1" hidden="1" x14ac:dyDescent="0.25">
      <c r="A646" s="97" t="str">
        <f t="shared" si="10"/>
        <v>mcasp_vdd_dyn_4Ch_TX_48_ksps_24b_1p8v</v>
      </c>
      <c r="B646" s="97" t="s">
        <v>874</v>
      </c>
      <c r="C646" s="97" t="s">
        <v>369</v>
      </c>
      <c r="D646" s="97" t="s">
        <v>867</v>
      </c>
      <c r="E646" s="97" t="s">
        <v>1050</v>
      </c>
      <c r="F646" s="97">
        <v>5.3188155187199992E-7</v>
      </c>
      <c r="G646" s="97" t="s">
        <v>629</v>
      </c>
      <c r="H646" s="5"/>
      <c r="I646"/>
      <c r="J646"/>
      <c r="K646"/>
      <c r="L646"/>
      <c r="M646"/>
      <c r="N646"/>
      <c r="O646"/>
      <c r="P646"/>
      <c r="Q646"/>
      <c r="R646"/>
      <c r="S646"/>
      <c r="T646"/>
      <c r="U646"/>
      <c r="V646"/>
      <c r="W646"/>
      <c r="X646"/>
      <c r="Y646"/>
    </row>
    <row r="647" spans="1:25" s="104" customFormat="1" hidden="1" x14ac:dyDescent="0.25">
      <c r="A647" s="97" t="str">
        <f t="shared" si="10"/>
        <v>mcasp_vdd_dyn_4Ch_TX_48_ksps_24b_3p3v</v>
      </c>
      <c r="B647" s="97" t="s">
        <v>874</v>
      </c>
      <c r="C647" s="97" t="s">
        <v>369</v>
      </c>
      <c r="D647" s="97" t="s">
        <v>854</v>
      </c>
      <c r="E647" s="97" t="s">
        <v>1050</v>
      </c>
      <c r="F647" s="97">
        <v>5.3188155187199992E-7</v>
      </c>
      <c r="G647" s="97" t="s">
        <v>629</v>
      </c>
      <c r="H647" s="5"/>
      <c r="I647"/>
      <c r="J647"/>
      <c r="K647"/>
      <c r="L647"/>
      <c r="M647"/>
      <c r="N647"/>
      <c r="O647"/>
      <c r="P647"/>
      <c r="Q647"/>
      <c r="R647"/>
      <c r="S647"/>
      <c r="T647"/>
      <c r="U647"/>
      <c r="V647"/>
      <c r="W647"/>
      <c r="X647"/>
      <c r="Y647"/>
    </row>
    <row r="648" spans="1:25" s="104" customFormat="1" hidden="1" x14ac:dyDescent="0.25">
      <c r="A648" s="97" t="str">
        <f t="shared" si="10"/>
        <v>mcasp_vdd_dyn_8Ch_RX_48_ksps_24b_1p8v</v>
      </c>
      <c r="B648" s="97" t="s">
        <v>874</v>
      </c>
      <c r="C648" s="97" t="s">
        <v>369</v>
      </c>
      <c r="D648" s="97" t="s">
        <v>861</v>
      </c>
      <c r="E648" s="97" t="s">
        <v>1050</v>
      </c>
      <c r="F648" s="97">
        <v>2.4992585164799995E-7</v>
      </c>
      <c r="G648" s="97" t="s">
        <v>629</v>
      </c>
      <c r="H648" s="5"/>
      <c r="I648"/>
      <c r="J648"/>
      <c r="K648"/>
      <c r="L648"/>
      <c r="M648"/>
      <c r="N648"/>
      <c r="O648"/>
      <c r="P648"/>
      <c r="Q648"/>
      <c r="R648"/>
      <c r="S648"/>
      <c r="T648"/>
      <c r="U648"/>
      <c r="V648"/>
      <c r="W648"/>
      <c r="X648"/>
      <c r="Y648"/>
    </row>
    <row r="649" spans="1:25" s="104" customFormat="1" hidden="1" x14ac:dyDescent="0.25">
      <c r="A649" s="97" t="str">
        <f t="shared" si="10"/>
        <v>mcasp_vdd_dyn_8Ch_RX_48_ksps_24b_3p3v</v>
      </c>
      <c r="B649" s="97" t="s">
        <v>874</v>
      </c>
      <c r="C649" s="97" t="s">
        <v>369</v>
      </c>
      <c r="D649" s="97" t="s">
        <v>848</v>
      </c>
      <c r="E649" s="97" t="s">
        <v>1050</v>
      </c>
      <c r="F649" s="97">
        <v>2.4992585164799995E-7</v>
      </c>
      <c r="G649" s="97" t="s">
        <v>629</v>
      </c>
      <c r="H649" s="5"/>
      <c r="I649"/>
      <c r="J649"/>
      <c r="K649"/>
      <c r="L649"/>
      <c r="M649"/>
      <c r="N649"/>
      <c r="O649"/>
      <c r="P649"/>
      <c r="Q649"/>
      <c r="R649"/>
      <c r="S649"/>
      <c r="T649"/>
      <c r="U649"/>
      <c r="V649"/>
      <c r="W649"/>
      <c r="X649"/>
      <c r="Y649"/>
    </row>
    <row r="650" spans="1:25" s="104" customFormat="1" hidden="1" x14ac:dyDescent="0.25">
      <c r="A650" s="97" t="str">
        <f t="shared" si="10"/>
        <v>mcasp_vdd_dyn_8Ch_RXTX_48_ksps_24b_1p8v</v>
      </c>
      <c r="B650" s="97" t="s">
        <v>874</v>
      </c>
      <c r="C650" s="97" t="s">
        <v>369</v>
      </c>
      <c r="D650" s="97" t="s">
        <v>871</v>
      </c>
      <c r="E650" s="97" t="s">
        <v>1050</v>
      </c>
      <c r="F650" s="97">
        <v>4.998517032959999E-7</v>
      </c>
      <c r="G650" s="97" t="s">
        <v>629</v>
      </c>
      <c r="H650" s="5"/>
      <c r="I650"/>
      <c r="J650"/>
      <c r="K650"/>
      <c r="L650"/>
      <c r="M650"/>
      <c r="N650"/>
      <c r="O650"/>
      <c r="P650"/>
      <c r="Q650"/>
      <c r="R650"/>
      <c r="S650"/>
      <c r="T650"/>
      <c r="U650"/>
      <c r="V650"/>
      <c r="W650"/>
      <c r="X650"/>
      <c r="Y650"/>
    </row>
    <row r="651" spans="1:25" s="104" customFormat="1" hidden="1" x14ac:dyDescent="0.25">
      <c r="A651" s="97" t="str">
        <f t="shared" si="10"/>
        <v>mcasp_vdd_dyn_8Ch_RXTX_48_ksps_24b_3p3v</v>
      </c>
      <c r="B651" s="97" t="s">
        <v>874</v>
      </c>
      <c r="C651" s="97" t="s">
        <v>369</v>
      </c>
      <c r="D651" s="97" t="s">
        <v>858</v>
      </c>
      <c r="E651" s="97" t="s">
        <v>1050</v>
      </c>
      <c r="F651" s="97">
        <v>4.998517032959999E-7</v>
      </c>
      <c r="G651" s="97" t="s">
        <v>629</v>
      </c>
      <c r="H651" s="5"/>
      <c r="I651"/>
      <c r="J651"/>
      <c r="K651"/>
      <c r="L651"/>
      <c r="M651"/>
      <c r="N651"/>
      <c r="O651"/>
      <c r="P651"/>
      <c r="Q651"/>
      <c r="R651"/>
      <c r="S651"/>
      <c r="T651"/>
      <c r="U651"/>
      <c r="V651"/>
      <c r="W651"/>
      <c r="X651"/>
      <c r="Y651"/>
    </row>
    <row r="652" spans="1:25" s="104" customFormat="1" hidden="1" x14ac:dyDescent="0.25">
      <c r="A652" s="97" t="str">
        <f t="shared" si="10"/>
        <v>mcasp_vdd_dyn_8Ch_TX_48_ksps_24b_1p8v</v>
      </c>
      <c r="B652" s="97" t="s">
        <v>874</v>
      </c>
      <c r="C652" s="97" t="s">
        <v>369</v>
      </c>
      <c r="D652" s="97" t="s">
        <v>866</v>
      </c>
      <c r="E652" s="97" t="s">
        <v>1050</v>
      </c>
      <c r="F652" s="97">
        <v>3.9891116390399999E-7</v>
      </c>
      <c r="G652" s="97" t="s">
        <v>629</v>
      </c>
      <c r="H652" s="5"/>
      <c r="I652"/>
      <c r="J652"/>
      <c r="K652"/>
      <c r="L652"/>
      <c r="M652"/>
      <c r="N652"/>
      <c r="O652"/>
      <c r="P652"/>
      <c r="Q652"/>
      <c r="R652"/>
      <c r="S652"/>
      <c r="T652"/>
      <c r="U652"/>
      <c r="V652"/>
      <c r="W652"/>
      <c r="X652"/>
      <c r="Y652"/>
    </row>
    <row r="653" spans="1:25" s="104" customFormat="1" hidden="1" x14ac:dyDescent="0.25">
      <c r="A653" s="97" t="str">
        <f t="shared" si="10"/>
        <v>mcasp_vdd_dyn_8Ch_TX_48_ksps_24b_3p3v</v>
      </c>
      <c r="B653" s="97" t="s">
        <v>874</v>
      </c>
      <c r="C653" s="97" t="s">
        <v>369</v>
      </c>
      <c r="D653" s="97" t="s">
        <v>853</v>
      </c>
      <c r="E653" s="97" t="s">
        <v>1050</v>
      </c>
      <c r="F653" s="97">
        <v>3.9891116390399999E-7</v>
      </c>
      <c r="G653" s="97" t="s">
        <v>629</v>
      </c>
      <c r="H653" s="5"/>
      <c r="I653"/>
      <c r="J653"/>
      <c r="K653"/>
      <c r="L653"/>
      <c r="M653"/>
      <c r="N653"/>
      <c r="O653"/>
      <c r="P653"/>
      <c r="Q653"/>
      <c r="R653"/>
      <c r="S653"/>
      <c r="T653"/>
      <c r="U653"/>
      <c r="V653"/>
      <c r="W653"/>
      <c r="X653"/>
      <c r="Y653"/>
    </row>
    <row r="654" spans="1:25" s="104" customFormat="1" hidden="1" x14ac:dyDescent="0.25">
      <c r="A654" s="97" t="str">
        <f t="shared" si="10"/>
        <v>mcasp_vdd_dyn_off</v>
      </c>
      <c r="B654" s="97" t="s">
        <v>874</v>
      </c>
      <c r="C654" s="97" t="s">
        <v>369</v>
      </c>
      <c r="D654" s="97" t="s">
        <v>69</v>
      </c>
      <c r="E654" s="97" t="s">
        <v>1050</v>
      </c>
      <c r="F654" s="97">
        <v>0</v>
      </c>
      <c r="G654" s="97" t="s">
        <v>629</v>
      </c>
      <c r="H654" s="5"/>
      <c r="I654"/>
      <c r="J654"/>
      <c r="K654"/>
      <c r="L654"/>
      <c r="M654"/>
      <c r="N654"/>
      <c r="O654"/>
      <c r="P654"/>
      <c r="Q654"/>
      <c r="R654"/>
      <c r="S654"/>
      <c r="T654"/>
      <c r="U654"/>
      <c r="V654"/>
      <c r="W654"/>
      <c r="X654"/>
      <c r="Y654"/>
    </row>
    <row r="655" spans="1:25" s="104" customFormat="1" hidden="1" x14ac:dyDescent="0.25">
      <c r="A655" s="97" t="str">
        <f t="shared" si="10"/>
        <v>uart_vdd_dyn_112k_1p8v</v>
      </c>
      <c r="B655" s="97" t="s">
        <v>918</v>
      </c>
      <c r="C655" s="97" t="s">
        <v>369</v>
      </c>
      <c r="D655" s="97" t="s">
        <v>923</v>
      </c>
      <c r="E655" s="97" t="s">
        <v>1050</v>
      </c>
      <c r="F655" s="97">
        <v>6.1944309503999997E-9</v>
      </c>
      <c r="G655" s="97"/>
      <c r="H655" s="5"/>
      <c r="I655"/>
      <c r="J655"/>
      <c r="K655"/>
      <c r="L655"/>
      <c r="M655"/>
      <c r="N655"/>
      <c r="O655"/>
      <c r="P655"/>
      <c r="Q655"/>
      <c r="R655"/>
      <c r="S655"/>
      <c r="T655"/>
      <c r="U655"/>
      <c r="V655"/>
      <c r="W655"/>
      <c r="X655"/>
      <c r="Y655"/>
    </row>
    <row r="656" spans="1:25" s="104" customFormat="1" hidden="1" x14ac:dyDescent="0.25">
      <c r="A656" s="97" t="str">
        <f t="shared" si="10"/>
        <v>uart_vdd_dyn_112k_3p3v</v>
      </c>
      <c r="B656" s="97" t="s">
        <v>918</v>
      </c>
      <c r="C656" s="97" t="s">
        <v>369</v>
      </c>
      <c r="D656" s="97" t="s">
        <v>926</v>
      </c>
      <c r="E656" s="97" t="s">
        <v>1050</v>
      </c>
      <c r="F656" s="97">
        <v>6.1944309503999997E-9</v>
      </c>
      <c r="G656" s="97"/>
      <c r="H656" s="5"/>
      <c r="I656"/>
      <c r="J656"/>
      <c r="K656"/>
      <c r="L656"/>
      <c r="M656"/>
      <c r="N656"/>
      <c r="O656"/>
      <c r="P656"/>
      <c r="Q656"/>
      <c r="R656"/>
      <c r="S656"/>
      <c r="T656"/>
      <c r="U656"/>
      <c r="V656"/>
      <c r="W656"/>
      <c r="X656"/>
      <c r="Y656"/>
    </row>
    <row r="657" spans="1:25" s="104" customFormat="1" hidden="1" x14ac:dyDescent="0.25">
      <c r="A657" s="97" t="str">
        <f t="shared" si="10"/>
        <v>uart_vdd_dyn_1m_1p8v</v>
      </c>
      <c r="B657" s="97" t="s">
        <v>918</v>
      </c>
      <c r="C657" s="97" t="s">
        <v>369</v>
      </c>
      <c r="D657" s="97" t="s">
        <v>922</v>
      </c>
      <c r="E657" s="97" t="s">
        <v>1050</v>
      </c>
      <c r="F657" s="97">
        <v>5.5307419200000008E-8</v>
      </c>
      <c r="G657" s="97"/>
      <c r="H657" s="5"/>
      <c r="I657"/>
      <c r="J657"/>
      <c r="K657"/>
      <c r="L657"/>
      <c r="M657"/>
      <c r="N657"/>
      <c r="O657"/>
      <c r="P657"/>
      <c r="Q657"/>
      <c r="R657"/>
      <c r="S657"/>
      <c r="T657"/>
      <c r="U657"/>
      <c r="V657"/>
      <c r="W657"/>
      <c r="X657"/>
      <c r="Y657"/>
    </row>
    <row r="658" spans="1:25" s="104" customFormat="1" hidden="1" x14ac:dyDescent="0.25">
      <c r="A658" s="97" t="str">
        <f t="shared" si="10"/>
        <v>uart_vdd_dyn_1m_3p3v</v>
      </c>
      <c r="B658" s="97" t="s">
        <v>918</v>
      </c>
      <c r="C658" s="97" t="s">
        <v>369</v>
      </c>
      <c r="D658" s="97" t="s">
        <v>925</v>
      </c>
      <c r="E658" s="97" t="s">
        <v>1050</v>
      </c>
      <c r="F658" s="97">
        <v>5.5307419200000008E-8</v>
      </c>
      <c r="G658" s="97"/>
      <c r="H658" s="5"/>
      <c r="I658"/>
      <c r="J658"/>
      <c r="K658"/>
      <c r="L658"/>
      <c r="M658"/>
      <c r="N658"/>
      <c r="O658"/>
      <c r="P658"/>
      <c r="Q658"/>
      <c r="R658"/>
      <c r="S658"/>
      <c r="T658"/>
      <c r="U658"/>
      <c r="V658"/>
      <c r="W658"/>
      <c r="X658"/>
      <c r="Y658"/>
    </row>
    <row r="659" spans="1:25" s="104" customFormat="1" hidden="1" x14ac:dyDescent="0.25">
      <c r="A659" s="97" t="str">
        <f t="shared" si="10"/>
        <v>uart_vdd_dyn_3p6m_1p8v</v>
      </c>
      <c r="B659" s="97" t="s">
        <v>918</v>
      </c>
      <c r="C659" s="97" t="s">
        <v>369</v>
      </c>
      <c r="D659" s="97" t="s">
        <v>921</v>
      </c>
      <c r="E659" s="97" t="s">
        <v>1050</v>
      </c>
      <c r="F659" s="97">
        <v>1.9910670911999997E-7</v>
      </c>
      <c r="G659" s="97"/>
      <c r="H659" s="5"/>
      <c r="I659"/>
      <c r="J659"/>
      <c r="K659"/>
      <c r="L659"/>
      <c r="M659"/>
      <c r="N659"/>
      <c r="O659"/>
      <c r="P659"/>
      <c r="Q659"/>
      <c r="R659"/>
      <c r="S659"/>
      <c r="T659"/>
      <c r="U659"/>
      <c r="V659"/>
      <c r="W659"/>
      <c r="X659"/>
      <c r="Y659"/>
    </row>
    <row r="660" spans="1:25" s="104" customFormat="1" hidden="1" x14ac:dyDescent="0.25">
      <c r="A660" s="97" t="str">
        <f t="shared" si="10"/>
        <v>uart_vdd_dyn_3p6m_3p3v</v>
      </c>
      <c r="B660" s="97" t="s">
        <v>918</v>
      </c>
      <c r="C660" s="97" t="s">
        <v>369</v>
      </c>
      <c r="D660" s="97" t="s">
        <v>924</v>
      </c>
      <c r="E660" s="97" t="s">
        <v>1050</v>
      </c>
      <c r="F660" s="97">
        <v>1.9910670911999997E-7</v>
      </c>
      <c r="G660" s="97"/>
      <c r="H660" s="5"/>
      <c r="I660"/>
      <c r="J660"/>
      <c r="K660"/>
      <c r="L660"/>
      <c r="M660"/>
      <c r="N660"/>
      <c r="O660"/>
      <c r="P660"/>
      <c r="Q660"/>
      <c r="R660"/>
      <c r="S660"/>
      <c r="T660"/>
      <c r="U660"/>
      <c r="V660"/>
      <c r="W660"/>
      <c r="X660"/>
      <c r="Y660"/>
    </row>
    <row r="661" spans="1:25" s="104" customFormat="1" hidden="1" x14ac:dyDescent="0.25">
      <c r="A661" s="97" t="str">
        <f t="shared" si="10"/>
        <v>uart_vdd_dyn_off</v>
      </c>
      <c r="B661" s="97" t="s">
        <v>918</v>
      </c>
      <c r="C661" s="97" t="s">
        <v>369</v>
      </c>
      <c r="D661" s="97" t="s">
        <v>69</v>
      </c>
      <c r="E661" s="97" t="s">
        <v>1050</v>
      </c>
      <c r="F661" s="97">
        <v>0</v>
      </c>
      <c r="G661" s="97"/>
      <c r="H661" s="5"/>
      <c r="I661"/>
      <c r="J661"/>
      <c r="K661"/>
      <c r="L661"/>
      <c r="M661"/>
      <c r="N661"/>
      <c r="O661"/>
      <c r="P661"/>
      <c r="Q661"/>
      <c r="R661"/>
      <c r="S661"/>
      <c r="T661"/>
      <c r="U661"/>
      <c r="V661"/>
      <c r="W661"/>
      <c r="X661"/>
      <c r="Y661"/>
    </row>
    <row r="662" spans="1:25" s="104" customFormat="1" hidden="1" x14ac:dyDescent="0.25">
      <c r="A662" s="97" t="str">
        <f t="shared" si="10"/>
        <v>uart_modem_vdd_dyn_112k_1p8v</v>
      </c>
      <c r="B662" s="97" t="s">
        <v>928</v>
      </c>
      <c r="C662" s="97" t="s">
        <v>369</v>
      </c>
      <c r="D662" s="97" t="s">
        <v>923</v>
      </c>
      <c r="E662" s="97" t="s">
        <v>1050</v>
      </c>
      <c r="F662" s="97">
        <v>6.1944309503999997E-9</v>
      </c>
      <c r="G662" s="97"/>
      <c r="H662" s="5"/>
      <c r="I662"/>
      <c r="J662"/>
      <c r="K662"/>
      <c r="L662"/>
      <c r="M662"/>
      <c r="N662"/>
      <c r="O662"/>
      <c r="P662"/>
      <c r="Q662"/>
      <c r="R662"/>
      <c r="S662"/>
      <c r="T662"/>
      <c r="U662"/>
      <c r="V662"/>
      <c r="W662"/>
      <c r="X662"/>
      <c r="Y662"/>
    </row>
    <row r="663" spans="1:25" s="104" customFormat="1" hidden="1" x14ac:dyDescent="0.25">
      <c r="A663" s="97" t="str">
        <f t="shared" si="10"/>
        <v>uart_modem_vdd_dyn_112k_3p3v</v>
      </c>
      <c r="B663" s="97" t="s">
        <v>928</v>
      </c>
      <c r="C663" s="97" t="s">
        <v>369</v>
      </c>
      <c r="D663" s="97" t="s">
        <v>926</v>
      </c>
      <c r="E663" s="97" t="s">
        <v>1050</v>
      </c>
      <c r="F663" s="97">
        <v>6.1944309503999997E-9</v>
      </c>
      <c r="G663" s="97"/>
      <c r="H663" s="5"/>
      <c r="I663"/>
      <c r="J663"/>
      <c r="K663"/>
      <c r="L663"/>
      <c r="M663"/>
      <c r="N663"/>
      <c r="O663"/>
      <c r="P663"/>
      <c r="Q663"/>
      <c r="R663"/>
      <c r="S663"/>
      <c r="T663"/>
      <c r="U663"/>
      <c r="V663"/>
      <c r="W663"/>
      <c r="X663"/>
      <c r="Y663"/>
    </row>
    <row r="664" spans="1:25" s="104" customFormat="1" hidden="1" x14ac:dyDescent="0.25">
      <c r="A664" s="97" t="str">
        <f t="shared" si="10"/>
        <v>uart_modem_vdd_dyn_1m_1p8v</v>
      </c>
      <c r="B664" s="97" t="s">
        <v>928</v>
      </c>
      <c r="C664" s="97" t="s">
        <v>369</v>
      </c>
      <c r="D664" s="97" t="s">
        <v>922</v>
      </c>
      <c r="E664" s="97" t="s">
        <v>1050</v>
      </c>
      <c r="F664" s="97">
        <v>5.5307419200000008E-8</v>
      </c>
      <c r="G664" s="97"/>
      <c r="H664" s="5"/>
      <c r="I664"/>
      <c r="J664"/>
      <c r="K664"/>
      <c r="L664"/>
      <c r="M664"/>
      <c r="N664"/>
      <c r="O664"/>
      <c r="P664"/>
      <c r="Q664"/>
      <c r="R664"/>
      <c r="S664"/>
      <c r="T664"/>
      <c r="U664"/>
      <c r="V664"/>
      <c r="W664"/>
      <c r="X664"/>
      <c r="Y664"/>
    </row>
    <row r="665" spans="1:25" s="104" customFormat="1" hidden="1" x14ac:dyDescent="0.25">
      <c r="A665" s="97" t="str">
        <f t="shared" si="10"/>
        <v>uart_modem_vdd_dyn_1m_3p3v</v>
      </c>
      <c r="B665" s="97" t="s">
        <v>928</v>
      </c>
      <c r="C665" s="97" t="s">
        <v>369</v>
      </c>
      <c r="D665" s="97" t="s">
        <v>925</v>
      </c>
      <c r="E665" s="97" t="s">
        <v>1050</v>
      </c>
      <c r="F665" s="97">
        <v>5.5307419200000008E-8</v>
      </c>
      <c r="G665" s="97"/>
      <c r="H665" s="5"/>
      <c r="I665"/>
      <c r="J665"/>
      <c r="K665"/>
      <c r="L665"/>
      <c r="M665"/>
      <c r="N665"/>
      <c r="O665"/>
      <c r="P665"/>
      <c r="Q665"/>
      <c r="R665"/>
      <c r="S665"/>
      <c r="T665"/>
      <c r="U665"/>
      <c r="V665"/>
      <c r="W665"/>
      <c r="X665"/>
      <c r="Y665"/>
    </row>
    <row r="666" spans="1:25" s="104" customFormat="1" hidden="1" x14ac:dyDescent="0.25">
      <c r="A666" s="97" t="str">
        <f t="shared" si="10"/>
        <v>uart_modem_vdd_dyn_3p6m_1p8v</v>
      </c>
      <c r="B666" s="97" t="s">
        <v>928</v>
      </c>
      <c r="C666" s="97" t="s">
        <v>369</v>
      </c>
      <c r="D666" s="97" t="s">
        <v>921</v>
      </c>
      <c r="E666" s="97" t="s">
        <v>1050</v>
      </c>
      <c r="F666" s="97">
        <v>1.9910670911999997E-7</v>
      </c>
      <c r="G666" s="97"/>
      <c r="H666" s="5"/>
      <c r="I666"/>
      <c r="J666"/>
      <c r="K666"/>
      <c r="L666"/>
      <c r="M666"/>
      <c r="N666"/>
      <c r="O666"/>
      <c r="P666"/>
      <c r="Q666"/>
      <c r="R666"/>
      <c r="S666"/>
      <c r="T666"/>
      <c r="U666"/>
      <c r="V666"/>
      <c r="W666"/>
      <c r="X666"/>
      <c r="Y666"/>
    </row>
    <row r="667" spans="1:25" s="104" customFormat="1" hidden="1" x14ac:dyDescent="0.25">
      <c r="A667" s="97" t="str">
        <f t="shared" si="10"/>
        <v>uart_modem_vdd_dyn_3p6m_3p3v</v>
      </c>
      <c r="B667" s="97" t="s">
        <v>928</v>
      </c>
      <c r="C667" s="97" t="s">
        <v>369</v>
      </c>
      <c r="D667" s="97" t="s">
        <v>924</v>
      </c>
      <c r="E667" s="97" t="s">
        <v>1050</v>
      </c>
      <c r="F667" s="97">
        <v>1.9910670911999997E-7</v>
      </c>
      <c r="G667" s="97"/>
      <c r="H667" s="5"/>
      <c r="I667"/>
      <c r="J667"/>
      <c r="K667"/>
      <c r="L667"/>
      <c r="M667"/>
      <c r="N667"/>
      <c r="O667"/>
      <c r="P667"/>
      <c r="Q667"/>
      <c r="R667"/>
      <c r="S667"/>
      <c r="T667"/>
      <c r="U667"/>
      <c r="V667"/>
      <c r="W667"/>
      <c r="X667"/>
      <c r="Y667"/>
    </row>
    <row r="668" spans="1:25" s="104" customFormat="1" hidden="1" x14ac:dyDescent="0.25">
      <c r="A668" s="97" t="str">
        <f t="shared" si="10"/>
        <v>uart_modem_vdd_dyn_off</v>
      </c>
      <c r="B668" s="97" t="s">
        <v>928</v>
      </c>
      <c r="C668" s="97" t="s">
        <v>369</v>
      </c>
      <c r="D668" s="97" t="s">
        <v>69</v>
      </c>
      <c r="E668" s="97" t="s">
        <v>1050</v>
      </c>
      <c r="F668" s="97">
        <v>0</v>
      </c>
      <c r="G668" s="97"/>
      <c r="H668" s="5"/>
      <c r="I668"/>
      <c r="J668"/>
      <c r="K668"/>
      <c r="L668"/>
      <c r="M668"/>
      <c r="N668"/>
      <c r="O668"/>
      <c r="P668"/>
      <c r="Q668"/>
      <c r="R668"/>
      <c r="S668"/>
      <c r="T668"/>
      <c r="U668"/>
      <c r="V668"/>
      <c r="W668"/>
      <c r="X668"/>
      <c r="Y668"/>
    </row>
    <row r="669" spans="1:25" s="104" customFormat="1" hidden="1" x14ac:dyDescent="0.25">
      <c r="A669" s="97" t="str">
        <f t="shared" si="10"/>
        <v>dpi_vdd_dyn_2K_|_2048x1080x30_fps_18b_|_1p8V</v>
      </c>
      <c r="B669" s="97" t="s">
        <v>699</v>
      </c>
      <c r="C669" s="97" t="s">
        <v>369</v>
      </c>
      <c r="D669" s="97" t="s">
        <v>843</v>
      </c>
      <c r="E669" s="97" t="s">
        <v>1050</v>
      </c>
      <c r="F669" s="97">
        <v>5.0826275039232008E-5</v>
      </c>
      <c r="G669" s="97" t="s">
        <v>629</v>
      </c>
      <c r="H669" s="5"/>
      <c r="I669"/>
      <c r="J669"/>
      <c r="K669"/>
      <c r="L669"/>
      <c r="M669"/>
      <c r="N669"/>
      <c r="O669"/>
      <c r="P669"/>
      <c r="Q669"/>
      <c r="R669"/>
      <c r="S669"/>
      <c r="T669"/>
      <c r="U669"/>
      <c r="V669"/>
      <c r="W669"/>
      <c r="X669"/>
      <c r="Y669"/>
    </row>
    <row r="670" spans="1:25" s="104" customFormat="1" hidden="1" x14ac:dyDescent="0.25">
      <c r="A670" s="97" t="str">
        <f t="shared" si="10"/>
        <v>dpi_vdd_dyn_2K_|_2048x1080x30_fps_18b_|_3p3V</v>
      </c>
      <c r="B670" s="97" t="s">
        <v>699</v>
      </c>
      <c r="C670" s="97" t="s">
        <v>369</v>
      </c>
      <c r="D670" s="97" t="s">
        <v>772</v>
      </c>
      <c r="E670" s="97" t="s">
        <v>1050</v>
      </c>
      <c r="F670" s="97">
        <v>2.5188618470400002E-5</v>
      </c>
      <c r="G670" s="97" t="s">
        <v>629</v>
      </c>
      <c r="H670" s="5"/>
      <c r="I670"/>
      <c r="J670"/>
      <c r="K670"/>
      <c r="L670"/>
      <c r="M670"/>
      <c r="N670"/>
      <c r="O670"/>
      <c r="P670"/>
      <c r="Q670"/>
      <c r="R670"/>
      <c r="S670"/>
      <c r="T670"/>
      <c r="U670"/>
      <c r="V670"/>
      <c r="W670"/>
      <c r="X670"/>
      <c r="Y670"/>
    </row>
    <row r="671" spans="1:25" s="104" customFormat="1" hidden="1" x14ac:dyDescent="0.25">
      <c r="A671" s="97" t="str">
        <f t="shared" si="10"/>
        <v>dpi_vdd_dyn_2K_|_2048x1080x30_fps_24b_|_1p8V</v>
      </c>
      <c r="B671" s="97" t="s">
        <v>699</v>
      </c>
      <c r="C671" s="97" t="s">
        <v>369</v>
      </c>
      <c r="D671" s="97" t="s">
        <v>844</v>
      </c>
      <c r="E671" s="97" t="s">
        <v>1050</v>
      </c>
      <c r="F671" s="97">
        <v>2.5188618470400002E-5</v>
      </c>
      <c r="G671" s="97" t="s">
        <v>629</v>
      </c>
      <c r="H671" s="5"/>
      <c r="I671"/>
      <c r="J671"/>
      <c r="K671"/>
      <c r="L671"/>
      <c r="M671"/>
      <c r="N671"/>
      <c r="O671"/>
      <c r="P671"/>
      <c r="Q671"/>
      <c r="R671"/>
      <c r="S671"/>
      <c r="T671"/>
      <c r="U671"/>
      <c r="V671"/>
      <c r="W671"/>
      <c r="X671"/>
      <c r="Y671"/>
    </row>
    <row r="672" spans="1:25" s="104" customFormat="1" hidden="1" x14ac:dyDescent="0.25">
      <c r="A672" s="97" t="str">
        <f t="shared" si="10"/>
        <v>dpi_vdd_dyn_2K_|_2048x1080x30_fps_24b_|_3p3V</v>
      </c>
      <c r="B672" s="97" t="s">
        <v>699</v>
      </c>
      <c r="C672" s="97" t="s">
        <v>369</v>
      </c>
      <c r="D672" s="97" t="s">
        <v>773</v>
      </c>
      <c r="E672" s="97" t="s">
        <v>1050</v>
      </c>
      <c r="F672" s="97">
        <v>2.5188618470400002E-5</v>
      </c>
      <c r="G672" s="97" t="s">
        <v>629</v>
      </c>
      <c r="H672" s="5"/>
      <c r="I672"/>
      <c r="J672"/>
      <c r="K672"/>
      <c r="L672"/>
      <c r="M672"/>
      <c r="N672"/>
      <c r="O672"/>
      <c r="P672"/>
      <c r="Q672"/>
      <c r="R672"/>
      <c r="S672"/>
      <c r="T672"/>
      <c r="U672"/>
      <c r="V672"/>
      <c r="W672"/>
      <c r="X672"/>
      <c r="Y672"/>
    </row>
    <row r="673" spans="1:25" s="104" customFormat="1" hidden="1" x14ac:dyDescent="0.25">
      <c r="A673" s="97" t="str">
        <f t="shared" si="10"/>
        <v>dpi_vdd_dyn_2K_|_2048x1080x60_fps_18b_|_1p8V</v>
      </c>
      <c r="B673" s="97" t="s">
        <v>699</v>
      </c>
      <c r="C673" s="97" t="s">
        <v>369</v>
      </c>
      <c r="D673" s="97" t="s">
        <v>845</v>
      </c>
      <c r="E673" s="97" t="s">
        <v>1050</v>
      </c>
      <c r="F673" s="97">
        <v>2.5188618470400002E-5</v>
      </c>
      <c r="G673" s="97" t="s">
        <v>629</v>
      </c>
      <c r="H673" s="5"/>
      <c r="I673"/>
      <c r="J673"/>
      <c r="K673"/>
      <c r="L673"/>
      <c r="M673"/>
      <c r="N673"/>
      <c r="O673"/>
      <c r="P673"/>
      <c r="Q673"/>
      <c r="R673"/>
      <c r="S673"/>
      <c r="T673"/>
      <c r="U673"/>
      <c r="V673"/>
      <c r="W673"/>
      <c r="X673"/>
      <c r="Y673"/>
    </row>
    <row r="674" spans="1:25" s="104" customFormat="1" hidden="1" x14ac:dyDescent="0.25">
      <c r="A674" s="97" t="str">
        <f t="shared" si="10"/>
        <v>dpi_vdd_dyn_2K_|_2048x1080x60_fps_18b_|_3p3V</v>
      </c>
      <c r="B674" s="97" t="s">
        <v>699</v>
      </c>
      <c r="C674" s="97" t="s">
        <v>369</v>
      </c>
      <c r="D674" s="97" t="s">
        <v>774</v>
      </c>
      <c r="E674" s="97" t="s">
        <v>1050</v>
      </c>
      <c r="F674" s="97">
        <v>5.0377236940800004E-5</v>
      </c>
      <c r="G674" s="97" t="s">
        <v>629</v>
      </c>
      <c r="H674" s="5"/>
      <c r="I674"/>
      <c r="J674"/>
      <c r="K674"/>
      <c r="L674"/>
      <c r="M674"/>
      <c r="N674"/>
      <c r="O674"/>
      <c r="P674"/>
      <c r="Q674"/>
      <c r="R674"/>
      <c r="S674"/>
      <c r="T674"/>
      <c r="U674"/>
      <c r="V674"/>
      <c r="W674"/>
      <c r="X674"/>
      <c r="Y674"/>
    </row>
    <row r="675" spans="1:25" s="104" customFormat="1" hidden="1" x14ac:dyDescent="0.25">
      <c r="A675" s="97" t="str">
        <f t="shared" si="10"/>
        <v>dpi_vdd_dyn_2K_|_2048x1080x60_fps_24b_|_1p8V</v>
      </c>
      <c r="B675" s="97" t="s">
        <v>699</v>
      </c>
      <c r="C675" s="97" t="s">
        <v>369</v>
      </c>
      <c r="D675" s="97" t="s">
        <v>846</v>
      </c>
      <c r="E675" s="97" t="s">
        <v>1050</v>
      </c>
      <c r="F675" s="97">
        <v>5.0377236940800004E-5</v>
      </c>
      <c r="G675" s="97" t="s">
        <v>629</v>
      </c>
      <c r="H675" s="5"/>
      <c r="I675"/>
      <c r="J675"/>
      <c r="K675"/>
      <c r="L675"/>
      <c r="M675"/>
      <c r="N675"/>
      <c r="O675"/>
      <c r="P675"/>
      <c r="Q675"/>
      <c r="R675"/>
      <c r="S675"/>
      <c r="T675"/>
      <c r="U675"/>
      <c r="V675"/>
      <c r="W675"/>
      <c r="X675"/>
      <c r="Y675"/>
    </row>
    <row r="676" spans="1:25" s="104" customFormat="1" hidden="1" x14ac:dyDescent="0.25">
      <c r="A676" s="97" t="str">
        <f t="shared" si="10"/>
        <v>dpi_vdd_dyn_2K_|_2048x1080x60_fps_24b_|_3p3V</v>
      </c>
      <c r="B676" s="97" t="s">
        <v>699</v>
      </c>
      <c r="C676" s="97" t="s">
        <v>369</v>
      </c>
      <c r="D676" s="97" t="s">
        <v>775</v>
      </c>
      <c r="E676" s="97" t="s">
        <v>1050</v>
      </c>
      <c r="F676" s="97">
        <v>5.0377236940800004E-5</v>
      </c>
      <c r="G676" s="97" t="s">
        <v>629</v>
      </c>
      <c r="H676" s="5"/>
      <c r="I676"/>
      <c r="J676"/>
      <c r="K676"/>
      <c r="L676"/>
      <c r="M676"/>
      <c r="N676"/>
      <c r="O676"/>
      <c r="P676"/>
      <c r="Q676"/>
      <c r="R676"/>
      <c r="S676"/>
      <c r="T676"/>
      <c r="U676"/>
      <c r="V676"/>
      <c r="W676"/>
      <c r="X676"/>
      <c r="Y676"/>
    </row>
    <row r="677" spans="1:25" s="104" customFormat="1" hidden="1" x14ac:dyDescent="0.25">
      <c r="A677" s="97" t="str">
        <f t="shared" si="10"/>
        <v>dpi_vdd_dyn_Full_HD_|_1920x1080x30_fps_12b_|_1p8V</v>
      </c>
      <c r="B677" s="97" t="s">
        <v>699</v>
      </c>
      <c r="C677" s="97" t="s">
        <v>369</v>
      </c>
      <c r="D677" s="97" t="s">
        <v>835</v>
      </c>
      <c r="E677" s="97" t="s">
        <v>1050</v>
      </c>
      <c r="F677" s="97">
        <v>3.2890507884748802E-5</v>
      </c>
      <c r="G677" s="97" t="s">
        <v>629</v>
      </c>
      <c r="H677" s="5"/>
      <c r="I677"/>
      <c r="J677"/>
      <c r="K677"/>
      <c r="L677"/>
      <c r="M677"/>
      <c r="N677"/>
      <c r="O677"/>
      <c r="P677"/>
      <c r="Q677"/>
      <c r="R677"/>
      <c r="S677"/>
      <c r="T677"/>
      <c r="U677"/>
      <c r="V677"/>
      <c r="W677"/>
      <c r="X677"/>
      <c r="Y677"/>
    </row>
    <row r="678" spans="1:25" s="104" customFormat="1" hidden="1" x14ac:dyDescent="0.25">
      <c r="A678" s="97" t="str">
        <f t="shared" si="10"/>
        <v>dpi_vdd_dyn_Full_HD_|_1920x1080x30_fps_12b_|_3p3V</v>
      </c>
      <c r="B678" s="97" t="s">
        <v>699</v>
      </c>
      <c r="C678" s="97" t="s">
        <v>369</v>
      </c>
      <c r="D678" s="97" t="s">
        <v>764</v>
      </c>
      <c r="E678" s="97" t="s">
        <v>1050</v>
      </c>
      <c r="F678" s="97">
        <v>2.3715599846400005E-5</v>
      </c>
      <c r="G678" s="97" t="s">
        <v>629</v>
      </c>
      <c r="H678" s="5"/>
      <c r="I678"/>
      <c r="J678"/>
      <c r="K678"/>
      <c r="L678"/>
      <c r="M678"/>
      <c r="N678"/>
      <c r="O678"/>
      <c r="P678"/>
      <c r="Q678"/>
      <c r="R678"/>
      <c r="S678"/>
      <c r="T678"/>
      <c r="U678"/>
      <c r="V678"/>
      <c r="W678"/>
      <c r="X678"/>
      <c r="Y678"/>
    </row>
    <row r="679" spans="1:25" s="104" customFormat="1" hidden="1" x14ac:dyDescent="0.25">
      <c r="A679" s="97" t="str">
        <f t="shared" si="10"/>
        <v>dpi_vdd_dyn_Full_HD_|_1920x1080x30_fps_16b_|_1p8V</v>
      </c>
      <c r="B679" s="97" t="s">
        <v>699</v>
      </c>
      <c r="C679" s="97" t="s">
        <v>369</v>
      </c>
      <c r="D679" s="97" t="s">
        <v>836</v>
      </c>
      <c r="E679" s="97" t="s">
        <v>1050</v>
      </c>
      <c r="F679" s="97">
        <v>2.3715599846400005E-5</v>
      </c>
      <c r="G679" s="97" t="s">
        <v>629</v>
      </c>
      <c r="H679" s="5"/>
      <c r="I679"/>
      <c r="J679"/>
      <c r="K679"/>
      <c r="L679"/>
      <c r="M679"/>
      <c r="N679"/>
      <c r="O679"/>
      <c r="P679"/>
      <c r="Q679"/>
      <c r="R679"/>
      <c r="S679"/>
      <c r="T679"/>
      <c r="U679"/>
      <c r="V679"/>
      <c r="W679"/>
      <c r="X679"/>
      <c r="Y679"/>
    </row>
    <row r="680" spans="1:25" s="104" customFormat="1" hidden="1" x14ac:dyDescent="0.25">
      <c r="A680" s="97" t="str">
        <f t="shared" si="10"/>
        <v>dpi_vdd_dyn_Full_HD_|_1920x1080x30_fps_16b_|_3p3V</v>
      </c>
      <c r="B680" s="97" t="s">
        <v>699</v>
      </c>
      <c r="C680" s="97" t="s">
        <v>369</v>
      </c>
      <c r="D680" s="97" t="s">
        <v>765</v>
      </c>
      <c r="E680" s="97" t="s">
        <v>1050</v>
      </c>
      <c r="F680" s="97">
        <v>2.3715599846400005E-5</v>
      </c>
      <c r="G680" s="97" t="s">
        <v>629</v>
      </c>
      <c r="H680" s="5"/>
      <c r="I680"/>
      <c r="J680"/>
      <c r="K680"/>
      <c r="L680"/>
      <c r="M680"/>
      <c r="N680"/>
      <c r="O680"/>
      <c r="P680"/>
      <c r="Q680"/>
      <c r="R680"/>
      <c r="S680"/>
      <c r="T680"/>
      <c r="U680"/>
      <c r="V680"/>
      <c r="W680"/>
      <c r="X680"/>
      <c r="Y680"/>
    </row>
    <row r="681" spans="1:25" s="104" customFormat="1" hidden="1" x14ac:dyDescent="0.25">
      <c r="A681" s="97" t="str">
        <f t="shared" si="10"/>
        <v>dpi_vdd_dyn_Full_HD_|_1920x1080x30_fps_18b_|_1p8V</v>
      </c>
      <c r="B681" s="97" t="s">
        <v>699</v>
      </c>
      <c r="C681" s="97" t="s">
        <v>369</v>
      </c>
      <c r="D681" s="97" t="s">
        <v>837</v>
      </c>
      <c r="E681" s="97" t="s">
        <v>1050</v>
      </c>
      <c r="F681" s="97">
        <v>2.3715599846400005E-5</v>
      </c>
      <c r="G681" s="97" t="s">
        <v>629</v>
      </c>
      <c r="H681" s="5"/>
      <c r="I681"/>
      <c r="J681"/>
      <c r="K681"/>
      <c r="L681"/>
      <c r="M681"/>
      <c r="N681"/>
      <c r="O681"/>
      <c r="P681"/>
      <c r="Q681"/>
      <c r="R681"/>
      <c r="S681"/>
      <c r="T681"/>
      <c r="U681"/>
      <c r="V681"/>
      <c r="W681"/>
      <c r="X681"/>
      <c r="Y681"/>
    </row>
    <row r="682" spans="1:25" s="104" customFormat="1" hidden="1" x14ac:dyDescent="0.25">
      <c r="A682" s="97" t="str">
        <f t="shared" si="10"/>
        <v>dpi_vdd_dyn_Full_HD_|_1920x1080x30_fps_18b_|_3p3V</v>
      </c>
      <c r="B682" s="97" t="s">
        <v>699</v>
      </c>
      <c r="C682" s="97" t="s">
        <v>369</v>
      </c>
      <c r="D682" s="97" t="s">
        <v>766</v>
      </c>
      <c r="E682" s="97" t="s">
        <v>1050</v>
      </c>
      <c r="F682" s="97">
        <v>2.5413137519616004E-5</v>
      </c>
      <c r="G682" s="97" t="s">
        <v>629</v>
      </c>
      <c r="H682" s="5"/>
      <c r="I682"/>
      <c r="J682"/>
      <c r="K682"/>
      <c r="L682"/>
      <c r="M682"/>
      <c r="N682"/>
      <c r="O682"/>
      <c r="P682"/>
      <c r="Q682"/>
      <c r="R682"/>
      <c r="S682"/>
      <c r="T682"/>
      <c r="U682"/>
      <c r="V682"/>
      <c r="W682"/>
      <c r="X682"/>
      <c r="Y682"/>
    </row>
    <row r="683" spans="1:25" s="104" customFormat="1" hidden="1" x14ac:dyDescent="0.25">
      <c r="A683" s="97" t="str">
        <f t="shared" si="10"/>
        <v>dpi_vdd_dyn_Full_HD_|_1920x1080x30_fps_24b_|_1p8V</v>
      </c>
      <c r="B683" s="97" t="s">
        <v>699</v>
      </c>
      <c r="C683" s="97" t="s">
        <v>369</v>
      </c>
      <c r="D683" s="97" t="s">
        <v>838</v>
      </c>
      <c r="E683" s="97" t="s">
        <v>1050</v>
      </c>
      <c r="F683" s="97">
        <v>2.5413137519616004E-5</v>
      </c>
      <c r="G683" s="97" t="s">
        <v>629</v>
      </c>
      <c r="H683" s="5"/>
      <c r="I683"/>
      <c r="J683"/>
      <c r="K683"/>
      <c r="L683"/>
      <c r="M683"/>
      <c r="N683"/>
      <c r="O683"/>
      <c r="P683"/>
      <c r="Q683"/>
      <c r="R683"/>
      <c r="S683"/>
      <c r="T683"/>
      <c r="U683"/>
      <c r="V683"/>
      <c r="W683"/>
      <c r="X683"/>
      <c r="Y683"/>
    </row>
    <row r="684" spans="1:25" s="104" customFormat="1" hidden="1" x14ac:dyDescent="0.25">
      <c r="A684" s="97" t="str">
        <f t="shared" si="10"/>
        <v>dpi_vdd_dyn_Full_HD_|_1920x1080x30_fps_24b_|_3p3V</v>
      </c>
      <c r="B684" s="97" t="s">
        <v>699</v>
      </c>
      <c r="C684" s="97" t="s">
        <v>369</v>
      </c>
      <c r="D684" s="97" t="s">
        <v>767</v>
      </c>
      <c r="E684" s="97" t="s">
        <v>1050</v>
      </c>
      <c r="F684" s="97">
        <v>2.5413137519616004E-5</v>
      </c>
      <c r="G684" s="97" t="s">
        <v>629</v>
      </c>
      <c r="H684" s="5"/>
      <c r="I684"/>
      <c r="J684"/>
      <c r="K684"/>
      <c r="L684"/>
      <c r="M684"/>
      <c r="N684"/>
      <c r="O684"/>
      <c r="P684"/>
      <c r="Q684"/>
      <c r="R684"/>
      <c r="S684"/>
      <c r="T684"/>
      <c r="U684"/>
      <c r="V684"/>
      <c r="W684"/>
      <c r="X684"/>
      <c r="Y684"/>
    </row>
    <row r="685" spans="1:25" s="104" customFormat="1" hidden="1" x14ac:dyDescent="0.25">
      <c r="A685" s="97" t="str">
        <f t="shared" ref="A685:A748" si="11">B685&amp;"_"&amp;C685&amp;"_"&amp;D685</f>
        <v>dpi_vdd_dyn_Full_HD_|_1920x1080x60_fps_12b_|_1p8V</v>
      </c>
      <c r="B685" s="97" t="s">
        <v>699</v>
      </c>
      <c r="C685" s="97" t="s">
        <v>369</v>
      </c>
      <c r="D685" s="97" t="s">
        <v>839</v>
      </c>
      <c r="E685" s="97" t="s">
        <v>1050</v>
      </c>
      <c r="F685" s="97">
        <v>2.5413137519616004E-5</v>
      </c>
      <c r="G685" s="97" t="s">
        <v>629</v>
      </c>
      <c r="H685" s="5"/>
      <c r="I685"/>
      <c r="J685"/>
      <c r="K685"/>
      <c r="L685"/>
      <c r="M685"/>
      <c r="N685"/>
      <c r="O685"/>
      <c r="P685"/>
      <c r="Q685"/>
      <c r="R685"/>
      <c r="S685"/>
      <c r="T685"/>
      <c r="U685"/>
      <c r="V685"/>
      <c r="W685"/>
      <c r="X685"/>
      <c r="Y685"/>
    </row>
    <row r="686" spans="1:25" s="104" customFormat="1" hidden="1" x14ac:dyDescent="0.25">
      <c r="A686" s="97" t="str">
        <f t="shared" si="11"/>
        <v>dpi_vdd_dyn_Full_HD_|_1920x1080x60_fps_12b_|_3p3V</v>
      </c>
      <c r="B686" s="97" t="s">
        <v>699</v>
      </c>
      <c r="C686" s="97" t="s">
        <v>369</v>
      </c>
      <c r="D686" s="97" t="s">
        <v>768</v>
      </c>
      <c r="E686" s="97" t="s">
        <v>1050</v>
      </c>
      <c r="F686" s="97">
        <v>4.7431199692800009E-5</v>
      </c>
      <c r="G686" s="97" t="s">
        <v>629</v>
      </c>
      <c r="H686" s="5"/>
      <c r="I686"/>
      <c r="J686"/>
      <c r="K686"/>
      <c r="L686"/>
      <c r="M686"/>
      <c r="N686"/>
      <c r="O686"/>
      <c r="P686"/>
      <c r="Q686"/>
      <c r="R686"/>
      <c r="S686"/>
      <c r="T686"/>
      <c r="U686"/>
      <c r="V686"/>
      <c r="W686"/>
      <c r="X686"/>
      <c r="Y686"/>
    </row>
    <row r="687" spans="1:25" s="104" customFormat="1" hidden="1" x14ac:dyDescent="0.25">
      <c r="A687" s="97" t="str">
        <f t="shared" si="11"/>
        <v>dpi_vdd_dyn_Full_HD_|_1920x1080x60_fps_16b_|_1p8V</v>
      </c>
      <c r="B687" s="97" t="s">
        <v>699</v>
      </c>
      <c r="C687" s="97" t="s">
        <v>369</v>
      </c>
      <c r="D687" s="97" t="s">
        <v>840</v>
      </c>
      <c r="E687" s="97" t="s">
        <v>1050</v>
      </c>
      <c r="F687" s="97">
        <v>4.7431199692800009E-5</v>
      </c>
      <c r="G687" s="97" t="s">
        <v>629</v>
      </c>
      <c r="H687" s="5"/>
      <c r="I687"/>
      <c r="J687"/>
      <c r="K687"/>
      <c r="L687"/>
      <c r="M687"/>
      <c r="N687"/>
      <c r="O687"/>
      <c r="P687"/>
      <c r="Q687"/>
      <c r="R687"/>
      <c r="S687"/>
      <c r="T687"/>
      <c r="U687"/>
      <c r="V687"/>
      <c r="W687"/>
      <c r="X687"/>
      <c r="Y687"/>
    </row>
    <row r="688" spans="1:25" s="104" customFormat="1" hidden="1" x14ac:dyDescent="0.25">
      <c r="A688" s="97" t="str">
        <f t="shared" si="11"/>
        <v>dpi_vdd_dyn_Full_HD_|_1920x1080x60_fps_16b_|_3p3V</v>
      </c>
      <c r="B688" s="97" t="s">
        <v>699</v>
      </c>
      <c r="C688" s="97" t="s">
        <v>369</v>
      </c>
      <c r="D688" s="97" t="s">
        <v>769</v>
      </c>
      <c r="E688" s="97" t="s">
        <v>1050</v>
      </c>
      <c r="F688" s="97">
        <v>4.7431199692800009E-5</v>
      </c>
      <c r="G688" s="97" t="s">
        <v>629</v>
      </c>
      <c r="H688" s="5"/>
      <c r="I688"/>
      <c r="J688"/>
      <c r="K688"/>
      <c r="L688"/>
      <c r="M688"/>
      <c r="N688"/>
      <c r="O688"/>
      <c r="P688"/>
      <c r="Q688"/>
      <c r="R688"/>
      <c r="S688"/>
      <c r="T688"/>
      <c r="U688"/>
      <c r="V688"/>
      <c r="W688"/>
      <c r="X688"/>
      <c r="Y688"/>
    </row>
    <row r="689" spans="1:25" s="104" customFormat="1" hidden="1" x14ac:dyDescent="0.25">
      <c r="A689" s="97" t="str">
        <f t="shared" si="11"/>
        <v>dpi_vdd_dyn_Full_HD_|_1920x1080x60_fps_18b_|_1p8V</v>
      </c>
      <c r="B689" s="97" t="s">
        <v>699</v>
      </c>
      <c r="C689" s="97" t="s">
        <v>369</v>
      </c>
      <c r="D689" s="97" t="s">
        <v>841</v>
      </c>
      <c r="E689" s="97" t="s">
        <v>1050</v>
      </c>
      <c r="F689" s="97">
        <v>4.7431199692800009E-5</v>
      </c>
      <c r="G689" s="97" t="s">
        <v>629</v>
      </c>
      <c r="H689" s="5"/>
      <c r="I689"/>
      <c r="J689"/>
      <c r="K689"/>
      <c r="L689"/>
      <c r="M689"/>
      <c r="N689"/>
      <c r="O689"/>
      <c r="P689"/>
      <c r="Q689"/>
      <c r="R689"/>
      <c r="S689"/>
      <c r="T689"/>
      <c r="U689"/>
      <c r="V689"/>
      <c r="W689"/>
      <c r="X689"/>
      <c r="Y689"/>
    </row>
    <row r="690" spans="1:25" s="104" customFormat="1" hidden="1" x14ac:dyDescent="0.25">
      <c r="A690" s="97" t="str">
        <f t="shared" si="11"/>
        <v>dpi_vdd_dyn_Full_HD_|_1920x1080x60_fps_18b_|_3p3V</v>
      </c>
      <c r="B690" s="97" t="s">
        <v>699</v>
      </c>
      <c r="C690" s="97" t="s">
        <v>369</v>
      </c>
      <c r="D690" s="97" t="s">
        <v>770</v>
      </c>
      <c r="E690" s="97" t="s">
        <v>1050</v>
      </c>
      <c r="F690" s="97">
        <v>5.0826275039232008E-5</v>
      </c>
      <c r="G690" s="97" t="s">
        <v>629</v>
      </c>
      <c r="H690" s="5"/>
      <c r="I690"/>
      <c r="J690"/>
      <c r="K690"/>
      <c r="L690"/>
      <c r="M690"/>
      <c r="N690"/>
      <c r="O690"/>
      <c r="P690"/>
      <c r="Q690"/>
      <c r="R690"/>
      <c r="S690"/>
      <c r="T690"/>
      <c r="U690"/>
      <c r="V690"/>
      <c r="W690"/>
      <c r="X690"/>
      <c r="Y690"/>
    </row>
    <row r="691" spans="1:25" s="104" customFormat="1" hidden="1" x14ac:dyDescent="0.25">
      <c r="A691" s="97" t="str">
        <f t="shared" si="11"/>
        <v>dpi_vdd_dyn_Full_HD_|_1920x1080x60_fps_24b_|_1p8V</v>
      </c>
      <c r="B691" s="97" t="s">
        <v>699</v>
      </c>
      <c r="C691" s="97" t="s">
        <v>369</v>
      </c>
      <c r="D691" s="97" t="s">
        <v>842</v>
      </c>
      <c r="E691" s="97" t="s">
        <v>1050</v>
      </c>
      <c r="F691" s="97">
        <v>5.0826275039232008E-5</v>
      </c>
      <c r="G691" s="97" t="s">
        <v>629</v>
      </c>
      <c r="H691" s="5"/>
      <c r="I691"/>
      <c r="J691"/>
      <c r="K691"/>
      <c r="L691"/>
      <c r="M691"/>
      <c r="N691"/>
      <c r="O691"/>
      <c r="P691"/>
      <c r="Q691"/>
      <c r="R691"/>
      <c r="S691"/>
      <c r="T691"/>
      <c r="U691"/>
      <c r="V691"/>
      <c r="W691"/>
      <c r="X691"/>
      <c r="Y691"/>
    </row>
    <row r="692" spans="1:25" s="104" customFormat="1" hidden="1" x14ac:dyDescent="0.25">
      <c r="A692" s="97" t="str">
        <f t="shared" si="11"/>
        <v>dpi_vdd_dyn_Full_HD_|_1920x1080x60_fps_24b_|_3p3V</v>
      </c>
      <c r="B692" s="97" t="s">
        <v>699</v>
      </c>
      <c r="C692" s="97" t="s">
        <v>369</v>
      </c>
      <c r="D692" s="97" t="s">
        <v>771</v>
      </c>
      <c r="E692" s="97" t="s">
        <v>1050</v>
      </c>
      <c r="F692" s="97">
        <v>5.0826275039232008E-5</v>
      </c>
      <c r="G692" s="97" t="s">
        <v>629</v>
      </c>
      <c r="H692" s="5"/>
      <c r="I692"/>
      <c r="J692"/>
      <c r="K692"/>
      <c r="L692"/>
      <c r="M692"/>
      <c r="N692"/>
      <c r="O692"/>
      <c r="P692"/>
      <c r="Q692"/>
      <c r="R692"/>
      <c r="S692"/>
      <c r="T692"/>
      <c r="U692"/>
      <c r="V692"/>
      <c r="W692"/>
      <c r="X692"/>
      <c r="Y692"/>
    </row>
    <row r="693" spans="1:25" s="104" customFormat="1" hidden="1" x14ac:dyDescent="0.25">
      <c r="A693" s="97" t="str">
        <f t="shared" si="11"/>
        <v>dpi_vdd_dyn_Full_HD_|_1920x720x30_fps_12b_|_1p8V</v>
      </c>
      <c r="B693" s="97" t="s">
        <v>699</v>
      </c>
      <c r="C693" s="97" t="s">
        <v>369</v>
      </c>
      <c r="D693" s="97" t="s">
        <v>827</v>
      </c>
      <c r="E693" s="97" t="s">
        <v>1050</v>
      </c>
      <c r="F693" s="97">
        <v>4.7374812429120002E-5</v>
      </c>
      <c r="G693" s="97" t="s">
        <v>629</v>
      </c>
      <c r="H693" s="5"/>
      <c r="I693"/>
      <c r="J693"/>
      <c r="K693"/>
      <c r="L693"/>
      <c r="M693"/>
      <c r="N693"/>
      <c r="O693"/>
      <c r="P693"/>
      <c r="Q693"/>
      <c r="R693"/>
      <c r="S693"/>
      <c r="T693"/>
      <c r="U693"/>
      <c r="V693"/>
      <c r="W693"/>
      <c r="X693"/>
      <c r="Y693"/>
    </row>
    <row r="694" spans="1:25" s="104" customFormat="1" hidden="1" x14ac:dyDescent="0.25">
      <c r="A694" s="97" t="str">
        <f t="shared" si="11"/>
        <v>dpi_vdd_dyn_Full_HD_|_1920x720x30_fps_12b_|_3p3V</v>
      </c>
      <c r="B694" s="97" t="s">
        <v>699</v>
      </c>
      <c r="C694" s="97" t="s">
        <v>369</v>
      </c>
      <c r="D694" s="97" t="s">
        <v>756</v>
      </c>
      <c r="E694" s="97" t="s">
        <v>1050</v>
      </c>
      <c r="F694" s="97">
        <v>1.5346749749760003E-5</v>
      </c>
      <c r="G694" s="97" t="s">
        <v>629</v>
      </c>
      <c r="H694" s="5"/>
      <c r="I694"/>
      <c r="J694"/>
      <c r="K694"/>
      <c r="L694"/>
      <c r="M694"/>
      <c r="N694"/>
      <c r="O694"/>
      <c r="P694"/>
      <c r="Q694"/>
      <c r="R694"/>
      <c r="S694"/>
      <c r="T694"/>
      <c r="U694"/>
      <c r="V694"/>
      <c r="W694"/>
      <c r="X694"/>
      <c r="Y694"/>
    </row>
    <row r="695" spans="1:25" s="104" customFormat="1" hidden="1" x14ac:dyDescent="0.25">
      <c r="A695" s="97" t="str">
        <f t="shared" si="11"/>
        <v>dpi_vdd_dyn_Full_HD_|_1920x720x30_fps_16b_|_1p8V</v>
      </c>
      <c r="B695" s="97" t="s">
        <v>699</v>
      </c>
      <c r="C695" s="97" t="s">
        <v>369</v>
      </c>
      <c r="D695" s="97" t="s">
        <v>828</v>
      </c>
      <c r="E695" s="97" t="s">
        <v>1050</v>
      </c>
      <c r="F695" s="97">
        <v>1.5346749749760003E-5</v>
      </c>
      <c r="G695" s="97" t="s">
        <v>629</v>
      </c>
      <c r="H695" s="5"/>
      <c r="I695"/>
      <c r="J695"/>
      <c r="K695"/>
      <c r="L695"/>
      <c r="M695"/>
      <c r="N695"/>
      <c r="O695"/>
      <c r="P695"/>
      <c r="Q695"/>
      <c r="R695"/>
      <c r="S695"/>
      <c r="T695"/>
      <c r="U695"/>
      <c r="V695"/>
      <c r="W695"/>
      <c r="X695"/>
      <c r="Y695"/>
    </row>
    <row r="696" spans="1:25" s="104" customFormat="1" hidden="1" x14ac:dyDescent="0.25">
      <c r="A696" s="97" t="str">
        <f t="shared" si="11"/>
        <v>dpi_vdd_dyn_Full_HD_|_1920x720x30_fps_16b_|_3p3V</v>
      </c>
      <c r="B696" s="97" t="s">
        <v>699</v>
      </c>
      <c r="C696" s="97" t="s">
        <v>369</v>
      </c>
      <c r="D696" s="97" t="s">
        <v>757</v>
      </c>
      <c r="E696" s="97" t="s">
        <v>1050</v>
      </c>
      <c r="F696" s="97">
        <v>1.5346749749760003E-5</v>
      </c>
      <c r="G696" s="97" t="s">
        <v>629</v>
      </c>
      <c r="H696" s="5"/>
      <c r="I696"/>
      <c r="J696"/>
      <c r="K696"/>
      <c r="L696"/>
      <c r="M696"/>
      <c r="N696"/>
      <c r="O696"/>
      <c r="P696"/>
      <c r="Q696"/>
      <c r="R696"/>
      <c r="S696"/>
      <c r="T696"/>
      <c r="U696"/>
      <c r="V696"/>
      <c r="W696"/>
      <c r="X696"/>
      <c r="Y696"/>
    </row>
    <row r="697" spans="1:25" s="104" customFormat="1" hidden="1" x14ac:dyDescent="0.25">
      <c r="A697" s="97" t="str">
        <f t="shared" si="11"/>
        <v>dpi_vdd_dyn_Full_HD_|_1920x720x30_fps_18b_|_1p8V</v>
      </c>
      <c r="B697" s="97" t="s">
        <v>699</v>
      </c>
      <c r="C697" s="97" t="s">
        <v>369</v>
      </c>
      <c r="D697" s="97" t="s">
        <v>829</v>
      </c>
      <c r="E697" s="97" t="s">
        <v>1050</v>
      </c>
      <c r="F697" s="97">
        <v>1.5346749749760003E-5</v>
      </c>
      <c r="G697" s="97" t="s">
        <v>629</v>
      </c>
      <c r="H697" s="5"/>
      <c r="I697"/>
      <c r="J697"/>
      <c r="K697"/>
      <c r="L697"/>
      <c r="M697"/>
      <c r="N697"/>
      <c r="O697"/>
      <c r="P697"/>
      <c r="Q697"/>
      <c r="R697"/>
      <c r="S697"/>
      <c r="T697"/>
      <c r="U697"/>
      <c r="V697"/>
      <c r="W697"/>
      <c r="X697"/>
      <c r="Y697"/>
    </row>
    <row r="698" spans="1:25" s="104" customFormat="1" hidden="1" x14ac:dyDescent="0.25">
      <c r="A698" s="97" t="str">
        <f t="shared" si="11"/>
        <v>dpi_vdd_dyn_Full_HD_|_1920x720x30_fps_18b_|_3p3V</v>
      </c>
      <c r="B698" s="97" t="s">
        <v>699</v>
      </c>
      <c r="C698" s="97" t="s">
        <v>369</v>
      </c>
      <c r="D698" s="97" t="s">
        <v>758</v>
      </c>
      <c r="E698" s="97" t="s">
        <v>1050</v>
      </c>
      <c r="F698" s="97">
        <v>1.6445253942374401E-5</v>
      </c>
      <c r="G698" s="97" t="s">
        <v>629</v>
      </c>
      <c r="H698" s="5"/>
      <c r="I698"/>
      <c r="J698"/>
      <c r="K698"/>
      <c r="L698"/>
      <c r="M698"/>
      <c r="N698"/>
      <c r="O698"/>
      <c r="P698"/>
      <c r="Q698"/>
      <c r="R698"/>
      <c r="S698"/>
      <c r="T698"/>
      <c r="U698"/>
      <c r="V698"/>
      <c r="W698"/>
      <c r="X698"/>
      <c r="Y698"/>
    </row>
    <row r="699" spans="1:25" s="104" customFormat="1" hidden="1" x14ac:dyDescent="0.25">
      <c r="A699" s="97" t="str">
        <f t="shared" si="11"/>
        <v>dpi_vdd_dyn_Full_HD_|_1920x720x30_fps_24b_|_1p8V</v>
      </c>
      <c r="B699" s="97" t="s">
        <v>699</v>
      </c>
      <c r="C699" s="97" t="s">
        <v>369</v>
      </c>
      <c r="D699" s="97" t="s">
        <v>830</v>
      </c>
      <c r="E699" s="97" t="s">
        <v>1050</v>
      </c>
      <c r="F699" s="97">
        <v>1.6445253942374401E-5</v>
      </c>
      <c r="G699" s="97" t="s">
        <v>629</v>
      </c>
      <c r="H699" s="5"/>
      <c r="I699"/>
      <c r="J699"/>
      <c r="K699"/>
      <c r="L699"/>
      <c r="M699"/>
      <c r="N699"/>
      <c r="O699"/>
      <c r="P699"/>
      <c r="Q699"/>
      <c r="R699"/>
      <c r="S699"/>
      <c r="T699"/>
      <c r="U699"/>
      <c r="V699"/>
      <c r="W699"/>
      <c r="X699"/>
      <c r="Y699"/>
    </row>
    <row r="700" spans="1:25" s="104" customFormat="1" hidden="1" x14ac:dyDescent="0.25">
      <c r="A700" s="97" t="str">
        <f t="shared" si="11"/>
        <v>dpi_vdd_dyn_Full_HD_|_1920x720x30_fps_24b_|_3p3V</v>
      </c>
      <c r="B700" s="97" t="s">
        <v>699</v>
      </c>
      <c r="C700" s="97" t="s">
        <v>369</v>
      </c>
      <c r="D700" s="97" t="s">
        <v>759</v>
      </c>
      <c r="E700" s="97" t="s">
        <v>1050</v>
      </c>
      <c r="F700" s="97">
        <v>1.6445253942374401E-5</v>
      </c>
      <c r="G700" s="97" t="s">
        <v>629</v>
      </c>
      <c r="H700" s="5"/>
      <c r="I700"/>
      <c r="J700"/>
      <c r="K700"/>
      <c r="L700"/>
      <c r="M700"/>
      <c r="N700"/>
      <c r="O700"/>
      <c r="P700"/>
      <c r="Q700"/>
      <c r="R700"/>
      <c r="S700"/>
      <c r="T700"/>
      <c r="U700"/>
      <c r="V700"/>
      <c r="W700"/>
      <c r="X700"/>
      <c r="Y700"/>
    </row>
    <row r="701" spans="1:25" s="104" customFormat="1" hidden="1" x14ac:dyDescent="0.25">
      <c r="A701" s="97" t="str">
        <f t="shared" si="11"/>
        <v>dpi_vdd_dyn_Full_HD_|_1920x720x60_fps_12b_|_1p8V</v>
      </c>
      <c r="B701" s="97" t="s">
        <v>699</v>
      </c>
      <c r="C701" s="97" t="s">
        <v>369</v>
      </c>
      <c r="D701" s="97" t="s">
        <v>831</v>
      </c>
      <c r="E701" s="97" t="s">
        <v>1050</v>
      </c>
      <c r="F701" s="97">
        <v>1.6445253942374401E-5</v>
      </c>
      <c r="G701" s="97" t="s">
        <v>629</v>
      </c>
      <c r="H701" s="5"/>
      <c r="I701"/>
      <c r="J701"/>
      <c r="K701"/>
      <c r="L701"/>
      <c r="M701"/>
      <c r="N701"/>
      <c r="O701"/>
      <c r="P701"/>
      <c r="Q701"/>
      <c r="R701"/>
      <c r="S701"/>
      <c r="T701"/>
      <c r="U701"/>
      <c r="V701"/>
      <c r="W701"/>
      <c r="X701"/>
      <c r="Y701"/>
    </row>
    <row r="702" spans="1:25" s="104" customFormat="1" hidden="1" x14ac:dyDescent="0.25">
      <c r="A702" s="97" t="str">
        <f t="shared" si="11"/>
        <v>dpi_vdd_dyn_Full_HD_|_1920x720x60_fps_12b_|_3p3V</v>
      </c>
      <c r="B702" s="97" t="s">
        <v>699</v>
      </c>
      <c r="C702" s="97" t="s">
        <v>369</v>
      </c>
      <c r="D702" s="97" t="s">
        <v>760</v>
      </c>
      <c r="E702" s="97" t="s">
        <v>1050</v>
      </c>
      <c r="F702" s="97">
        <v>3.0693499499520006E-5</v>
      </c>
      <c r="G702" s="97" t="s">
        <v>629</v>
      </c>
      <c r="H702" s="5"/>
      <c r="I702"/>
      <c r="J702"/>
      <c r="K702"/>
      <c r="L702"/>
      <c r="M702"/>
      <c r="N702"/>
      <c r="O702"/>
      <c r="P702"/>
      <c r="Q702"/>
      <c r="R702"/>
      <c r="S702"/>
      <c r="T702"/>
      <c r="U702"/>
      <c r="V702"/>
      <c r="W702"/>
      <c r="X702"/>
      <c r="Y702"/>
    </row>
    <row r="703" spans="1:25" s="104" customFormat="1" hidden="1" x14ac:dyDescent="0.25">
      <c r="A703" s="97" t="str">
        <f t="shared" si="11"/>
        <v>dpi_vdd_dyn_Full_HD_|_1920x720x60_fps_16b_|_1p8V</v>
      </c>
      <c r="B703" s="97" t="s">
        <v>699</v>
      </c>
      <c r="C703" s="97" t="s">
        <v>369</v>
      </c>
      <c r="D703" s="97" t="s">
        <v>832</v>
      </c>
      <c r="E703" s="97" t="s">
        <v>1050</v>
      </c>
      <c r="F703" s="97">
        <v>3.0693499499520006E-5</v>
      </c>
      <c r="G703" s="97" t="s">
        <v>629</v>
      </c>
      <c r="H703" s="5"/>
      <c r="I703"/>
      <c r="J703"/>
      <c r="K703"/>
      <c r="L703"/>
      <c r="M703"/>
      <c r="N703"/>
      <c r="O703"/>
      <c r="P703"/>
      <c r="Q703"/>
      <c r="R703"/>
      <c r="S703"/>
      <c r="T703"/>
      <c r="U703"/>
      <c r="V703"/>
      <c r="W703"/>
      <c r="X703"/>
      <c r="Y703"/>
    </row>
    <row r="704" spans="1:25" s="104" customFormat="1" hidden="1" x14ac:dyDescent="0.25">
      <c r="A704" s="97" t="str">
        <f t="shared" si="11"/>
        <v>dpi_vdd_dyn_Full_HD_|_1920x720x60_fps_16b_|_3p3V</v>
      </c>
      <c r="B704" s="97" t="s">
        <v>699</v>
      </c>
      <c r="C704" s="97" t="s">
        <v>369</v>
      </c>
      <c r="D704" s="97" t="s">
        <v>761</v>
      </c>
      <c r="E704" s="97" t="s">
        <v>1050</v>
      </c>
      <c r="F704" s="97">
        <v>3.0693499499520006E-5</v>
      </c>
      <c r="G704" s="97" t="s">
        <v>629</v>
      </c>
      <c r="H704" s="5"/>
      <c r="I704"/>
      <c r="J704"/>
      <c r="K704"/>
      <c r="L704"/>
      <c r="M704"/>
      <c r="N704"/>
      <c r="O704"/>
      <c r="P704"/>
      <c r="Q704"/>
      <c r="R704"/>
      <c r="S704"/>
      <c r="T704"/>
      <c r="U704"/>
      <c r="V704"/>
      <c r="W704"/>
      <c r="X704"/>
      <c r="Y704"/>
    </row>
    <row r="705" spans="1:25" s="104" customFormat="1" hidden="1" x14ac:dyDescent="0.25">
      <c r="A705" s="97" t="str">
        <f t="shared" si="11"/>
        <v>dpi_vdd_dyn_Full_HD_|_1920x720x60_fps_18b_|_1p8V</v>
      </c>
      <c r="B705" s="97" t="s">
        <v>699</v>
      </c>
      <c r="C705" s="97" t="s">
        <v>369</v>
      </c>
      <c r="D705" s="97" t="s">
        <v>833</v>
      </c>
      <c r="E705" s="97" t="s">
        <v>1050</v>
      </c>
      <c r="F705" s="97">
        <v>3.0693499499520006E-5</v>
      </c>
      <c r="G705" s="97" t="s">
        <v>629</v>
      </c>
      <c r="H705" s="5"/>
      <c r="I705"/>
      <c r="J705"/>
      <c r="K705"/>
      <c r="L705"/>
      <c r="M705"/>
      <c r="N705"/>
      <c r="O705"/>
      <c r="P705"/>
      <c r="Q705"/>
      <c r="R705"/>
      <c r="S705"/>
      <c r="T705"/>
      <c r="U705"/>
      <c r="V705"/>
      <c r="W705"/>
      <c r="X705"/>
      <c r="Y705"/>
    </row>
    <row r="706" spans="1:25" s="104" customFormat="1" hidden="1" x14ac:dyDescent="0.25">
      <c r="A706" s="97" t="str">
        <f t="shared" si="11"/>
        <v>dpi_vdd_dyn_Full_HD_|_1920x720x60_fps_18b_|_3p3V</v>
      </c>
      <c r="B706" s="97" t="s">
        <v>699</v>
      </c>
      <c r="C706" s="97" t="s">
        <v>369</v>
      </c>
      <c r="D706" s="97" t="s">
        <v>762</v>
      </c>
      <c r="E706" s="97" t="s">
        <v>1050</v>
      </c>
      <c r="F706" s="97">
        <v>3.2890507884748802E-5</v>
      </c>
      <c r="G706" s="97" t="s">
        <v>629</v>
      </c>
      <c r="H706" s="5"/>
      <c r="I706"/>
      <c r="J706"/>
      <c r="K706"/>
      <c r="L706"/>
      <c r="M706"/>
      <c r="N706"/>
      <c r="O706"/>
      <c r="P706"/>
      <c r="Q706"/>
      <c r="R706"/>
      <c r="S706"/>
      <c r="T706"/>
      <c r="U706"/>
      <c r="V706"/>
      <c r="W706"/>
      <c r="X706"/>
      <c r="Y706"/>
    </row>
    <row r="707" spans="1:25" s="104" customFormat="1" hidden="1" x14ac:dyDescent="0.25">
      <c r="A707" s="97" t="str">
        <f t="shared" si="11"/>
        <v>dpi_vdd_dyn_Full_HD_|_1920x720x60_fps_24b_|_1p8V</v>
      </c>
      <c r="B707" s="97" t="s">
        <v>699</v>
      </c>
      <c r="C707" s="97" t="s">
        <v>369</v>
      </c>
      <c r="D707" s="97" t="s">
        <v>834</v>
      </c>
      <c r="E707" s="97" t="s">
        <v>1050</v>
      </c>
      <c r="F707" s="97">
        <v>3.2890507884748802E-5</v>
      </c>
      <c r="G707" s="97" t="s">
        <v>629</v>
      </c>
      <c r="H707" s="5"/>
      <c r="I707"/>
      <c r="J707"/>
      <c r="K707"/>
      <c r="L707"/>
      <c r="M707"/>
      <c r="N707"/>
      <c r="O707"/>
      <c r="P707"/>
      <c r="Q707"/>
      <c r="R707"/>
      <c r="S707"/>
      <c r="T707"/>
      <c r="U707"/>
      <c r="V707"/>
      <c r="W707"/>
      <c r="X707"/>
      <c r="Y707"/>
    </row>
    <row r="708" spans="1:25" s="104" customFormat="1" hidden="1" x14ac:dyDescent="0.25">
      <c r="A708" s="97" t="str">
        <f t="shared" si="11"/>
        <v>dpi_vdd_dyn_Full_HD_|_1920x720x60_fps_24b_|_3p3V</v>
      </c>
      <c r="B708" s="97" t="s">
        <v>699</v>
      </c>
      <c r="C708" s="97" t="s">
        <v>369</v>
      </c>
      <c r="D708" s="97" t="s">
        <v>763</v>
      </c>
      <c r="E708" s="97" t="s">
        <v>1050</v>
      </c>
      <c r="F708" s="97">
        <v>3.2890507884748802E-5</v>
      </c>
      <c r="G708" s="97" t="s">
        <v>629</v>
      </c>
      <c r="H708" s="5"/>
      <c r="I708"/>
      <c r="J708"/>
      <c r="K708"/>
      <c r="L708"/>
      <c r="M708"/>
      <c r="N708"/>
      <c r="O708"/>
      <c r="P708"/>
      <c r="Q708"/>
      <c r="R708"/>
      <c r="S708"/>
      <c r="T708"/>
      <c r="U708"/>
      <c r="V708"/>
      <c r="W708"/>
      <c r="X708"/>
      <c r="Y708"/>
    </row>
    <row r="709" spans="1:25" s="104" customFormat="1" hidden="1" x14ac:dyDescent="0.25">
      <c r="A709" s="97" t="str">
        <f t="shared" si="11"/>
        <v>dpi_vdd_dyn_HD_|_1280x720x30_fps_12b_|_1p8V</v>
      </c>
      <c r="B709" s="97" t="s">
        <v>699</v>
      </c>
      <c r="C709" s="97" t="s">
        <v>369</v>
      </c>
      <c r="D709" s="97" t="s">
        <v>788</v>
      </c>
      <c r="E709" s="97" t="s">
        <v>1050</v>
      </c>
      <c r="F709" s="97">
        <v>2.2410358043673598E-5</v>
      </c>
      <c r="G709" s="97" t="s">
        <v>629</v>
      </c>
      <c r="H709" s="5"/>
      <c r="I709"/>
      <c r="J709"/>
      <c r="K709"/>
      <c r="L709"/>
      <c r="M709"/>
      <c r="N709"/>
      <c r="O709"/>
      <c r="P709"/>
      <c r="Q709"/>
      <c r="R709"/>
      <c r="S709"/>
      <c r="T709"/>
      <c r="U709"/>
      <c r="V709"/>
      <c r="W709"/>
      <c r="X709"/>
      <c r="Y709"/>
    </row>
    <row r="710" spans="1:25" s="104" customFormat="1" hidden="1" x14ac:dyDescent="0.25">
      <c r="A710" s="97" t="str">
        <f t="shared" si="11"/>
        <v>dpi_vdd_dyn_HD_|_1280x720x30_fps_12b_|_3p3V</v>
      </c>
      <c r="B710" s="97" t="s">
        <v>699</v>
      </c>
      <c r="C710" s="97" t="s">
        <v>369</v>
      </c>
      <c r="D710" s="97" t="s">
        <v>715</v>
      </c>
      <c r="E710" s="97" t="s">
        <v>1050</v>
      </c>
      <c r="F710" s="97">
        <v>1.023116649984E-5</v>
      </c>
      <c r="G710" s="97" t="s">
        <v>629</v>
      </c>
      <c r="H710" s="5"/>
      <c r="I710"/>
      <c r="J710"/>
      <c r="K710"/>
      <c r="L710"/>
      <c r="M710"/>
      <c r="N710"/>
      <c r="O710"/>
      <c r="P710"/>
      <c r="Q710"/>
      <c r="R710"/>
      <c r="S710"/>
      <c r="T710"/>
      <c r="U710"/>
      <c r="V710"/>
      <c r="W710"/>
      <c r="X710"/>
      <c r="Y710"/>
    </row>
    <row r="711" spans="1:25" s="104" customFormat="1" hidden="1" x14ac:dyDescent="0.25">
      <c r="A711" s="97" t="str">
        <f t="shared" si="11"/>
        <v>dpi_vdd_dyn_HD_|_1280x720x30_fps_16b_|_1p8V</v>
      </c>
      <c r="B711" s="97" t="s">
        <v>699</v>
      </c>
      <c r="C711" s="97" t="s">
        <v>369</v>
      </c>
      <c r="D711" s="97" t="s">
        <v>789</v>
      </c>
      <c r="E711" s="97" t="s">
        <v>1050</v>
      </c>
      <c r="F711" s="97">
        <v>1.023116649984E-5</v>
      </c>
      <c r="G711" s="97" t="s">
        <v>629</v>
      </c>
      <c r="H711" s="5"/>
      <c r="I711"/>
      <c r="J711"/>
      <c r="K711"/>
      <c r="L711"/>
      <c r="M711"/>
      <c r="N711"/>
      <c r="O711"/>
      <c r="P711"/>
      <c r="Q711"/>
      <c r="R711"/>
      <c r="S711"/>
      <c r="T711"/>
      <c r="U711"/>
      <c r="V711"/>
      <c r="W711"/>
      <c r="X711"/>
      <c r="Y711"/>
    </row>
    <row r="712" spans="1:25" s="104" customFormat="1" hidden="1" x14ac:dyDescent="0.25">
      <c r="A712" s="97" t="str">
        <f t="shared" si="11"/>
        <v>dpi_vdd_dyn_HD_|_1280x720x30_fps_16b_|_3p3V</v>
      </c>
      <c r="B712" s="97" t="s">
        <v>699</v>
      </c>
      <c r="C712" s="97" t="s">
        <v>369</v>
      </c>
      <c r="D712" s="97" t="s">
        <v>716</v>
      </c>
      <c r="E712" s="97" t="s">
        <v>1050</v>
      </c>
      <c r="F712" s="97">
        <v>1.023116649984E-5</v>
      </c>
      <c r="G712" s="97" t="s">
        <v>629</v>
      </c>
      <c r="H712" s="5"/>
      <c r="I712"/>
      <c r="J712"/>
      <c r="K712"/>
      <c r="L712"/>
      <c r="M712"/>
      <c r="N712"/>
      <c r="O712"/>
      <c r="P712"/>
      <c r="Q712"/>
      <c r="R712"/>
      <c r="S712"/>
      <c r="T712"/>
      <c r="U712"/>
      <c r="V712"/>
      <c r="W712"/>
      <c r="X712"/>
      <c r="Y712"/>
    </row>
    <row r="713" spans="1:25" s="104" customFormat="1" hidden="1" x14ac:dyDescent="0.25">
      <c r="A713" s="97" t="str">
        <f t="shared" si="11"/>
        <v>dpi_vdd_dyn_HD_|_1280x720x30_fps_24b_|_1p8V</v>
      </c>
      <c r="B713" s="97" t="s">
        <v>699</v>
      </c>
      <c r="C713" s="97" t="s">
        <v>369</v>
      </c>
      <c r="D713" s="97" t="s">
        <v>790</v>
      </c>
      <c r="E713" s="97" t="s">
        <v>1050</v>
      </c>
      <c r="F713" s="97">
        <v>1.023116649984E-5</v>
      </c>
      <c r="G713" s="97" t="s">
        <v>629</v>
      </c>
      <c r="H713" s="5"/>
      <c r="I713"/>
      <c r="J713"/>
      <c r="K713"/>
      <c r="L713"/>
      <c r="M713"/>
      <c r="N713"/>
      <c r="O713"/>
      <c r="P713"/>
      <c r="Q713"/>
      <c r="R713"/>
      <c r="S713"/>
      <c r="T713"/>
      <c r="U713"/>
      <c r="V713"/>
      <c r="W713"/>
      <c r="X713"/>
      <c r="Y713"/>
    </row>
    <row r="714" spans="1:25" s="104" customFormat="1" hidden="1" x14ac:dyDescent="0.25">
      <c r="A714" s="97" t="str">
        <f t="shared" si="11"/>
        <v>dpi_vdd_dyn_HD_|_1280x720x30_fps_24b_|_1p8V</v>
      </c>
      <c r="B714" s="97" t="s">
        <v>699</v>
      </c>
      <c r="C714" s="97" t="s">
        <v>369</v>
      </c>
      <c r="D714" s="97" t="s">
        <v>790</v>
      </c>
      <c r="E714" s="97" t="s">
        <v>1050</v>
      </c>
      <c r="F714" s="97">
        <v>1.3160511013478397E-5</v>
      </c>
      <c r="G714" s="97" t="s">
        <v>629</v>
      </c>
      <c r="H714" s="5"/>
      <c r="I714"/>
      <c r="J714"/>
      <c r="K714"/>
      <c r="L714"/>
      <c r="M714"/>
      <c r="N714"/>
      <c r="O714"/>
      <c r="P714"/>
      <c r="Q714"/>
      <c r="R714"/>
      <c r="S714"/>
      <c r="T714"/>
      <c r="U714"/>
      <c r="V714"/>
      <c r="W714"/>
      <c r="X714"/>
      <c r="Y714"/>
    </row>
    <row r="715" spans="1:25" s="104" customFormat="1" hidden="1" x14ac:dyDescent="0.25">
      <c r="A715" s="97" t="str">
        <f t="shared" si="11"/>
        <v>dpi_vdd_dyn_HD_|_1280x720x30_fps_24b_|_3p3V</v>
      </c>
      <c r="B715" s="97" t="s">
        <v>699</v>
      </c>
      <c r="C715" s="97" t="s">
        <v>369</v>
      </c>
      <c r="D715" s="97" t="s">
        <v>717</v>
      </c>
      <c r="E715" s="97" t="s">
        <v>1050</v>
      </c>
      <c r="F715" s="97">
        <v>1.3160511013478397E-5</v>
      </c>
      <c r="G715" s="97" t="s">
        <v>629</v>
      </c>
      <c r="H715" s="5"/>
      <c r="I715"/>
      <c r="J715"/>
      <c r="K715"/>
      <c r="L715"/>
      <c r="M715"/>
      <c r="N715"/>
      <c r="O715"/>
      <c r="P715"/>
      <c r="Q715"/>
      <c r="R715"/>
      <c r="S715"/>
      <c r="T715"/>
      <c r="U715"/>
      <c r="V715"/>
      <c r="W715"/>
      <c r="X715"/>
      <c r="Y715"/>
    </row>
    <row r="716" spans="1:25" s="104" customFormat="1" hidden="1" x14ac:dyDescent="0.25">
      <c r="A716" s="97" t="str">
        <f t="shared" si="11"/>
        <v>dpi_vdd_dyn_HD_|_1280x720x30_fps_24b_|_3p3V</v>
      </c>
      <c r="B716" s="97" t="s">
        <v>699</v>
      </c>
      <c r="C716" s="97" t="s">
        <v>369</v>
      </c>
      <c r="D716" s="97" t="s">
        <v>717</v>
      </c>
      <c r="E716" s="97" t="s">
        <v>1050</v>
      </c>
      <c r="F716" s="97">
        <v>1.3160511013478397E-5</v>
      </c>
      <c r="G716" s="97" t="s">
        <v>629</v>
      </c>
      <c r="H716" s="5"/>
      <c r="I716"/>
      <c r="J716"/>
      <c r="K716"/>
      <c r="L716"/>
      <c r="M716"/>
      <c r="N716"/>
      <c r="O716"/>
      <c r="P716"/>
      <c r="Q716"/>
      <c r="R716"/>
      <c r="S716"/>
      <c r="T716"/>
      <c r="U716"/>
      <c r="V716"/>
      <c r="W716"/>
      <c r="X716"/>
      <c r="Y716"/>
    </row>
    <row r="717" spans="1:25" s="104" customFormat="1" hidden="1" x14ac:dyDescent="0.25">
      <c r="A717" s="97" t="str">
        <f t="shared" si="11"/>
        <v>dpi_vdd_dyn_HD_|_1280x720x60_fps_12b_|_1p8V</v>
      </c>
      <c r="B717" s="97" t="s">
        <v>699</v>
      </c>
      <c r="C717" s="97" t="s">
        <v>369</v>
      </c>
      <c r="D717" s="97" t="s">
        <v>791</v>
      </c>
      <c r="E717" s="97" t="s">
        <v>1050</v>
      </c>
      <c r="F717" s="97">
        <v>1.3160511013478397E-5</v>
      </c>
      <c r="G717" s="97" t="s">
        <v>629</v>
      </c>
      <c r="H717" s="5"/>
      <c r="I717"/>
      <c r="J717"/>
      <c r="K717"/>
      <c r="L717"/>
      <c r="M717"/>
      <c r="N717"/>
      <c r="O717"/>
      <c r="P717"/>
      <c r="Q717"/>
      <c r="R717"/>
      <c r="S717"/>
      <c r="T717"/>
      <c r="U717"/>
      <c r="V717"/>
      <c r="W717"/>
      <c r="X717"/>
      <c r="Y717"/>
    </row>
    <row r="718" spans="1:25" s="104" customFormat="1" hidden="1" x14ac:dyDescent="0.25">
      <c r="A718" s="97" t="str">
        <f t="shared" si="11"/>
        <v>dpi_vdd_dyn_HD_|_1280x720x60_fps_12b_|_3p3V</v>
      </c>
      <c r="B718" s="97" t="s">
        <v>699</v>
      </c>
      <c r="C718" s="97" t="s">
        <v>369</v>
      </c>
      <c r="D718" s="97" t="s">
        <v>718</v>
      </c>
      <c r="E718" s="97" t="s">
        <v>1050</v>
      </c>
      <c r="F718" s="97">
        <v>2.046233299968E-5</v>
      </c>
      <c r="G718" s="97" t="s">
        <v>629</v>
      </c>
      <c r="H718" s="5"/>
      <c r="I718"/>
      <c r="J718"/>
      <c r="K718"/>
      <c r="L718"/>
      <c r="M718"/>
      <c r="N718"/>
      <c r="O718"/>
      <c r="P718"/>
      <c r="Q718"/>
      <c r="R718"/>
      <c r="S718"/>
      <c r="T718"/>
      <c r="U718"/>
      <c r="V718"/>
      <c r="W718"/>
      <c r="X718"/>
      <c r="Y718"/>
    </row>
    <row r="719" spans="1:25" s="104" customFormat="1" hidden="1" x14ac:dyDescent="0.25">
      <c r="A719" s="97" t="str">
        <f t="shared" si="11"/>
        <v>dpi_vdd_dyn_HD_|_1280x720x60_fps_16b_|_1p8V</v>
      </c>
      <c r="B719" s="97" t="s">
        <v>699</v>
      </c>
      <c r="C719" s="97" t="s">
        <v>369</v>
      </c>
      <c r="D719" s="97" t="s">
        <v>792</v>
      </c>
      <c r="E719" s="97" t="s">
        <v>1050</v>
      </c>
      <c r="F719" s="97">
        <v>2.046233299968E-5</v>
      </c>
      <c r="G719" s="97" t="s">
        <v>629</v>
      </c>
      <c r="H719" s="5"/>
      <c r="I719"/>
      <c r="J719"/>
      <c r="K719"/>
      <c r="L719"/>
      <c r="M719"/>
      <c r="N719"/>
      <c r="O719"/>
      <c r="P719"/>
      <c r="Q719"/>
      <c r="R719"/>
      <c r="S719"/>
      <c r="T719"/>
      <c r="U719"/>
      <c r="V719"/>
      <c r="W719"/>
      <c r="X719"/>
      <c r="Y719"/>
    </row>
    <row r="720" spans="1:25" s="104" customFormat="1" hidden="1" x14ac:dyDescent="0.25">
      <c r="A720" s="97" t="str">
        <f t="shared" si="11"/>
        <v>dpi_vdd_dyn_HD_|_1280x720x60_fps_16b_|_3p3V</v>
      </c>
      <c r="B720" s="97" t="s">
        <v>699</v>
      </c>
      <c r="C720" s="97" t="s">
        <v>369</v>
      </c>
      <c r="D720" s="97" t="s">
        <v>719</v>
      </c>
      <c r="E720" s="97" t="s">
        <v>1050</v>
      </c>
      <c r="F720" s="97">
        <v>2.046233299968E-5</v>
      </c>
      <c r="G720" s="97" t="s">
        <v>629</v>
      </c>
      <c r="H720" s="5"/>
      <c r="I720"/>
      <c r="J720"/>
      <c r="K720"/>
      <c r="L720"/>
      <c r="M720"/>
      <c r="N720"/>
      <c r="O720"/>
      <c r="P720"/>
      <c r="Q720"/>
      <c r="R720"/>
      <c r="S720"/>
      <c r="T720"/>
      <c r="U720"/>
      <c r="V720"/>
      <c r="W720"/>
      <c r="X720"/>
      <c r="Y720"/>
    </row>
    <row r="721" spans="1:25" s="104" customFormat="1" hidden="1" x14ac:dyDescent="0.25">
      <c r="A721" s="97" t="str">
        <f t="shared" si="11"/>
        <v>dpi_vdd_dyn_HD_|_1280x720x60_fps_24b_|_1p8V</v>
      </c>
      <c r="B721" s="97" t="s">
        <v>699</v>
      </c>
      <c r="C721" s="97" t="s">
        <v>369</v>
      </c>
      <c r="D721" s="97" t="s">
        <v>793</v>
      </c>
      <c r="E721" s="97" t="s">
        <v>1050</v>
      </c>
      <c r="F721" s="97">
        <v>2.046233299968E-5</v>
      </c>
      <c r="G721" s="97" t="s">
        <v>629</v>
      </c>
      <c r="H721" s="5"/>
      <c r="I721"/>
      <c r="J721"/>
      <c r="K721"/>
      <c r="L721"/>
      <c r="M721"/>
      <c r="N721"/>
      <c r="O721"/>
      <c r="P721"/>
      <c r="Q721"/>
      <c r="R721"/>
      <c r="S721"/>
      <c r="T721"/>
      <c r="U721"/>
      <c r="V721"/>
      <c r="W721"/>
      <c r="X721"/>
      <c r="Y721"/>
    </row>
    <row r="722" spans="1:25" s="104" customFormat="1" hidden="1" x14ac:dyDescent="0.25">
      <c r="A722" s="97" t="str">
        <f t="shared" si="11"/>
        <v>dpi_vdd_dyn_HD_|_1280x720x60_fps_24b_|_1p8V</v>
      </c>
      <c r="B722" s="97" t="s">
        <v>699</v>
      </c>
      <c r="C722" s="97" t="s">
        <v>369</v>
      </c>
      <c r="D722" s="97" t="s">
        <v>793</v>
      </c>
      <c r="E722" s="97" t="s">
        <v>1050</v>
      </c>
      <c r="F722" s="97">
        <v>2.6321022026956794E-5</v>
      </c>
      <c r="G722" s="97" t="s">
        <v>629</v>
      </c>
      <c r="H722" s="5"/>
      <c r="I722"/>
      <c r="J722"/>
      <c r="K722"/>
      <c r="L722"/>
      <c r="M722"/>
      <c r="N722"/>
      <c r="O722"/>
      <c r="P722"/>
      <c r="Q722"/>
      <c r="R722"/>
      <c r="S722"/>
      <c r="T722"/>
      <c r="U722"/>
      <c r="V722"/>
      <c r="W722"/>
      <c r="X722"/>
      <c r="Y722"/>
    </row>
    <row r="723" spans="1:25" s="104" customFormat="1" hidden="1" x14ac:dyDescent="0.25">
      <c r="A723" s="97" t="str">
        <f t="shared" si="11"/>
        <v>dpi_vdd_dyn_HD_|_1280x720x60_fps_24b_|_3p3V</v>
      </c>
      <c r="B723" s="97" t="s">
        <v>699</v>
      </c>
      <c r="C723" s="97" t="s">
        <v>369</v>
      </c>
      <c r="D723" s="97" t="s">
        <v>720</v>
      </c>
      <c r="E723" s="97" t="s">
        <v>1050</v>
      </c>
      <c r="F723" s="97">
        <v>2.6321022026956794E-5</v>
      </c>
      <c r="G723" s="97" t="s">
        <v>629</v>
      </c>
      <c r="H723" s="5"/>
      <c r="I723"/>
      <c r="J723"/>
      <c r="K723"/>
      <c r="L723"/>
      <c r="M723"/>
      <c r="N723"/>
      <c r="O723"/>
      <c r="P723"/>
      <c r="Q723"/>
      <c r="R723"/>
      <c r="S723"/>
      <c r="T723"/>
      <c r="U723"/>
      <c r="V723"/>
      <c r="W723"/>
      <c r="X723"/>
      <c r="Y723"/>
    </row>
    <row r="724" spans="1:25" s="104" customFormat="1" hidden="1" x14ac:dyDescent="0.25">
      <c r="A724" s="97" t="str">
        <f t="shared" si="11"/>
        <v>dpi_vdd_dyn_HD_|_1280x720x60_fps_24b_|_3p3V</v>
      </c>
      <c r="B724" s="97" t="s">
        <v>699</v>
      </c>
      <c r="C724" s="97" t="s">
        <v>369</v>
      </c>
      <c r="D724" s="97" t="s">
        <v>720</v>
      </c>
      <c r="E724" s="97" t="s">
        <v>1050</v>
      </c>
      <c r="F724" s="97">
        <v>2.6321022026956794E-5</v>
      </c>
      <c r="G724" s="97" t="s">
        <v>629</v>
      </c>
      <c r="H724" s="5"/>
      <c r="I724"/>
      <c r="J724"/>
      <c r="K724"/>
      <c r="L724"/>
      <c r="M724"/>
      <c r="N724"/>
      <c r="O724"/>
      <c r="P724"/>
      <c r="Q724"/>
      <c r="R724"/>
      <c r="S724"/>
      <c r="T724"/>
      <c r="U724"/>
      <c r="V724"/>
      <c r="W724"/>
      <c r="X724"/>
      <c r="Y724"/>
    </row>
    <row r="725" spans="1:25" s="104" customFormat="1" hidden="1" x14ac:dyDescent="0.25">
      <c r="A725" s="97" t="str">
        <f t="shared" si="11"/>
        <v>dpi_vdd_dyn_HD+_|_1600x900x30_fps_12b_|_1p8V</v>
      </c>
      <c r="B725" s="97" t="s">
        <v>699</v>
      </c>
      <c r="C725" s="97" t="s">
        <v>369</v>
      </c>
      <c r="D725" s="97" t="s">
        <v>813</v>
      </c>
      <c r="E725" s="97" t="s">
        <v>1050</v>
      </c>
      <c r="F725" s="97">
        <v>3.5760055871865602E-5</v>
      </c>
      <c r="G725" s="97" t="s">
        <v>629</v>
      </c>
      <c r="H725" s="5"/>
      <c r="I725"/>
      <c r="J725"/>
      <c r="K725"/>
      <c r="L725"/>
      <c r="M725"/>
      <c r="N725"/>
      <c r="O725"/>
      <c r="P725"/>
      <c r="Q725"/>
      <c r="R725"/>
      <c r="S725"/>
      <c r="T725"/>
      <c r="U725"/>
      <c r="V725"/>
      <c r="W725"/>
      <c r="X725"/>
      <c r="Y725"/>
    </row>
    <row r="726" spans="1:25" s="104" customFormat="1" hidden="1" x14ac:dyDescent="0.25">
      <c r="A726" s="97" t="str">
        <f t="shared" si="11"/>
        <v>dpi_vdd_dyn_HD+_|_1600x900x30_fps_12b_|_3p3V</v>
      </c>
      <c r="B726" s="97" t="s">
        <v>699</v>
      </c>
      <c r="C726" s="97" t="s">
        <v>369</v>
      </c>
      <c r="D726" s="97" t="s">
        <v>740</v>
      </c>
      <c r="E726" s="97" t="s">
        <v>1050</v>
      </c>
      <c r="F726" s="97">
        <v>1.6214778581760005E-5</v>
      </c>
      <c r="G726" s="97" t="s">
        <v>629</v>
      </c>
      <c r="H726" s="5"/>
      <c r="I726"/>
      <c r="J726"/>
      <c r="K726"/>
      <c r="L726"/>
      <c r="M726"/>
      <c r="N726"/>
      <c r="O726"/>
      <c r="P726"/>
      <c r="Q726"/>
      <c r="R726"/>
      <c r="S726"/>
      <c r="T726"/>
      <c r="U726"/>
      <c r="V726"/>
      <c r="W726"/>
      <c r="X726"/>
      <c r="Y726"/>
    </row>
    <row r="727" spans="1:25" s="104" customFormat="1" hidden="1" x14ac:dyDescent="0.25">
      <c r="A727" s="97" t="str">
        <f t="shared" si="11"/>
        <v>dpi_vdd_dyn_HD+_|_1600x900x30_fps_16b_|_1p8V</v>
      </c>
      <c r="B727" s="97" t="s">
        <v>699</v>
      </c>
      <c r="C727" s="97" t="s">
        <v>369</v>
      </c>
      <c r="D727" s="97" t="s">
        <v>814</v>
      </c>
      <c r="E727" s="97" t="s">
        <v>1050</v>
      </c>
      <c r="F727" s="97">
        <v>1.6214778581760005E-5</v>
      </c>
      <c r="G727" s="97" t="s">
        <v>629</v>
      </c>
      <c r="H727" s="5"/>
      <c r="I727"/>
      <c r="J727"/>
      <c r="K727"/>
      <c r="L727"/>
      <c r="M727"/>
      <c r="N727"/>
      <c r="O727"/>
      <c r="P727"/>
      <c r="Q727"/>
      <c r="R727"/>
      <c r="S727"/>
      <c r="T727"/>
      <c r="U727"/>
      <c r="V727"/>
      <c r="W727"/>
      <c r="X727"/>
      <c r="Y727"/>
    </row>
    <row r="728" spans="1:25" s="104" customFormat="1" hidden="1" x14ac:dyDescent="0.25">
      <c r="A728" s="97" t="str">
        <f t="shared" si="11"/>
        <v>dpi_vdd_dyn_HD+_|_1600x900x30_fps_16b_|_3p3V</v>
      </c>
      <c r="B728" s="97" t="s">
        <v>699</v>
      </c>
      <c r="C728" s="97" t="s">
        <v>369</v>
      </c>
      <c r="D728" s="97" t="s">
        <v>741</v>
      </c>
      <c r="E728" s="97" t="s">
        <v>1050</v>
      </c>
      <c r="F728" s="97">
        <v>1.6214778581760005E-5</v>
      </c>
      <c r="G728" s="97" t="s">
        <v>629</v>
      </c>
      <c r="H728" s="5"/>
      <c r="I728"/>
      <c r="J728"/>
      <c r="K728"/>
      <c r="L728"/>
      <c r="M728"/>
      <c r="N728"/>
      <c r="O728"/>
      <c r="P728"/>
      <c r="Q728"/>
      <c r="R728"/>
      <c r="S728"/>
      <c r="T728"/>
      <c r="U728"/>
      <c r="V728"/>
      <c r="W728"/>
      <c r="X728"/>
      <c r="Y728"/>
    </row>
    <row r="729" spans="1:25" s="104" customFormat="1" hidden="1" x14ac:dyDescent="0.25">
      <c r="A729" s="97" t="str">
        <f t="shared" si="11"/>
        <v>dpi_vdd_dyn_HD+_|_1600x900x30_fps_18b_|_1p8V</v>
      </c>
      <c r="B729" s="97" t="s">
        <v>699</v>
      </c>
      <c r="C729" s="97" t="s">
        <v>369</v>
      </c>
      <c r="D729" s="97" t="s">
        <v>815</v>
      </c>
      <c r="E729" s="97" t="s">
        <v>1050</v>
      </c>
      <c r="F729" s="97">
        <v>1.6214778581760005E-5</v>
      </c>
      <c r="G729" s="97" t="s">
        <v>629</v>
      </c>
      <c r="H729" s="5"/>
      <c r="I729"/>
      <c r="J729"/>
      <c r="K729"/>
      <c r="L729"/>
      <c r="M729"/>
      <c r="N729"/>
      <c r="O729"/>
      <c r="P729"/>
      <c r="Q729"/>
      <c r="R729"/>
      <c r="S729"/>
      <c r="T729"/>
      <c r="U729"/>
      <c r="V729"/>
      <c r="W729"/>
      <c r="X729"/>
      <c r="Y729"/>
    </row>
    <row r="730" spans="1:25" s="104" customFormat="1" hidden="1" x14ac:dyDescent="0.25">
      <c r="A730" s="97" t="str">
        <f t="shared" si="11"/>
        <v>dpi_vdd_dyn_HD+_|_1600x900x30_fps_18b_|_3p3V</v>
      </c>
      <c r="B730" s="97" t="s">
        <v>699</v>
      </c>
      <c r="C730" s="97" t="s">
        <v>369</v>
      </c>
      <c r="D730" s="97" t="s">
        <v>742</v>
      </c>
      <c r="E730" s="97" t="s">
        <v>1050</v>
      </c>
      <c r="F730" s="97">
        <v>1.7375415364454402E-5</v>
      </c>
      <c r="G730" s="97" t="s">
        <v>629</v>
      </c>
      <c r="H730" s="5"/>
      <c r="I730"/>
      <c r="J730"/>
      <c r="K730"/>
      <c r="L730"/>
      <c r="M730"/>
      <c r="N730"/>
      <c r="O730"/>
      <c r="P730"/>
      <c r="Q730"/>
      <c r="R730"/>
      <c r="S730"/>
      <c r="T730"/>
      <c r="U730"/>
      <c r="V730"/>
      <c r="W730"/>
      <c r="X730"/>
      <c r="Y730"/>
    </row>
    <row r="731" spans="1:25" s="104" customFormat="1" hidden="1" x14ac:dyDescent="0.25">
      <c r="A731" s="97" t="str">
        <f t="shared" si="11"/>
        <v>dpi_vdd_dyn_HD+_|_1600x900x30_fps_24b_|_1p8V</v>
      </c>
      <c r="B731" s="97" t="s">
        <v>699</v>
      </c>
      <c r="C731" s="97" t="s">
        <v>369</v>
      </c>
      <c r="D731" s="97" t="s">
        <v>816</v>
      </c>
      <c r="E731" s="97" t="s">
        <v>1050</v>
      </c>
      <c r="F731" s="97">
        <v>1.7375415364454402E-5</v>
      </c>
      <c r="G731" s="97" t="s">
        <v>629</v>
      </c>
      <c r="H731" s="5"/>
      <c r="I731"/>
      <c r="J731"/>
      <c r="K731"/>
      <c r="L731"/>
      <c r="M731"/>
      <c r="N731"/>
      <c r="O731"/>
      <c r="P731"/>
      <c r="Q731"/>
      <c r="R731"/>
      <c r="S731"/>
      <c r="T731"/>
      <c r="U731"/>
      <c r="V731"/>
      <c r="W731"/>
      <c r="X731"/>
      <c r="Y731"/>
    </row>
    <row r="732" spans="1:25" s="104" customFormat="1" hidden="1" x14ac:dyDescent="0.25">
      <c r="A732" s="97" t="str">
        <f t="shared" si="11"/>
        <v>dpi_vdd_dyn_HD+_|_1600x900x30_fps_24b_|_3p3V</v>
      </c>
      <c r="B732" s="97" t="s">
        <v>699</v>
      </c>
      <c r="C732" s="97" t="s">
        <v>369</v>
      </c>
      <c r="D732" s="97" t="s">
        <v>743</v>
      </c>
      <c r="E732" s="97" t="s">
        <v>1050</v>
      </c>
      <c r="F732" s="97">
        <v>1.7375415364454402E-5</v>
      </c>
      <c r="G732" s="97" t="s">
        <v>629</v>
      </c>
      <c r="H732" s="5"/>
      <c r="I732"/>
      <c r="J732"/>
      <c r="K732"/>
      <c r="L732"/>
      <c r="M732"/>
      <c r="N732"/>
      <c r="O732"/>
      <c r="P732"/>
      <c r="Q732"/>
      <c r="R732"/>
      <c r="S732"/>
      <c r="T732"/>
      <c r="U732"/>
      <c r="V732"/>
      <c r="W732"/>
      <c r="X732"/>
      <c r="Y732"/>
    </row>
    <row r="733" spans="1:25" s="104" customFormat="1" hidden="1" x14ac:dyDescent="0.25">
      <c r="A733" s="97" t="str">
        <f t="shared" si="11"/>
        <v>dpi_vdd_dyn_HD+_|_1600x900x60_fps_12b_|_1p8V</v>
      </c>
      <c r="B733" s="97" t="s">
        <v>699</v>
      </c>
      <c r="C733" s="97" t="s">
        <v>369</v>
      </c>
      <c r="D733" s="97" t="s">
        <v>817</v>
      </c>
      <c r="E733" s="97" t="s">
        <v>1050</v>
      </c>
      <c r="F733" s="97">
        <v>1.7375415364454402E-5</v>
      </c>
      <c r="G733" s="97" t="s">
        <v>629</v>
      </c>
      <c r="H733" s="5"/>
      <c r="I733"/>
      <c r="J733"/>
      <c r="K733"/>
      <c r="L733"/>
      <c r="M733"/>
      <c r="N733"/>
      <c r="O733"/>
      <c r="P733"/>
      <c r="Q733"/>
      <c r="R733"/>
      <c r="S733"/>
      <c r="T733"/>
      <c r="U733"/>
      <c r="V733"/>
      <c r="W733"/>
      <c r="X733"/>
      <c r="Y733"/>
    </row>
    <row r="734" spans="1:25" s="104" customFormat="1" hidden="1" x14ac:dyDescent="0.25">
      <c r="A734" s="97" t="str">
        <f t="shared" si="11"/>
        <v>dpi_vdd_dyn_HD+_|_1600x900x60_fps_12b_|_3p3V</v>
      </c>
      <c r="B734" s="97" t="s">
        <v>699</v>
      </c>
      <c r="C734" s="97" t="s">
        <v>369</v>
      </c>
      <c r="D734" s="97" t="s">
        <v>744</v>
      </c>
      <c r="E734" s="97" t="s">
        <v>1050</v>
      </c>
      <c r="F734" s="97">
        <v>3.242955716352001E-5</v>
      </c>
      <c r="G734" s="97" t="s">
        <v>629</v>
      </c>
      <c r="H734" s="5"/>
      <c r="I734"/>
      <c r="J734"/>
      <c r="K734"/>
      <c r="L734"/>
      <c r="M734"/>
      <c r="N734"/>
      <c r="O734"/>
      <c r="P734"/>
      <c r="Q734"/>
      <c r="R734"/>
      <c r="S734"/>
      <c r="T734"/>
      <c r="U734"/>
      <c r="V734"/>
      <c r="W734"/>
      <c r="X734"/>
      <c r="Y734"/>
    </row>
    <row r="735" spans="1:25" s="104" customFormat="1" hidden="1" x14ac:dyDescent="0.25">
      <c r="A735" s="97" t="str">
        <f t="shared" si="11"/>
        <v>dpi_vdd_dyn_HD+_|_1600x900x60_fps_16b_|_1p8V</v>
      </c>
      <c r="B735" s="97" t="s">
        <v>699</v>
      </c>
      <c r="C735" s="97" t="s">
        <v>369</v>
      </c>
      <c r="D735" s="97" t="s">
        <v>818</v>
      </c>
      <c r="E735" s="97" t="s">
        <v>1050</v>
      </c>
      <c r="F735" s="97">
        <v>3.242955716352001E-5</v>
      </c>
      <c r="G735" s="97" t="s">
        <v>629</v>
      </c>
      <c r="H735" s="5"/>
      <c r="I735"/>
      <c r="J735"/>
      <c r="K735"/>
      <c r="L735"/>
      <c r="M735"/>
      <c r="N735"/>
      <c r="O735"/>
      <c r="P735"/>
      <c r="Q735"/>
      <c r="R735"/>
      <c r="S735"/>
      <c r="T735"/>
      <c r="U735"/>
      <c r="V735"/>
      <c r="W735"/>
      <c r="X735"/>
      <c r="Y735"/>
    </row>
    <row r="736" spans="1:25" s="104" customFormat="1" hidden="1" x14ac:dyDescent="0.25">
      <c r="A736" s="97" t="str">
        <f t="shared" si="11"/>
        <v>dpi_vdd_dyn_HD+_|_1600x900x60_fps_16b_|_3p3V</v>
      </c>
      <c r="B736" s="97" t="s">
        <v>699</v>
      </c>
      <c r="C736" s="97" t="s">
        <v>369</v>
      </c>
      <c r="D736" s="97" t="s">
        <v>745</v>
      </c>
      <c r="E736" s="97" t="s">
        <v>1050</v>
      </c>
      <c r="F736" s="97">
        <v>3.242955716352001E-5</v>
      </c>
      <c r="G736" s="97" t="s">
        <v>629</v>
      </c>
      <c r="H736" s="5"/>
      <c r="I736"/>
      <c r="J736"/>
      <c r="K736"/>
      <c r="L736"/>
      <c r="M736"/>
      <c r="N736"/>
      <c r="O736"/>
      <c r="P736"/>
      <c r="Q736"/>
      <c r="R736"/>
      <c r="S736"/>
      <c r="T736"/>
      <c r="U736"/>
      <c r="V736"/>
      <c r="W736"/>
      <c r="X736"/>
      <c r="Y736"/>
    </row>
    <row r="737" spans="1:25" s="104" customFormat="1" hidden="1" x14ac:dyDescent="0.25">
      <c r="A737" s="97" t="str">
        <f t="shared" si="11"/>
        <v>dpi_vdd_dyn_HD+_|_1600x900x60_fps_18b_|_1p8V</v>
      </c>
      <c r="B737" s="97" t="s">
        <v>699</v>
      </c>
      <c r="C737" s="97" t="s">
        <v>369</v>
      </c>
      <c r="D737" s="97" t="s">
        <v>702</v>
      </c>
      <c r="E737" s="97" t="s">
        <v>1050</v>
      </c>
      <c r="F737" s="97">
        <v>3.242955716352001E-5</v>
      </c>
      <c r="G737" s="97" t="s">
        <v>629</v>
      </c>
      <c r="H737" s="5"/>
      <c r="I737"/>
      <c r="J737"/>
      <c r="K737"/>
      <c r="L737"/>
      <c r="M737"/>
      <c r="N737"/>
      <c r="O737"/>
      <c r="P737"/>
      <c r="Q737"/>
      <c r="R737"/>
      <c r="S737"/>
      <c r="T737"/>
      <c r="U737"/>
      <c r="V737"/>
      <c r="W737"/>
      <c r="X737"/>
      <c r="Y737"/>
    </row>
    <row r="738" spans="1:25" s="104" customFormat="1" hidden="1" x14ac:dyDescent="0.25">
      <c r="A738" s="97" t="str">
        <f t="shared" si="11"/>
        <v>dpi_vdd_dyn_HD+_|_1600x900x60_fps_18b_|_1p8V</v>
      </c>
      <c r="B738" s="97" t="s">
        <v>699</v>
      </c>
      <c r="C738" s="97" t="s">
        <v>369</v>
      </c>
      <c r="D738" s="97" t="s">
        <v>702</v>
      </c>
      <c r="E738" s="97" t="s">
        <v>1050</v>
      </c>
      <c r="F738" s="97">
        <v>3.4750830728908804E-5</v>
      </c>
      <c r="G738" s="97" t="s">
        <v>629</v>
      </c>
      <c r="H738" s="5"/>
      <c r="I738"/>
      <c r="J738"/>
      <c r="K738"/>
      <c r="L738"/>
      <c r="M738"/>
      <c r="N738"/>
      <c r="O738"/>
      <c r="P738"/>
      <c r="Q738"/>
      <c r="R738"/>
      <c r="S738"/>
      <c r="T738"/>
      <c r="U738"/>
      <c r="V738"/>
      <c r="W738"/>
      <c r="X738"/>
      <c r="Y738"/>
    </row>
    <row r="739" spans="1:25" s="104" customFormat="1" hidden="1" x14ac:dyDescent="0.25">
      <c r="A739" s="97" t="str">
        <f t="shared" si="11"/>
        <v>dpi_vdd_dyn_HD+_|_1600x900x60_fps_18b_|_3p3V</v>
      </c>
      <c r="B739" s="97" t="s">
        <v>699</v>
      </c>
      <c r="C739" s="97" t="s">
        <v>369</v>
      </c>
      <c r="D739" s="97" t="s">
        <v>746</v>
      </c>
      <c r="E739" s="97" t="s">
        <v>1050</v>
      </c>
      <c r="F739" s="97">
        <v>3.4750830728908804E-5</v>
      </c>
      <c r="G739" s="97" t="s">
        <v>629</v>
      </c>
      <c r="H739" s="5"/>
      <c r="I739"/>
      <c r="J739"/>
      <c r="K739"/>
      <c r="L739"/>
      <c r="M739"/>
      <c r="N739"/>
      <c r="O739"/>
      <c r="P739"/>
      <c r="Q739"/>
      <c r="R739"/>
      <c r="S739"/>
      <c r="T739"/>
      <c r="U739"/>
      <c r="V739"/>
      <c r="W739"/>
      <c r="X739"/>
      <c r="Y739"/>
    </row>
    <row r="740" spans="1:25" s="104" customFormat="1" hidden="1" x14ac:dyDescent="0.25">
      <c r="A740" s="97" t="str">
        <f t="shared" si="11"/>
        <v>dpi_vdd_dyn_HD+_|_1600x900x60_fps_24b_|_3p3V</v>
      </c>
      <c r="B740" s="97" t="s">
        <v>699</v>
      </c>
      <c r="C740" s="97" t="s">
        <v>369</v>
      </c>
      <c r="D740" s="97" t="s">
        <v>747</v>
      </c>
      <c r="E740" s="97" t="s">
        <v>1050</v>
      </c>
      <c r="F740" s="97">
        <v>3.4750830728908797E-5</v>
      </c>
      <c r="G740" s="97" t="s">
        <v>629</v>
      </c>
      <c r="H740" s="5"/>
      <c r="I740"/>
      <c r="J740"/>
      <c r="K740"/>
      <c r="L740"/>
      <c r="M740"/>
      <c r="N740"/>
      <c r="O740"/>
      <c r="P740"/>
      <c r="Q740"/>
      <c r="R740"/>
      <c r="S740"/>
      <c r="T740"/>
      <c r="U740"/>
      <c r="V740"/>
      <c r="W740"/>
      <c r="X740"/>
      <c r="Y740"/>
    </row>
    <row r="741" spans="1:25" s="104" customFormat="1" hidden="1" x14ac:dyDescent="0.25">
      <c r="A741" s="97" t="str">
        <f t="shared" si="11"/>
        <v>dpi_vdd_dyn_off</v>
      </c>
      <c r="B741" s="97" t="s">
        <v>699</v>
      </c>
      <c r="C741" s="97" t="s">
        <v>369</v>
      </c>
      <c r="D741" s="97" t="s">
        <v>69</v>
      </c>
      <c r="E741" s="97" t="s">
        <v>1050</v>
      </c>
      <c r="F741" s="97">
        <v>0</v>
      </c>
      <c r="G741" s="97" t="s">
        <v>629</v>
      </c>
      <c r="H741" s="5"/>
      <c r="I741"/>
      <c r="J741"/>
      <c r="K741"/>
      <c r="L741"/>
      <c r="M741"/>
      <c r="N741"/>
      <c r="O741"/>
      <c r="P741"/>
      <c r="Q741"/>
      <c r="R741"/>
      <c r="S741"/>
      <c r="T741"/>
      <c r="U741"/>
      <c r="V741"/>
      <c r="W741"/>
      <c r="X741"/>
      <c r="Y741"/>
    </row>
    <row r="742" spans="1:25" s="104" customFormat="1" hidden="1" x14ac:dyDescent="0.25">
      <c r="A742" s="97" t="str">
        <f t="shared" si="11"/>
        <v>dpi_vdd_dyn_off</v>
      </c>
      <c r="B742" s="97" t="s">
        <v>699</v>
      </c>
      <c r="C742" s="97" t="s">
        <v>369</v>
      </c>
      <c r="D742" s="97" t="s">
        <v>69</v>
      </c>
      <c r="E742" s="97" t="s">
        <v>1050</v>
      </c>
      <c r="F742" s="97">
        <v>0</v>
      </c>
      <c r="G742" s="97" t="s">
        <v>629</v>
      </c>
      <c r="H742" s="5"/>
      <c r="I742"/>
      <c r="J742"/>
      <c r="K742"/>
      <c r="L742"/>
      <c r="M742"/>
      <c r="N742"/>
      <c r="O742"/>
      <c r="P742"/>
      <c r="Q742"/>
      <c r="R742"/>
      <c r="S742"/>
      <c r="T742"/>
      <c r="U742"/>
      <c r="V742"/>
      <c r="W742"/>
      <c r="X742"/>
      <c r="Y742"/>
    </row>
    <row r="743" spans="1:25" s="104" customFormat="1" hidden="1" x14ac:dyDescent="0.25">
      <c r="A743" s="97" t="str">
        <f t="shared" si="11"/>
        <v>dpi_vdd_dyn_SD_|_640x480x60_fps_12b_|_1p8V</v>
      </c>
      <c r="B743" s="97" t="s">
        <v>699</v>
      </c>
      <c r="C743" s="97" t="s">
        <v>369</v>
      </c>
      <c r="D743" s="97" t="s">
        <v>776</v>
      </c>
      <c r="E743" s="97" t="s">
        <v>1050</v>
      </c>
      <c r="F743" s="97">
        <v>0</v>
      </c>
      <c r="G743" s="97" t="s">
        <v>629</v>
      </c>
      <c r="H743" s="5"/>
      <c r="I743"/>
      <c r="J743"/>
      <c r="K743"/>
      <c r="L743"/>
      <c r="M743"/>
      <c r="N743"/>
      <c r="O743"/>
      <c r="P743"/>
      <c r="Q743"/>
      <c r="R743"/>
      <c r="S743"/>
      <c r="T743"/>
      <c r="U743"/>
      <c r="V743"/>
      <c r="W743"/>
      <c r="X743"/>
      <c r="Y743"/>
    </row>
    <row r="744" spans="1:25" s="104" customFormat="1" hidden="1" x14ac:dyDescent="0.25">
      <c r="A744" s="97" t="str">
        <f t="shared" si="11"/>
        <v>dpi_vdd_dyn_SD_|_640x480x60_fps_12b_|_3p3V</v>
      </c>
      <c r="B744" s="97" t="s">
        <v>699</v>
      </c>
      <c r="C744" s="97" t="s">
        <v>369</v>
      </c>
      <c r="D744" s="97" t="s">
        <v>703</v>
      </c>
      <c r="E744" s="97" t="s">
        <v>1050</v>
      </c>
      <c r="F744" s="97">
        <v>7.0466774400000001E-6</v>
      </c>
      <c r="G744" s="97" t="s">
        <v>629</v>
      </c>
      <c r="H744" s="5"/>
      <c r="I744"/>
      <c r="J744"/>
      <c r="K744"/>
      <c r="L744"/>
      <c r="M744"/>
      <c r="N744"/>
      <c r="O744"/>
      <c r="P744"/>
      <c r="Q744"/>
      <c r="R744"/>
      <c r="S744"/>
      <c r="T744"/>
      <c r="U744"/>
      <c r="V744"/>
      <c r="W744"/>
      <c r="X744"/>
      <c r="Y744"/>
    </row>
    <row r="745" spans="1:25" s="104" customFormat="1" hidden="1" x14ac:dyDescent="0.25">
      <c r="A745" s="97" t="str">
        <f t="shared" si="11"/>
        <v>dpi_vdd_dyn_SD_|_640x480x60_fps_16b_|_1p8V</v>
      </c>
      <c r="B745" s="97" t="s">
        <v>699</v>
      </c>
      <c r="C745" s="97" t="s">
        <v>369</v>
      </c>
      <c r="D745" s="97" t="s">
        <v>777</v>
      </c>
      <c r="E745" s="97" t="s">
        <v>1050</v>
      </c>
      <c r="F745" s="97">
        <v>7.0466774400000001E-6</v>
      </c>
      <c r="G745" s="97" t="s">
        <v>629</v>
      </c>
      <c r="H745" s="5"/>
      <c r="I745"/>
      <c r="J745"/>
      <c r="K745"/>
      <c r="L745"/>
      <c r="M745"/>
      <c r="N745"/>
      <c r="O745"/>
      <c r="P745"/>
      <c r="Q745"/>
      <c r="R745"/>
      <c r="S745"/>
      <c r="T745"/>
      <c r="U745"/>
      <c r="V745"/>
      <c r="W745"/>
      <c r="X745"/>
      <c r="Y745"/>
    </row>
    <row r="746" spans="1:25" s="104" customFormat="1" hidden="1" x14ac:dyDescent="0.25">
      <c r="A746" s="97" t="str">
        <f t="shared" si="11"/>
        <v>dpi_vdd_dyn_SD_|_640x480x60_fps_16b_|_3p3V</v>
      </c>
      <c r="B746" s="97" t="s">
        <v>699</v>
      </c>
      <c r="C746" s="97" t="s">
        <v>369</v>
      </c>
      <c r="D746" s="97" t="s">
        <v>704</v>
      </c>
      <c r="E746" s="97" t="s">
        <v>1050</v>
      </c>
      <c r="F746" s="97">
        <v>7.0466774400000001E-6</v>
      </c>
      <c r="G746" s="97" t="s">
        <v>629</v>
      </c>
      <c r="H746" s="5"/>
      <c r="I746"/>
      <c r="J746"/>
      <c r="K746"/>
      <c r="L746"/>
      <c r="M746"/>
      <c r="N746"/>
      <c r="O746"/>
      <c r="P746"/>
      <c r="Q746"/>
      <c r="R746"/>
      <c r="S746"/>
      <c r="T746"/>
      <c r="U746"/>
      <c r="V746"/>
      <c r="W746"/>
      <c r="X746"/>
      <c r="Y746"/>
    </row>
    <row r="747" spans="1:25" s="104" customFormat="1" hidden="1" x14ac:dyDescent="0.25">
      <c r="A747" s="97" t="str">
        <f t="shared" si="11"/>
        <v>dpi_vdd_dyn_SD_|_640x480x60_fps_24b_|_1p8V</v>
      </c>
      <c r="B747" s="97" t="s">
        <v>699</v>
      </c>
      <c r="C747" s="97" t="s">
        <v>369</v>
      </c>
      <c r="D747" s="97" t="s">
        <v>778</v>
      </c>
      <c r="E747" s="97" t="s">
        <v>1050</v>
      </c>
      <c r="F747" s="97">
        <v>7.0466774400000001E-6</v>
      </c>
      <c r="G747" s="97" t="s">
        <v>629</v>
      </c>
      <c r="H747" s="5"/>
      <c r="I747"/>
      <c r="J747"/>
      <c r="K747"/>
      <c r="L747"/>
      <c r="M747"/>
      <c r="N747"/>
      <c r="O747"/>
      <c r="P747"/>
      <c r="Q747"/>
      <c r="R747"/>
      <c r="S747"/>
      <c r="T747"/>
      <c r="U747"/>
      <c r="V747"/>
      <c r="W747"/>
      <c r="X747"/>
      <c r="Y747"/>
    </row>
    <row r="748" spans="1:25" s="104" customFormat="1" hidden="1" x14ac:dyDescent="0.25">
      <c r="A748" s="97" t="str">
        <f t="shared" si="11"/>
        <v>dpi_vdd_dyn_SD_|_640x480x60_fps_24b_|_1p8V</v>
      </c>
      <c r="B748" s="97" t="s">
        <v>699</v>
      </c>
      <c r="C748" s="97" t="s">
        <v>369</v>
      </c>
      <c r="D748" s="97" t="s">
        <v>778</v>
      </c>
      <c r="E748" s="97" t="s">
        <v>1050</v>
      </c>
      <c r="F748" s="97">
        <v>8.4587817599999993E-6</v>
      </c>
      <c r="G748" s="97" t="s">
        <v>629</v>
      </c>
      <c r="H748" s="5"/>
      <c r="I748"/>
      <c r="J748"/>
      <c r="K748"/>
      <c r="L748"/>
      <c r="M748"/>
      <c r="N748"/>
      <c r="O748"/>
      <c r="P748"/>
      <c r="Q748"/>
      <c r="R748"/>
      <c r="S748"/>
      <c r="T748"/>
      <c r="U748"/>
      <c r="V748"/>
      <c r="W748"/>
      <c r="X748"/>
      <c r="Y748"/>
    </row>
    <row r="749" spans="1:25" s="104" customFormat="1" hidden="1" x14ac:dyDescent="0.25">
      <c r="A749" s="97" t="str">
        <f t="shared" ref="A749:A812" si="12">B749&amp;"_"&amp;C749&amp;"_"&amp;D749</f>
        <v>dpi_vdd_dyn_SD_|_640x480x60_fps_24b_|_3p3V</v>
      </c>
      <c r="B749" s="97" t="s">
        <v>699</v>
      </c>
      <c r="C749" s="97" t="s">
        <v>369</v>
      </c>
      <c r="D749" s="97" t="s">
        <v>705</v>
      </c>
      <c r="E749" s="97" t="s">
        <v>1050</v>
      </c>
      <c r="F749" s="97">
        <v>8.4587817599999993E-6</v>
      </c>
      <c r="G749" s="97" t="s">
        <v>629</v>
      </c>
      <c r="H749" s="5"/>
      <c r="I749"/>
      <c r="J749"/>
      <c r="K749"/>
      <c r="L749"/>
      <c r="M749"/>
      <c r="N749"/>
      <c r="O749"/>
      <c r="P749"/>
      <c r="Q749"/>
      <c r="R749"/>
      <c r="S749"/>
      <c r="T749"/>
      <c r="U749"/>
      <c r="V749"/>
      <c r="W749"/>
      <c r="X749"/>
      <c r="Y749"/>
    </row>
    <row r="750" spans="1:25" s="104" customFormat="1" hidden="1" x14ac:dyDescent="0.25">
      <c r="A750" s="97" t="str">
        <f t="shared" si="12"/>
        <v>dpi_vdd_dyn_SD_|_640x480x60_fps_24b_|_3p3V</v>
      </c>
      <c r="B750" s="97" t="s">
        <v>699</v>
      </c>
      <c r="C750" s="97" t="s">
        <v>369</v>
      </c>
      <c r="D750" s="97" t="s">
        <v>705</v>
      </c>
      <c r="E750" s="97" t="s">
        <v>1050</v>
      </c>
      <c r="F750" s="97">
        <v>8.4587817599999993E-6</v>
      </c>
      <c r="G750" s="97" t="s">
        <v>629</v>
      </c>
      <c r="H750" s="5"/>
      <c r="I750"/>
      <c r="J750"/>
      <c r="K750"/>
      <c r="L750"/>
      <c r="M750"/>
      <c r="N750"/>
      <c r="O750"/>
      <c r="P750"/>
      <c r="Q750"/>
      <c r="R750"/>
      <c r="S750"/>
      <c r="T750"/>
      <c r="U750"/>
      <c r="V750"/>
      <c r="W750"/>
      <c r="X750"/>
      <c r="Y750"/>
    </row>
    <row r="751" spans="1:25" s="104" customFormat="1" hidden="1" x14ac:dyDescent="0.25">
      <c r="A751" s="97" t="str">
        <f t="shared" si="12"/>
        <v>dpi_vdd_dyn_SVGA_|_800x600x60_fps_12b_|_1p8V</v>
      </c>
      <c r="B751" s="97" t="s">
        <v>699</v>
      </c>
      <c r="C751" s="97" t="s">
        <v>369</v>
      </c>
      <c r="D751" s="97" t="s">
        <v>779</v>
      </c>
      <c r="E751" s="97" t="s">
        <v>1050</v>
      </c>
      <c r="F751" s="97">
        <v>8.4587817599999993E-6</v>
      </c>
      <c r="G751" s="97" t="s">
        <v>629</v>
      </c>
      <c r="H751" s="5"/>
      <c r="I751"/>
      <c r="J751"/>
      <c r="K751"/>
      <c r="L751"/>
      <c r="M751"/>
      <c r="N751"/>
      <c r="O751"/>
      <c r="P751"/>
      <c r="Q751"/>
      <c r="R751"/>
      <c r="S751"/>
      <c r="T751"/>
      <c r="U751"/>
      <c r="V751"/>
      <c r="W751"/>
      <c r="X751"/>
      <c r="Y751"/>
    </row>
    <row r="752" spans="1:25" s="104" customFormat="1" hidden="1" x14ac:dyDescent="0.25">
      <c r="A752" s="97" t="str">
        <f t="shared" si="12"/>
        <v>dpi_vdd_dyn_SVGA_|_800x600x60_fps_12b_|_3p3V</v>
      </c>
      <c r="B752" s="97" t="s">
        <v>699</v>
      </c>
      <c r="C752" s="97" t="s">
        <v>369</v>
      </c>
      <c r="D752" s="97" t="s">
        <v>706</v>
      </c>
      <c r="E752" s="97" t="s">
        <v>1050</v>
      </c>
      <c r="F752" s="97">
        <v>1.1256644409753601E-5</v>
      </c>
      <c r="G752" s="97" t="s">
        <v>629</v>
      </c>
      <c r="H752" s="5"/>
      <c r="I752"/>
      <c r="J752"/>
      <c r="K752"/>
      <c r="L752"/>
      <c r="M752"/>
      <c r="N752"/>
      <c r="O752"/>
      <c r="P752"/>
      <c r="Q752"/>
      <c r="R752"/>
      <c r="S752"/>
      <c r="T752"/>
      <c r="U752"/>
      <c r="V752"/>
      <c r="W752"/>
      <c r="X752"/>
      <c r="Y752"/>
    </row>
    <row r="753" spans="1:25" s="104" customFormat="1" hidden="1" x14ac:dyDescent="0.25">
      <c r="A753" s="97" t="str">
        <f t="shared" si="12"/>
        <v>dpi_vdd_dyn_SVGA_|_800x600x60_fps_16b_|_1p8V</v>
      </c>
      <c r="B753" s="97" t="s">
        <v>699</v>
      </c>
      <c r="C753" s="97" t="s">
        <v>369</v>
      </c>
      <c r="D753" s="97" t="s">
        <v>780</v>
      </c>
      <c r="E753" s="97" t="s">
        <v>1050</v>
      </c>
      <c r="F753" s="97">
        <v>1.1256644409753601E-5</v>
      </c>
      <c r="G753" s="97" t="s">
        <v>629</v>
      </c>
      <c r="H753" s="5"/>
      <c r="I753"/>
      <c r="J753"/>
      <c r="K753"/>
      <c r="L753"/>
      <c r="M753"/>
      <c r="N753"/>
      <c r="O753"/>
      <c r="P753"/>
      <c r="Q753"/>
      <c r="R753"/>
      <c r="S753"/>
      <c r="T753"/>
      <c r="U753"/>
      <c r="V753"/>
      <c r="W753"/>
      <c r="X753"/>
      <c r="Y753"/>
    </row>
    <row r="754" spans="1:25" s="104" customFormat="1" hidden="1" x14ac:dyDescent="0.25">
      <c r="A754" s="97" t="str">
        <f t="shared" si="12"/>
        <v>dpi_vdd_dyn_SVGA_|_800x600x60_fps_16b_|_3p3V</v>
      </c>
      <c r="B754" s="97" t="s">
        <v>699</v>
      </c>
      <c r="C754" s="97" t="s">
        <v>369</v>
      </c>
      <c r="D754" s="97" t="s">
        <v>707</v>
      </c>
      <c r="E754" s="97" t="s">
        <v>1050</v>
      </c>
      <c r="F754" s="97">
        <v>1.1256644409753601E-5</v>
      </c>
      <c r="G754" s="97" t="s">
        <v>629</v>
      </c>
      <c r="H754" s="5"/>
      <c r="I754"/>
      <c r="J754"/>
      <c r="K754"/>
      <c r="L754"/>
      <c r="M754"/>
      <c r="N754"/>
      <c r="O754"/>
      <c r="P754"/>
      <c r="Q754"/>
      <c r="R754"/>
      <c r="S754"/>
      <c r="T754"/>
      <c r="U754"/>
      <c r="V754"/>
      <c r="W754"/>
      <c r="X754"/>
      <c r="Y754"/>
    </row>
    <row r="755" spans="1:25" s="104" customFormat="1" hidden="1" x14ac:dyDescent="0.25">
      <c r="A755" s="97" t="str">
        <f t="shared" si="12"/>
        <v>dpi_vdd_dyn_SVGA_|_800x600x60_fps_24b_|_1p8V</v>
      </c>
      <c r="B755" s="97" t="s">
        <v>699</v>
      </c>
      <c r="C755" s="97" t="s">
        <v>369</v>
      </c>
      <c r="D755" s="97" t="s">
        <v>781</v>
      </c>
      <c r="E755" s="97" t="s">
        <v>1050</v>
      </c>
      <c r="F755" s="97">
        <v>1.1256644409753601E-5</v>
      </c>
      <c r="G755" s="97" t="s">
        <v>629</v>
      </c>
      <c r="H755" s="5"/>
      <c r="I755"/>
      <c r="J755"/>
      <c r="K755"/>
      <c r="L755"/>
      <c r="M755"/>
      <c r="N755"/>
      <c r="O755"/>
      <c r="P755"/>
      <c r="Q755"/>
      <c r="R755"/>
      <c r="S755"/>
      <c r="T755"/>
      <c r="U755"/>
      <c r="V755"/>
      <c r="W755"/>
      <c r="X755"/>
      <c r="Y755"/>
    </row>
    <row r="756" spans="1:25" s="104" customFormat="1" hidden="1" x14ac:dyDescent="0.25">
      <c r="A756" s="97" t="str">
        <f t="shared" si="12"/>
        <v>dpi_vdd_dyn_SVGA_|_800x600x60_fps_24b_|_1p8V</v>
      </c>
      <c r="B756" s="97" t="s">
        <v>699</v>
      </c>
      <c r="C756" s="97" t="s">
        <v>369</v>
      </c>
      <c r="D756" s="97" t="s">
        <v>781</v>
      </c>
      <c r="E756" s="97" t="s">
        <v>1050</v>
      </c>
      <c r="F756" s="97">
        <v>1.35123963346944E-5</v>
      </c>
      <c r="G756" s="97" t="s">
        <v>629</v>
      </c>
      <c r="H756" s="5"/>
      <c r="I756"/>
      <c r="J756"/>
      <c r="K756"/>
      <c r="L756"/>
      <c r="M756"/>
      <c r="N756"/>
      <c r="O756"/>
      <c r="P756"/>
      <c r="Q756"/>
      <c r="R756"/>
      <c r="S756"/>
      <c r="T756"/>
      <c r="U756"/>
      <c r="V756"/>
      <c r="W756"/>
      <c r="X756"/>
      <c r="Y756"/>
    </row>
    <row r="757" spans="1:25" s="104" customFormat="1" hidden="1" x14ac:dyDescent="0.25">
      <c r="A757" s="97" t="str">
        <f t="shared" si="12"/>
        <v>dpi_vdd_dyn_SVGA_|_800x600x60_fps_24b_|_3p3V</v>
      </c>
      <c r="B757" s="97" t="s">
        <v>699</v>
      </c>
      <c r="C757" s="97" t="s">
        <v>369</v>
      </c>
      <c r="D757" s="97" t="s">
        <v>708</v>
      </c>
      <c r="E757" s="97" t="s">
        <v>1050</v>
      </c>
      <c r="F757" s="97">
        <v>1.35123963346944E-5</v>
      </c>
      <c r="G757" s="97" t="s">
        <v>629</v>
      </c>
      <c r="H757" s="5"/>
      <c r="I757"/>
      <c r="J757"/>
      <c r="K757"/>
      <c r="L757"/>
      <c r="M757"/>
      <c r="N757"/>
      <c r="O757"/>
      <c r="P757"/>
      <c r="Q757"/>
      <c r="R757"/>
      <c r="S757"/>
      <c r="T757"/>
      <c r="U757"/>
      <c r="V757"/>
      <c r="W757"/>
      <c r="X757"/>
      <c r="Y757"/>
    </row>
    <row r="758" spans="1:25" s="104" customFormat="1" hidden="1" x14ac:dyDescent="0.25">
      <c r="A758" s="97" t="str">
        <f t="shared" si="12"/>
        <v>dpi_vdd_dyn_SVGA_|_800x600x60_fps_24b_|_3p3V</v>
      </c>
      <c r="B758" s="97" t="s">
        <v>699</v>
      </c>
      <c r="C758" s="97" t="s">
        <v>369</v>
      </c>
      <c r="D758" s="97" t="s">
        <v>708</v>
      </c>
      <c r="E758" s="97" t="s">
        <v>1050</v>
      </c>
      <c r="F758" s="97">
        <v>1.35123963346944E-5</v>
      </c>
      <c r="G758" s="97" t="s">
        <v>629</v>
      </c>
      <c r="H758" s="5"/>
      <c r="I758"/>
      <c r="J758"/>
      <c r="K758"/>
      <c r="L758"/>
      <c r="M758"/>
      <c r="N758"/>
      <c r="O758"/>
      <c r="P758"/>
      <c r="Q758"/>
      <c r="R758"/>
      <c r="S758"/>
      <c r="T758"/>
      <c r="U758"/>
      <c r="V758"/>
      <c r="W758"/>
      <c r="X758"/>
      <c r="Y758"/>
    </row>
    <row r="759" spans="1:25" s="104" customFormat="1" hidden="1" x14ac:dyDescent="0.25">
      <c r="A759" s="97" t="str">
        <f t="shared" si="12"/>
        <v>dpi_vdd_dyn_SXGA_|_1280x1024x30_fps_12b_|_1p8V</v>
      </c>
      <c r="B759" s="97" t="s">
        <v>699</v>
      </c>
      <c r="C759" s="97" t="s">
        <v>369</v>
      </c>
      <c r="D759" s="97" t="s">
        <v>801</v>
      </c>
      <c r="E759" s="97" t="s">
        <v>1050</v>
      </c>
      <c r="F759" s="97">
        <v>2.9522840098752001E-5</v>
      </c>
      <c r="G759" s="97" t="s">
        <v>629</v>
      </c>
      <c r="H759" s="5"/>
      <c r="I759"/>
      <c r="J759"/>
      <c r="K759"/>
      <c r="L759"/>
      <c r="M759"/>
      <c r="N759"/>
      <c r="O759"/>
      <c r="P759"/>
      <c r="Q759"/>
      <c r="R759"/>
      <c r="S759"/>
      <c r="T759"/>
      <c r="U759"/>
      <c r="V759"/>
      <c r="W759"/>
      <c r="X759"/>
      <c r="Y759"/>
    </row>
    <row r="760" spans="1:25" s="104" customFormat="1" hidden="1" x14ac:dyDescent="0.25">
      <c r="A760" s="97" t="str">
        <f t="shared" si="12"/>
        <v>dpi_vdd_dyn_SXGA_|_1280x1024x30_fps_12b_|_3p3V</v>
      </c>
      <c r="B760" s="97" t="s">
        <v>699</v>
      </c>
      <c r="C760" s="97" t="s">
        <v>369</v>
      </c>
      <c r="D760" s="97" t="s">
        <v>728</v>
      </c>
      <c r="E760" s="97" t="s">
        <v>1050</v>
      </c>
      <c r="F760" s="97">
        <v>1.4959161724320003E-5</v>
      </c>
      <c r="G760" s="97" t="s">
        <v>629</v>
      </c>
      <c r="H760" s="5"/>
      <c r="I760"/>
      <c r="J760"/>
      <c r="K760"/>
      <c r="L760"/>
      <c r="M760"/>
      <c r="N760"/>
      <c r="O760"/>
      <c r="P760"/>
      <c r="Q760"/>
      <c r="R760"/>
      <c r="S760"/>
      <c r="T760"/>
      <c r="U760"/>
      <c r="V760"/>
      <c r="W760"/>
      <c r="X760"/>
      <c r="Y760"/>
    </row>
    <row r="761" spans="1:25" s="104" customFormat="1" hidden="1" x14ac:dyDescent="0.25">
      <c r="A761" s="97" t="str">
        <f t="shared" si="12"/>
        <v>dpi_vdd_dyn_SXGA_|_1280x1024x30_fps_16b_|_1p8V</v>
      </c>
      <c r="B761" s="97" t="s">
        <v>699</v>
      </c>
      <c r="C761" s="97" t="s">
        <v>369</v>
      </c>
      <c r="D761" s="97" t="s">
        <v>802</v>
      </c>
      <c r="E761" s="97" t="s">
        <v>1050</v>
      </c>
      <c r="F761" s="97">
        <v>1.4959161724320003E-5</v>
      </c>
      <c r="G761" s="97" t="s">
        <v>629</v>
      </c>
      <c r="H761" s="5"/>
      <c r="I761"/>
      <c r="J761"/>
      <c r="K761"/>
      <c r="L761"/>
      <c r="M761"/>
      <c r="N761"/>
      <c r="O761"/>
      <c r="P761"/>
      <c r="Q761"/>
      <c r="R761"/>
      <c r="S761"/>
      <c r="T761"/>
      <c r="U761"/>
      <c r="V761"/>
      <c r="W761"/>
      <c r="X761"/>
      <c r="Y761"/>
    </row>
    <row r="762" spans="1:25" s="104" customFormat="1" hidden="1" x14ac:dyDescent="0.25">
      <c r="A762" s="97" t="str">
        <f t="shared" si="12"/>
        <v>dpi_vdd_dyn_SXGA_|_1280x1024x30_fps_16b_|_3p3V</v>
      </c>
      <c r="B762" s="97" t="s">
        <v>699</v>
      </c>
      <c r="C762" s="97" t="s">
        <v>369</v>
      </c>
      <c r="D762" s="97" t="s">
        <v>729</v>
      </c>
      <c r="E762" s="97" t="s">
        <v>1050</v>
      </c>
      <c r="F762" s="97">
        <v>1.4959161724320003E-5</v>
      </c>
      <c r="G762" s="97" t="s">
        <v>629</v>
      </c>
      <c r="H762" s="5"/>
      <c r="I762"/>
      <c r="J762"/>
      <c r="K762"/>
      <c r="L762"/>
      <c r="M762"/>
      <c r="N762"/>
      <c r="O762"/>
      <c r="P762"/>
      <c r="Q762"/>
      <c r="R762"/>
      <c r="S762"/>
      <c r="T762"/>
      <c r="U762"/>
      <c r="V762"/>
      <c r="W762"/>
      <c r="X762"/>
      <c r="Y762"/>
    </row>
    <row r="763" spans="1:25" s="104" customFormat="1" hidden="1" x14ac:dyDescent="0.25">
      <c r="A763" s="97" t="str">
        <f t="shared" si="12"/>
        <v>dpi_vdd_dyn_SXGA_|_1280x1024x30_fps_18b_|_1p8V</v>
      </c>
      <c r="B763" s="97" t="s">
        <v>699</v>
      </c>
      <c r="C763" s="97" t="s">
        <v>369</v>
      </c>
      <c r="D763" s="97" t="s">
        <v>803</v>
      </c>
      <c r="E763" s="97" t="s">
        <v>1050</v>
      </c>
      <c r="F763" s="97">
        <v>1.4959161724320003E-5</v>
      </c>
      <c r="G763" s="97" t="s">
        <v>629</v>
      </c>
      <c r="H763" s="5"/>
      <c r="I763"/>
      <c r="J763"/>
      <c r="K763"/>
      <c r="L763"/>
      <c r="M763"/>
      <c r="N763"/>
      <c r="O763"/>
      <c r="P763"/>
      <c r="Q763"/>
      <c r="R763"/>
      <c r="S763"/>
      <c r="T763"/>
      <c r="U763"/>
      <c r="V763"/>
      <c r="W763"/>
      <c r="X763"/>
      <c r="Y763"/>
    </row>
    <row r="764" spans="1:25" s="104" customFormat="1" hidden="1" x14ac:dyDescent="0.25">
      <c r="A764" s="97" t="str">
        <f t="shared" si="12"/>
        <v>dpi_vdd_dyn_SXGA_|_1280x1024x30_fps_18b_|_3p3V</v>
      </c>
      <c r="B764" s="97" t="s">
        <v>699</v>
      </c>
      <c r="C764" s="97" t="s">
        <v>369</v>
      </c>
      <c r="D764" s="97" t="s">
        <v>730</v>
      </c>
      <c r="E764" s="97" t="s">
        <v>1050</v>
      </c>
      <c r="F764" s="97">
        <v>1.9242205923283199E-5</v>
      </c>
      <c r="G764" s="97" t="s">
        <v>629</v>
      </c>
      <c r="H764" s="5"/>
      <c r="I764"/>
      <c r="J764"/>
      <c r="K764"/>
      <c r="L764"/>
      <c r="M764"/>
      <c r="N764"/>
      <c r="O764"/>
      <c r="P764"/>
      <c r="Q764"/>
      <c r="R764"/>
      <c r="S764"/>
      <c r="T764"/>
      <c r="U764"/>
      <c r="V764"/>
      <c r="W764"/>
      <c r="X764"/>
      <c r="Y764"/>
    </row>
    <row r="765" spans="1:25" s="104" customFormat="1" hidden="1" x14ac:dyDescent="0.25">
      <c r="A765" s="97" t="str">
        <f t="shared" si="12"/>
        <v>dpi_vdd_dyn_SXGA_|_1280x1024x30_fps_24b_|_1p8V</v>
      </c>
      <c r="B765" s="97" t="s">
        <v>699</v>
      </c>
      <c r="C765" s="97" t="s">
        <v>369</v>
      </c>
      <c r="D765" s="97" t="s">
        <v>804</v>
      </c>
      <c r="E765" s="97" t="s">
        <v>1050</v>
      </c>
      <c r="F765" s="97">
        <v>1.9242205923283199E-5</v>
      </c>
      <c r="G765" s="97" t="s">
        <v>629</v>
      </c>
      <c r="H765" s="5"/>
      <c r="I765"/>
      <c r="J765"/>
      <c r="K765"/>
      <c r="L765"/>
      <c r="M765"/>
      <c r="N765"/>
      <c r="O765"/>
      <c r="P765"/>
      <c r="Q765"/>
      <c r="R765"/>
      <c r="S765"/>
      <c r="T765"/>
      <c r="U765"/>
      <c r="V765"/>
      <c r="W765"/>
      <c r="X765"/>
      <c r="Y765"/>
    </row>
    <row r="766" spans="1:25" s="104" customFormat="1" hidden="1" x14ac:dyDescent="0.25">
      <c r="A766" s="97" t="str">
        <f t="shared" si="12"/>
        <v>dpi_vdd_dyn_SXGA_|_1280x1024x30_fps_24b_|_3p3V</v>
      </c>
      <c r="B766" s="97" t="s">
        <v>699</v>
      </c>
      <c r="C766" s="97" t="s">
        <v>369</v>
      </c>
      <c r="D766" s="97" t="s">
        <v>731</v>
      </c>
      <c r="E766" s="97" t="s">
        <v>1050</v>
      </c>
      <c r="F766" s="97">
        <v>1.9242205923283199E-5</v>
      </c>
      <c r="G766" s="97" t="s">
        <v>629</v>
      </c>
      <c r="H766" s="5"/>
      <c r="I766"/>
      <c r="J766"/>
      <c r="K766"/>
      <c r="L766"/>
      <c r="M766"/>
      <c r="N766"/>
      <c r="O766"/>
      <c r="P766"/>
      <c r="Q766"/>
      <c r="R766"/>
      <c r="S766"/>
      <c r="T766"/>
      <c r="U766"/>
      <c r="V766"/>
      <c r="W766"/>
      <c r="X766"/>
      <c r="Y766"/>
    </row>
    <row r="767" spans="1:25" s="104" customFormat="1" hidden="1" x14ac:dyDescent="0.25">
      <c r="A767" s="97" t="str">
        <f t="shared" si="12"/>
        <v>dpi_vdd_dyn_SXGA_|_1280x1024x60_fps_12b_|_1p8V</v>
      </c>
      <c r="B767" s="97" t="s">
        <v>699</v>
      </c>
      <c r="C767" s="97" t="s">
        <v>369</v>
      </c>
      <c r="D767" s="97" t="s">
        <v>805</v>
      </c>
      <c r="E767" s="97" t="s">
        <v>1050</v>
      </c>
      <c r="F767" s="97">
        <v>1.9242205923283199E-5</v>
      </c>
      <c r="G767" s="97" t="s">
        <v>629</v>
      </c>
      <c r="H767" s="5"/>
      <c r="I767"/>
      <c r="J767"/>
      <c r="K767"/>
      <c r="L767"/>
      <c r="M767"/>
      <c r="N767"/>
      <c r="O767"/>
      <c r="P767"/>
      <c r="Q767"/>
      <c r="R767"/>
      <c r="S767"/>
      <c r="T767"/>
      <c r="U767"/>
      <c r="V767"/>
      <c r="W767"/>
      <c r="X767"/>
      <c r="Y767"/>
    </row>
    <row r="768" spans="1:25" s="104" customFormat="1" hidden="1" x14ac:dyDescent="0.25">
      <c r="A768" s="97" t="str">
        <f t="shared" si="12"/>
        <v>dpi_vdd_dyn_SXGA_|_1280x1024x60_fps_12b_|_3p3V</v>
      </c>
      <c r="B768" s="97" t="s">
        <v>699</v>
      </c>
      <c r="C768" s="97" t="s">
        <v>369</v>
      </c>
      <c r="D768" s="97" t="s">
        <v>732</v>
      </c>
      <c r="E768" s="97" t="s">
        <v>1050</v>
      </c>
      <c r="F768" s="97">
        <v>2.9918323448640007E-5</v>
      </c>
      <c r="G768" s="97" t="s">
        <v>629</v>
      </c>
      <c r="H768" s="5"/>
      <c r="I768"/>
      <c r="J768"/>
      <c r="K768"/>
      <c r="L768"/>
      <c r="M768"/>
      <c r="N768"/>
      <c r="O768"/>
      <c r="P768"/>
      <c r="Q768"/>
      <c r="R768"/>
      <c r="S768"/>
      <c r="T768"/>
      <c r="U768"/>
      <c r="V768"/>
      <c r="W768"/>
      <c r="X768"/>
      <c r="Y768"/>
    </row>
    <row r="769" spans="1:25" s="104" customFormat="1" hidden="1" x14ac:dyDescent="0.25">
      <c r="A769" s="97" t="str">
        <f t="shared" si="12"/>
        <v>dpi_vdd_dyn_SXGA_|_1280x1024x60_fps_16b_|_1p8V</v>
      </c>
      <c r="B769" s="97" t="s">
        <v>699</v>
      </c>
      <c r="C769" s="97" t="s">
        <v>369</v>
      </c>
      <c r="D769" s="97" t="s">
        <v>806</v>
      </c>
      <c r="E769" s="97" t="s">
        <v>1050</v>
      </c>
      <c r="F769" s="97">
        <v>2.9918323448640007E-5</v>
      </c>
      <c r="G769" s="97" t="s">
        <v>629</v>
      </c>
      <c r="H769" s="5"/>
      <c r="I769"/>
      <c r="J769"/>
      <c r="K769"/>
      <c r="L769"/>
      <c r="M769"/>
      <c r="N769"/>
      <c r="O769"/>
      <c r="P769"/>
      <c r="Q769"/>
      <c r="R769"/>
      <c r="S769"/>
      <c r="T769"/>
      <c r="U769"/>
      <c r="V769"/>
      <c r="W769"/>
      <c r="X769"/>
      <c r="Y769"/>
    </row>
    <row r="770" spans="1:25" s="104" customFormat="1" hidden="1" x14ac:dyDescent="0.25">
      <c r="A770" s="97" t="str">
        <f t="shared" si="12"/>
        <v>dpi_vdd_dyn_SXGA_|_1280x1024x60_fps_16b_|_3p3V</v>
      </c>
      <c r="B770" s="97" t="s">
        <v>699</v>
      </c>
      <c r="C770" s="97" t="s">
        <v>369</v>
      </c>
      <c r="D770" s="97" t="s">
        <v>733</v>
      </c>
      <c r="E770" s="97" t="s">
        <v>1050</v>
      </c>
      <c r="F770" s="97">
        <v>2.9918323448640007E-5</v>
      </c>
      <c r="G770" s="97" t="s">
        <v>629</v>
      </c>
      <c r="H770" s="5"/>
      <c r="I770"/>
      <c r="J770"/>
      <c r="K770"/>
      <c r="L770"/>
      <c r="M770"/>
      <c r="N770"/>
      <c r="O770"/>
      <c r="P770"/>
      <c r="Q770"/>
      <c r="R770"/>
      <c r="S770"/>
      <c r="T770"/>
      <c r="U770"/>
      <c r="V770"/>
      <c r="W770"/>
      <c r="X770"/>
      <c r="Y770"/>
    </row>
    <row r="771" spans="1:25" s="104" customFormat="1" hidden="1" x14ac:dyDescent="0.25">
      <c r="A771" s="97" t="str">
        <f t="shared" si="12"/>
        <v>dpi_vdd_dyn_SXGA_|_1280x1024x60_fps_18b_|_1p8V</v>
      </c>
      <c r="B771" s="97" t="s">
        <v>699</v>
      </c>
      <c r="C771" s="97" t="s">
        <v>369</v>
      </c>
      <c r="D771" s="97" t="s">
        <v>807</v>
      </c>
      <c r="E771" s="97" t="s">
        <v>1050</v>
      </c>
      <c r="F771" s="97">
        <v>2.9918323448640007E-5</v>
      </c>
      <c r="G771" s="97" t="s">
        <v>629</v>
      </c>
      <c r="H771" s="5"/>
      <c r="I771"/>
      <c r="J771"/>
      <c r="K771"/>
      <c r="L771"/>
      <c r="M771"/>
      <c r="N771"/>
      <c r="O771"/>
      <c r="P771"/>
      <c r="Q771"/>
      <c r="R771"/>
      <c r="S771"/>
      <c r="T771"/>
      <c r="U771"/>
      <c r="V771"/>
      <c r="W771"/>
      <c r="X771"/>
      <c r="Y771"/>
    </row>
    <row r="772" spans="1:25" s="104" customFormat="1" hidden="1" x14ac:dyDescent="0.25">
      <c r="A772" s="97" t="str">
        <f t="shared" si="12"/>
        <v>dpi_vdd_dyn_SXGA_|_1280x1024x60_fps_18b_|_3p3V</v>
      </c>
      <c r="B772" s="97" t="s">
        <v>699</v>
      </c>
      <c r="C772" s="97" t="s">
        <v>369</v>
      </c>
      <c r="D772" s="97" t="s">
        <v>734</v>
      </c>
      <c r="E772" s="97" t="s">
        <v>1050</v>
      </c>
      <c r="F772" s="97">
        <v>3.8484411846566399E-5</v>
      </c>
      <c r="G772" s="97" t="s">
        <v>629</v>
      </c>
      <c r="H772" s="5"/>
      <c r="I772"/>
      <c r="J772"/>
      <c r="K772"/>
      <c r="L772"/>
      <c r="M772"/>
      <c r="N772"/>
      <c r="O772"/>
      <c r="P772"/>
      <c r="Q772"/>
      <c r="R772"/>
      <c r="S772"/>
      <c r="T772"/>
      <c r="U772"/>
      <c r="V772"/>
      <c r="W772"/>
      <c r="X772"/>
      <c r="Y772"/>
    </row>
    <row r="773" spans="1:25" s="104" customFormat="1" hidden="1" x14ac:dyDescent="0.25">
      <c r="A773" s="97" t="str">
        <f t="shared" si="12"/>
        <v>dpi_vdd_dyn_SXGA_|_1280x1024x60_fps_24b_|_1p8V</v>
      </c>
      <c r="B773" s="97" t="s">
        <v>699</v>
      </c>
      <c r="C773" s="97" t="s">
        <v>369</v>
      </c>
      <c r="D773" s="97" t="s">
        <v>808</v>
      </c>
      <c r="E773" s="97" t="s">
        <v>1050</v>
      </c>
      <c r="F773" s="97">
        <v>3.8484411846566399E-5</v>
      </c>
      <c r="G773" s="97" t="s">
        <v>629</v>
      </c>
      <c r="H773" s="5"/>
      <c r="I773"/>
      <c r="J773"/>
      <c r="K773"/>
      <c r="L773"/>
      <c r="M773"/>
      <c r="N773"/>
      <c r="O773"/>
      <c r="P773"/>
      <c r="Q773"/>
      <c r="R773"/>
      <c r="S773"/>
      <c r="T773"/>
      <c r="U773"/>
      <c r="V773"/>
      <c r="W773"/>
      <c r="X773"/>
      <c r="Y773"/>
    </row>
    <row r="774" spans="1:25" s="104" customFormat="1" hidden="1" x14ac:dyDescent="0.25">
      <c r="A774" s="97" t="str">
        <f t="shared" si="12"/>
        <v>dpi_vdd_dyn_SXGA_|_1280x1024x60_fps_24b_|_3p3V</v>
      </c>
      <c r="B774" s="97" t="s">
        <v>699</v>
      </c>
      <c r="C774" s="97" t="s">
        <v>369</v>
      </c>
      <c r="D774" s="97" t="s">
        <v>735</v>
      </c>
      <c r="E774" s="97" t="s">
        <v>1050</v>
      </c>
      <c r="F774" s="97">
        <v>3.8484411846566399E-5</v>
      </c>
      <c r="G774" s="97" t="s">
        <v>629</v>
      </c>
      <c r="H774" s="5"/>
      <c r="I774"/>
      <c r="J774"/>
      <c r="K774"/>
      <c r="L774"/>
      <c r="M774"/>
      <c r="N774"/>
      <c r="O774"/>
      <c r="P774"/>
      <c r="Q774"/>
      <c r="R774"/>
      <c r="S774"/>
      <c r="T774"/>
      <c r="U774"/>
      <c r="V774"/>
      <c r="W774"/>
      <c r="X774"/>
      <c r="Y774"/>
    </row>
    <row r="775" spans="1:25" s="104" customFormat="1" hidden="1" x14ac:dyDescent="0.25">
      <c r="A775" s="97" t="str">
        <f t="shared" si="12"/>
        <v>dpi_vdd_dyn_SXGA+_|_1400x1050x60_fps_12b_|_1p8V</v>
      </c>
      <c r="B775" s="97" t="s">
        <v>699</v>
      </c>
      <c r="C775" s="97" t="s">
        <v>369</v>
      </c>
      <c r="D775" s="97" t="s">
        <v>809</v>
      </c>
      <c r="E775" s="97" t="s">
        <v>1050</v>
      </c>
      <c r="F775" s="97">
        <v>3.8484411846566399E-5</v>
      </c>
      <c r="G775" s="97" t="s">
        <v>629</v>
      </c>
      <c r="H775" s="5"/>
      <c r="I775"/>
      <c r="J775"/>
      <c r="K775"/>
      <c r="L775"/>
      <c r="M775"/>
      <c r="N775"/>
      <c r="O775"/>
      <c r="P775"/>
      <c r="Q775"/>
      <c r="R775"/>
      <c r="S775"/>
      <c r="T775"/>
      <c r="U775"/>
      <c r="V775"/>
      <c r="W775"/>
      <c r="X775"/>
      <c r="Y775"/>
    </row>
    <row r="776" spans="1:25" s="104" customFormat="1" hidden="1" x14ac:dyDescent="0.25">
      <c r="A776" s="97" t="str">
        <f t="shared" si="12"/>
        <v>dpi_vdd_dyn_SXGA+_|_1400x1050x60_fps_12b_|_3p3V</v>
      </c>
      <c r="B776" s="97" t="s">
        <v>699</v>
      </c>
      <c r="C776" s="97" t="s">
        <v>369</v>
      </c>
      <c r="D776" s="97" t="s">
        <v>736</v>
      </c>
      <c r="E776" s="97" t="s">
        <v>1050</v>
      </c>
      <c r="F776" s="97">
        <v>3.3371368446239999E-5</v>
      </c>
      <c r="G776" s="97" t="s">
        <v>629</v>
      </c>
      <c r="H776" s="5"/>
      <c r="I776"/>
      <c r="J776"/>
      <c r="K776"/>
      <c r="L776"/>
      <c r="M776"/>
      <c r="N776"/>
      <c r="O776"/>
      <c r="P776"/>
      <c r="Q776"/>
      <c r="R776"/>
      <c r="S776"/>
      <c r="T776"/>
      <c r="U776"/>
      <c r="V776"/>
      <c r="W776"/>
      <c r="X776"/>
      <c r="Y776"/>
    </row>
    <row r="777" spans="1:25" s="104" customFormat="1" hidden="1" x14ac:dyDescent="0.25">
      <c r="A777" s="97" t="str">
        <f t="shared" si="12"/>
        <v>dpi_vdd_dyn_SXGA+_|_1400x1050x60_fps_16b_|_1p8V</v>
      </c>
      <c r="B777" s="97" t="s">
        <v>699</v>
      </c>
      <c r="C777" s="97" t="s">
        <v>369</v>
      </c>
      <c r="D777" s="97" t="s">
        <v>810</v>
      </c>
      <c r="E777" s="97" t="s">
        <v>1050</v>
      </c>
      <c r="F777" s="97">
        <v>3.3371368446239999E-5</v>
      </c>
      <c r="G777" s="97" t="s">
        <v>629</v>
      </c>
      <c r="H777" s="5"/>
      <c r="I777"/>
      <c r="J777"/>
      <c r="K777"/>
      <c r="L777"/>
      <c r="M777"/>
      <c r="N777"/>
      <c r="O777"/>
      <c r="P777"/>
      <c r="Q777"/>
      <c r="R777"/>
      <c r="S777"/>
      <c r="T777"/>
      <c r="U777"/>
      <c r="V777"/>
      <c r="W777"/>
      <c r="X777"/>
      <c r="Y777"/>
    </row>
    <row r="778" spans="1:25" s="104" customFormat="1" hidden="1" x14ac:dyDescent="0.25">
      <c r="A778" s="97" t="str">
        <f t="shared" si="12"/>
        <v>dpi_vdd_dyn_SXGA+_|_1400x1050x60_fps_16b_|_3p3V</v>
      </c>
      <c r="B778" s="97" t="s">
        <v>699</v>
      </c>
      <c r="C778" s="97" t="s">
        <v>369</v>
      </c>
      <c r="D778" s="97" t="s">
        <v>737</v>
      </c>
      <c r="E778" s="97" t="s">
        <v>1050</v>
      </c>
      <c r="F778" s="97">
        <v>3.3371368446239999E-5</v>
      </c>
      <c r="G778" s="97" t="s">
        <v>629</v>
      </c>
      <c r="H778" s="5"/>
      <c r="I778"/>
      <c r="J778"/>
      <c r="K778"/>
      <c r="L778"/>
      <c r="M778"/>
      <c r="N778"/>
      <c r="O778"/>
      <c r="P778"/>
      <c r="Q778"/>
      <c r="R778"/>
      <c r="S778"/>
      <c r="T778"/>
      <c r="U778"/>
      <c r="V778"/>
      <c r="W778"/>
      <c r="X778"/>
      <c r="Y778"/>
    </row>
    <row r="779" spans="1:25" s="104" customFormat="1" hidden="1" x14ac:dyDescent="0.25">
      <c r="A779" s="97" t="str">
        <f t="shared" si="12"/>
        <v>dpi_vdd_dyn_SXGA+_|_1400x1050x60_fps_18b_|_1p8V</v>
      </c>
      <c r="B779" s="97" t="s">
        <v>699</v>
      </c>
      <c r="C779" s="97" t="s">
        <v>369</v>
      </c>
      <c r="D779" s="97" t="s">
        <v>811</v>
      </c>
      <c r="E779" s="97" t="s">
        <v>1050</v>
      </c>
      <c r="F779" s="97">
        <v>3.3371368446239999E-5</v>
      </c>
      <c r="G779" s="97" t="s">
        <v>629</v>
      </c>
      <c r="H779" s="5"/>
      <c r="I779"/>
      <c r="J779"/>
      <c r="K779"/>
      <c r="L779"/>
      <c r="M779"/>
      <c r="N779"/>
      <c r="O779"/>
      <c r="P779"/>
      <c r="Q779"/>
      <c r="R779"/>
      <c r="S779"/>
      <c r="T779"/>
      <c r="U779"/>
      <c r="V779"/>
      <c r="W779"/>
      <c r="X779"/>
      <c r="Y779"/>
    </row>
    <row r="780" spans="1:25" s="104" customFormat="1" hidden="1" x14ac:dyDescent="0.25">
      <c r="A780" s="97" t="str">
        <f t="shared" si="12"/>
        <v>dpi_vdd_dyn_SXGA+_|_1400x1050x60_fps_18b_|_3p3V</v>
      </c>
      <c r="B780" s="97" t="s">
        <v>699</v>
      </c>
      <c r="C780" s="97" t="s">
        <v>369</v>
      </c>
      <c r="D780" s="97" t="s">
        <v>738</v>
      </c>
      <c r="E780" s="97" t="s">
        <v>1050</v>
      </c>
      <c r="F780" s="97">
        <v>4.2926118148742392E-5</v>
      </c>
      <c r="G780" s="97" t="s">
        <v>629</v>
      </c>
      <c r="H780" s="5"/>
      <c r="I780"/>
      <c r="J780"/>
      <c r="K780"/>
      <c r="L780"/>
      <c r="M780"/>
      <c r="N780"/>
      <c r="O780"/>
      <c r="P780"/>
      <c r="Q780"/>
      <c r="R780"/>
      <c r="S780"/>
      <c r="T780"/>
      <c r="U780"/>
      <c r="V780"/>
      <c r="W780"/>
      <c r="X780"/>
      <c r="Y780"/>
    </row>
    <row r="781" spans="1:25" s="104" customFormat="1" hidden="1" x14ac:dyDescent="0.25">
      <c r="A781" s="97" t="str">
        <f t="shared" si="12"/>
        <v>dpi_vdd_dyn_SXGA+_|_1400x1050x60_fps_24b_|_1p8V</v>
      </c>
      <c r="B781" s="97" t="s">
        <v>699</v>
      </c>
      <c r="C781" s="97" t="s">
        <v>369</v>
      </c>
      <c r="D781" s="97" t="s">
        <v>812</v>
      </c>
      <c r="E781" s="97" t="s">
        <v>1050</v>
      </c>
      <c r="F781" s="97">
        <v>4.2926118148742392E-5</v>
      </c>
      <c r="G781" s="97" t="s">
        <v>629</v>
      </c>
      <c r="H781" s="5"/>
      <c r="I781"/>
      <c r="J781"/>
      <c r="K781"/>
      <c r="L781"/>
      <c r="M781"/>
      <c r="N781"/>
      <c r="O781"/>
      <c r="P781"/>
      <c r="Q781"/>
      <c r="R781"/>
      <c r="S781"/>
      <c r="T781"/>
      <c r="U781"/>
      <c r="V781"/>
      <c r="W781"/>
      <c r="X781"/>
      <c r="Y781"/>
    </row>
    <row r="782" spans="1:25" s="104" customFormat="1" hidden="1" x14ac:dyDescent="0.25">
      <c r="A782" s="97" t="str">
        <f t="shared" si="12"/>
        <v>dpi_vdd_dyn_SXGA+_|_1400x1050x60_fps_24b_|_3p3V</v>
      </c>
      <c r="B782" s="97" t="s">
        <v>699</v>
      </c>
      <c r="C782" s="97" t="s">
        <v>369</v>
      </c>
      <c r="D782" s="97" t="s">
        <v>739</v>
      </c>
      <c r="E782" s="97" t="s">
        <v>1050</v>
      </c>
      <c r="F782" s="97">
        <v>3.5760055871865602E-5</v>
      </c>
      <c r="G782" s="97" t="s">
        <v>629</v>
      </c>
      <c r="H782" s="5"/>
      <c r="I782"/>
      <c r="J782"/>
      <c r="K782"/>
      <c r="L782"/>
      <c r="M782"/>
      <c r="N782"/>
      <c r="O782"/>
      <c r="P782"/>
      <c r="Q782"/>
      <c r="R782"/>
      <c r="S782"/>
      <c r="T782"/>
      <c r="U782"/>
      <c r="V782"/>
      <c r="W782"/>
      <c r="X782"/>
      <c r="Y782"/>
    </row>
    <row r="783" spans="1:25" s="104" customFormat="1" hidden="1" x14ac:dyDescent="0.25">
      <c r="A783" s="97" t="str">
        <f t="shared" si="12"/>
        <v>dpi_vdd_dyn_UXGA_|_1600x1200x30_fps_12b_|_1p8V</v>
      </c>
      <c r="B783" s="97" t="s">
        <v>699</v>
      </c>
      <c r="C783" s="97" t="s">
        <v>369</v>
      </c>
      <c r="D783" s="97" t="s">
        <v>819</v>
      </c>
      <c r="E783" s="97" t="s">
        <v>1050</v>
      </c>
      <c r="F783" s="97">
        <v>3.4750830728908804E-5</v>
      </c>
      <c r="G783" s="97" t="s">
        <v>629</v>
      </c>
      <c r="H783" s="5"/>
      <c r="I783"/>
      <c r="J783"/>
      <c r="K783"/>
      <c r="L783"/>
      <c r="M783"/>
      <c r="N783"/>
      <c r="O783"/>
      <c r="P783"/>
      <c r="Q783"/>
      <c r="R783"/>
      <c r="S783"/>
      <c r="T783"/>
      <c r="U783"/>
      <c r="V783"/>
      <c r="W783"/>
      <c r="X783"/>
      <c r="Y783"/>
    </row>
    <row r="784" spans="1:25" s="104" customFormat="1" hidden="1" x14ac:dyDescent="0.25">
      <c r="A784" s="97" t="str">
        <f t="shared" si="12"/>
        <v>dpi_vdd_dyn_UXGA_|_1600x1200x30_fps_12b_|_3p3V</v>
      </c>
      <c r="B784" s="97" t="s">
        <v>699</v>
      </c>
      <c r="C784" s="97" t="s">
        <v>369</v>
      </c>
      <c r="D784" s="97" t="s">
        <v>748</v>
      </c>
      <c r="E784" s="97" t="s">
        <v>1050</v>
      </c>
      <c r="F784" s="97">
        <v>2.2105143324000003E-5</v>
      </c>
      <c r="G784" s="97" t="s">
        <v>629</v>
      </c>
      <c r="H784" s="5"/>
      <c r="I784"/>
      <c r="J784"/>
      <c r="K784"/>
      <c r="L784"/>
      <c r="M784"/>
      <c r="N784"/>
      <c r="O784"/>
      <c r="P784"/>
      <c r="Q784"/>
      <c r="R784"/>
      <c r="S784"/>
      <c r="T784"/>
      <c r="U784"/>
      <c r="V784"/>
      <c r="W784"/>
      <c r="X784"/>
      <c r="Y784"/>
    </row>
    <row r="785" spans="1:25" s="104" customFormat="1" hidden="1" x14ac:dyDescent="0.25">
      <c r="A785" s="97" t="str">
        <f t="shared" si="12"/>
        <v>dpi_vdd_dyn_UXGA_|_1600x1200x30_fps_16b_|_1p8V</v>
      </c>
      <c r="B785" s="97" t="s">
        <v>699</v>
      </c>
      <c r="C785" s="97" t="s">
        <v>369</v>
      </c>
      <c r="D785" s="97" t="s">
        <v>820</v>
      </c>
      <c r="E785" s="97" t="s">
        <v>1050</v>
      </c>
      <c r="F785" s="97">
        <v>2.2105143324000003E-5</v>
      </c>
      <c r="G785" s="97" t="s">
        <v>629</v>
      </c>
      <c r="H785" s="5"/>
      <c r="I785"/>
      <c r="J785"/>
      <c r="K785"/>
      <c r="L785"/>
      <c r="M785"/>
      <c r="N785"/>
      <c r="O785"/>
      <c r="P785"/>
      <c r="Q785"/>
      <c r="R785"/>
      <c r="S785"/>
      <c r="T785"/>
      <c r="U785"/>
      <c r="V785"/>
      <c r="W785"/>
      <c r="X785"/>
      <c r="Y785"/>
    </row>
    <row r="786" spans="1:25" s="104" customFormat="1" hidden="1" x14ac:dyDescent="0.25">
      <c r="A786" s="97" t="str">
        <f t="shared" si="12"/>
        <v>dpi_vdd_dyn_UXGA_|_1600x1200x30_fps_16b_|_3p3V</v>
      </c>
      <c r="B786" s="97" t="s">
        <v>699</v>
      </c>
      <c r="C786" s="97" t="s">
        <v>369</v>
      </c>
      <c r="D786" s="97" t="s">
        <v>749</v>
      </c>
      <c r="E786" s="97" t="s">
        <v>1050</v>
      </c>
      <c r="F786" s="97">
        <v>2.2105143324000003E-5</v>
      </c>
      <c r="G786" s="97" t="s">
        <v>629</v>
      </c>
      <c r="H786" s="5"/>
      <c r="I786"/>
      <c r="J786"/>
      <c r="K786"/>
      <c r="L786"/>
      <c r="M786"/>
      <c r="N786"/>
      <c r="O786"/>
      <c r="P786"/>
      <c r="Q786"/>
      <c r="R786"/>
      <c r="S786"/>
      <c r="T786"/>
      <c r="U786"/>
      <c r="V786"/>
      <c r="W786"/>
      <c r="X786"/>
      <c r="Y786"/>
    </row>
    <row r="787" spans="1:25" s="104" customFormat="1" hidden="1" x14ac:dyDescent="0.25">
      <c r="A787" s="97" t="str">
        <f t="shared" si="12"/>
        <v>dpi_vdd_dyn_UXGA_|_1600x1200x30_fps_18b_|_1p8V</v>
      </c>
      <c r="B787" s="97" t="s">
        <v>699</v>
      </c>
      <c r="C787" s="97" t="s">
        <v>369</v>
      </c>
      <c r="D787" s="97" t="s">
        <v>821</v>
      </c>
      <c r="E787" s="97" t="s">
        <v>1050</v>
      </c>
      <c r="F787" s="97">
        <v>2.2105143324000003E-5</v>
      </c>
      <c r="G787" s="97" t="s">
        <v>629</v>
      </c>
      <c r="H787" s="5"/>
      <c r="I787"/>
      <c r="J787"/>
      <c r="K787"/>
      <c r="L787"/>
      <c r="M787"/>
      <c r="N787"/>
      <c r="O787"/>
      <c r="P787"/>
      <c r="Q787"/>
      <c r="R787"/>
      <c r="S787"/>
      <c r="T787"/>
      <c r="U787"/>
      <c r="V787"/>
      <c r="W787"/>
      <c r="X787"/>
      <c r="Y787"/>
    </row>
    <row r="788" spans="1:25" s="104" customFormat="1" hidden="1" x14ac:dyDescent="0.25">
      <c r="A788" s="97" t="str">
        <f t="shared" si="12"/>
        <v>dpi_vdd_dyn_UXGA_|_1600x1200x30_fps_18b_|_3p3V</v>
      </c>
      <c r="B788" s="97" t="s">
        <v>699</v>
      </c>
      <c r="C788" s="97" t="s">
        <v>369</v>
      </c>
      <c r="D788" s="97" t="s">
        <v>750</v>
      </c>
      <c r="E788" s="97" t="s">
        <v>1050</v>
      </c>
      <c r="F788" s="97">
        <v>2.3687406214560001E-5</v>
      </c>
      <c r="G788" s="97" t="s">
        <v>629</v>
      </c>
      <c r="H788" s="5"/>
      <c r="I788"/>
      <c r="J788"/>
      <c r="K788"/>
      <c r="L788"/>
      <c r="M788"/>
      <c r="N788"/>
      <c r="O788"/>
      <c r="P788"/>
      <c r="Q788"/>
      <c r="R788"/>
      <c r="S788"/>
      <c r="T788"/>
      <c r="U788"/>
      <c r="V788"/>
      <c r="W788"/>
      <c r="X788"/>
      <c r="Y788"/>
    </row>
    <row r="789" spans="1:25" s="104" customFormat="1" hidden="1" x14ac:dyDescent="0.25">
      <c r="A789" s="97" t="str">
        <f t="shared" si="12"/>
        <v>dpi_vdd_dyn_UXGA_|_1600x1200x30_fps_24b_|_1p8V</v>
      </c>
      <c r="B789" s="97" t="s">
        <v>699</v>
      </c>
      <c r="C789" s="97" t="s">
        <v>369</v>
      </c>
      <c r="D789" s="97" t="s">
        <v>822</v>
      </c>
      <c r="E789" s="97" t="s">
        <v>1050</v>
      </c>
      <c r="F789" s="97">
        <v>2.3687406214560001E-5</v>
      </c>
      <c r="G789" s="97" t="s">
        <v>629</v>
      </c>
      <c r="H789" s="5"/>
      <c r="I789"/>
      <c r="J789"/>
      <c r="K789"/>
      <c r="L789"/>
      <c r="M789"/>
      <c r="N789"/>
      <c r="O789"/>
      <c r="P789"/>
      <c r="Q789"/>
      <c r="R789"/>
      <c r="S789"/>
      <c r="T789"/>
      <c r="U789"/>
      <c r="V789"/>
      <c r="W789"/>
      <c r="X789"/>
      <c r="Y789"/>
    </row>
    <row r="790" spans="1:25" s="104" customFormat="1" hidden="1" x14ac:dyDescent="0.25">
      <c r="A790" s="97" t="str">
        <f t="shared" si="12"/>
        <v>dpi_vdd_dyn_UXGA_|_1600x1200x30_fps_24b_|_3p3V</v>
      </c>
      <c r="B790" s="97" t="s">
        <v>699</v>
      </c>
      <c r="C790" s="97" t="s">
        <v>369</v>
      </c>
      <c r="D790" s="97" t="s">
        <v>751</v>
      </c>
      <c r="E790" s="97" t="s">
        <v>1050</v>
      </c>
      <c r="F790" s="97">
        <v>2.3687406214560001E-5</v>
      </c>
      <c r="G790" s="97" t="s">
        <v>629</v>
      </c>
      <c r="H790" s="5"/>
      <c r="I790"/>
      <c r="J790"/>
      <c r="K790"/>
      <c r="L790"/>
      <c r="M790"/>
      <c r="N790"/>
      <c r="O790"/>
      <c r="P790"/>
      <c r="Q790"/>
      <c r="R790"/>
      <c r="S790"/>
      <c r="T790"/>
      <c r="U790"/>
      <c r="V790"/>
      <c r="W790"/>
      <c r="X790"/>
      <c r="Y790"/>
    </row>
    <row r="791" spans="1:25" s="104" customFormat="1" hidden="1" x14ac:dyDescent="0.25">
      <c r="A791" s="97" t="str">
        <f t="shared" si="12"/>
        <v>dpi_vdd_dyn_UXGA_|_1600x1200x60_fps_12b_|_1p8V</v>
      </c>
      <c r="B791" s="97" t="s">
        <v>699</v>
      </c>
      <c r="C791" s="97" t="s">
        <v>369</v>
      </c>
      <c r="D791" s="97" t="s">
        <v>823</v>
      </c>
      <c r="E791" s="97" t="s">
        <v>1050</v>
      </c>
      <c r="F791" s="97">
        <v>2.3687406214560001E-5</v>
      </c>
      <c r="G791" s="97" t="s">
        <v>629</v>
      </c>
      <c r="H791" s="5"/>
      <c r="I791"/>
      <c r="J791"/>
      <c r="K791"/>
      <c r="L791"/>
      <c r="M791"/>
      <c r="N791"/>
      <c r="O791"/>
      <c r="P791"/>
      <c r="Q791"/>
      <c r="R791"/>
      <c r="S791"/>
      <c r="T791"/>
      <c r="U791"/>
      <c r="V791"/>
      <c r="W791"/>
      <c r="X791"/>
      <c r="Y791"/>
    </row>
    <row r="792" spans="1:25" s="104" customFormat="1" hidden="1" x14ac:dyDescent="0.25">
      <c r="A792" s="97" t="str">
        <f t="shared" si="12"/>
        <v>dpi_vdd_dyn_UXGA_|_1600x1200x60_fps_12b_|_3p3V</v>
      </c>
      <c r="B792" s="97" t="s">
        <v>699</v>
      </c>
      <c r="C792" s="97" t="s">
        <v>369</v>
      </c>
      <c r="D792" s="97" t="s">
        <v>752</v>
      </c>
      <c r="E792" s="97" t="s">
        <v>1050</v>
      </c>
      <c r="F792" s="97">
        <v>4.4210286648000006E-5</v>
      </c>
      <c r="G792" s="97" t="s">
        <v>629</v>
      </c>
      <c r="H792" s="5"/>
      <c r="I792"/>
      <c r="J792"/>
      <c r="K792"/>
      <c r="L792"/>
      <c r="M792"/>
      <c r="N792"/>
      <c r="O792"/>
      <c r="P792"/>
      <c r="Q792"/>
      <c r="R792"/>
      <c r="S792"/>
      <c r="T792"/>
      <c r="U792"/>
      <c r="V792"/>
      <c r="W792"/>
      <c r="X792"/>
      <c r="Y792"/>
    </row>
    <row r="793" spans="1:25" s="104" customFormat="1" hidden="1" x14ac:dyDescent="0.25">
      <c r="A793" s="97" t="str">
        <f t="shared" si="12"/>
        <v>dpi_vdd_dyn_UXGA_|_1600x1200x60_fps_16b_|_1p8V</v>
      </c>
      <c r="B793" s="97" t="s">
        <v>699</v>
      </c>
      <c r="C793" s="97" t="s">
        <v>369</v>
      </c>
      <c r="D793" s="97" t="s">
        <v>824</v>
      </c>
      <c r="E793" s="97" t="s">
        <v>1050</v>
      </c>
      <c r="F793" s="97">
        <v>4.4210286648000006E-5</v>
      </c>
      <c r="G793" s="97" t="s">
        <v>629</v>
      </c>
      <c r="H793" s="5"/>
      <c r="I793"/>
      <c r="J793"/>
      <c r="K793"/>
      <c r="L793"/>
      <c r="M793"/>
      <c r="N793"/>
      <c r="O793"/>
      <c r="P793"/>
      <c r="Q793"/>
      <c r="R793"/>
      <c r="S793"/>
      <c r="T793"/>
      <c r="U793"/>
      <c r="V793"/>
      <c r="W793"/>
      <c r="X793"/>
      <c r="Y793"/>
    </row>
    <row r="794" spans="1:25" s="104" customFormat="1" hidden="1" x14ac:dyDescent="0.25">
      <c r="A794" s="97" t="str">
        <f t="shared" si="12"/>
        <v>dpi_vdd_dyn_UXGA_|_1600x1200x60_fps_16b_|_3p3V</v>
      </c>
      <c r="B794" s="97" t="s">
        <v>699</v>
      </c>
      <c r="C794" s="97" t="s">
        <v>369</v>
      </c>
      <c r="D794" s="97" t="s">
        <v>753</v>
      </c>
      <c r="E794" s="97" t="s">
        <v>1050</v>
      </c>
      <c r="F794" s="97">
        <v>4.4210286648000006E-5</v>
      </c>
      <c r="G794" s="97" t="s">
        <v>629</v>
      </c>
      <c r="H794" s="5"/>
      <c r="I794"/>
      <c r="J794"/>
      <c r="K794"/>
      <c r="L794"/>
      <c r="M794"/>
      <c r="N794"/>
      <c r="O794"/>
      <c r="P794"/>
      <c r="Q794"/>
      <c r="R794"/>
      <c r="S794"/>
      <c r="T794"/>
      <c r="U794"/>
      <c r="V794"/>
      <c r="W794"/>
      <c r="X794"/>
      <c r="Y794"/>
    </row>
    <row r="795" spans="1:25" s="104" customFormat="1" hidden="1" x14ac:dyDescent="0.25">
      <c r="A795" s="97" t="str">
        <f t="shared" si="12"/>
        <v>dpi_vdd_dyn_UXGA_|_1600x1200x60_fps_18b_|_1p8V</v>
      </c>
      <c r="B795" s="97" t="s">
        <v>699</v>
      </c>
      <c r="C795" s="97" t="s">
        <v>369</v>
      </c>
      <c r="D795" s="97" t="s">
        <v>825</v>
      </c>
      <c r="E795" s="97" t="s">
        <v>1050</v>
      </c>
      <c r="F795" s="97">
        <v>4.4210286648000006E-5</v>
      </c>
      <c r="G795" s="97" t="s">
        <v>629</v>
      </c>
      <c r="H795" s="5"/>
      <c r="I795"/>
      <c r="J795"/>
      <c r="K795"/>
      <c r="L795"/>
      <c r="M795"/>
      <c r="N795"/>
      <c r="O795"/>
      <c r="P795"/>
      <c r="Q795"/>
      <c r="R795"/>
      <c r="S795"/>
      <c r="T795"/>
      <c r="U795"/>
      <c r="V795"/>
      <c r="W795"/>
      <c r="X795"/>
      <c r="Y795"/>
    </row>
    <row r="796" spans="1:25" s="104" customFormat="1" hidden="1" x14ac:dyDescent="0.25">
      <c r="A796" s="97" t="str">
        <f t="shared" si="12"/>
        <v>dpi_vdd_dyn_UXGA_|_1600x1200x60_fps_18b_|_3p3V</v>
      </c>
      <c r="B796" s="97" t="s">
        <v>699</v>
      </c>
      <c r="C796" s="97" t="s">
        <v>369</v>
      </c>
      <c r="D796" s="97" t="s">
        <v>754</v>
      </c>
      <c r="E796" s="97" t="s">
        <v>1050</v>
      </c>
      <c r="F796" s="97">
        <v>4.7374812429120002E-5</v>
      </c>
      <c r="G796" s="97" t="s">
        <v>629</v>
      </c>
      <c r="H796" s="5"/>
      <c r="I796"/>
      <c r="J796"/>
      <c r="K796"/>
      <c r="L796"/>
      <c r="M796"/>
      <c r="N796"/>
      <c r="O796"/>
      <c r="P796"/>
      <c r="Q796"/>
      <c r="R796"/>
      <c r="S796"/>
      <c r="T796"/>
      <c r="U796"/>
      <c r="V796"/>
      <c r="W796"/>
      <c r="X796"/>
      <c r="Y796"/>
    </row>
    <row r="797" spans="1:25" s="104" customFormat="1" hidden="1" x14ac:dyDescent="0.25">
      <c r="A797" s="97" t="str">
        <f t="shared" si="12"/>
        <v>dpi_vdd_dyn_UXGA_|_1600x1200x60_fps_24b_|_1p8V</v>
      </c>
      <c r="B797" s="97" t="s">
        <v>699</v>
      </c>
      <c r="C797" s="97" t="s">
        <v>369</v>
      </c>
      <c r="D797" s="97" t="s">
        <v>826</v>
      </c>
      <c r="E797" s="97" t="s">
        <v>1050</v>
      </c>
      <c r="F797" s="97">
        <v>4.7374812429120002E-5</v>
      </c>
      <c r="G797" s="97" t="s">
        <v>629</v>
      </c>
      <c r="H797" s="5"/>
      <c r="I797"/>
      <c r="J797"/>
      <c r="K797"/>
      <c r="L797"/>
      <c r="M797"/>
      <c r="N797"/>
      <c r="O797"/>
      <c r="P797"/>
      <c r="Q797"/>
      <c r="R797"/>
      <c r="S797"/>
      <c r="T797"/>
      <c r="U797"/>
      <c r="V797"/>
      <c r="W797"/>
      <c r="X797"/>
      <c r="Y797"/>
    </row>
    <row r="798" spans="1:25" s="104" customFormat="1" hidden="1" x14ac:dyDescent="0.25">
      <c r="A798" s="97" t="str">
        <f t="shared" si="12"/>
        <v>dpi_vdd_dyn_UXGA_|_1600x1200x60_fps_24b_|_3p3V</v>
      </c>
      <c r="B798" s="97" t="s">
        <v>699</v>
      </c>
      <c r="C798" s="97" t="s">
        <v>369</v>
      </c>
      <c r="D798" s="97" t="s">
        <v>755</v>
      </c>
      <c r="E798" s="97" t="s">
        <v>1050</v>
      </c>
      <c r="F798" s="97">
        <v>4.7374812429120002E-5</v>
      </c>
      <c r="G798" s="97" t="s">
        <v>629</v>
      </c>
      <c r="H798" s="5"/>
      <c r="I798"/>
      <c r="J798"/>
      <c r="K798"/>
      <c r="L798"/>
      <c r="M798"/>
      <c r="N798"/>
      <c r="O798"/>
      <c r="P798"/>
      <c r="Q798"/>
      <c r="R798"/>
      <c r="S798"/>
      <c r="T798"/>
      <c r="U798"/>
      <c r="V798"/>
      <c r="W798"/>
      <c r="X798"/>
      <c r="Y798"/>
    </row>
    <row r="799" spans="1:25" s="104" customFormat="1" hidden="1" x14ac:dyDescent="0.25">
      <c r="A799" s="97" t="str">
        <f t="shared" si="12"/>
        <v>dpi_vdd_dyn_WVGA_|_854x480x60_fps_12b_|_1p8V</v>
      </c>
      <c r="B799" s="97" t="s">
        <v>699</v>
      </c>
      <c r="C799" s="97" t="s">
        <v>369</v>
      </c>
      <c r="D799" s="97" t="s">
        <v>782</v>
      </c>
      <c r="E799" s="97" t="s">
        <v>1050</v>
      </c>
      <c r="F799" s="97">
        <v>1.35123963346944E-5</v>
      </c>
      <c r="G799" s="97" t="s">
        <v>629</v>
      </c>
      <c r="H799" s="5"/>
      <c r="I799"/>
      <c r="J799"/>
      <c r="K799"/>
      <c r="L799"/>
      <c r="M799"/>
      <c r="N799"/>
      <c r="O799"/>
      <c r="P799"/>
      <c r="Q799"/>
      <c r="R799"/>
      <c r="S799"/>
      <c r="T799"/>
      <c r="U799"/>
      <c r="V799"/>
      <c r="W799"/>
      <c r="X799"/>
      <c r="Y799"/>
    </row>
    <row r="800" spans="1:25" s="104" customFormat="1" hidden="1" x14ac:dyDescent="0.25">
      <c r="A800" s="97" t="str">
        <f t="shared" si="12"/>
        <v>dpi_vdd_dyn_WVGA_|_854x480x60_fps_12b_|_3p3V</v>
      </c>
      <c r="B800" s="97" t="s">
        <v>699</v>
      </c>
      <c r="C800" s="97" t="s">
        <v>369</v>
      </c>
      <c r="D800" s="97" t="s">
        <v>709</v>
      </c>
      <c r="E800" s="97" t="s">
        <v>1050</v>
      </c>
      <c r="F800" s="97">
        <v>9.301614220800001E-6</v>
      </c>
      <c r="G800" s="97" t="s">
        <v>629</v>
      </c>
      <c r="H800" s="5"/>
      <c r="I800"/>
      <c r="J800"/>
      <c r="K800"/>
      <c r="L800"/>
      <c r="M800"/>
      <c r="N800"/>
      <c r="O800"/>
      <c r="P800"/>
      <c r="Q800"/>
      <c r="R800"/>
      <c r="S800"/>
      <c r="T800"/>
      <c r="U800"/>
      <c r="V800"/>
      <c r="W800"/>
      <c r="X800"/>
      <c r="Y800"/>
    </row>
    <row r="801" spans="1:25" s="104" customFormat="1" hidden="1" x14ac:dyDescent="0.25">
      <c r="A801" s="97" t="str">
        <f t="shared" si="12"/>
        <v>dpi_vdd_dyn_WVGA_|_854x480x60_fps_16b_|_1p8V</v>
      </c>
      <c r="B801" s="97" t="s">
        <v>699</v>
      </c>
      <c r="C801" s="97" t="s">
        <v>369</v>
      </c>
      <c r="D801" s="97" t="s">
        <v>783</v>
      </c>
      <c r="E801" s="97" t="s">
        <v>1050</v>
      </c>
      <c r="F801" s="97">
        <v>9.301614220800001E-6</v>
      </c>
      <c r="G801" s="97" t="s">
        <v>629</v>
      </c>
      <c r="H801" s="5"/>
      <c r="I801"/>
      <c r="J801"/>
      <c r="K801"/>
      <c r="L801"/>
      <c r="M801"/>
      <c r="N801"/>
      <c r="O801"/>
      <c r="P801"/>
      <c r="Q801"/>
      <c r="R801"/>
      <c r="S801"/>
      <c r="T801"/>
      <c r="U801"/>
      <c r="V801"/>
      <c r="W801"/>
      <c r="X801"/>
      <c r="Y801"/>
    </row>
    <row r="802" spans="1:25" s="104" customFormat="1" hidden="1" x14ac:dyDescent="0.25">
      <c r="A802" s="97" t="str">
        <f t="shared" si="12"/>
        <v>dpi_vdd_dyn_WVGA_|_854x480x60_fps_16b_|_3p3V</v>
      </c>
      <c r="B802" s="97" t="s">
        <v>699</v>
      </c>
      <c r="C802" s="97" t="s">
        <v>369</v>
      </c>
      <c r="D802" s="97" t="s">
        <v>710</v>
      </c>
      <c r="E802" s="97" t="s">
        <v>1050</v>
      </c>
      <c r="F802" s="97">
        <v>8.6802883200000022E-6</v>
      </c>
      <c r="G802" s="97" t="s">
        <v>629</v>
      </c>
      <c r="H802" s="5"/>
      <c r="I802"/>
      <c r="J802"/>
      <c r="K802"/>
      <c r="L802"/>
      <c r="M802"/>
      <c r="N802"/>
      <c r="O802"/>
      <c r="P802"/>
      <c r="Q802"/>
      <c r="R802"/>
      <c r="S802"/>
      <c r="T802"/>
      <c r="U802"/>
      <c r="V802"/>
      <c r="W802"/>
      <c r="X802"/>
      <c r="Y802"/>
    </row>
    <row r="803" spans="1:25" s="104" customFormat="1" hidden="1" x14ac:dyDescent="0.25">
      <c r="A803" s="97" t="str">
        <f t="shared" si="12"/>
        <v>dpi_vdd_dyn_WVGA_|_854x480x60_fps_24b_|_1p8V</v>
      </c>
      <c r="B803" s="97" t="s">
        <v>699</v>
      </c>
      <c r="C803" s="97" t="s">
        <v>369</v>
      </c>
      <c r="D803" s="97" t="s">
        <v>784</v>
      </c>
      <c r="E803" s="97" t="s">
        <v>1050</v>
      </c>
      <c r="F803" s="97">
        <v>8.6802883200000022E-6</v>
      </c>
      <c r="G803" s="97" t="s">
        <v>629</v>
      </c>
      <c r="H803" s="5"/>
      <c r="I803"/>
      <c r="J803"/>
      <c r="K803"/>
      <c r="L803"/>
      <c r="M803"/>
      <c r="N803"/>
      <c r="O803"/>
      <c r="P803"/>
      <c r="Q803"/>
      <c r="R803"/>
      <c r="S803"/>
      <c r="T803"/>
      <c r="U803"/>
      <c r="V803"/>
      <c r="W803"/>
      <c r="X803"/>
      <c r="Y803"/>
    </row>
    <row r="804" spans="1:25" s="104" customFormat="1" hidden="1" x14ac:dyDescent="0.25">
      <c r="A804" s="97" t="str">
        <f t="shared" si="12"/>
        <v>dpi_vdd_dyn_WVGA_|_854x480x60_fps_24b_|_1p8V</v>
      </c>
      <c r="B804" s="97" t="s">
        <v>699</v>
      </c>
      <c r="C804" s="97" t="s">
        <v>369</v>
      </c>
      <c r="D804" s="97" t="s">
        <v>784</v>
      </c>
      <c r="E804" s="97" t="s">
        <v>1050</v>
      </c>
      <c r="F804" s="97">
        <v>1.11655919232E-5</v>
      </c>
      <c r="G804" s="97" t="s">
        <v>629</v>
      </c>
      <c r="H804" s="5"/>
      <c r="I804"/>
      <c r="J804"/>
      <c r="K804"/>
      <c r="L804"/>
      <c r="M804"/>
      <c r="N804"/>
      <c r="O804"/>
      <c r="P804"/>
      <c r="Q804"/>
      <c r="R804"/>
      <c r="S804"/>
      <c r="T804"/>
      <c r="U804"/>
      <c r="V804"/>
      <c r="W804"/>
      <c r="X804"/>
      <c r="Y804"/>
    </row>
    <row r="805" spans="1:25" s="104" customFormat="1" hidden="1" x14ac:dyDescent="0.25">
      <c r="A805" s="97" t="str">
        <f t="shared" si="12"/>
        <v>dpi_vdd_dyn_WVGA_|_854x480x60_fps_24b_|_3p3V</v>
      </c>
      <c r="B805" s="97" t="s">
        <v>699</v>
      </c>
      <c r="C805" s="97" t="s">
        <v>369</v>
      </c>
      <c r="D805" s="97" t="s">
        <v>711</v>
      </c>
      <c r="E805" s="97" t="s">
        <v>1050</v>
      </c>
      <c r="F805" s="97">
        <v>1.11655919232E-5</v>
      </c>
      <c r="G805" s="97" t="s">
        <v>629</v>
      </c>
      <c r="H805" s="5"/>
      <c r="I805"/>
      <c r="J805"/>
      <c r="K805"/>
      <c r="L805"/>
      <c r="M805"/>
      <c r="N805"/>
      <c r="O805"/>
      <c r="P805"/>
      <c r="Q805"/>
      <c r="R805"/>
      <c r="S805"/>
      <c r="T805"/>
      <c r="U805"/>
      <c r="V805"/>
      <c r="W805"/>
      <c r="X805"/>
      <c r="Y805"/>
    </row>
    <row r="806" spans="1:25" s="104" customFormat="1" hidden="1" x14ac:dyDescent="0.25">
      <c r="A806" s="97" t="str">
        <f t="shared" si="12"/>
        <v>dpi_vdd_dyn_WVGA_|_854x480x60_fps_24b_|_3p3V</v>
      </c>
      <c r="B806" s="97" t="s">
        <v>699</v>
      </c>
      <c r="C806" s="97" t="s">
        <v>369</v>
      </c>
      <c r="D806" s="97" t="s">
        <v>711</v>
      </c>
      <c r="E806" s="97" t="s">
        <v>1050</v>
      </c>
      <c r="F806" s="97">
        <v>1.11655919232E-5</v>
      </c>
      <c r="G806" s="97" t="s">
        <v>629</v>
      </c>
      <c r="H806" s="5"/>
      <c r="I806"/>
      <c r="J806"/>
      <c r="K806"/>
      <c r="L806"/>
      <c r="M806"/>
      <c r="N806"/>
      <c r="O806"/>
      <c r="P806"/>
      <c r="Q806"/>
      <c r="R806"/>
      <c r="S806"/>
      <c r="T806"/>
      <c r="U806"/>
      <c r="V806"/>
      <c r="W806"/>
      <c r="X806"/>
      <c r="Y806"/>
    </row>
    <row r="807" spans="1:25" s="104" customFormat="1" hidden="1" x14ac:dyDescent="0.25">
      <c r="A807" s="97" t="str">
        <f t="shared" si="12"/>
        <v>dpi_vdd_dyn_WXGA_|_1280x800x30_fps_12b_|_1p8V</v>
      </c>
      <c r="B807" s="97" t="s">
        <v>699</v>
      </c>
      <c r="C807" s="97" t="s">
        <v>369</v>
      </c>
      <c r="D807" s="97" t="s">
        <v>794</v>
      </c>
      <c r="E807" s="97" t="s">
        <v>1050</v>
      </c>
      <c r="F807" s="97">
        <v>2.6321022026956794E-5</v>
      </c>
      <c r="G807" s="97" t="s">
        <v>629</v>
      </c>
      <c r="H807" s="5"/>
      <c r="I807"/>
      <c r="J807"/>
      <c r="K807"/>
      <c r="L807"/>
      <c r="M807"/>
      <c r="N807"/>
      <c r="O807"/>
      <c r="P807"/>
      <c r="Q807"/>
      <c r="R807"/>
      <c r="S807"/>
      <c r="T807"/>
      <c r="U807"/>
      <c r="V807"/>
      <c r="W807"/>
      <c r="X807"/>
      <c r="Y807"/>
    </row>
    <row r="808" spans="1:25" s="104" customFormat="1" hidden="1" x14ac:dyDescent="0.25">
      <c r="A808" s="97" t="str">
        <f t="shared" si="12"/>
        <v>dpi_vdd_dyn_WXGA_|_1280x800x30_fps_12b_|_3p3V</v>
      </c>
      <c r="B808" s="97" t="s">
        <v>699</v>
      </c>
      <c r="C808" s="97" t="s">
        <v>369</v>
      </c>
      <c r="D808" s="97" t="s">
        <v>721</v>
      </c>
      <c r="E808" s="97" t="s">
        <v>1050</v>
      </c>
      <c r="F808" s="97">
        <v>1.1475735717600003E-5</v>
      </c>
      <c r="G808" s="97" t="s">
        <v>629</v>
      </c>
      <c r="H808" s="5"/>
      <c r="I808"/>
      <c r="J808"/>
      <c r="K808"/>
      <c r="L808"/>
      <c r="M808"/>
      <c r="N808"/>
      <c r="O808"/>
      <c r="P808"/>
      <c r="Q808"/>
      <c r="R808"/>
      <c r="S808"/>
      <c r="T808"/>
      <c r="U808"/>
      <c r="V808"/>
      <c r="W808"/>
      <c r="X808"/>
      <c r="Y808"/>
    </row>
    <row r="809" spans="1:25" s="104" customFormat="1" hidden="1" x14ac:dyDescent="0.25">
      <c r="A809" s="97" t="str">
        <f t="shared" si="12"/>
        <v>dpi_vdd_dyn_WXGA_|_1280x800x30_fps_16b_|_1p8V</v>
      </c>
      <c r="B809" s="97" t="s">
        <v>699</v>
      </c>
      <c r="C809" s="97" t="s">
        <v>369</v>
      </c>
      <c r="D809" s="97" t="s">
        <v>795</v>
      </c>
      <c r="E809" s="97" t="s">
        <v>1050</v>
      </c>
      <c r="F809" s="97">
        <v>1.1475735717600003E-5</v>
      </c>
      <c r="G809" s="97" t="s">
        <v>629</v>
      </c>
      <c r="H809" s="5"/>
      <c r="I809"/>
      <c r="J809"/>
      <c r="K809"/>
      <c r="L809"/>
      <c r="M809"/>
      <c r="N809"/>
      <c r="O809"/>
      <c r="P809"/>
      <c r="Q809"/>
      <c r="R809"/>
      <c r="S809"/>
      <c r="T809"/>
      <c r="U809"/>
      <c r="V809"/>
      <c r="W809"/>
      <c r="X809"/>
      <c r="Y809"/>
    </row>
    <row r="810" spans="1:25" s="104" customFormat="1" hidden="1" x14ac:dyDescent="0.25">
      <c r="A810" s="97" t="str">
        <f t="shared" si="12"/>
        <v>dpi_vdd_dyn_WXGA_|_1280x800x30_fps_16b_|_3p3V</v>
      </c>
      <c r="B810" s="97" t="s">
        <v>699</v>
      </c>
      <c r="C810" s="97" t="s">
        <v>369</v>
      </c>
      <c r="D810" s="97" t="s">
        <v>722</v>
      </c>
      <c r="E810" s="97" t="s">
        <v>1050</v>
      </c>
      <c r="F810" s="97">
        <v>1.1475735717600003E-5</v>
      </c>
      <c r="G810" s="97" t="s">
        <v>629</v>
      </c>
      <c r="H810" s="5"/>
      <c r="I810"/>
      <c r="J810"/>
      <c r="K810"/>
      <c r="L810"/>
      <c r="M810"/>
      <c r="N810"/>
      <c r="O810"/>
      <c r="P810"/>
      <c r="Q810"/>
      <c r="R810"/>
      <c r="S810"/>
      <c r="T810"/>
      <c r="U810"/>
      <c r="V810"/>
      <c r="W810"/>
      <c r="X810"/>
      <c r="Y810"/>
    </row>
    <row r="811" spans="1:25" s="104" customFormat="1" hidden="1" x14ac:dyDescent="0.25">
      <c r="A811" s="97" t="str">
        <f t="shared" si="12"/>
        <v>dpi_vdd_dyn_WXGA_|_1280x800x30_fps_24b_|_1p8V</v>
      </c>
      <c r="B811" s="97" t="s">
        <v>699</v>
      </c>
      <c r="C811" s="97" t="s">
        <v>369</v>
      </c>
      <c r="D811" s="97" t="s">
        <v>796</v>
      </c>
      <c r="E811" s="97" t="s">
        <v>1050</v>
      </c>
      <c r="F811" s="97">
        <v>1.1475735717600003E-5</v>
      </c>
      <c r="G811" s="97" t="s">
        <v>629</v>
      </c>
      <c r="H811" s="5"/>
      <c r="I811"/>
      <c r="J811"/>
      <c r="K811"/>
      <c r="L811"/>
      <c r="M811"/>
      <c r="N811"/>
      <c r="O811"/>
      <c r="P811"/>
      <c r="Q811"/>
      <c r="R811"/>
      <c r="S811"/>
      <c r="T811"/>
      <c r="U811"/>
      <c r="V811"/>
      <c r="W811"/>
      <c r="X811"/>
      <c r="Y811"/>
    </row>
    <row r="812" spans="1:25" s="104" customFormat="1" hidden="1" x14ac:dyDescent="0.25">
      <c r="A812" s="97" t="str">
        <f t="shared" si="12"/>
        <v>dpi_vdd_dyn_WXGA_|_1280x800x30_fps_24b_|_1p8V</v>
      </c>
      <c r="B812" s="97" t="s">
        <v>699</v>
      </c>
      <c r="C812" s="97" t="s">
        <v>369</v>
      </c>
      <c r="D812" s="97" t="s">
        <v>796</v>
      </c>
      <c r="E812" s="97" t="s">
        <v>1050</v>
      </c>
      <c r="F812" s="97">
        <v>1.4761420049376E-5</v>
      </c>
      <c r="G812" s="97" t="s">
        <v>629</v>
      </c>
      <c r="H812" s="5"/>
      <c r="I812"/>
      <c r="J812"/>
      <c r="K812"/>
      <c r="L812"/>
      <c r="M812"/>
      <c r="N812"/>
      <c r="O812"/>
      <c r="P812"/>
      <c r="Q812"/>
      <c r="R812"/>
      <c r="S812"/>
      <c r="T812"/>
      <c r="U812"/>
      <c r="V812"/>
      <c r="W812"/>
      <c r="X812"/>
      <c r="Y812"/>
    </row>
    <row r="813" spans="1:25" s="104" customFormat="1" hidden="1" x14ac:dyDescent="0.25">
      <c r="A813" s="97" t="str">
        <f t="shared" ref="A813:A876" si="13">B813&amp;"_"&amp;C813&amp;"_"&amp;D813</f>
        <v>dpi_vdd_dyn_WXGA_|_1280x800x30_fps_24b_|_3p3V</v>
      </c>
      <c r="B813" s="97" t="s">
        <v>699</v>
      </c>
      <c r="C813" s="97" t="s">
        <v>369</v>
      </c>
      <c r="D813" s="97" t="s">
        <v>723</v>
      </c>
      <c r="E813" s="97" t="s">
        <v>1050</v>
      </c>
      <c r="F813" s="97">
        <v>1.4761420049376E-5</v>
      </c>
      <c r="G813" s="97" t="s">
        <v>629</v>
      </c>
      <c r="H813" s="5"/>
      <c r="I813"/>
      <c r="J813"/>
      <c r="K813"/>
      <c r="L813"/>
      <c r="M813"/>
      <c r="N813"/>
      <c r="O813"/>
      <c r="P813"/>
      <c r="Q813"/>
      <c r="R813"/>
      <c r="S813"/>
      <c r="T813"/>
      <c r="U813"/>
      <c r="V813"/>
      <c r="W813"/>
      <c r="X813"/>
      <c r="Y813"/>
    </row>
    <row r="814" spans="1:25" s="104" customFormat="1" hidden="1" x14ac:dyDescent="0.25">
      <c r="A814" s="97" t="str">
        <f t="shared" si="13"/>
        <v>dpi_vdd_dyn_WXGA_|_1280x800x30_fps_24b_|_3p3V</v>
      </c>
      <c r="B814" s="97" t="s">
        <v>699</v>
      </c>
      <c r="C814" s="97" t="s">
        <v>369</v>
      </c>
      <c r="D814" s="97" t="s">
        <v>723</v>
      </c>
      <c r="E814" s="97" t="s">
        <v>1050</v>
      </c>
      <c r="F814" s="97">
        <v>1.4761420049376E-5</v>
      </c>
      <c r="G814" s="97" t="s">
        <v>629</v>
      </c>
      <c r="H814" s="5"/>
      <c r="I814"/>
      <c r="J814"/>
      <c r="K814"/>
      <c r="L814"/>
      <c r="M814"/>
      <c r="N814"/>
      <c r="O814"/>
      <c r="P814"/>
      <c r="Q814"/>
      <c r="R814"/>
      <c r="S814"/>
      <c r="T814"/>
      <c r="U814"/>
      <c r="V814"/>
      <c r="W814"/>
      <c r="X814"/>
      <c r="Y814"/>
    </row>
    <row r="815" spans="1:25" s="104" customFormat="1" hidden="1" x14ac:dyDescent="0.25">
      <c r="A815" s="97" t="str">
        <f t="shared" si="13"/>
        <v>dpi_vdd_dyn_WXGA_|_1280x800x60_fps_12b_|_1p8V</v>
      </c>
      <c r="B815" s="97" t="s">
        <v>699</v>
      </c>
      <c r="C815" s="97" t="s">
        <v>369</v>
      </c>
      <c r="D815" s="97" t="s">
        <v>797</v>
      </c>
      <c r="E815" s="97" t="s">
        <v>1050</v>
      </c>
      <c r="F815" s="97">
        <v>1.4761420049376E-5</v>
      </c>
      <c r="G815" s="97" t="s">
        <v>629</v>
      </c>
      <c r="H815" s="5"/>
      <c r="I815"/>
      <c r="J815"/>
      <c r="K815"/>
      <c r="L815"/>
      <c r="M815"/>
      <c r="N815"/>
      <c r="O815"/>
      <c r="P815"/>
      <c r="Q815"/>
      <c r="R815"/>
      <c r="S815"/>
      <c r="T815"/>
      <c r="U815"/>
      <c r="V815"/>
      <c r="W815"/>
      <c r="X815"/>
      <c r="Y815"/>
    </row>
    <row r="816" spans="1:25" s="104" customFormat="1" hidden="1" x14ac:dyDescent="0.25">
      <c r="A816" s="97" t="str">
        <f t="shared" si="13"/>
        <v>dpi_vdd_dyn_WXGA_|_1280x800x60_fps_12b_|_3p3V</v>
      </c>
      <c r="B816" s="97" t="s">
        <v>699</v>
      </c>
      <c r="C816" s="97" t="s">
        <v>369</v>
      </c>
      <c r="D816" s="97" t="s">
        <v>724</v>
      </c>
      <c r="E816" s="97" t="s">
        <v>1050</v>
      </c>
      <c r="F816" s="97">
        <v>2.2951471435200005E-5</v>
      </c>
      <c r="G816" s="97" t="s">
        <v>629</v>
      </c>
      <c r="H816" s="5"/>
      <c r="I816"/>
      <c r="J816"/>
      <c r="K816"/>
      <c r="L816"/>
      <c r="M816"/>
      <c r="N816"/>
      <c r="O816"/>
      <c r="P816"/>
      <c r="Q816"/>
      <c r="R816"/>
      <c r="S816"/>
      <c r="T816"/>
      <c r="U816"/>
      <c r="V816"/>
      <c r="W816"/>
      <c r="X816"/>
      <c r="Y816"/>
    </row>
    <row r="817" spans="1:25" s="104" customFormat="1" hidden="1" x14ac:dyDescent="0.25">
      <c r="A817" s="97" t="str">
        <f t="shared" si="13"/>
        <v>dpi_vdd_dyn_WXGA_|_1280x800x60_fps_16b_|_1p8V</v>
      </c>
      <c r="B817" s="97" t="s">
        <v>699</v>
      </c>
      <c r="C817" s="97" t="s">
        <v>369</v>
      </c>
      <c r="D817" s="97" t="s">
        <v>798</v>
      </c>
      <c r="E817" s="97" t="s">
        <v>1050</v>
      </c>
      <c r="F817" s="97">
        <v>2.2951471435200005E-5</v>
      </c>
      <c r="G817" s="97" t="s">
        <v>629</v>
      </c>
      <c r="H817" s="5"/>
      <c r="I817"/>
      <c r="J817"/>
      <c r="K817"/>
      <c r="L817"/>
      <c r="M817"/>
      <c r="N817"/>
      <c r="O817"/>
      <c r="P817"/>
      <c r="Q817"/>
      <c r="R817"/>
      <c r="S817"/>
      <c r="T817"/>
      <c r="U817"/>
      <c r="V817"/>
      <c r="W817"/>
      <c r="X817"/>
      <c r="Y817"/>
    </row>
    <row r="818" spans="1:25" s="104" customFormat="1" hidden="1" x14ac:dyDescent="0.25">
      <c r="A818" s="97" t="str">
        <f t="shared" si="13"/>
        <v>dpi_vdd_dyn_WXGA_|_1280x800x60_fps_16b_|_3p3V</v>
      </c>
      <c r="B818" s="97" t="s">
        <v>699</v>
      </c>
      <c r="C818" s="97" t="s">
        <v>369</v>
      </c>
      <c r="D818" s="97" t="s">
        <v>725</v>
      </c>
      <c r="E818" s="97" t="s">
        <v>1050</v>
      </c>
      <c r="F818" s="97">
        <v>2.2951471435200005E-5</v>
      </c>
      <c r="G818" s="97" t="s">
        <v>629</v>
      </c>
      <c r="H818" s="5"/>
      <c r="I818"/>
      <c r="J818"/>
      <c r="K818"/>
      <c r="L818"/>
      <c r="M818"/>
      <c r="N818"/>
      <c r="O818"/>
      <c r="P818"/>
      <c r="Q818"/>
      <c r="R818"/>
      <c r="S818"/>
      <c r="T818"/>
      <c r="U818"/>
      <c r="V818"/>
      <c r="W818"/>
      <c r="X818"/>
      <c r="Y818"/>
    </row>
    <row r="819" spans="1:25" s="104" customFormat="1" hidden="1" x14ac:dyDescent="0.25">
      <c r="A819" s="97" t="str">
        <f t="shared" si="13"/>
        <v>dpi_vdd_dyn_WXGA_|_1280x800x60_fps_18b_|_1p8V</v>
      </c>
      <c r="B819" s="97" t="s">
        <v>699</v>
      </c>
      <c r="C819" s="97" t="s">
        <v>369</v>
      </c>
      <c r="D819" s="97" t="s">
        <v>799</v>
      </c>
      <c r="E819" s="97" t="s">
        <v>1050</v>
      </c>
      <c r="F819" s="97">
        <v>2.2951471435200005E-5</v>
      </c>
      <c r="G819" s="97" t="s">
        <v>629</v>
      </c>
      <c r="H819" s="5"/>
      <c r="I819"/>
      <c r="J819"/>
      <c r="K819"/>
      <c r="L819"/>
      <c r="M819"/>
      <c r="N819"/>
      <c r="O819"/>
      <c r="P819"/>
      <c r="Q819"/>
      <c r="R819"/>
      <c r="S819"/>
      <c r="T819"/>
      <c r="U819"/>
      <c r="V819"/>
      <c r="W819"/>
      <c r="X819"/>
      <c r="Y819"/>
    </row>
    <row r="820" spans="1:25" s="104" customFormat="1" hidden="1" x14ac:dyDescent="0.25">
      <c r="A820" s="97" t="str">
        <f t="shared" si="13"/>
        <v>dpi_vdd_dyn_WXGA_|_1280x800x60_fps_18b_|_3p3V</v>
      </c>
      <c r="B820" s="97" t="s">
        <v>699</v>
      </c>
      <c r="C820" s="97" t="s">
        <v>369</v>
      </c>
      <c r="D820" s="97" t="s">
        <v>726</v>
      </c>
      <c r="E820" s="97" t="s">
        <v>1050</v>
      </c>
      <c r="F820" s="97">
        <v>2.9522840098752001E-5</v>
      </c>
      <c r="G820" s="97" t="s">
        <v>629</v>
      </c>
      <c r="H820" s="5"/>
      <c r="I820"/>
      <c r="J820"/>
      <c r="K820"/>
      <c r="L820"/>
      <c r="M820"/>
      <c r="N820"/>
      <c r="O820"/>
      <c r="P820"/>
      <c r="Q820"/>
      <c r="R820"/>
      <c r="S820"/>
      <c r="T820"/>
      <c r="U820"/>
      <c r="V820"/>
      <c r="W820"/>
      <c r="X820"/>
      <c r="Y820"/>
    </row>
    <row r="821" spans="1:25" s="104" customFormat="1" hidden="1" x14ac:dyDescent="0.25">
      <c r="A821" s="97" t="str">
        <f t="shared" si="13"/>
        <v>dpi_vdd_dyn_WXGA_|_1280x800x60_fps_24b_|_1p8V</v>
      </c>
      <c r="B821" s="97" t="s">
        <v>699</v>
      </c>
      <c r="C821" s="97" t="s">
        <v>369</v>
      </c>
      <c r="D821" s="97" t="s">
        <v>800</v>
      </c>
      <c r="E821" s="97" t="s">
        <v>1050</v>
      </c>
      <c r="F821" s="97">
        <v>2.9522840098752001E-5</v>
      </c>
      <c r="G821" s="97" t="s">
        <v>629</v>
      </c>
      <c r="H821" s="5"/>
      <c r="I821"/>
      <c r="J821"/>
      <c r="K821"/>
      <c r="L821"/>
      <c r="M821"/>
      <c r="N821"/>
      <c r="O821"/>
      <c r="P821"/>
      <c r="Q821"/>
      <c r="R821"/>
      <c r="S821"/>
      <c r="T821"/>
      <c r="U821"/>
      <c r="V821"/>
      <c r="W821"/>
      <c r="X821"/>
      <c r="Y821"/>
    </row>
    <row r="822" spans="1:25" s="104" customFormat="1" hidden="1" x14ac:dyDescent="0.25">
      <c r="A822" s="97" t="str">
        <f t="shared" si="13"/>
        <v>dpi_vdd_dyn_WXGA_|_1280x800x60_fps_24b_|_3p3V</v>
      </c>
      <c r="B822" s="97" t="s">
        <v>699</v>
      </c>
      <c r="C822" s="97" t="s">
        <v>369</v>
      </c>
      <c r="D822" s="97" t="s">
        <v>727</v>
      </c>
      <c r="E822" s="97" t="s">
        <v>1050</v>
      </c>
      <c r="F822" s="97">
        <v>2.9522840098752001E-5</v>
      </c>
      <c r="G822" s="97" t="s">
        <v>629</v>
      </c>
      <c r="H822" s="5"/>
      <c r="I822"/>
      <c r="J822"/>
      <c r="K822"/>
      <c r="L822"/>
      <c r="M822"/>
      <c r="N822"/>
      <c r="O822"/>
      <c r="P822"/>
      <c r="Q822"/>
      <c r="R822"/>
      <c r="S822"/>
      <c r="T822"/>
      <c r="U822"/>
      <c r="V822"/>
      <c r="W822"/>
      <c r="X822"/>
      <c r="Y822"/>
    </row>
    <row r="823" spans="1:25" s="104" customFormat="1" hidden="1" x14ac:dyDescent="0.25">
      <c r="A823" s="97" t="str">
        <f t="shared" si="13"/>
        <v>dpi_vdd_dyn_XGA_|_1024x768x60_fps_12b_|_1p8V</v>
      </c>
      <c r="B823" s="97" t="s">
        <v>699</v>
      </c>
      <c r="C823" s="97" t="s">
        <v>369</v>
      </c>
      <c r="D823" s="97" t="s">
        <v>785</v>
      </c>
      <c r="E823" s="97" t="s">
        <v>1050</v>
      </c>
      <c r="F823" s="97">
        <v>1.11655919232E-5</v>
      </c>
      <c r="G823" s="97" t="s">
        <v>629</v>
      </c>
      <c r="H823" s="5"/>
      <c r="I823"/>
      <c r="J823"/>
      <c r="K823"/>
      <c r="L823"/>
      <c r="M823"/>
      <c r="N823"/>
      <c r="O823"/>
      <c r="P823"/>
      <c r="Q823"/>
      <c r="R823"/>
      <c r="S823"/>
      <c r="T823"/>
      <c r="U823"/>
      <c r="V823"/>
      <c r="W823"/>
      <c r="X823"/>
      <c r="Y823"/>
    </row>
    <row r="824" spans="1:25" s="104" customFormat="1" hidden="1" x14ac:dyDescent="0.25">
      <c r="A824" s="97" t="str">
        <f t="shared" si="13"/>
        <v>dpi_vdd_dyn_XGA_|_1024x768x60_fps_12b_|_3p3V</v>
      </c>
      <c r="B824" s="97" t="s">
        <v>699</v>
      </c>
      <c r="C824" s="97" t="s">
        <v>369</v>
      </c>
      <c r="D824" s="97" t="s">
        <v>712</v>
      </c>
      <c r="E824" s="97" t="s">
        <v>1050</v>
      </c>
      <c r="F824" s="97">
        <v>1.7422127775360002E-5</v>
      </c>
      <c r="G824" s="97" t="s">
        <v>629</v>
      </c>
      <c r="H824" s="5"/>
      <c r="I824"/>
      <c r="J824"/>
      <c r="K824"/>
      <c r="L824"/>
      <c r="M824"/>
      <c r="N824"/>
      <c r="O824"/>
      <c r="P824"/>
      <c r="Q824"/>
      <c r="R824"/>
      <c r="S824"/>
      <c r="T824"/>
      <c r="U824"/>
      <c r="V824"/>
      <c r="W824"/>
      <c r="X824"/>
      <c r="Y824"/>
    </row>
    <row r="825" spans="1:25" s="104" customFormat="1" hidden="1" x14ac:dyDescent="0.25">
      <c r="A825" s="97" t="str">
        <f t="shared" si="13"/>
        <v>dpi_vdd_dyn_XGA_|_1024x768x60_fps_16b_|_1p8V</v>
      </c>
      <c r="B825" s="97" t="s">
        <v>699</v>
      </c>
      <c r="C825" s="97" t="s">
        <v>369</v>
      </c>
      <c r="D825" s="97" t="s">
        <v>786</v>
      </c>
      <c r="E825" s="97" t="s">
        <v>1050</v>
      </c>
      <c r="F825" s="97">
        <v>1.7422127775360002E-5</v>
      </c>
      <c r="G825" s="97" t="s">
        <v>629</v>
      </c>
      <c r="H825" s="5"/>
      <c r="I825"/>
      <c r="J825"/>
      <c r="K825"/>
      <c r="L825"/>
      <c r="M825"/>
      <c r="N825"/>
      <c r="O825"/>
      <c r="P825"/>
      <c r="Q825"/>
      <c r="R825"/>
      <c r="S825"/>
      <c r="T825"/>
      <c r="U825"/>
      <c r="V825"/>
      <c r="W825"/>
      <c r="X825"/>
      <c r="Y825"/>
    </row>
    <row r="826" spans="1:25" s="104" customFormat="1" hidden="1" x14ac:dyDescent="0.25">
      <c r="A826" s="97" t="str">
        <f t="shared" si="13"/>
        <v>dpi_vdd_dyn_XGA_|_1024x768x60_fps_16b_|_3p3V</v>
      </c>
      <c r="B826" s="97" t="s">
        <v>699</v>
      </c>
      <c r="C826" s="97" t="s">
        <v>369</v>
      </c>
      <c r="D826" s="97" t="s">
        <v>713</v>
      </c>
      <c r="E826" s="97" t="s">
        <v>1050</v>
      </c>
      <c r="F826" s="97">
        <v>1.7422127775360002E-5</v>
      </c>
      <c r="G826" s="97" t="s">
        <v>629</v>
      </c>
      <c r="H826" s="5"/>
      <c r="I826"/>
      <c r="J826"/>
      <c r="K826"/>
      <c r="L826"/>
      <c r="M826"/>
      <c r="N826"/>
      <c r="O826"/>
      <c r="P826"/>
      <c r="Q826"/>
      <c r="R826"/>
      <c r="S826"/>
      <c r="T826"/>
      <c r="U826"/>
      <c r="V826"/>
      <c r="W826"/>
      <c r="X826"/>
      <c r="Y826"/>
    </row>
    <row r="827" spans="1:25" s="104" customFormat="1" hidden="1" x14ac:dyDescent="0.25">
      <c r="A827" s="97" t="str">
        <f t="shared" si="13"/>
        <v>dpi_vdd_dyn_XGA_|_1024x768x60_fps_24b_|_1p8V</v>
      </c>
      <c r="B827" s="97" t="s">
        <v>699</v>
      </c>
      <c r="C827" s="97" t="s">
        <v>369</v>
      </c>
      <c r="D827" s="97" t="s">
        <v>787</v>
      </c>
      <c r="E827" s="97" t="s">
        <v>1050</v>
      </c>
      <c r="F827" s="97">
        <v>1.7422127775360002E-5</v>
      </c>
      <c r="G827" s="97" t="s">
        <v>629</v>
      </c>
      <c r="H827" s="5"/>
      <c r="I827"/>
      <c r="J827"/>
      <c r="K827"/>
      <c r="L827"/>
      <c r="M827"/>
      <c r="N827"/>
      <c r="O827"/>
      <c r="P827"/>
      <c r="Q827"/>
      <c r="R827"/>
      <c r="S827"/>
      <c r="T827"/>
      <c r="U827"/>
      <c r="V827"/>
      <c r="W827"/>
      <c r="X827"/>
      <c r="Y827"/>
    </row>
    <row r="828" spans="1:25" s="104" customFormat="1" hidden="1" x14ac:dyDescent="0.25">
      <c r="A828" s="97" t="str">
        <f t="shared" si="13"/>
        <v>dpi_vdd_dyn_XGA_|_1024x768x60_fps_24b_|_1p8V</v>
      </c>
      <c r="B828" s="97" t="s">
        <v>699</v>
      </c>
      <c r="C828" s="97" t="s">
        <v>369</v>
      </c>
      <c r="D828" s="97" t="s">
        <v>787</v>
      </c>
      <c r="E828" s="97" t="s">
        <v>1050</v>
      </c>
      <c r="F828" s="97">
        <v>2.2410358043673598E-5</v>
      </c>
      <c r="G828" s="97" t="s">
        <v>629</v>
      </c>
      <c r="H828" s="5"/>
      <c r="I828"/>
      <c r="J828"/>
      <c r="K828"/>
      <c r="L828"/>
      <c r="M828"/>
      <c r="N828"/>
      <c r="O828"/>
      <c r="P828"/>
      <c r="Q828"/>
      <c r="R828"/>
      <c r="S828"/>
      <c r="T828"/>
      <c r="U828"/>
      <c r="V828"/>
      <c r="W828"/>
      <c r="X828"/>
      <c r="Y828"/>
    </row>
    <row r="829" spans="1:25" s="104" customFormat="1" hidden="1" x14ac:dyDescent="0.25">
      <c r="A829" s="97" t="str">
        <f t="shared" si="13"/>
        <v>dpi_vdd_dyn_XGA_|_1024x768x60_fps_24b_|_3p3V</v>
      </c>
      <c r="B829" s="97" t="s">
        <v>699</v>
      </c>
      <c r="C829" s="97" t="s">
        <v>369</v>
      </c>
      <c r="D829" s="97" t="s">
        <v>714</v>
      </c>
      <c r="E829" s="97" t="s">
        <v>1050</v>
      </c>
      <c r="F829" s="97">
        <v>2.2410358043673598E-5</v>
      </c>
      <c r="G829" s="97" t="s">
        <v>629</v>
      </c>
      <c r="H829" s="5"/>
      <c r="I829"/>
      <c r="J829"/>
      <c r="K829"/>
      <c r="L829"/>
      <c r="M829"/>
      <c r="N829"/>
      <c r="O829"/>
      <c r="P829"/>
      <c r="Q829"/>
      <c r="R829"/>
      <c r="S829"/>
      <c r="T829"/>
      <c r="U829"/>
      <c r="V829"/>
      <c r="W829"/>
      <c r="X829"/>
      <c r="Y829"/>
    </row>
    <row r="830" spans="1:25" s="104" customFormat="1" hidden="1" x14ac:dyDescent="0.25">
      <c r="A830" s="97" t="str">
        <f t="shared" si="13"/>
        <v>dpi_vdd_dyn_XGA_|_1024x768x60_fps_24b_|_3p3V</v>
      </c>
      <c r="B830" s="97" t="s">
        <v>699</v>
      </c>
      <c r="C830" s="97" t="s">
        <v>369</v>
      </c>
      <c r="D830" s="97" t="s">
        <v>714</v>
      </c>
      <c r="E830" s="97" t="s">
        <v>1050</v>
      </c>
      <c r="F830" s="97">
        <v>2.2410358043673598E-5</v>
      </c>
      <c r="G830" s="97" t="s">
        <v>629</v>
      </c>
      <c r="H830" s="5"/>
      <c r="I830"/>
      <c r="J830"/>
      <c r="K830"/>
      <c r="L830"/>
      <c r="M830"/>
      <c r="N830"/>
      <c r="O830"/>
      <c r="P830"/>
      <c r="Q830"/>
      <c r="R830"/>
      <c r="S830"/>
      <c r="T830"/>
      <c r="U830"/>
      <c r="V830"/>
      <c r="W830"/>
      <c r="X830"/>
      <c r="Y830"/>
    </row>
    <row r="831" spans="1:25" s="104" customFormat="1" hidden="1" x14ac:dyDescent="0.25">
      <c r="A831" s="97" t="str">
        <f t="shared" si="13"/>
        <v>i2c_od_vdd_dyn_i2c_100k_1p8v</v>
      </c>
      <c r="B831" s="97" t="s">
        <v>907</v>
      </c>
      <c r="C831" s="97" t="s">
        <v>369</v>
      </c>
      <c r="D831" s="97" t="s">
        <v>904</v>
      </c>
      <c r="E831" s="97" t="s">
        <v>1050</v>
      </c>
      <c r="F831" s="97">
        <v>2.0766239999999999E-8</v>
      </c>
      <c r="G831" s="97" t="s">
        <v>913</v>
      </c>
      <c r="H831" s="5"/>
      <c r="I831"/>
      <c r="J831"/>
      <c r="K831"/>
      <c r="L831"/>
      <c r="M831"/>
      <c r="N831"/>
      <c r="O831"/>
      <c r="P831"/>
      <c r="Q831"/>
      <c r="R831"/>
      <c r="S831"/>
      <c r="T831"/>
      <c r="U831"/>
      <c r="V831"/>
      <c r="W831"/>
      <c r="X831"/>
      <c r="Y831"/>
    </row>
    <row r="832" spans="1:25" s="104" customFormat="1" hidden="1" x14ac:dyDescent="0.25">
      <c r="A832" s="97" t="str">
        <f t="shared" si="13"/>
        <v>i2c_od_vdd_dyn_i2c_100k_3p3v</v>
      </c>
      <c r="B832" s="97" t="s">
        <v>907</v>
      </c>
      <c r="C832" s="97" t="s">
        <v>369</v>
      </c>
      <c r="D832" s="97" t="s">
        <v>902</v>
      </c>
      <c r="E832" s="97" t="s">
        <v>1050</v>
      </c>
      <c r="F832" s="97">
        <v>2.0766239999999999E-8</v>
      </c>
      <c r="G832" s="97" t="s">
        <v>913</v>
      </c>
      <c r="H832" s="5"/>
      <c r="I832"/>
      <c r="J832"/>
      <c r="K832"/>
      <c r="L832"/>
      <c r="M832"/>
      <c r="N832"/>
      <c r="O832"/>
      <c r="P832"/>
      <c r="Q832"/>
      <c r="R832"/>
      <c r="S832"/>
      <c r="T832"/>
      <c r="U832"/>
      <c r="V832"/>
      <c r="W832"/>
      <c r="X832"/>
      <c r="Y832"/>
    </row>
    <row r="833" spans="1:25" s="104" customFormat="1" hidden="1" x14ac:dyDescent="0.25">
      <c r="A833" s="97" t="str">
        <f t="shared" si="13"/>
        <v>i2c_od_vdd_dyn_i2c_1m_1p8v</v>
      </c>
      <c r="B833" s="97" t="s">
        <v>907</v>
      </c>
      <c r="C833" s="97" t="s">
        <v>369</v>
      </c>
      <c r="D833" s="97" t="s">
        <v>912</v>
      </c>
      <c r="E833" s="97" t="s">
        <v>1050</v>
      </c>
      <c r="F833" s="97">
        <v>1.355574E-7</v>
      </c>
      <c r="G833" s="97" t="s">
        <v>913</v>
      </c>
      <c r="H833" s="5"/>
      <c r="I833"/>
      <c r="J833"/>
      <c r="K833"/>
      <c r="L833"/>
      <c r="M833"/>
      <c r="N833"/>
      <c r="O833"/>
      <c r="P833"/>
      <c r="Q833"/>
      <c r="R833"/>
      <c r="S833"/>
      <c r="T833"/>
      <c r="U833"/>
      <c r="V833"/>
      <c r="W833"/>
      <c r="X833"/>
      <c r="Y833"/>
    </row>
    <row r="834" spans="1:25" s="104" customFormat="1" hidden="1" x14ac:dyDescent="0.25">
      <c r="A834" s="97" t="str">
        <f t="shared" si="13"/>
        <v>i2c_od_vdd_dyn_i2c_3p4m_1p8v</v>
      </c>
      <c r="B834" s="97" t="s">
        <v>907</v>
      </c>
      <c r="C834" s="97" t="s">
        <v>369</v>
      </c>
      <c r="D834" s="97" t="s">
        <v>911</v>
      </c>
      <c r="E834" s="97" t="s">
        <v>1050</v>
      </c>
      <c r="F834" s="97">
        <v>4.6089515999999997E-7</v>
      </c>
      <c r="G834" s="97" t="s">
        <v>913</v>
      </c>
      <c r="H834" s="5"/>
      <c r="I834"/>
      <c r="J834"/>
      <c r="K834"/>
      <c r="L834"/>
      <c r="M834"/>
      <c r="N834"/>
      <c r="O834"/>
      <c r="P834"/>
      <c r="Q834"/>
      <c r="R834"/>
      <c r="S834"/>
      <c r="T834"/>
      <c r="U834"/>
      <c r="V834"/>
      <c r="W834"/>
      <c r="X834"/>
      <c r="Y834"/>
    </row>
    <row r="835" spans="1:25" s="104" customFormat="1" hidden="1" x14ac:dyDescent="0.25">
      <c r="A835" s="97" t="str">
        <f t="shared" si="13"/>
        <v>i2c_od_vdd_dyn_i2c_400k_1p8v</v>
      </c>
      <c r="B835" s="97" t="s">
        <v>907</v>
      </c>
      <c r="C835" s="97" t="s">
        <v>369</v>
      </c>
      <c r="D835" s="97" t="s">
        <v>903</v>
      </c>
      <c r="E835" s="97" t="s">
        <v>1050</v>
      </c>
      <c r="F835" s="97">
        <v>5.4222959999999996E-8</v>
      </c>
      <c r="G835" s="97" t="s">
        <v>913</v>
      </c>
      <c r="H835" s="5"/>
      <c r="I835"/>
      <c r="J835"/>
      <c r="K835"/>
      <c r="L835"/>
      <c r="M835"/>
      <c r="N835"/>
      <c r="O835"/>
      <c r="P835"/>
      <c r="Q835"/>
      <c r="R835"/>
      <c r="S835"/>
      <c r="T835"/>
      <c r="U835"/>
      <c r="V835"/>
      <c r="W835"/>
      <c r="X835"/>
      <c r="Y835"/>
    </row>
    <row r="836" spans="1:25" s="104" customFormat="1" hidden="1" x14ac:dyDescent="0.25">
      <c r="A836" s="97" t="str">
        <f t="shared" si="13"/>
        <v>i2c_od_vdd_dyn_i2c_400k_3p3v</v>
      </c>
      <c r="B836" s="97" t="s">
        <v>907</v>
      </c>
      <c r="C836" s="97" t="s">
        <v>369</v>
      </c>
      <c r="D836" s="97" t="s">
        <v>901</v>
      </c>
      <c r="E836" s="97" t="s">
        <v>1050</v>
      </c>
      <c r="F836" s="97">
        <v>5.4222959999999996E-8</v>
      </c>
      <c r="G836" s="97" t="s">
        <v>913</v>
      </c>
      <c r="H836" s="5"/>
      <c r="I836"/>
      <c r="J836"/>
      <c r="K836"/>
      <c r="L836"/>
      <c r="M836"/>
      <c r="N836"/>
      <c r="O836"/>
      <c r="P836"/>
      <c r="Q836"/>
      <c r="R836"/>
      <c r="S836"/>
      <c r="T836"/>
      <c r="U836"/>
      <c r="V836"/>
      <c r="W836"/>
      <c r="X836"/>
      <c r="Y836"/>
    </row>
    <row r="837" spans="1:25" s="104" customFormat="1" hidden="1" x14ac:dyDescent="0.25">
      <c r="A837" s="97" t="str">
        <f t="shared" si="13"/>
        <v>i2c_vdd_dyn_i2c_100k_1p8v</v>
      </c>
      <c r="B837" s="97" t="s">
        <v>906</v>
      </c>
      <c r="C837" s="97" t="s">
        <v>369</v>
      </c>
      <c r="D837" s="97" t="s">
        <v>904</v>
      </c>
      <c r="E837" s="97" t="s">
        <v>1050</v>
      </c>
      <c r="F837" s="97">
        <v>1.4478683999999999E-8</v>
      </c>
      <c r="G837" s="97" t="s">
        <v>910</v>
      </c>
      <c r="H837" s="5"/>
      <c r="I837"/>
      <c r="J837"/>
      <c r="K837"/>
      <c r="L837"/>
      <c r="M837"/>
      <c r="N837"/>
      <c r="O837"/>
      <c r="P837"/>
      <c r="Q837"/>
      <c r="R837"/>
      <c r="S837"/>
      <c r="T837"/>
      <c r="U837"/>
      <c r="V837"/>
      <c r="W837"/>
      <c r="X837"/>
      <c r="Y837"/>
    </row>
    <row r="838" spans="1:25" s="104" customFormat="1" hidden="1" x14ac:dyDescent="0.25">
      <c r="A838" s="97" t="str">
        <f t="shared" si="13"/>
        <v>i2c_vdd_dyn_i2c_400k_1p8v</v>
      </c>
      <c r="B838" s="97" t="s">
        <v>906</v>
      </c>
      <c r="C838" s="97" t="s">
        <v>369</v>
      </c>
      <c r="D838" s="97" t="s">
        <v>903</v>
      </c>
      <c r="E838" s="97" t="s">
        <v>1050</v>
      </c>
      <c r="F838" s="97">
        <v>5.7914735999999995E-8</v>
      </c>
      <c r="G838" s="97" t="s">
        <v>910</v>
      </c>
      <c r="H838" s="5"/>
      <c r="I838"/>
      <c r="J838"/>
      <c r="K838"/>
      <c r="L838"/>
      <c r="M838"/>
      <c r="N838"/>
      <c r="O838"/>
      <c r="P838"/>
      <c r="Q838"/>
      <c r="R838"/>
      <c r="S838"/>
      <c r="T838"/>
      <c r="U838"/>
      <c r="V838"/>
      <c r="W838"/>
      <c r="X838"/>
      <c r="Y838"/>
    </row>
    <row r="839" spans="1:25" s="104" customFormat="1" hidden="1" x14ac:dyDescent="0.25">
      <c r="A839" s="97" t="str">
        <f t="shared" si="13"/>
        <v>epwm_vdd_dyn_on_1p8v</v>
      </c>
      <c r="B839" s="97" t="s">
        <v>967</v>
      </c>
      <c r="C839" s="97" t="s">
        <v>369</v>
      </c>
      <c r="D839" s="97" t="s">
        <v>957</v>
      </c>
      <c r="E839" s="97" t="s">
        <v>1050</v>
      </c>
      <c r="F839" s="97">
        <v>9.9999999999999995E-7</v>
      </c>
      <c r="G839" s="97" t="s">
        <v>964</v>
      </c>
      <c r="H839" s="5"/>
      <c r="I839"/>
      <c r="J839"/>
      <c r="K839"/>
      <c r="L839"/>
      <c r="M839"/>
      <c r="N839"/>
      <c r="O839"/>
      <c r="P839"/>
      <c r="Q839"/>
      <c r="R839"/>
      <c r="S839"/>
      <c r="T839"/>
      <c r="U839"/>
      <c r="V839"/>
      <c r="W839"/>
      <c r="X839"/>
      <c r="Y839"/>
    </row>
    <row r="840" spans="1:25" s="104" customFormat="1" hidden="1" x14ac:dyDescent="0.25">
      <c r="A840" s="97" t="str">
        <f t="shared" si="13"/>
        <v>epwm_vdd_dyn_on_3p3v</v>
      </c>
      <c r="B840" s="97" t="s">
        <v>967</v>
      </c>
      <c r="C840" s="97" t="s">
        <v>369</v>
      </c>
      <c r="D840" s="97" t="s">
        <v>956</v>
      </c>
      <c r="E840" s="97" t="s">
        <v>1050</v>
      </c>
      <c r="F840" s="106">
        <v>9.9999999999999995E-7</v>
      </c>
      <c r="G840" s="97" t="s">
        <v>964</v>
      </c>
      <c r="H840" s="5"/>
      <c r="I840"/>
      <c r="J840"/>
      <c r="K840"/>
      <c r="L840"/>
      <c r="M840"/>
      <c r="N840"/>
      <c r="O840"/>
      <c r="P840"/>
      <c r="Q840"/>
      <c r="R840"/>
      <c r="S840"/>
      <c r="T840"/>
      <c r="U840"/>
      <c r="V840"/>
      <c r="W840"/>
      <c r="X840"/>
      <c r="Y840"/>
    </row>
    <row r="841" spans="1:25" s="104" customFormat="1" hidden="1" x14ac:dyDescent="0.25">
      <c r="A841" s="97" t="str">
        <f t="shared" si="13"/>
        <v>fssul_vdd_dyn_off</v>
      </c>
      <c r="B841" s="97" t="s">
        <v>689</v>
      </c>
      <c r="C841" s="97" t="s">
        <v>369</v>
      </c>
      <c r="D841" s="97" t="s">
        <v>69</v>
      </c>
      <c r="E841" s="97" t="s">
        <v>1050</v>
      </c>
      <c r="F841" s="97">
        <v>0</v>
      </c>
      <c r="G841" s="97" t="s">
        <v>629</v>
      </c>
      <c r="H841" s="5"/>
      <c r="I841"/>
      <c r="J841"/>
      <c r="K841"/>
      <c r="L841"/>
      <c r="M841"/>
      <c r="N841"/>
      <c r="O841"/>
      <c r="P841"/>
      <c r="Q841"/>
      <c r="R841"/>
      <c r="S841"/>
      <c r="T841"/>
      <c r="U841"/>
      <c r="V841"/>
      <c r="W841"/>
      <c r="X841"/>
      <c r="Y841"/>
    </row>
    <row r="842" spans="1:25" s="104" customFormat="1" hidden="1" x14ac:dyDescent="0.25">
      <c r="A842" s="97" t="str">
        <f t="shared" si="13"/>
        <v>fssul_vdd_dyn_ospi_ddr_master_133_1p8v</v>
      </c>
      <c r="B842" s="97" t="s">
        <v>689</v>
      </c>
      <c r="C842" s="97" t="s">
        <v>369</v>
      </c>
      <c r="D842" s="97" t="s">
        <v>695</v>
      </c>
      <c r="E842" s="97" t="s">
        <v>1050</v>
      </c>
      <c r="F842" s="97">
        <v>3.6522806304599992E-5</v>
      </c>
      <c r="G842" s="97" t="s">
        <v>629</v>
      </c>
      <c r="H842" s="5"/>
      <c r="I842"/>
      <c r="J842"/>
      <c r="K842"/>
      <c r="L842"/>
      <c r="M842"/>
      <c r="N842"/>
      <c r="O842"/>
      <c r="P842"/>
      <c r="Q842"/>
      <c r="R842"/>
      <c r="S842"/>
      <c r="T842"/>
      <c r="U842"/>
      <c r="V842"/>
      <c r="W842"/>
      <c r="X842"/>
      <c r="Y842"/>
    </row>
    <row r="843" spans="1:25" s="104" customFormat="1" hidden="1" x14ac:dyDescent="0.25">
      <c r="A843" s="97" t="str">
        <f t="shared" si="13"/>
        <v>fssul_vdd_dyn_ospi_ddr_master_133_3p3v</v>
      </c>
      <c r="B843" s="97" t="s">
        <v>689</v>
      </c>
      <c r="C843" s="97" t="s">
        <v>369</v>
      </c>
      <c r="D843" s="97" t="s">
        <v>686</v>
      </c>
      <c r="E843" s="97" t="s">
        <v>1050</v>
      </c>
      <c r="F843" s="97">
        <v>3.6522806304599992E-5</v>
      </c>
      <c r="G843" s="97" t="s">
        <v>629</v>
      </c>
      <c r="H843" s="5"/>
      <c r="I843"/>
      <c r="J843"/>
      <c r="K843"/>
      <c r="L843"/>
      <c r="M843"/>
      <c r="N843"/>
      <c r="O843"/>
      <c r="P843"/>
      <c r="Q843"/>
      <c r="R843"/>
      <c r="S843"/>
      <c r="T843"/>
      <c r="U843"/>
      <c r="V843"/>
      <c r="W843"/>
      <c r="X843"/>
      <c r="Y843"/>
    </row>
    <row r="844" spans="1:25" s="104" customFormat="1" hidden="1" x14ac:dyDescent="0.25">
      <c r="A844" s="97" t="str">
        <f t="shared" si="13"/>
        <v>fssul_vdd_dyn_ospi_ddr_master_160_1p8v</v>
      </c>
      <c r="B844" s="97" t="s">
        <v>689</v>
      </c>
      <c r="C844" s="97" t="s">
        <v>369</v>
      </c>
      <c r="D844" s="97" t="s">
        <v>694</v>
      </c>
      <c r="E844" s="97" t="s">
        <v>1050</v>
      </c>
      <c r="F844" s="97">
        <v>4.3937210591999991E-5</v>
      </c>
      <c r="G844" s="97" t="s">
        <v>629</v>
      </c>
      <c r="H844" s="5"/>
      <c r="I844"/>
      <c r="J844"/>
      <c r="K844"/>
      <c r="L844"/>
      <c r="M844"/>
      <c r="N844"/>
      <c r="O844"/>
      <c r="P844"/>
      <c r="Q844"/>
      <c r="R844"/>
      <c r="S844"/>
      <c r="T844"/>
      <c r="U844"/>
      <c r="V844"/>
      <c r="W844"/>
      <c r="X844"/>
      <c r="Y844"/>
    </row>
    <row r="845" spans="1:25" s="104" customFormat="1" hidden="1" x14ac:dyDescent="0.25">
      <c r="A845" s="97" t="str">
        <f t="shared" si="13"/>
        <v>fssul_vdd_dyn_ospi_ddr_master_160_3p3v</v>
      </c>
      <c r="B845" s="97" t="s">
        <v>689</v>
      </c>
      <c r="C845" s="97" t="s">
        <v>369</v>
      </c>
      <c r="D845" s="97" t="s">
        <v>685</v>
      </c>
      <c r="E845" s="97" t="s">
        <v>1050</v>
      </c>
      <c r="F845" s="97">
        <v>4.3937210591999991E-5</v>
      </c>
      <c r="G845" s="97" t="s">
        <v>629</v>
      </c>
      <c r="H845" s="5"/>
      <c r="I845"/>
      <c r="J845"/>
      <c r="K845"/>
      <c r="L845"/>
      <c r="M845"/>
      <c r="N845"/>
      <c r="O845"/>
      <c r="P845"/>
      <c r="Q845"/>
      <c r="R845"/>
      <c r="S845"/>
      <c r="T845"/>
      <c r="U845"/>
      <c r="V845"/>
      <c r="W845"/>
      <c r="X845"/>
      <c r="Y845"/>
    </row>
    <row r="846" spans="1:25" s="104" customFormat="1" hidden="1" x14ac:dyDescent="0.25">
      <c r="A846" s="97" t="str">
        <f t="shared" si="13"/>
        <v>fssul_vdd_dyn_ospi_sdr_master_108_1p8v</v>
      </c>
      <c r="B846" s="97" t="s">
        <v>689</v>
      </c>
      <c r="C846" s="97" t="s">
        <v>369</v>
      </c>
      <c r="D846" s="97" t="s">
        <v>697</v>
      </c>
      <c r="E846" s="97" t="s">
        <v>1050</v>
      </c>
      <c r="F846" s="97">
        <v>3.5887489149599993E-5</v>
      </c>
      <c r="G846" s="97" t="s">
        <v>629</v>
      </c>
      <c r="H846" s="5"/>
      <c r="I846"/>
      <c r="J846"/>
      <c r="K846"/>
      <c r="L846"/>
      <c r="M846"/>
      <c r="N846"/>
      <c r="O846"/>
      <c r="P846"/>
      <c r="Q846"/>
      <c r="R846"/>
      <c r="S846"/>
      <c r="T846"/>
      <c r="U846"/>
      <c r="V846"/>
      <c r="W846"/>
      <c r="X846"/>
      <c r="Y846"/>
    </row>
    <row r="847" spans="1:25" s="104" customFormat="1" hidden="1" x14ac:dyDescent="0.25">
      <c r="A847" s="97" t="str">
        <f t="shared" si="13"/>
        <v>fssul_vdd_dyn_ospi_sdr_master_108_3p3v</v>
      </c>
      <c r="B847" s="97" t="s">
        <v>689</v>
      </c>
      <c r="C847" s="97" t="s">
        <v>369</v>
      </c>
      <c r="D847" s="97" t="s">
        <v>688</v>
      </c>
      <c r="E847" s="97" t="s">
        <v>1050</v>
      </c>
      <c r="F847" s="97">
        <v>3.5887489149599993E-5</v>
      </c>
      <c r="G847" s="97" t="s">
        <v>629</v>
      </c>
      <c r="H847" s="5"/>
      <c r="I847"/>
      <c r="J847"/>
      <c r="K847"/>
      <c r="L847"/>
      <c r="M847"/>
      <c r="N847"/>
      <c r="O847"/>
      <c r="P847"/>
      <c r="Q847"/>
      <c r="R847"/>
      <c r="S847"/>
      <c r="T847"/>
      <c r="U847"/>
      <c r="V847"/>
      <c r="W847"/>
      <c r="X847"/>
      <c r="Y847"/>
    </row>
    <row r="848" spans="1:25" s="104" customFormat="1" hidden="1" x14ac:dyDescent="0.25">
      <c r="A848" s="97" t="str">
        <f t="shared" si="13"/>
        <v>fssul_vdd_dyn_ospi_sdr_master_133_1p8v</v>
      </c>
      <c r="B848" s="97" t="s">
        <v>689</v>
      </c>
      <c r="C848" s="97" t="s">
        <v>369</v>
      </c>
      <c r="D848" s="97" t="s">
        <v>696</v>
      </c>
      <c r="E848" s="97" t="s">
        <v>1050</v>
      </c>
      <c r="F848" s="97">
        <v>4.4194778304599986E-5</v>
      </c>
      <c r="G848" s="97" t="s">
        <v>629</v>
      </c>
      <c r="H848" s="5"/>
      <c r="I848"/>
      <c r="J848"/>
      <c r="K848"/>
      <c r="L848"/>
      <c r="M848"/>
      <c r="N848"/>
      <c r="O848"/>
      <c r="P848"/>
      <c r="Q848"/>
      <c r="R848"/>
      <c r="S848"/>
      <c r="T848"/>
      <c r="U848"/>
      <c r="V848"/>
      <c r="W848"/>
      <c r="X848"/>
      <c r="Y848"/>
    </row>
    <row r="849" spans="1:25" s="104" customFormat="1" hidden="1" x14ac:dyDescent="0.25">
      <c r="A849" s="97" t="str">
        <f t="shared" si="13"/>
        <v>fssul_vdd_dyn_ospi_sdr_master_133_3p3v</v>
      </c>
      <c r="B849" s="97" t="s">
        <v>689</v>
      </c>
      <c r="C849" s="97" t="s">
        <v>369</v>
      </c>
      <c r="D849" s="97" t="s">
        <v>687</v>
      </c>
      <c r="E849" s="97" t="s">
        <v>1050</v>
      </c>
      <c r="F849" s="97">
        <v>4.4194778304599986E-5</v>
      </c>
      <c r="G849" s="97" t="s">
        <v>629</v>
      </c>
      <c r="H849" s="5"/>
      <c r="I849"/>
      <c r="J849"/>
      <c r="K849"/>
      <c r="L849"/>
      <c r="M849"/>
      <c r="N849"/>
      <c r="O849"/>
      <c r="P849"/>
      <c r="Q849"/>
      <c r="R849"/>
      <c r="S849"/>
      <c r="T849"/>
      <c r="U849"/>
      <c r="V849"/>
      <c r="W849"/>
      <c r="X849"/>
      <c r="Y849"/>
    </row>
    <row r="850" spans="1:25" s="104" customFormat="1" hidden="1" x14ac:dyDescent="0.25">
      <c r="A850" s="97" t="str">
        <f t="shared" si="13"/>
        <v>fssul_vdd_dyn_qspi_ddr_master_133_1p8v</v>
      </c>
      <c r="B850" s="97" t="s">
        <v>689</v>
      </c>
      <c r="C850" s="97" t="s">
        <v>369</v>
      </c>
      <c r="D850" s="97" t="s">
        <v>691</v>
      </c>
      <c r="E850" s="97" t="s">
        <v>1050</v>
      </c>
      <c r="F850" s="97">
        <v>2.2099498944599998E-5</v>
      </c>
      <c r="G850" s="97" t="s">
        <v>629</v>
      </c>
      <c r="H850" s="5"/>
      <c r="I850"/>
      <c r="J850"/>
      <c r="K850"/>
      <c r="L850"/>
      <c r="M850"/>
      <c r="N850"/>
      <c r="O850"/>
      <c r="P850"/>
      <c r="Q850"/>
      <c r="R850"/>
      <c r="S850"/>
      <c r="T850"/>
      <c r="U850"/>
      <c r="V850"/>
      <c r="W850"/>
      <c r="X850"/>
      <c r="Y850"/>
    </row>
    <row r="851" spans="1:25" s="104" customFormat="1" hidden="1" x14ac:dyDescent="0.25">
      <c r="A851" s="97" t="str">
        <f t="shared" si="13"/>
        <v>fssul_vdd_dyn_qspi_ddr_master_133_3p3v</v>
      </c>
      <c r="B851" s="97" t="s">
        <v>689</v>
      </c>
      <c r="C851" s="97" t="s">
        <v>369</v>
      </c>
      <c r="D851" s="97" t="s">
        <v>682</v>
      </c>
      <c r="E851" s="97" t="s">
        <v>1050</v>
      </c>
      <c r="F851" s="97">
        <v>2.2099498944599998E-5</v>
      </c>
      <c r="G851" s="97" t="s">
        <v>629</v>
      </c>
      <c r="H851" s="5"/>
      <c r="I851"/>
      <c r="J851"/>
      <c r="K851"/>
      <c r="L851"/>
      <c r="M851"/>
      <c r="N851"/>
      <c r="O851"/>
      <c r="P851"/>
      <c r="Q851"/>
      <c r="R851"/>
      <c r="S851"/>
      <c r="T851"/>
      <c r="U851"/>
      <c r="V851"/>
      <c r="W851"/>
      <c r="X851"/>
      <c r="Y851"/>
    </row>
    <row r="852" spans="1:25" s="104" customFormat="1" hidden="1" x14ac:dyDescent="0.25">
      <c r="A852" s="97" t="str">
        <f t="shared" si="13"/>
        <v>fssul_vdd_dyn_qspi_ddr_master_160_1p8v</v>
      </c>
      <c r="B852" s="97" t="s">
        <v>689</v>
      </c>
      <c r="C852" s="97" t="s">
        <v>369</v>
      </c>
      <c r="D852" s="97" t="s">
        <v>690</v>
      </c>
      <c r="E852" s="97" t="s">
        <v>1050</v>
      </c>
      <c r="F852" s="97">
        <v>2.6585863391999995E-5</v>
      </c>
      <c r="G852" s="97" t="s">
        <v>629</v>
      </c>
      <c r="H852" s="5"/>
      <c r="I852"/>
      <c r="J852"/>
      <c r="K852"/>
      <c r="L852"/>
      <c r="M852"/>
      <c r="N852"/>
      <c r="O852"/>
      <c r="P852"/>
      <c r="Q852"/>
      <c r="R852"/>
      <c r="S852"/>
      <c r="T852"/>
      <c r="U852"/>
      <c r="V852"/>
      <c r="W852"/>
      <c r="X852"/>
      <c r="Y852"/>
    </row>
    <row r="853" spans="1:25" s="104" customFormat="1" hidden="1" x14ac:dyDescent="0.25">
      <c r="A853" s="97" t="str">
        <f t="shared" si="13"/>
        <v>fssul_vdd_dyn_qspi_ddr_master_160_3p3v</v>
      </c>
      <c r="B853" s="97" t="s">
        <v>689</v>
      </c>
      <c r="C853" s="97" t="s">
        <v>369</v>
      </c>
      <c r="D853" s="97" t="s">
        <v>681</v>
      </c>
      <c r="E853" s="97" t="s">
        <v>1050</v>
      </c>
      <c r="F853" s="97">
        <v>2.6585863391999995E-5</v>
      </c>
      <c r="G853" s="97" t="s">
        <v>629</v>
      </c>
      <c r="H853" s="5"/>
      <c r="I853"/>
      <c r="J853"/>
      <c r="K853"/>
      <c r="L853"/>
      <c r="M853"/>
      <c r="N853"/>
      <c r="O853"/>
      <c r="P853"/>
      <c r="Q853"/>
      <c r="R853"/>
      <c r="S853"/>
      <c r="T853"/>
      <c r="U853"/>
      <c r="V853"/>
      <c r="W853"/>
      <c r="X853"/>
      <c r="Y853"/>
    </row>
    <row r="854" spans="1:25" s="104" customFormat="1" hidden="1" x14ac:dyDescent="0.25">
      <c r="A854" s="97" t="str">
        <f t="shared" si="13"/>
        <v>fssul_vdd_dyn_qspi_sdr_master_108_1p8v</v>
      </c>
      <c r="B854" s="97" t="s">
        <v>689</v>
      </c>
      <c r="C854" s="97" t="s">
        <v>369</v>
      </c>
      <c r="D854" s="97" t="s">
        <v>693</v>
      </c>
      <c r="E854" s="97" t="s">
        <v>1050</v>
      </c>
      <c r="F854" s="97">
        <v>2.4175329789599995E-5</v>
      </c>
      <c r="G854" s="97" t="s">
        <v>629</v>
      </c>
      <c r="H854" s="5"/>
      <c r="I854"/>
      <c r="J854"/>
      <c r="K854"/>
      <c r="L854"/>
      <c r="M854"/>
      <c r="N854"/>
      <c r="O854"/>
      <c r="P854"/>
      <c r="Q854"/>
      <c r="R854"/>
      <c r="S854"/>
      <c r="T854"/>
      <c r="U854"/>
      <c r="V854"/>
      <c r="W854"/>
      <c r="X854"/>
      <c r="Y854"/>
    </row>
    <row r="855" spans="1:25" s="104" customFormat="1" hidden="1" x14ac:dyDescent="0.25">
      <c r="A855" s="97" t="str">
        <f t="shared" si="13"/>
        <v>fssul_vdd_dyn_qspi_sdr_master_108_3p3v</v>
      </c>
      <c r="B855" s="97" t="s">
        <v>689</v>
      </c>
      <c r="C855" s="97" t="s">
        <v>369</v>
      </c>
      <c r="D855" s="97" t="s">
        <v>684</v>
      </c>
      <c r="E855" s="97" t="s">
        <v>1050</v>
      </c>
      <c r="F855" s="97">
        <v>2.4175329789599995E-5</v>
      </c>
      <c r="G855" s="97" t="s">
        <v>629</v>
      </c>
      <c r="H855" s="5"/>
      <c r="I855"/>
      <c r="J855"/>
      <c r="K855"/>
      <c r="L855"/>
      <c r="M855"/>
      <c r="N855"/>
      <c r="O855"/>
      <c r="P855"/>
      <c r="Q855"/>
      <c r="R855"/>
      <c r="S855"/>
      <c r="T855"/>
      <c r="U855"/>
      <c r="V855"/>
      <c r="W855"/>
      <c r="X855"/>
      <c r="Y855"/>
    </row>
    <row r="856" spans="1:25" s="104" customFormat="1" hidden="1" x14ac:dyDescent="0.25">
      <c r="A856" s="97" t="str">
        <f t="shared" si="13"/>
        <v>fssul_vdd_dyn_qspi_sdr_master_133_1p8v</v>
      </c>
      <c r="B856" s="97" t="s">
        <v>689</v>
      </c>
      <c r="C856" s="97" t="s">
        <v>369</v>
      </c>
      <c r="D856" s="97" t="s">
        <v>692</v>
      </c>
      <c r="E856" s="97" t="s">
        <v>1050</v>
      </c>
      <c r="F856" s="97">
        <v>2.9771470944599992E-5</v>
      </c>
      <c r="G856" s="97" t="s">
        <v>629</v>
      </c>
      <c r="H856" s="5"/>
      <c r="I856"/>
      <c r="J856"/>
      <c r="K856"/>
      <c r="L856"/>
      <c r="M856"/>
      <c r="N856"/>
      <c r="O856"/>
      <c r="P856"/>
      <c r="Q856"/>
      <c r="R856"/>
      <c r="S856"/>
      <c r="T856"/>
      <c r="U856"/>
      <c r="V856"/>
      <c r="W856"/>
      <c r="X856"/>
      <c r="Y856"/>
    </row>
    <row r="857" spans="1:25" s="104" customFormat="1" hidden="1" x14ac:dyDescent="0.25">
      <c r="A857" s="97" t="str">
        <f t="shared" si="13"/>
        <v>fssul_vdd_dyn_qspi_sdr_master_133_3p3v</v>
      </c>
      <c r="B857" s="97" t="s">
        <v>689</v>
      </c>
      <c r="C857" s="97" t="s">
        <v>369</v>
      </c>
      <c r="D857" s="97" t="s">
        <v>683</v>
      </c>
      <c r="E857" s="97" t="s">
        <v>1050</v>
      </c>
      <c r="F857" s="97">
        <v>2.9771470944599992E-5</v>
      </c>
      <c r="G857" s="97" t="s">
        <v>629</v>
      </c>
      <c r="H857" s="5"/>
      <c r="I857"/>
      <c r="J857"/>
      <c r="K857"/>
      <c r="L857"/>
      <c r="M857"/>
      <c r="N857"/>
      <c r="O857"/>
      <c r="P857"/>
      <c r="Q857"/>
      <c r="R857"/>
      <c r="S857"/>
      <c r="T857"/>
      <c r="U857"/>
      <c r="V857"/>
      <c r="W857"/>
      <c r="X857"/>
      <c r="Y857"/>
    </row>
    <row r="858" spans="1:25" s="104" customFormat="1" hidden="1" x14ac:dyDescent="0.25">
      <c r="A858" s="97" t="str">
        <f t="shared" si="13"/>
        <v>ecap_vdd_dyn_capture_in_1m_1p8v</v>
      </c>
      <c r="B858" s="97" t="s">
        <v>938</v>
      </c>
      <c r="C858" s="97" t="s">
        <v>369</v>
      </c>
      <c r="D858" s="97" t="s">
        <v>949</v>
      </c>
      <c r="E858" s="97" t="s">
        <v>1050</v>
      </c>
      <c r="F858" s="97">
        <v>1.0152384E-7</v>
      </c>
      <c r="G858" s="97"/>
      <c r="H858" s="5"/>
      <c r="I858"/>
      <c r="J858"/>
      <c r="K858"/>
      <c r="L858"/>
      <c r="M858"/>
      <c r="N858"/>
      <c r="O858"/>
      <c r="P858"/>
      <c r="Q858"/>
      <c r="R858"/>
      <c r="S858"/>
      <c r="T858"/>
      <c r="U858"/>
      <c r="V858"/>
      <c r="W858"/>
      <c r="X858"/>
      <c r="Y858"/>
    </row>
    <row r="859" spans="1:25" s="104" customFormat="1" hidden="1" x14ac:dyDescent="0.25">
      <c r="A859" s="97" t="str">
        <f t="shared" si="13"/>
        <v>ecap_vdd_dyn_capture_in_1m_3p3v</v>
      </c>
      <c r="B859" s="97" t="s">
        <v>938</v>
      </c>
      <c r="C859" s="97" t="s">
        <v>369</v>
      </c>
      <c r="D859" s="97" t="s">
        <v>947</v>
      </c>
      <c r="E859" s="97" t="s">
        <v>1050</v>
      </c>
      <c r="F859" s="97">
        <v>1.0152384E-7</v>
      </c>
      <c r="G859" s="97"/>
      <c r="H859" s="5"/>
      <c r="I859"/>
      <c r="J859"/>
      <c r="K859"/>
      <c r="L859"/>
      <c r="M859"/>
      <c r="N859"/>
      <c r="O859"/>
      <c r="P859"/>
      <c r="Q859"/>
      <c r="R859"/>
      <c r="S859"/>
      <c r="T859"/>
      <c r="U859"/>
      <c r="V859"/>
      <c r="W859"/>
      <c r="X859"/>
      <c r="Y859"/>
    </row>
    <row r="860" spans="1:25" s="104" customFormat="1" hidden="1" x14ac:dyDescent="0.25">
      <c r="A860" s="97" t="str">
        <f t="shared" si="13"/>
        <v>ecap_vdd_dyn_capture_in_5m_1p8v</v>
      </c>
      <c r="B860" s="97" t="s">
        <v>938</v>
      </c>
      <c r="C860" s="97" t="s">
        <v>369</v>
      </c>
      <c r="D860" s="97" t="s">
        <v>948</v>
      </c>
      <c r="E860" s="97" t="s">
        <v>1050</v>
      </c>
      <c r="F860" s="97">
        <v>5.0761919999999989E-7</v>
      </c>
      <c r="G860" s="97"/>
      <c r="H860" s="5"/>
      <c r="I860"/>
      <c r="J860"/>
      <c r="K860"/>
      <c r="L860"/>
      <c r="M860"/>
      <c r="N860"/>
      <c r="O860"/>
      <c r="P860"/>
      <c r="Q860"/>
      <c r="R860"/>
      <c r="S860"/>
      <c r="T860"/>
      <c r="U860"/>
      <c r="V860"/>
      <c r="W860"/>
      <c r="X860"/>
      <c r="Y860"/>
    </row>
    <row r="861" spans="1:25" s="104" customFormat="1" hidden="1" x14ac:dyDescent="0.25">
      <c r="A861" s="97" t="str">
        <f t="shared" si="13"/>
        <v>ecap_vdd_dyn_capture_in_5m_3p3v</v>
      </c>
      <c r="B861" s="97" t="s">
        <v>938</v>
      </c>
      <c r="C861" s="97" t="s">
        <v>369</v>
      </c>
      <c r="D861" s="97" t="s">
        <v>946</v>
      </c>
      <c r="E861" s="97" t="s">
        <v>1050</v>
      </c>
      <c r="F861" s="97">
        <v>5.0761919999999989E-7</v>
      </c>
      <c r="G861" s="97"/>
      <c r="H861" s="5"/>
      <c r="I861"/>
      <c r="J861"/>
      <c r="K861"/>
      <c r="L861"/>
      <c r="M861"/>
      <c r="N861"/>
      <c r="O861"/>
      <c r="P861"/>
      <c r="Q861"/>
      <c r="R861"/>
      <c r="S861"/>
      <c r="T861"/>
      <c r="U861"/>
      <c r="V861"/>
      <c r="W861"/>
      <c r="X861"/>
      <c r="Y861"/>
    </row>
    <row r="862" spans="1:25" s="104" customFormat="1" hidden="1" x14ac:dyDescent="0.25">
      <c r="A862" s="97" t="str">
        <f t="shared" si="13"/>
        <v>ecap_vdd_dyn_pwm_out_1m_1p8v</v>
      </c>
      <c r="B862" s="97" t="s">
        <v>938</v>
      </c>
      <c r="C862" s="97" t="s">
        <v>369</v>
      </c>
      <c r="D862" s="97" t="s">
        <v>945</v>
      </c>
      <c r="E862" s="97" t="s">
        <v>1050</v>
      </c>
      <c r="F862" s="97">
        <v>1.15368E-7</v>
      </c>
      <c r="G862" s="97"/>
      <c r="H862" s="5"/>
      <c r="I862"/>
      <c r="J862"/>
      <c r="K862"/>
      <c r="L862"/>
      <c r="M862"/>
      <c r="N862"/>
      <c r="O862"/>
      <c r="P862"/>
      <c r="Q862"/>
      <c r="R862"/>
      <c r="S862"/>
      <c r="T862"/>
      <c r="U862"/>
      <c r="V862"/>
      <c r="W862"/>
      <c r="X862"/>
      <c r="Y862"/>
    </row>
    <row r="863" spans="1:25" s="104" customFormat="1" hidden="1" x14ac:dyDescent="0.25">
      <c r="A863" s="97" t="str">
        <f t="shared" si="13"/>
        <v>ecap_vdd_dyn_pwm_out_1m_3p3v</v>
      </c>
      <c r="B863" s="97" t="s">
        <v>938</v>
      </c>
      <c r="C863" s="97" t="s">
        <v>369</v>
      </c>
      <c r="D863" s="97" t="s">
        <v>943</v>
      </c>
      <c r="E863" s="97" t="s">
        <v>1050</v>
      </c>
      <c r="F863" s="97">
        <v>1.15368E-7</v>
      </c>
      <c r="G863" s="97"/>
      <c r="H863" s="5"/>
      <c r="I863"/>
      <c r="J863"/>
      <c r="K863"/>
      <c r="L863"/>
      <c r="M863"/>
      <c r="N863"/>
      <c r="O863"/>
      <c r="P863"/>
      <c r="Q863"/>
      <c r="R863"/>
      <c r="S863"/>
      <c r="T863"/>
      <c r="U863"/>
      <c r="V863"/>
      <c r="W863"/>
      <c r="X863"/>
      <c r="Y863"/>
    </row>
    <row r="864" spans="1:25" s="104" customFormat="1" hidden="1" x14ac:dyDescent="0.25">
      <c r="A864" s="97" t="str">
        <f t="shared" si="13"/>
        <v>ecap_vdd_dyn_pwm_out_5m_1p8v</v>
      </c>
      <c r="B864" s="97" t="s">
        <v>938</v>
      </c>
      <c r="C864" s="97" t="s">
        <v>369</v>
      </c>
      <c r="D864" s="97" t="s">
        <v>944</v>
      </c>
      <c r="E864" s="97" t="s">
        <v>1050</v>
      </c>
      <c r="F864" s="97">
        <v>5.7683999999999997E-7</v>
      </c>
      <c r="G864" s="97"/>
      <c r="H864" s="5"/>
      <c r="I864"/>
      <c r="J864"/>
      <c r="K864"/>
      <c r="L864"/>
      <c r="M864"/>
      <c r="N864"/>
      <c r="O864"/>
      <c r="P864"/>
      <c r="Q864"/>
      <c r="R864"/>
      <c r="S864"/>
      <c r="T864"/>
      <c r="U864"/>
      <c r="V864"/>
      <c r="W864"/>
      <c r="X864"/>
      <c r="Y864"/>
    </row>
    <row r="865" spans="1:25" s="104" customFormat="1" hidden="1" x14ac:dyDescent="0.25">
      <c r="A865" s="97" t="str">
        <f t="shared" si="13"/>
        <v>ecap_vdd_dyn_pwm_out_5m_3p3v</v>
      </c>
      <c r="B865" s="97" t="s">
        <v>938</v>
      </c>
      <c r="C865" s="97" t="s">
        <v>369</v>
      </c>
      <c r="D865" s="97" t="s">
        <v>942</v>
      </c>
      <c r="E865" s="97" t="s">
        <v>1050</v>
      </c>
      <c r="F865" s="97">
        <v>5.7683999999999997E-7</v>
      </c>
      <c r="G865" s="97" t="s">
        <v>940</v>
      </c>
      <c r="H865" s="5"/>
      <c r="I865"/>
      <c r="J865"/>
      <c r="K865"/>
      <c r="L865"/>
      <c r="M865"/>
      <c r="N865"/>
      <c r="O865"/>
      <c r="P865"/>
      <c r="Q865"/>
      <c r="R865"/>
      <c r="S865"/>
      <c r="T865"/>
      <c r="U865"/>
      <c r="V865"/>
      <c r="W865"/>
      <c r="X865"/>
      <c r="Y865"/>
    </row>
    <row r="866" spans="1:25" s="104" customFormat="1" hidden="1" x14ac:dyDescent="0.25">
      <c r="A866" s="97" t="str">
        <f t="shared" si="13"/>
        <v>eqep_vdd_dyn_on_1p8v</v>
      </c>
      <c r="B866" s="97" t="s">
        <v>937</v>
      </c>
      <c r="C866" s="97" t="s">
        <v>369</v>
      </c>
      <c r="D866" s="97" t="s">
        <v>957</v>
      </c>
      <c r="E866" s="97" t="s">
        <v>1050</v>
      </c>
      <c r="F866" s="97">
        <v>1.031159184E-7</v>
      </c>
      <c r="G866" s="97"/>
      <c r="H866" s="5"/>
      <c r="I866"/>
      <c r="J866"/>
      <c r="K866"/>
      <c r="L866"/>
      <c r="M866"/>
      <c r="N866"/>
      <c r="O866"/>
      <c r="P866"/>
      <c r="Q866"/>
      <c r="R866"/>
      <c r="S866"/>
      <c r="T866"/>
      <c r="U866"/>
      <c r="V866"/>
      <c r="W866"/>
      <c r="X866"/>
      <c r="Y866"/>
    </row>
    <row r="867" spans="1:25" s="104" customFormat="1" hidden="1" x14ac:dyDescent="0.25">
      <c r="A867" s="97" t="str">
        <f t="shared" si="13"/>
        <v>eqep_vdd_dyn_on_3p3v</v>
      </c>
      <c r="B867" s="97" t="s">
        <v>937</v>
      </c>
      <c r="C867" s="97" t="s">
        <v>369</v>
      </c>
      <c r="D867" s="97" t="s">
        <v>956</v>
      </c>
      <c r="E867" s="97" t="s">
        <v>1050</v>
      </c>
      <c r="F867" s="97">
        <v>1.031159184E-7</v>
      </c>
      <c r="G867" s="97"/>
      <c r="H867" s="5"/>
      <c r="I867"/>
      <c r="J867"/>
      <c r="K867"/>
      <c r="L867"/>
      <c r="M867"/>
      <c r="N867"/>
      <c r="O867"/>
      <c r="P867"/>
      <c r="Q867"/>
      <c r="R867"/>
      <c r="S867"/>
      <c r="T867"/>
      <c r="U867"/>
      <c r="V867"/>
      <c r="W867"/>
      <c r="X867"/>
      <c r="Y867"/>
    </row>
    <row r="868" spans="1:25" s="104" customFormat="1" hidden="1" x14ac:dyDescent="0.25">
      <c r="A868" s="97" t="str">
        <f t="shared" si="13"/>
        <v>ethernet_vdd_dyn_off</v>
      </c>
      <c r="B868" s="97" t="s">
        <v>649</v>
      </c>
      <c r="C868" s="97" t="s">
        <v>369</v>
      </c>
      <c r="D868" s="97" t="s">
        <v>69</v>
      </c>
      <c r="E868" s="97" t="s">
        <v>1050</v>
      </c>
      <c r="F868" s="105"/>
      <c r="G868" s="97"/>
      <c r="H868" s="5"/>
      <c r="I868"/>
      <c r="J868"/>
      <c r="K868"/>
      <c r="L868"/>
      <c r="M868"/>
      <c r="N868"/>
      <c r="O868"/>
      <c r="P868"/>
      <c r="Q868"/>
      <c r="R868"/>
      <c r="S868"/>
      <c r="T868"/>
      <c r="U868"/>
      <c r="V868"/>
      <c r="W868"/>
      <c r="X868"/>
      <c r="Y868"/>
    </row>
    <row r="869" spans="1:25" s="104" customFormat="1" hidden="1" x14ac:dyDescent="0.25">
      <c r="A869" s="97" t="str">
        <f t="shared" si="13"/>
        <v>ethernet_vdd_dyn_rgmii_10_1p8v</v>
      </c>
      <c r="B869" s="97" t="s">
        <v>649</v>
      </c>
      <c r="C869" s="97" t="s">
        <v>369</v>
      </c>
      <c r="D869" s="97" t="s">
        <v>667</v>
      </c>
      <c r="E869" s="97" t="s">
        <v>1050</v>
      </c>
      <c r="F869" s="105">
        <v>1.8051630959999996E-6</v>
      </c>
      <c r="G869" s="97"/>
      <c r="H869" s="5"/>
      <c r="I869"/>
      <c r="J869"/>
      <c r="K869"/>
      <c r="L869"/>
      <c r="M869"/>
      <c r="N869"/>
      <c r="O869"/>
      <c r="P869"/>
      <c r="Q869"/>
      <c r="R869"/>
      <c r="S869"/>
      <c r="T869"/>
      <c r="U869"/>
      <c r="V869"/>
      <c r="W869"/>
      <c r="X869"/>
      <c r="Y869"/>
    </row>
    <row r="870" spans="1:25" s="104" customFormat="1" hidden="1" x14ac:dyDescent="0.25">
      <c r="A870" s="97" t="str">
        <f t="shared" si="13"/>
        <v>ethernet_vdd_dyn_rgmii_10_3p3v</v>
      </c>
      <c r="B870" s="97" t="s">
        <v>649</v>
      </c>
      <c r="C870" s="97" t="s">
        <v>369</v>
      </c>
      <c r="D870" s="97" t="s">
        <v>675</v>
      </c>
      <c r="E870" s="97" t="s">
        <v>1050</v>
      </c>
      <c r="F870" s="105">
        <v>1.8051630959999996E-6</v>
      </c>
      <c r="G870" s="97"/>
      <c r="H870" s="5"/>
      <c r="I870"/>
      <c r="J870"/>
      <c r="K870"/>
      <c r="L870"/>
      <c r="M870"/>
      <c r="N870"/>
      <c r="O870"/>
      <c r="P870"/>
      <c r="Q870"/>
      <c r="R870"/>
      <c r="S870"/>
      <c r="T870"/>
      <c r="U870"/>
      <c r="V870"/>
      <c r="W870"/>
      <c r="X870"/>
      <c r="Y870"/>
    </row>
    <row r="871" spans="1:25" s="104" customFormat="1" hidden="1" x14ac:dyDescent="0.25">
      <c r="A871" s="97" t="str">
        <f t="shared" si="13"/>
        <v>ethernet_vdd_dyn_rgmii_100_1p8v</v>
      </c>
      <c r="B871" s="97" t="s">
        <v>649</v>
      </c>
      <c r="C871" s="97" t="s">
        <v>369</v>
      </c>
      <c r="D871" s="97" t="s">
        <v>666</v>
      </c>
      <c r="E871" s="97" t="s">
        <v>1050</v>
      </c>
      <c r="F871" s="105">
        <v>1.6753740959999995E-5</v>
      </c>
      <c r="G871" s="97"/>
      <c r="H871" s="5"/>
      <c r="I871"/>
      <c r="J871"/>
      <c r="K871"/>
      <c r="L871"/>
      <c r="M871"/>
      <c r="N871"/>
      <c r="O871"/>
      <c r="P871"/>
      <c r="Q871"/>
      <c r="R871"/>
      <c r="S871"/>
      <c r="T871"/>
      <c r="U871"/>
      <c r="V871"/>
      <c r="W871"/>
      <c r="X871"/>
      <c r="Y871"/>
    </row>
    <row r="872" spans="1:25" s="104" customFormat="1" hidden="1" x14ac:dyDescent="0.25">
      <c r="A872" s="97" t="str">
        <f t="shared" si="13"/>
        <v>ethernet_vdd_dyn_rgmii_100_3p3v</v>
      </c>
      <c r="B872" s="97" t="s">
        <v>649</v>
      </c>
      <c r="C872" s="97" t="s">
        <v>369</v>
      </c>
      <c r="D872" s="97" t="s">
        <v>674</v>
      </c>
      <c r="E872" s="97" t="s">
        <v>1050</v>
      </c>
      <c r="F872" s="105">
        <v>1.6753740959999995E-5</v>
      </c>
      <c r="G872" s="97"/>
      <c r="H872" s="5"/>
      <c r="I872"/>
      <c r="J872"/>
      <c r="K872"/>
      <c r="L872"/>
      <c r="M872"/>
      <c r="N872"/>
      <c r="O872"/>
      <c r="P872"/>
      <c r="Q872"/>
      <c r="R872"/>
      <c r="S872"/>
      <c r="T872"/>
      <c r="U872"/>
      <c r="V872"/>
      <c r="W872"/>
      <c r="X872"/>
      <c r="Y872"/>
    </row>
    <row r="873" spans="1:25" s="104" customFormat="1" hidden="1" x14ac:dyDescent="0.25">
      <c r="A873" s="97" t="str">
        <f t="shared" si="13"/>
        <v>ethernet_vdd_dyn_rgmii_1000_1p8v</v>
      </c>
      <c r="B873" s="97" t="s">
        <v>649</v>
      </c>
      <c r="C873" s="97" t="s">
        <v>369</v>
      </c>
      <c r="D873" s="97" t="s">
        <v>665</v>
      </c>
      <c r="E873" s="97" t="s">
        <v>1050</v>
      </c>
      <c r="F873" s="105">
        <v>8.3336074799999978E-5</v>
      </c>
      <c r="G873" s="97"/>
      <c r="H873" s="5"/>
      <c r="I873"/>
      <c r="J873"/>
      <c r="K873"/>
      <c r="L873"/>
      <c r="M873"/>
      <c r="N873"/>
      <c r="O873"/>
      <c r="P873"/>
      <c r="Q873"/>
      <c r="R873"/>
      <c r="S873"/>
      <c r="T873"/>
      <c r="U873"/>
      <c r="V873"/>
      <c r="W873"/>
      <c r="X873"/>
      <c r="Y873"/>
    </row>
    <row r="874" spans="1:25" s="104" customFormat="1" hidden="1" x14ac:dyDescent="0.25">
      <c r="A874" s="97" t="str">
        <f t="shared" si="13"/>
        <v>ethernet_vdd_dyn_rgmii_1000_3p3v</v>
      </c>
      <c r="B874" s="97" t="s">
        <v>649</v>
      </c>
      <c r="C874" s="97" t="s">
        <v>369</v>
      </c>
      <c r="D874" s="97" t="s">
        <v>673</v>
      </c>
      <c r="E874" s="97" t="s">
        <v>1050</v>
      </c>
      <c r="F874" s="105">
        <v>8.3336074799999978E-5</v>
      </c>
      <c r="G874" s="97"/>
      <c r="H874" s="5"/>
      <c r="I874"/>
      <c r="J874"/>
      <c r="K874"/>
      <c r="L874"/>
      <c r="M874"/>
      <c r="N874"/>
      <c r="O874"/>
      <c r="P874"/>
      <c r="Q874"/>
      <c r="R874"/>
      <c r="S874"/>
      <c r="T874"/>
      <c r="U874"/>
      <c r="V874"/>
      <c r="W874"/>
      <c r="X874"/>
      <c r="Y874"/>
    </row>
    <row r="875" spans="1:25" s="104" customFormat="1" hidden="1" x14ac:dyDescent="0.25">
      <c r="A875" s="97" t="str">
        <f t="shared" si="13"/>
        <v>ethernet_vdd_dyn_rmii_10_1p8v</v>
      </c>
      <c r="B875" s="97" t="s">
        <v>649</v>
      </c>
      <c r="C875" s="97" t="s">
        <v>369</v>
      </c>
      <c r="D875" s="97" t="s">
        <v>669</v>
      </c>
      <c r="E875" s="97" t="s">
        <v>1050</v>
      </c>
      <c r="F875" s="105">
        <v>1.9259533919999998E-6</v>
      </c>
      <c r="G875" s="97"/>
      <c r="H875" s="5"/>
      <c r="I875"/>
      <c r="J875"/>
      <c r="K875"/>
      <c r="L875"/>
      <c r="M875"/>
      <c r="N875"/>
      <c r="O875"/>
      <c r="P875"/>
      <c r="Q875"/>
      <c r="R875"/>
      <c r="S875"/>
      <c r="T875"/>
      <c r="U875"/>
      <c r="V875"/>
      <c r="W875"/>
      <c r="X875"/>
      <c r="Y875"/>
    </row>
    <row r="876" spans="1:25" s="104" customFormat="1" hidden="1" x14ac:dyDescent="0.25">
      <c r="A876" s="97" t="str">
        <f t="shared" si="13"/>
        <v>ethernet_vdd_dyn_rmii_10_3p3v</v>
      </c>
      <c r="B876" s="97" t="s">
        <v>649</v>
      </c>
      <c r="C876" s="97" t="s">
        <v>369</v>
      </c>
      <c r="D876" s="97" t="s">
        <v>677</v>
      </c>
      <c r="E876" s="97" t="s">
        <v>1050</v>
      </c>
      <c r="F876" s="105">
        <v>1.9259533919999998E-6</v>
      </c>
      <c r="G876" s="97"/>
      <c r="H876" s="5"/>
      <c r="I876"/>
      <c r="J876"/>
      <c r="K876"/>
      <c r="L876"/>
      <c r="M876"/>
      <c r="N876"/>
      <c r="O876"/>
      <c r="P876"/>
      <c r="Q876"/>
      <c r="R876"/>
      <c r="S876"/>
      <c r="T876"/>
      <c r="U876"/>
      <c r="V876"/>
      <c r="W876"/>
      <c r="X876"/>
      <c r="Y876"/>
    </row>
    <row r="877" spans="1:25" s="104" customFormat="1" hidden="1" x14ac:dyDescent="0.25">
      <c r="A877" s="97" t="str">
        <f t="shared" ref="A877:A940" si="14">B877&amp;"_"&amp;C877&amp;"_"&amp;D877</f>
        <v>ethernet_vdd_dyn_rmii_100_1p8v</v>
      </c>
      <c r="B877" s="97" t="s">
        <v>649</v>
      </c>
      <c r="C877" s="97" t="s">
        <v>369</v>
      </c>
      <c r="D877" s="97" t="s">
        <v>668</v>
      </c>
      <c r="E877" s="97" t="s">
        <v>1050</v>
      </c>
      <c r="F877" s="105">
        <v>1.666375392E-5</v>
      </c>
      <c r="G877" s="97"/>
      <c r="H877" s="5"/>
      <c r="I877"/>
      <c r="J877"/>
      <c r="K877"/>
      <c r="L877"/>
      <c r="M877"/>
      <c r="N877"/>
      <c r="O877"/>
      <c r="P877"/>
      <c r="Q877"/>
      <c r="R877"/>
      <c r="S877"/>
      <c r="T877"/>
      <c r="U877"/>
      <c r="V877"/>
      <c r="W877"/>
      <c r="X877"/>
      <c r="Y877"/>
    </row>
    <row r="878" spans="1:25" s="104" customFormat="1" hidden="1" x14ac:dyDescent="0.25">
      <c r="A878" s="97" t="str">
        <f t="shared" si="14"/>
        <v>ethernet_vdd_dyn_rmii_100_3p3v</v>
      </c>
      <c r="B878" s="97" t="s">
        <v>649</v>
      </c>
      <c r="C878" s="97" t="s">
        <v>369</v>
      </c>
      <c r="D878" s="97" t="s">
        <v>676</v>
      </c>
      <c r="E878" s="97" t="s">
        <v>1050</v>
      </c>
      <c r="F878" s="105">
        <v>1.666375392E-5</v>
      </c>
      <c r="G878" s="97"/>
      <c r="H878" s="5"/>
      <c r="I878"/>
      <c r="J878"/>
      <c r="K878"/>
      <c r="L878"/>
      <c r="M878"/>
      <c r="N878"/>
      <c r="O878"/>
      <c r="P878"/>
      <c r="Q878"/>
      <c r="R878"/>
      <c r="S878"/>
      <c r="T878"/>
      <c r="U878"/>
      <c r="V878"/>
      <c r="W878"/>
      <c r="X878"/>
      <c r="Y878"/>
    </row>
    <row r="879" spans="1:25" s="104" customFormat="1" hidden="1" x14ac:dyDescent="0.25">
      <c r="A879" s="97" t="str">
        <f t="shared" si="14"/>
        <v>icssm_vdd_dyn_ethercat_1p8v</v>
      </c>
      <c r="B879" s="97" t="s">
        <v>643</v>
      </c>
      <c r="C879" s="97" t="s">
        <v>369</v>
      </c>
      <c r="D879" s="97" t="s">
        <v>640</v>
      </c>
      <c r="E879" s="97" t="s">
        <v>1050</v>
      </c>
      <c r="F879" s="105">
        <v>2.1449795399999999E-5</v>
      </c>
      <c r="G879" s="97" t="s">
        <v>629</v>
      </c>
      <c r="H879" s="5"/>
      <c r="I879"/>
      <c r="J879"/>
      <c r="K879"/>
      <c r="L879"/>
      <c r="M879"/>
      <c r="N879"/>
      <c r="O879"/>
      <c r="P879"/>
      <c r="Q879"/>
      <c r="R879"/>
      <c r="S879"/>
      <c r="T879"/>
      <c r="U879"/>
      <c r="V879"/>
      <c r="W879"/>
      <c r="X879"/>
      <c r="Y879"/>
    </row>
    <row r="880" spans="1:25" s="104" customFormat="1" hidden="1" x14ac:dyDescent="0.25">
      <c r="A880" s="97" t="str">
        <f t="shared" si="14"/>
        <v>icssm_vdd_dyn_ethercat_3p3v</v>
      </c>
      <c r="B880" s="97" t="s">
        <v>643</v>
      </c>
      <c r="C880" s="97" t="s">
        <v>369</v>
      </c>
      <c r="D880" s="97" t="s">
        <v>633</v>
      </c>
      <c r="E880" s="97" t="s">
        <v>1050</v>
      </c>
      <c r="F880" s="105">
        <v>2.1449795399999999E-5</v>
      </c>
      <c r="G880" s="97" t="s">
        <v>629</v>
      </c>
      <c r="H880" s="5"/>
      <c r="I880"/>
      <c r="J880"/>
      <c r="K880"/>
      <c r="L880"/>
      <c r="M880"/>
      <c r="N880"/>
      <c r="O880"/>
      <c r="P880"/>
      <c r="Q880"/>
      <c r="R880"/>
      <c r="S880"/>
      <c r="T880"/>
      <c r="U880"/>
      <c r="V880"/>
      <c r="W880"/>
      <c r="X880"/>
      <c r="Y880"/>
    </row>
    <row r="881" spans="1:25" s="104" customFormat="1" hidden="1" x14ac:dyDescent="0.25">
      <c r="A881" s="97" t="str">
        <f t="shared" si="14"/>
        <v>icssm_vdd_dyn_mii_1p8v</v>
      </c>
      <c r="B881" s="97" t="s">
        <v>643</v>
      </c>
      <c r="C881" s="97" t="s">
        <v>369</v>
      </c>
      <c r="D881" s="97" t="s">
        <v>638</v>
      </c>
      <c r="E881" s="97" t="s">
        <v>1050</v>
      </c>
      <c r="F881" s="105">
        <v>2.1449795399999999E-5</v>
      </c>
      <c r="G881" s="97" t="s">
        <v>629</v>
      </c>
      <c r="H881" s="5"/>
      <c r="I881"/>
      <c r="J881"/>
      <c r="K881"/>
      <c r="L881"/>
      <c r="M881"/>
      <c r="N881"/>
      <c r="O881"/>
      <c r="P881"/>
      <c r="Q881"/>
      <c r="R881"/>
      <c r="S881"/>
      <c r="T881"/>
      <c r="U881"/>
      <c r="V881"/>
      <c r="W881"/>
      <c r="X881"/>
      <c r="Y881"/>
    </row>
    <row r="882" spans="1:25" s="104" customFormat="1" hidden="1" x14ac:dyDescent="0.25">
      <c r="A882" s="97" t="str">
        <f t="shared" si="14"/>
        <v>icssm_vdd_dyn_mii_3p3v</v>
      </c>
      <c r="B882" s="97" t="s">
        <v>643</v>
      </c>
      <c r="C882" s="97" t="s">
        <v>369</v>
      </c>
      <c r="D882" s="97" t="s">
        <v>635</v>
      </c>
      <c r="E882" s="97" t="s">
        <v>1050</v>
      </c>
      <c r="F882" s="105">
        <v>2.1449795399999999E-5</v>
      </c>
      <c r="G882" s="97" t="s">
        <v>629</v>
      </c>
      <c r="H882" s="5"/>
      <c r="I882"/>
      <c r="J882"/>
      <c r="K882"/>
      <c r="L882"/>
      <c r="M882"/>
      <c r="N882"/>
      <c r="O882"/>
      <c r="P882"/>
      <c r="Q882"/>
      <c r="R882"/>
      <c r="S882"/>
      <c r="T882"/>
      <c r="U882"/>
      <c r="V882"/>
      <c r="W882"/>
      <c r="X882"/>
      <c r="Y882"/>
    </row>
    <row r="883" spans="1:25" s="104" customFormat="1" hidden="1" x14ac:dyDescent="0.25">
      <c r="A883" s="97" t="str">
        <f t="shared" si="14"/>
        <v>icssm_vdd_dyn_mii_mii_1p8v</v>
      </c>
      <c r="B883" s="97" t="s">
        <v>643</v>
      </c>
      <c r="C883" s="97" t="s">
        <v>369</v>
      </c>
      <c r="D883" s="97" t="s">
        <v>642</v>
      </c>
      <c r="E883" s="97" t="s">
        <v>1050</v>
      </c>
      <c r="F883" s="105">
        <v>1.9681059749999999E-5</v>
      </c>
      <c r="G883" s="97" t="s">
        <v>629</v>
      </c>
      <c r="H883" s="5"/>
      <c r="I883"/>
      <c r="J883"/>
      <c r="K883"/>
      <c r="L883"/>
      <c r="M883"/>
      <c r="N883"/>
      <c r="O883"/>
      <c r="P883"/>
      <c r="Q883"/>
      <c r="R883"/>
      <c r="S883"/>
      <c r="T883"/>
      <c r="U883"/>
      <c r="V883"/>
      <c r="W883"/>
      <c r="X883"/>
      <c r="Y883"/>
    </row>
    <row r="884" spans="1:25" s="104" customFormat="1" hidden="1" x14ac:dyDescent="0.25">
      <c r="A884" s="97" t="str">
        <f t="shared" si="14"/>
        <v>icssm_vdd_dyn_mii_mii_3p3v</v>
      </c>
      <c r="B884" s="97" t="s">
        <v>643</v>
      </c>
      <c r="C884" s="97" t="s">
        <v>369</v>
      </c>
      <c r="D884" s="97" t="s">
        <v>641</v>
      </c>
      <c r="E884" s="97" t="s">
        <v>1050</v>
      </c>
      <c r="F884" s="105">
        <v>1.9681059749999999E-5</v>
      </c>
      <c r="G884" s="97" t="s">
        <v>629</v>
      </c>
      <c r="H884" s="5"/>
      <c r="I884"/>
      <c r="J884"/>
      <c r="K884"/>
      <c r="L884"/>
      <c r="M884"/>
      <c r="N884"/>
      <c r="O884"/>
      <c r="P884"/>
      <c r="Q884"/>
      <c r="R884"/>
      <c r="S884"/>
      <c r="T884"/>
      <c r="U884"/>
      <c r="V884"/>
      <c r="W884"/>
      <c r="X884"/>
      <c r="Y884"/>
    </row>
    <row r="885" spans="1:25" s="104" customFormat="1" hidden="1" x14ac:dyDescent="0.25">
      <c r="A885" s="97" t="str">
        <f t="shared" si="14"/>
        <v>icssm_vdd_dyn_off</v>
      </c>
      <c r="B885" s="97" t="s">
        <v>643</v>
      </c>
      <c r="C885" s="97" t="s">
        <v>369</v>
      </c>
      <c r="D885" s="97" t="s">
        <v>69</v>
      </c>
      <c r="E885" s="97" t="s">
        <v>1050</v>
      </c>
      <c r="F885" s="105">
        <v>0</v>
      </c>
      <c r="G885" s="97" t="s">
        <v>629</v>
      </c>
      <c r="H885" s="5"/>
      <c r="I885"/>
      <c r="J885"/>
      <c r="K885"/>
      <c r="L885"/>
      <c r="M885"/>
      <c r="N885"/>
      <c r="O885"/>
      <c r="P885"/>
      <c r="Q885"/>
      <c r="R885"/>
      <c r="S885"/>
      <c r="T885"/>
      <c r="U885"/>
      <c r="V885"/>
      <c r="W885"/>
      <c r="X885"/>
      <c r="Y885"/>
    </row>
    <row r="886" spans="1:25" s="104" customFormat="1" hidden="1" x14ac:dyDescent="0.25">
      <c r="A886" s="97" t="str">
        <f t="shared" si="14"/>
        <v>icssm_vdd_dyn_profinet_1p8v</v>
      </c>
      <c r="B886" s="97" t="s">
        <v>643</v>
      </c>
      <c r="C886" s="97" t="s">
        <v>369</v>
      </c>
      <c r="D886" s="97" t="s">
        <v>639</v>
      </c>
      <c r="E886" s="97" t="s">
        <v>1050</v>
      </c>
      <c r="F886" s="105">
        <v>2.1449795399999999E-5</v>
      </c>
      <c r="G886" s="97" t="s">
        <v>629</v>
      </c>
      <c r="H886" s="5"/>
      <c r="I886"/>
      <c r="J886"/>
      <c r="K886"/>
      <c r="L886"/>
      <c r="M886"/>
      <c r="N886"/>
      <c r="O886"/>
      <c r="P886"/>
      <c r="Q886"/>
      <c r="R886"/>
      <c r="S886"/>
      <c r="T886"/>
      <c r="U886"/>
      <c r="V886"/>
      <c r="W886"/>
      <c r="X886"/>
      <c r="Y886"/>
    </row>
    <row r="887" spans="1:25" s="104" customFormat="1" hidden="1" x14ac:dyDescent="0.25">
      <c r="A887" s="97" t="str">
        <f t="shared" si="14"/>
        <v>icssm_vdd_dyn_profinet_3p3v</v>
      </c>
      <c r="B887" s="97" t="s">
        <v>643</v>
      </c>
      <c r="C887" s="97" t="s">
        <v>369</v>
      </c>
      <c r="D887" s="97" t="s">
        <v>632</v>
      </c>
      <c r="E887" s="97" t="s">
        <v>1050</v>
      </c>
      <c r="F887" s="105">
        <v>2.1449795399999999E-5</v>
      </c>
      <c r="G887" s="97" t="s">
        <v>629</v>
      </c>
      <c r="H887" s="5"/>
      <c r="I887"/>
      <c r="J887"/>
      <c r="K887"/>
      <c r="L887"/>
      <c r="M887"/>
      <c r="N887"/>
      <c r="O887"/>
      <c r="P887"/>
      <c r="Q887"/>
      <c r="R887"/>
      <c r="S887"/>
      <c r="T887"/>
      <c r="U887"/>
      <c r="V887"/>
      <c r="W887"/>
      <c r="X887"/>
      <c r="Y887"/>
    </row>
    <row r="888" spans="1:25" s="104" customFormat="1" hidden="1" x14ac:dyDescent="0.25">
      <c r="A888" s="97" t="str">
        <f t="shared" si="14"/>
        <v>icssm_vdd_dyn_rmii_1p8v</v>
      </c>
      <c r="B888" s="97" t="s">
        <v>643</v>
      </c>
      <c r="C888" s="97" t="s">
        <v>369</v>
      </c>
      <c r="D888" s="97" t="s">
        <v>637</v>
      </c>
      <c r="E888" s="97" t="s">
        <v>1050</v>
      </c>
      <c r="F888" s="105">
        <v>1.666375392E-5</v>
      </c>
      <c r="G888" s="97" t="s">
        <v>629</v>
      </c>
      <c r="H888" s="5"/>
      <c r="I888"/>
      <c r="J888"/>
      <c r="K888"/>
      <c r="L888"/>
      <c r="M888"/>
      <c r="N888"/>
      <c r="O888"/>
      <c r="P888"/>
      <c r="Q888"/>
      <c r="R888"/>
      <c r="S888"/>
      <c r="T888"/>
      <c r="U888"/>
      <c r="V888"/>
      <c r="W888"/>
      <c r="X888"/>
      <c r="Y888"/>
    </row>
    <row r="889" spans="1:25" s="104" customFormat="1" hidden="1" x14ac:dyDescent="0.25">
      <c r="A889" s="97" t="str">
        <f t="shared" si="14"/>
        <v>icssm_vdd_dyn_rmii_3p3v</v>
      </c>
      <c r="B889" s="97" t="s">
        <v>643</v>
      </c>
      <c r="C889" s="97" t="s">
        <v>369</v>
      </c>
      <c r="D889" s="97" t="s">
        <v>634</v>
      </c>
      <c r="E889" s="97" t="s">
        <v>1050</v>
      </c>
      <c r="F889" s="105">
        <v>1.666375392E-5</v>
      </c>
      <c r="G889" s="97" t="s">
        <v>629</v>
      </c>
      <c r="H889" s="5"/>
      <c r="I889"/>
      <c r="J889"/>
      <c r="K889"/>
      <c r="L889"/>
      <c r="M889"/>
      <c r="N889"/>
      <c r="O889"/>
      <c r="P889"/>
      <c r="Q889"/>
      <c r="R889"/>
      <c r="S889"/>
      <c r="T889"/>
      <c r="U889"/>
      <c r="V889"/>
      <c r="W889"/>
      <c r="X889"/>
      <c r="Y889"/>
    </row>
    <row r="890" spans="1:25" s="104" customFormat="1" hidden="1" x14ac:dyDescent="0.25">
      <c r="A890" s="97" t="str">
        <f t="shared" si="14"/>
        <v>icssm_vdd_dyn_rmii_rmii_1p8v</v>
      </c>
      <c r="B890" s="97" t="s">
        <v>643</v>
      </c>
      <c r="C890" s="97" t="s">
        <v>369</v>
      </c>
      <c r="D890" s="97" t="s">
        <v>636</v>
      </c>
      <c r="E890" s="97" t="s">
        <v>1050</v>
      </c>
      <c r="F890" s="105">
        <v>3.332750784E-5</v>
      </c>
      <c r="G890" s="97" t="s">
        <v>629</v>
      </c>
      <c r="H890" s="5"/>
      <c r="I890"/>
      <c r="J890"/>
      <c r="K890"/>
      <c r="L890"/>
      <c r="M890"/>
      <c r="N890"/>
      <c r="O890"/>
      <c r="P890"/>
      <c r="Q890"/>
      <c r="R890"/>
      <c r="S890"/>
      <c r="T890"/>
      <c r="U890"/>
      <c r="V890"/>
      <c r="W890"/>
      <c r="X890"/>
      <c r="Y890"/>
    </row>
    <row r="891" spans="1:25" s="104" customFormat="1" hidden="1" x14ac:dyDescent="0.25">
      <c r="A891" s="97" t="str">
        <f t="shared" si="14"/>
        <v>icssm_vdd_dyn_rmii_rmii_3p3v</v>
      </c>
      <c r="B891" s="97" t="s">
        <v>643</v>
      </c>
      <c r="C891" s="97" t="s">
        <v>369</v>
      </c>
      <c r="D891" s="97" t="s">
        <v>631</v>
      </c>
      <c r="E891" s="97" t="s">
        <v>1050</v>
      </c>
      <c r="F891" s="105">
        <v>3.332750784E-5</v>
      </c>
      <c r="G891" s="97" t="s">
        <v>629</v>
      </c>
      <c r="H891" s="5"/>
      <c r="I891"/>
      <c r="J891"/>
      <c r="K891"/>
      <c r="L891"/>
      <c r="M891"/>
      <c r="N891"/>
      <c r="O891"/>
      <c r="P891"/>
      <c r="Q891"/>
      <c r="R891"/>
      <c r="S891"/>
      <c r="T891"/>
      <c r="U891"/>
      <c r="V891"/>
      <c r="W891"/>
      <c r="X891"/>
      <c r="Y891"/>
    </row>
    <row r="892" spans="1:25" s="104" customFormat="1" hidden="1" x14ac:dyDescent="0.25">
      <c r="A892" s="97" t="str">
        <f t="shared" si="14"/>
        <v>spi_vdd_dyn_Master_1.563_Mbaud_1p8v</v>
      </c>
      <c r="B892" s="97" t="s">
        <v>898</v>
      </c>
      <c r="C892" s="97" t="s">
        <v>369</v>
      </c>
      <c r="D892" s="97" t="s">
        <v>881</v>
      </c>
      <c r="E892" s="97" t="s">
        <v>1050</v>
      </c>
      <c r="F892" s="97">
        <v>2.6507968648919998E-7</v>
      </c>
      <c r="G892" s="97" t="s">
        <v>629</v>
      </c>
      <c r="H892" s="5"/>
      <c r="I892"/>
      <c r="J892"/>
      <c r="K892"/>
      <c r="L892"/>
      <c r="M892"/>
      <c r="N892"/>
      <c r="O892"/>
      <c r="P892"/>
      <c r="Q892"/>
      <c r="R892"/>
      <c r="S892"/>
      <c r="T892"/>
      <c r="U892"/>
      <c r="V892"/>
      <c r="W892"/>
      <c r="X892"/>
      <c r="Y892"/>
    </row>
    <row r="893" spans="1:25" s="104" customFormat="1" hidden="1" x14ac:dyDescent="0.25">
      <c r="A893" s="97" t="str">
        <f t="shared" si="14"/>
        <v>spi_vdd_dyn_Master_1.563_Mbaud_3p3v</v>
      </c>
      <c r="B893" s="97" t="s">
        <v>898</v>
      </c>
      <c r="C893" s="97" t="s">
        <v>369</v>
      </c>
      <c r="D893" s="97" t="s">
        <v>892</v>
      </c>
      <c r="E893" s="97" t="s">
        <v>1050</v>
      </c>
      <c r="F893" s="97">
        <v>2.6507968648919998E-7</v>
      </c>
      <c r="G893" s="97" t="s">
        <v>629</v>
      </c>
      <c r="H893" s="5"/>
      <c r="I893"/>
      <c r="J893"/>
      <c r="K893"/>
      <c r="L893"/>
      <c r="M893"/>
      <c r="N893"/>
      <c r="O893"/>
      <c r="P893"/>
      <c r="Q893"/>
      <c r="R893"/>
      <c r="S893"/>
      <c r="T893"/>
      <c r="U893"/>
      <c r="V893"/>
      <c r="W893"/>
      <c r="X893"/>
      <c r="Y893"/>
    </row>
    <row r="894" spans="1:25" s="104" customFormat="1" hidden="1" x14ac:dyDescent="0.25">
      <c r="A894" s="97" t="str">
        <f t="shared" si="14"/>
        <v>spi_vdd_dyn_Master_12.5_Mbaud_1p8v</v>
      </c>
      <c r="B894" s="97" t="s">
        <v>898</v>
      </c>
      <c r="C894" s="97" t="s">
        <v>369</v>
      </c>
      <c r="D894" s="97" t="s">
        <v>877</v>
      </c>
      <c r="E894" s="97" t="s">
        <v>1050</v>
      </c>
      <c r="F894" s="97">
        <v>2.1199591050000002E-6</v>
      </c>
      <c r="G894" s="97" t="s">
        <v>629</v>
      </c>
      <c r="H894" s="5"/>
      <c r="I894"/>
      <c r="J894"/>
      <c r="K894"/>
      <c r="L894"/>
      <c r="M894"/>
      <c r="N894"/>
      <c r="O894"/>
      <c r="P894"/>
      <c r="Q894"/>
      <c r="R894"/>
      <c r="S894"/>
      <c r="T894"/>
      <c r="U894"/>
      <c r="V894"/>
      <c r="W894"/>
      <c r="X894"/>
      <c r="Y894"/>
    </row>
    <row r="895" spans="1:25" s="104" customFormat="1" hidden="1" x14ac:dyDescent="0.25">
      <c r="A895" s="97" t="str">
        <f t="shared" si="14"/>
        <v>spi_vdd_dyn_Master_12.5_Mbaud_3p3v</v>
      </c>
      <c r="B895" s="97" t="s">
        <v>898</v>
      </c>
      <c r="C895" s="97" t="s">
        <v>369</v>
      </c>
      <c r="D895" s="97" t="s">
        <v>888</v>
      </c>
      <c r="E895" s="97" t="s">
        <v>1050</v>
      </c>
      <c r="F895" s="97">
        <v>2.1199591050000002E-6</v>
      </c>
      <c r="G895" s="97" t="s">
        <v>629</v>
      </c>
      <c r="H895" s="5"/>
      <c r="I895"/>
      <c r="J895"/>
      <c r="K895"/>
      <c r="L895"/>
      <c r="M895"/>
      <c r="N895"/>
      <c r="O895"/>
      <c r="P895"/>
      <c r="Q895"/>
      <c r="R895"/>
      <c r="S895"/>
      <c r="T895"/>
      <c r="U895"/>
      <c r="V895"/>
      <c r="W895"/>
      <c r="X895"/>
      <c r="Y895"/>
    </row>
    <row r="896" spans="1:25" s="104" customFormat="1" hidden="1" x14ac:dyDescent="0.25">
      <c r="A896" s="97" t="str">
        <f t="shared" si="14"/>
        <v>spi_vdd_dyn_Master_2.083_Mbaud_1p8v</v>
      </c>
      <c r="B896" s="97" t="s">
        <v>898</v>
      </c>
      <c r="C896" s="97" t="s">
        <v>369</v>
      </c>
      <c r="D896" s="97" t="s">
        <v>880</v>
      </c>
      <c r="E896" s="97" t="s">
        <v>1050</v>
      </c>
      <c r="F896" s="97">
        <v>3.532699852572E-7</v>
      </c>
      <c r="G896" s="97" t="s">
        <v>629</v>
      </c>
      <c r="H896" s="5"/>
      <c r="I896"/>
      <c r="J896"/>
      <c r="K896"/>
      <c r="L896"/>
      <c r="M896"/>
      <c r="N896"/>
      <c r="O896"/>
      <c r="P896"/>
      <c r="Q896"/>
      <c r="R896"/>
      <c r="S896"/>
      <c r="T896"/>
      <c r="U896"/>
      <c r="V896"/>
      <c r="W896"/>
      <c r="X896"/>
      <c r="Y896"/>
    </row>
    <row r="897" spans="1:25" s="104" customFormat="1" hidden="1" x14ac:dyDescent="0.25">
      <c r="A897" s="97" t="str">
        <f t="shared" si="14"/>
        <v>spi_vdd_dyn_Master_2.083_Mbaud_3p3v</v>
      </c>
      <c r="B897" s="97" t="s">
        <v>898</v>
      </c>
      <c r="C897" s="97" t="s">
        <v>369</v>
      </c>
      <c r="D897" s="97" t="s">
        <v>891</v>
      </c>
      <c r="E897" s="97" t="s">
        <v>1050</v>
      </c>
      <c r="F897" s="97">
        <v>3.532699852572E-7</v>
      </c>
      <c r="G897" s="97" t="s">
        <v>629</v>
      </c>
      <c r="H897" s="5"/>
      <c r="I897"/>
      <c r="J897"/>
      <c r="K897"/>
      <c r="L897"/>
      <c r="M897"/>
      <c r="N897"/>
      <c r="O897"/>
      <c r="P897"/>
      <c r="Q897"/>
      <c r="R897"/>
      <c r="S897"/>
      <c r="T897"/>
      <c r="U897"/>
      <c r="V897"/>
      <c r="W897"/>
      <c r="X897"/>
      <c r="Y897"/>
    </row>
    <row r="898" spans="1:25" s="104" customFormat="1" hidden="1" x14ac:dyDescent="0.25">
      <c r="A898" s="97" t="str">
        <f t="shared" si="14"/>
        <v>spi_vdd_dyn_Master_25_Mbaud_1p8v</v>
      </c>
      <c r="B898" s="97" t="s">
        <v>898</v>
      </c>
      <c r="C898" s="97" t="s">
        <v>369</v>
      </c>
      <c r="D898" s="97" t="s">
        <v>876</v>
      </c>
      <c r="E898" s="97" t="s">
        <v>1050</v>
      </c>
      <c r="F898" s="97">
        <v>4.2399182100000005E-6</v>
      </c>
      <c r="G898" s="97" t="s">
        <v>629</v>
      </c>
      <c r="H898" s="5"/>
      <c r="I898"/>
      <c r="J898"/>
      <c r="K898"/>
      <c r="L898"/>
      <c r="M898"/>
      <c r="N898"/>
      <c r="O898"/>
      <c r="P898"/>
      <c r="Q898"/>
      <c r="R898"/>
      <c r="S898"/>
      <c r="T898"/>
      <c r="U898"/>
      <c r="V898"/>
      <c r="W898"/>
      <c r="X898"/>
      <c r="Y898"/>
    </row>
    <row r="899" spans="1:25" s="104" customFormat="1" hidden="1" x14ac:dyDescent="0.25">
      <c r="A899" s="97" t="str">
        <f t="shared" si="14"/>
        <v>spi_vdd_dyn_Master_25_Mbaud_3p3v</v>
      </c>
      <c r="B899" s="97" t="s">
        <v>898</v>
      </c>
      <c r="C899" s="97" t="s">
        <v>369</v>
      </c>
      <c r="D899" s="97" t="s">
        <v>887</v>
      </c>
      <c r="E899" s="97" t="s">
        <v>1050</v>
      </c>
      <c r="F899" s="97">
        <v>4.2399182100000005E-6</v>
      </c>
      <c r="G899" s="97" t="s">
        <v>629</v>
      </c>
      <c r="H899" s="5"/>
      <c r="I899"/>
      <c r="J899"/>
      <c r="K899"/>
      <c r="L899"/>
      <c r="M899"/>
      <c r="N899"/>
      <c r="O899"/>
      <c r="P899"/>
      <c r="Q899"/>
      <c r="R899"/>
      <c r="S899"/>
      <c r="T899"/>
      <c r="U899"/>
      <c r="V899"/>
      <c r="W899"/>
      <c r="X899"/>
      <c r="Y899"/>
    </row>
    <row r="900" spans="1:25" s="104" customFormat="1" hidden="1" x14ac:dyDescent="0.25">
      <c r="A900" s="97" t="str">
        <f t="shared" si="14"/>
        <v>spi_vdd_dyn_Master_3.125_Mbaud_1p8v</v>
      </c>
      <c r="B900" s="97" t="s">
        <v>898</v>
      </c>
      <c r="C900" s="97" t="s">
        <v>369</v>
      </c>
      <c r="D900" s="97" t="s">
        <v>879</v>
      </c>
      <c r="E900" s="97" t="s">
        <v>1050</v>
      </c>
      <c r="F900" s="97">
        <v>5.2998977625000006E-7</v>
      </c>
      <c r="G900" s="97" t="s">
        <v>629</v>
      </c>
      <c r="H900" s="5"/>
      <c r="I900"/>
      <c r="J900"/>
      <c r="K900"/>
      <c r="L900"/>
      <c r="M900"/>
      <c r="N900"/>
      <c r="O900"/>
      <c r="P900"/>
      <c r="Q900"/>
      <c r="R900"/>
      <c r="S900"/>
      <c r="T900"/>
      <c r="U900"/>
      <c r="V900"/>
      <c r="W900"/>
      <c r="X900"/>
      <c r="Y900"/>
    </row>
    <row r="901" spans="1:25" s="104" customFormat="1" hidden="1" x14ac:dyDescent="0.25">
      <c r="A901" s="97" t="str">
        <f t="shared" si="14"/>
        <v>spi_vdd_dyn_Master_3.125_Mbaud_3p3v</v>
      </c>
      <c r="B901" s="97" t="s">
        <v>898</v>
      </c>
      <c r="C901" s="97" t="s">
        <v>369</v>
      </c>
      <c r="D901" s="97" t="s">
        <v>890</v>
      </c>
      <c r="E901" s="97" t="s">
        <v>1050</v>
      </c>
      <c r="F901" s="97">
        <v>5.2998977625000006E-7</v>
      </c>
      <c r="G901" s="97" t="s">
        <v>629</v>
      </c>
      <c r="H901" s="5"/>
      <c r="I901"/>
      <c r="J901"/>
      <c r="K901"/>
      <c r="L901"/>
      <c r="M901"/>
      <c r="N901"/>
      <c r="O901"/>
      <c r="P901"/>
      <c r="Q901"/>
      <c r="R901"/>
      <c r="S901"/>
      <c r="T901"/>
      <c r="U901"/>
      <c r="V901"/>
      <c r="W901"/>
      <c r="X901"/>
      <c r="Y901"/>
    </row>
    <row r="902" spans="1:25" s="104" customFormat="1" hidden="1" x14ac:dyDescent="0.25">
      <c r="A902" s="97" t="str">
        <f t="shared" si="14"/>
        <v>spi_vdd_dyn_Master_6.25_Mbaud_1p8v</v>
      </c>
      <c r="B902" s="97" t="s">
        <v>898</v>
      </c>
      <c r="C902" s="97" t="s">
        <v>369</v>
      </c>
      <c r="D902" s="97" t="s">
        <v>878</v>
      </c>
      <c r="E902" s="97" t="s">
        <v>1050</v>
      </c>
      <c r="F902" s="97">
        <v>1.0599795525000001E-6</v>
      </c>
      <c r="G902" s="97" t="s">
        <v>629</v>
      </c>
      <c r="H902" s="5"/>
      <c r="I902"/>
      <c r="J902"/>
      <c r="K902"/>
      <c r="L902"/>
      <c r="M902"/>
      <c r="N902"/>
      <c r="O902"/>
      <c r="P902"/>
      <c r="Q902"/>
      <c r="R902"/>
      <c r="S902"/>
      <c r="T902"/>
      <c r="U902"/>
      <c r="V902"/>
      <c r="W902"/>
      <c r="X902"/>
      <c r="Y902"/>
    </row>
    <row r="903" spans="1:25" s="104" customFormat="1" hidden="1" x14ac:dyDescent="0.25">
      <c r="A903" s="97" t="str">
        <f t="shared" si="14"/>
        <v>spi_vdd_dyn_Master_6.25_Mbaud_3p3v</v>
      </c>
      <c r="B903" s="97" t="s">
        <v>898</v>
      </c>
      <c r="C903" s="97" t="s">
        <v>369</v>
      </c>
      <c r="D903" s="97" t="s">
        <v>889</v>
      </c>
      <c r="E903" s="97" t="s">
        <v>1050</v>
      </c>
      <c r="F903" s="97">
        <v>1.0599795525000001E-6</v>
      </c>
      <c r="G903" s="97" t="s">
        <v>629</v>
      </c>
      <c r="H903" s="5"/>
      <c r="I903"/>
      <c r="J903"/>
      <c r="K903"/>
      <c r="L903"/>
      <c r="M903"/>
      <c r="N903"/>
      <c r="O903"/>
      <c r="P903"/>
      <c r="Q903"/>
      <c r="R903"/>
      <c r="S903"/>
      <c r="T903"/>
      <c r="U903"/>
      <c r="V903"/>
      <c r="W903"/>
      <c r="X903"/>
      <c r="Y903"/>
    </row>
    <row r="904" spans="1:25" s="104" customFormat="1" hidden="1" x14ac:dyDescent="0.25">
      <c r="A904" s="97" t="str">
        <f t="shared" si="14"/>
        <v>spi_vdd_dyn_off</v>
      </c>
      <c r="B904" s="97" t="s">
        <v>898</v>
      </c>
      <c r="C904" s="97" t="s">
        <v>369</v>
      </c>
      <c r="D904" s="97" t="s">
        <v>69</v>
      </c>
      <c r="E904" s="97" t="s">
        <v>1050</v>
      </c>
      <c r="F904" s="97">
        <v>0</v>
      </c>
      <c r="G904" s="97" t="s">
        <v>629</v>
      </c>
      <c r="H904" s="5"/>
      <c r="I904"/>
      <c r="J904"/>
      <c r="K904"/>
      <c r="L904"/>
      <c r="M904"/>
      <c r="N904"/>
      <c r="O904"/>
      <c r="P904"/>
      <c r="Q904"/>
      <c r="R904"/>
      <c r="S904"/>
      <c r="T904"/>
      <c r="U904"/>
      <c r="V904"/>
      <c r="W904"/>
      <c r="X904"/>
      <c r="Y904"/>
    </row>
    <row r="905" spans="1:25" s="104" customFormat="1" hidden="1" x14ac:dyDescent="0.25">
      <c r="A905" s="97" t="str">
        <f t="shared" si="14"/>
        <v>spi_vdd_dyn_Slave_12.5_Mbaud_1p8v</v>
      </c>
      <c r="B905" s="97" t="s">
        <v>898</v>
      </c>
      <c r="C905" s="97" t="s">
        <v>369</v>
      </c>
      <c r="D905" s="97" t="s">
        <v>883</v>
      </c>
      <c r="E905" s="97" t="s">
        <v>1050</v>
      </c>
      <c r="F905" s="97">
        <v>1.9468984524000001E-6</v>
      </c>
      <c r="G905" s="97" t="s">
        <v>629</v>
      </c>
      <c r="H905" s="5"/>
      <c r="I905"/>
      <c r="J905"/>
      <c r="K905"/>
      <c r="L905"/>
      <c r="M905"/>
      <c r="N905"/>
      <c r="O905"/>
      <c r="P905"/>
      <c r="Q905"/>
      <c r="R905"/>
      <c r="S905"/>
      <c r="T905"/>
      <c r="U905"/>
      <c r="V905"/>
      <c r="W905"/>
      <c r="X905"/>
      <c r="Y905"/>
    </row>
    <row r="906" spans="1:25" s="104" customFormat="1" hidden="1" x14ac:dyDescent="0.25">
      <c r="A906" s="97" t="str">
        <f t="shared" si="14"/>
        <v>spi_vdd_dyn_Slave_12.5_Mbaud_3p3v</v>
      </c>
      <c r="B906" s="97" t="s">
        <v>898</v>
      </c>
      <c r="C906" s="97" t="s">
        <v>369</v>
      </c>
      <c r="D906" s="97" t="s">
        <v>894</v>
      </c>
      <c r="E906" s="97" t="s">
        <v>1050</v>
      </c>
      <c r="F906" s="97">
        <v>1.9468984524000001E-6</v>
      </c>
      <c r="G906" s="97" t="s">
        <v>629</v>
      </c>
      <c r="H906" s="5"/>
      <c r="I906"/>
      <c r="J906"/>
      <c r="K906"/>
      <c r="L906"/>
      <c r="M906"/>
      <c r="N906"/>
      <c r="O906"/>
      <c r="P906"/>
      <c r="Q906"/>
      <c r="R906"/>
      <c r="S906"/>
      <c r="T906"/>
      <c r="U906"/>
      <c r="V906"/>
      <c r="W906"/>
      <c r="X906"/>
      <c r="Y906"/>
    </row>
    <row r="907" spans="1:25" s="104" customFormat="1" hidden="1" x14ac:dyDescent="0.25">
      <c r="A907" s="97" t="str">
        <f t="shared" si="14"/>
        <v>spi_vdd_dyn_Slave_2.083_Mbaud_1p8v</v>
      </c>
      <c r="B907" s="97" t="s">
        <v>898</v>
      </c>
      <c r="C907" s="97" t="s">
        <v>369</v>
      </c>
      <c r="D907" s="97" t="s">
        <v>886</v>
      </c>
      <c r="E907" s="97" t="s">
        <v>1050</v>
      </c>
      <c r="F907" s="97">
        <v>3.24431158107936E-7</v>
      </c>
      <c r="G907" s="97" t="s">
        <v>629</v>
      </c>
      <c r="H907" s="5"/>
      <c r="I907"/>
      <c r="J907"/>
      <c r="K907"/>
      <c r="L907"/>
      <c r="M907"/>
      <c r="N907"/>
      <c r="O907"/>
      <c r="P907"/>
      <c r="Q907"/>
      <c r="R907"/>
      <c r="S907"/>
      <c r="T907"/>
      <c r="U907"/>
      <c r="V907"/>
      <c r="W907"/>
      <c r="X907"/>
      <c r="Y907"/>
    </row>
    <row r="908" spans="1:25" s="104" customFormat="1" hidden="1" x14ac:dyDescent="0.25">
      <c r="A908" s="97" t="str">
        <f t="shared" si="14"/>
        <v>spi_vdd_dyn_Slave_2.083_Mbaud_1p8v</v>
      </c>
      <c r="B908" s="97" t="s">
        <v>898</v>
      </c>
      <c r="C908" s="97" t="s">
        <v>369</v>
      </c>
      <c r="D908" s="97" t="s">
        <v>886</v>
      </c>
      <c r="E908" s="97" t="s">
        <v>1050</v>
      </c>
      <c r="F908" s="97">
        <v>2.43440182488096E-7</v>
      </c>
      <c r="G908" s="97" t="s">
        <v>629</v>
      </c>
      <c r="H908" s="5"/>
      <c r="I908"/>
      <c r="J908"/>
      <c r="K908"/>
      <c r="L908"/>
      <c r="M908"/>
      <c r="N908"/>
      <c r="O908"/>
      <c r="P908"/>
      <c r="Q908"/>
      <c r="R908"/>
      <c r="S908"/>
      <c r="T908"/>
      <c r="U908"/>
      <c r="V908"/>
      <c r="W908"/>
      <c r="X908"/>
      <c r="Y908"/>
    </row>
    <row r="909" spans="1:25" s="104" customFormat="1" hidden="1" x14ac:dyDescent="0.25">
      <c r="A909" s="97" t="str">
        <f t="shared" si="14"/>
        <v>spi_vdd_dyn_Slave_2.083_Mbaud_3p3v</v>
      </c>
      <c r="B909" s="97" t="s">
        <v>898</v>
      </c>
      <c r="C909" s="97" t="s">
        <v>369</v>
      </c>
      <c r="D909" s="97" t="s">
        <v>897</v>
      </c>
      <c r="E909" s="97" t="s">
        <v>1050</v>
      </c>
      <c r="F909" s="97">
        <v>3.24431158107936E-7</v>
      </c>
      <c r="G909" s="97" t="s">
        <v>629</v>
      </c>
      <c r="H909" s="5"/>
      <c r="I909"/>
      <c r="J909"/>
      <c r="K909"/>
      <c r="L909"/>
      <c r="M909"/>
      <c r="N909"/>
      <c r="O909"/>
      <c r="P909"/>
      <c r="Q909"/>
      <c r="R909"/>
      <c r="S909"/>
      <c r="T909"/>
      <c r="U909"/>
      <c r="V909"/>
      <c r="W909"/>
      <c r="X909"/>
      <c r="Y909"/>
    </row>
    <row r="910" spans="1:25" s="104" customFormat="1" hidden="1" x14ac:dyDescent="0.25">
      <c r="A910" s="97" t="str">
        <f t="shared" si="14"/>
        <v>spi_vdd_dyn_Slave_2.083_Mbaud_3p3v</v>
      </c>
      <c r="B910" s="97" t="s">
        <v>898</v>
      </c>
      <c r="C910" s="97" t="s">
        <v>369</v>
      </c>
      <c r="D910" s="97" t="s">
        <v>897</v>
      </c>
      <c r="E910" s="97" t="s">
        <v>1050</v>
      </c>
      <c r="F910" s="97">
        <v>2.43440182488096E-7</v>
      </c>
      <c r="G910" s="97" t="s">
        <v>629</v>
      </c>
      <c r="H910" s="5"/>
      <c r="I910"/>
      <c r="J910"/>
      <c r="K910"/>
      <c r="L910"/>
      <c r="M910"/>
      <c r="N910"/>
      <c r="O910"/>
      <c r="P910"/>
      <c r="Q910"/>
      <c r="R910"/>
      <c r="S910"/>
      <c r="T910"/>
      <c r="U910"/>
      <c r="V910"/>
      <c r="W910"/>
      <c r="X910"/>
      <c r="Y910"/>
    </row>
    <row r="911" spans="1:25" s="104" customFormat="1" hidden="1" x14ac:dyDescent="0.25">
      <c r="A911" s="97" t="str">
        <f t="shared" si="14"/>
        <v>spi_vdd_dyn_Slave_25_Mbaud_1p8v</v>
      </c>
      <c r="B911" s="97" t="s">
        <v>898</v>
      </c>
      <c r="C911" s="97" t="s">
        <v>369</v>
      </c>
      <c r="D911" s="97" t="s">
        <v>882</v>
      </c>
      <c r="E911" s="97" t="s">
        <v>1050</v>
      </c>
      <c r="F911" s="97">
        <v>3.8937969048000003E-6</v>
      </c>
      <c r="G911" s="97" t="s">
        <v>629</v>
      </c>
      <c r="H911" s="5"/>
      <c r="I911"/>
      <c r="J911"/>
      <c r="K911"/>
      <c r="L911"/>
      <c r="M911"/>
      <c r="N911"/>
      <c r="O911"/>
      <c r="P911"/>
      <c r="Q911"/>
      <c r="R911"/>
      <c r="S911"/>
      <c r="T911"/>
      <c r="U911"/>
      <c r="V911"/>
      <c r="W911"/>
      <c r="X911"/>
      <c r="Y911"/>
    </row>
    <row r="912" spans="1:25" s="104" customFormat="1" hidden="1" x14ac:dyDescent="0.25">
      <c r="A912" s="97" t="str">
        <f t="shared" si="14"/>
        <v>spi_vdd_dyn_Slave_25_Mbaud_3p3v</v>
      </c>
      <c r="B912" s="97" t="s">
        <v>898</v>
      </c>
      <c r="C912" s="97" t="s">
        <v>369</v>
      </c>
      <c r="D912" s="97" t="s">
        <v>893</v>
      </c>
      <c r="E912" s="97" t="s">
        <v>1050</v>
      </c>
      <c r="F912" s="97">
        <v>3.8937969048000003E-6</v>
      </c>
      <c r="G912" s="97" t="s">
        <v>629</v>
      </c>
      <c r="H912" s="5"/>
      <c r="I912"/>
      <c r="J912"/>
      <c r="K912"/>
      <c r="L912"/>
      <c r="M912"/>
      <c r="N912"/>
      <c r="O912"/>
      <c r="P912"/>
      <c r="Q912"/>
      <c r="R912"/>
      <c r="S912"/>
      <c r="T912"/>
      <c r="U912"/>
      <c r="V912"/>
      <c r="W912"/>
      <c r="X912"/>
      <c r="Y912"/>
    </row>
    <row r="913" spans="1:25" s="104" customFormat="1" hidden="1" x14ac:dyDescent="0.25">
      <c r="A913" s="97" t="str">
        <f t="shared" si="14"/>
        <v>spi_vdd_dyn_Slave_3.125_Mbaud_1p8v</v>
      </c>
      <c r="B913" s="97" t="s">
        <v>898</v>
      </c>
      <c r="C913" s="97" t="s">
        <v>369</v>
      </c>
      <c r="D913" s="97" t="s">
        <v>885</v>
      </c>
      <c r="E913" s="97" t="s">
        <v>1050</v>
      </c>
      <c r="F913" s="97">
        <v>4.8672461310000003E-7</v>
      </c>
      <c r="G913" s="97" t="s">
        <v>629</v>
      </c>
      <c r="H913" s="5"/>
      <c r="I913"/>
      <c r="J913"/>
      <c r="K913"/>
      <c r="L913"/>
      <c r="M913"/>
      <c r="N913"/>
      <c r="O913"/>
      <c r="P913"/>
      <c r="Q913"/>
      <c r="R913"/>
      <c r="S913"/>
      <c r="T913"/>
      <c r="U913"/>
      <c r="V913"/>
      <c r="W913"/>
      <c r="X913"/>
      <c r="Y913"/>
    </row>
    <row r="914" spans="1:25" s="104" customFormat="1" hidden="1" x14ac:dyDescent="0.25">
      <c r="A914" s="97" t="str">
        <f t="shared" si="14"/>
        <v>spi_vdd_dyn_Slave_3.125_Mbaud_3p3v</v>
      </c>
      <c r="B914" s="97" t="s">
        <v>898</v>
      </c>
      <c r="C914" s="97" t="s">
        <v>369</v>
      </c>
      <c r="D914" s="97" t="s">
        <v>896</v>
      </c>
      <c r="E914" s="97" t="s">
        <v>1050</v>
      </c>
      <c r="F914" s="97">
        <v>4.8672461310000003E-7</v>
      </c>
      <c r="G914" s="97" t="s">
        <v>629</v>
      </c>
      <c r="H914" s="5"/>
      <c r="I914"/>
      <c r="J914"/>
      <c r="K914"/>
      <c r="L914"/>
      <c r="M914"/>
      <c r="N914"/>
      <c r="O914"/>
      <c r="P914"/>
      <c r="Q914"/>
      <c r="R914"/>
      <c r="S914"/>
      <c r="T914"/>
      <c r="U914"/>
      <c r="V914"/>
      <c r="W914"/>
      <c r="X914"/>
      <c r="Y914"/>
    </row>
    <row r="915" spans="1:25" s="104" customFormat="1" hidden="1" x14ac:dyDescent="0.25">
      <c r="A915" s="97" t="str">
        <f t="shared" si="14"/>
        <v>spi_vdd_dyn_Slave_6.25_Mbaud_1p8v</v>
      </c>
      <c r="B915" s="97" t="s">
        <v>898</v>
      </c>
      <c r="C915" s="97" t="s">
        <v>369</v>
      </c>
      <c r="D915" s="97" t="s">
        <v>884</v>
      </c>
      <c r="E915" s="97" t="s">
        <v>1050</v>
      </c>
      <c r="F915" s="97">
        <v>9.7344922620000007E-7</v>
      </c>
      <c r="G915" s="97" t="s">
        <v>629</v>
      </c>
      <c r="H915" s="5"/>
      <c r="I915"/>
      <c r="J915"/>
      <c r="K915"/>
      <c r="L915"/>
      <c r="M915"/>
      <c r="N915"/>
      <c r="O915"/>
      <c r="P915"/>
      <c r="Q915"/>
      <c r="R915"/>
      <c r="S915"/>
      <c r="T915"/>
      <c r="U915"/>
      <c r="V915"/>
      <c r="W915"/>
      <c r="X915"/>
      <c r="Y915"/>
    </row>
    <row r="916" spans="1:25" s="104" customFormat="1" hidden="1" x14ac:dyDescent="0.25">
      <c r="A916" s="97" t="str">
        <f t="shared" si="14"/>
        <v>spi_vdd_dyn_Slave_6.25_Mbaud_3p3v</v>
      </c>
      <c r="B916" s="97" t="s">
        <v>898</v>
      </c>
      <c r="C916" s="97" t="s">
        <v>369</v>
      </c>
      <c r="D916" s="97" t="s">
        <v>895</v>
      </c>
      <c r="E916" s="97" t="s">
        <v>1050</v>
      </c>
      <c r="F916" s="97">
        <v>9.7344922620000007E-7</v>
      </c>
      <c r="G916" s="97" t="s">
        <v>629</v>
      </c>
      <c r="H916" s="5"/>
      <c r="I916"/>
      <c r="J916"/>
      <c r="K916"/>
      <c r="L916"/>
      <c r="M916"/>
      <c r="N916"/>
      <c r="O916"/>
      <c r="P916"/>
      <c r="Q916"/>
      <c r="R916"/>
      <c r="S916"/>
      <c r="T916"/>
      <c r="U916"/>
      <c r="V916"/>
      <c r="W916"/>
      <c r="X916"/>
      <c r="Y916"/>
    </row>
    <row r="917" spans="1:25" s="104" customFormat="1" hidden="1" x14ac:dyDescent="0.25">
      <c r="A917" s="97" t="str">
        <f t="shared" si="14"/>
        <v>gpio_vdd_dyn_1mbs_1p8v_20pf</v>
      </c>
      <c r="B917" s="97" t="s">
        <v>969</v>
      </c>
      <c r="C917" s="97" t="s">
        <v>369</v>
      </c>
      <c r="D917" s="97" t="s">
        <v>972</v>
      </c>
      <c r="E917" s="97" t="s">
        <v>1050</v>
      </c>
      <c r="F917" s="97">
        <v>1.15368E-7</v>
      </c>
      <c r="G917" s="97"/>
      <c r="H917" s="5"/>
      <c r="I917"/>
      <c r="J917"/>
      <c r="K917"/>
      <c r="L917"/>
      <c r="M917"/>
      <c r="N917"/>
      <c r="O917"/>
      <c r="P917"/>
      <c r="Q917"/>
      <c r="R917"/>
      <c r="S917"/>
      <c r="T917"/>
      <c r="U917"/>
      <c r="V917"/>
      <c r="W917"/>
      <c r="X917"/>
      <c r="Y917"/>
    </row>
    <row r="918" spans="1:25" s="104" customFormat="1" hidden="1" x14ac:dyDescent="0.25">
      <c r="A918" s="97" t="str">
        <f t="shared" si="14"/>
        <v>gpio_vdd_dyn_1mbs_3p3v_20pf</v>
      </c>
      <c r="B918" s="97" t="s">
        <v>969</v>
      </c>
      <c r="C918" s="97" t="s">
        <v>369</v>
      </c>
      <c r="D918" s="97" t="s">
        <v>971</v>
      </c>
      <c r="E918" s="97" t="s">
        <v>1050</v>
      </c>
      <c r="F918" s="97">
        <v>1.15368E-7</v>
      </c>
      <c r="G918" s="97"/>
      <c r="H918" s="5"/>
      <c r="I918"/>
      <c r="J918"/>
      <c r="K918"/>
      <c r="L918"/>
      <c r="M918"/>
      <c r="N918"/>
      <c r="O918"/>
      <c r="P918"/>
      <c r="Q918"/>
      <c r="R918"/>
      <c r="S918"/>
      <c r="T918"/>
      <c r="U918"/>
      <c r="V918"/>
      <c r="W918"/>
      <c r="X918"/>
      <c r="Y918"/>
    </row>
    <row r="919" spans="1:25" s="104" customFormat="1" hidden="1" x14ac:dyDescent="0.25">
      <c r="A919" s="97" t="str">
        <f t="shared" si="14"/>
        <v>PRWDWUWSWEWCDGSDIO_vdd_dyn_ddr_100mbs</v>
      </c>
      <c r="B919" s="97" t="s">
        <v>396</v>
      </c>
      <c r="C919" s="97" t="s">
        <v>369</v>
      </c>
      <c r="D919" s="97" t="s">
        <v>1014</v>
      </c>
      <c r="E919" s="97" t="s">
        <v>1051</v>
      </c>
      <c r="F919" s="97">
        <v>8.4114808799999991E-6</v>
      </c>
      <c r="G919" s="97" t="s">
        <v>1167</v>
      </c>
      <c r="H919" s="5"/>
      <c r="I919"/>
      <c r="J919"/>
      <c r="K919"/>
      <c r="L919"/>
      <c r="M919"/>
      <c r="N919"/>
      <c r="O919"/>
      <c r="P919"/>
      <c r="Q919"/>
      <c r="R919"/>
      <c r="S919"/>
      <c r="T919"/>
      <c r="U919"/>
      <c r="V919"/>
      <c r="W919"/>
      <c r="X919"/>
      <c r="Y919"/>
    </row>
    <row r="920" spans="1:25" s="104" customFormat="1" hidden="1" x14ac:dyDescent="0.25">
      <c r="A920" s="97" t="str">
        <f t="shared" si="14"/>
        <v>PRWDWUWSWEWCDGSDIO_vdd_dyn_ddr_200mbs</v>
      </c>
      <c r="B920" s="97" t="s">
        <v>396</v>
      </c>
      <c r="C920" s="97" t="s">
        <v>369</v>
      </c>
      <c r="D920" s="97" t="s">
        <v>1015</v>
      </c>
      <c r="E920" s="97" t="s">
        <v>1051</v>
      </c>
      <c r="F920" s="97">
        <v>1.6822961759999998E-5</v>
      </c>
      <c r="G920" s="97" t="s">
        <v>1167</v>
      </c>
      <c r="H920" s="5"/>
      <c r="I920"/>
      <c r="J920"/>
      <c r="K920"/>
      <c r="L920"/>
      <c r="M920"/>
      <c r="N920"/>
      <c r="O920"/>
      <c r="P920"/>
      <c r="Q920"/>
      <c r="R920"/>
      <c r="S920"/>
      <c r="T920"/>
      <c r="U920"/>
      <c r="V920"/>
      <c r="W920"/>
      <c r="X920"/>
      <c r="Y920"/>
    </row>
    <row r="921" spans="1:25" s="104" customFormat="1" hidden="1" x14ac:dyDescent="0.25">
      <c r="A921" s="97" t="str">
        <f t="shared" si="14"/>
        <v>PRWDWUWSWEWCDGSDIO_vdd_dyn_off</v>
      </c>
      <c r="B921" s="97" t="s">
        <v>396</v>
      </c>
      <c r="C921" s="97" t="s">
        <v>369</v>
      </c>
      <c r="D921" s="97" t="s">
        <v>69</v>
      </c>
      <c r="E921" s="97" t="s">
        <v>1051</v>
      </c>
      <c r="F921" s="97">
        <v>0</v>
      </c>
      <c r="G921" s="97" t="s">
        <v>1167</v>
      </c>
      <c r="H921" s="5"/>
      <c r="I921"/>
      <c r="J921"/>
      <c r="K921"/>
      <c r="L921"/>
      <c r="M921"/>
      <c r="N921"/>
      <c r="O921"/>
      <c r="P921"/>
      <c r="Q921"/>
      <c r="R921"/>
      <c r="S921"/>
      <c r="T921"/>
      <c r="U921"/>
      <c r="V921"/>
      <c r="W921"/>
      <c r="X921"/>
      <c r="Y921"/>
    </row>
    <row r="922" spans="1:25" s="104" customFormat="1" hidden="1" x14ac:dyDescent="0.25">
      <c r="A922" s="97" t="str">
        <f t="shared" si="14"/>
        <v>PRWDWUWSWEWCDGSDIO_vdd_dyn_sdr_100mbs</v>
      </c>
      <c r="B922" s="97" t="s">
        <v>396</v>
      </c>
      <c r="C922" s="97" t="s">
        <v>369</v>
      </c>
      <c r="D922" s="97" t="s">
        <v>1016</v>
      </c>
      <c r="E922" s="97" t="s">
        <v>1051</v>
      </c>
      <c r="F922" s="97">
        <v>1.1297122979999997E-5</v>
      </c>
      <c r="G922" s="97" t="s">
        <v>1167</v>
      </c>
      <c r="H922" s="5"/>
      <c r="I922"/>
      <c r="J922"/>
      <c r="K922"/>
      <c r="L922"/>
      <c r="M922"/>
      <c r="N922"/>
      <c r="O922"/>
      <c r="P922"/>
      <c r="Q922"/>
      <c r="R922"/>
      <c r="S922"/>
      <c r="T922"/>
      <c r="U922"/>
      <c r="V922"/>
      <c r="W922"/>
      <c r="X922"/>
      <c r="Y922"/>
    </row>
    <row r="923" spans="1:25" s="104" customFormat="1" hidden="1" x14ac:dyDescent="0.25">
      <c r="A923" s="97" t="str">
        <f t="shared" si="14"/>
        <v>PRWDWUWSWEWCDGSDIO_vdd_dyn_sdr_25mbs</v>
      </c>
      <c r="B923" s="97" t="s">
        <v>396</v>
      </c>
      <c r="C923" s="97" t="s">
        <v>369</v>
      </c>
      <c r="D923" s="97" t="s">
        <v>1017</v>
      </c>
      <c r="E923" s="97" t="s">
        <v>1051</v>
      </c>
      <c r="F923" s="97">
        <v>2.8242807449999993E-6</v>
      </c>
      <c r="G923" s="97" t="s">
        <v>1167</v>
      </c>
      <c r="H923" s="5"/>
      <c r="I923"/>
      <c r="J923"/>
      <c r="K923"/>
      <c r="L923"/>
      <c r="M923"/>
      <c r="N923"/>
      <c r="O923"/>
      <c r="P923"/>
      <c r="Q923"/>
      <c r="R923"/>
      <c r="S923"/>
      <c r="T923"/>
      <c r="U923"/>
      <c r="V923"/>
      <c r="W923"/>
      <c r="X923"/>
      <c r="Y923"/>
    </row>
    <row r="924" spans="1:25" s="104" customFormat="1" hidden="1" x14ac:dyDescent="0.25">
      <c r="A924" s="97" t="str">
        <f t="shared" si="14"/>
        <v>PRWDWUWSWEWCDGSDIO_vdd_dyn_sdr_50mbs</v>
      </c>
      <c r="B924" s="97" t="s">
        <v>396</v>
      </c>
      <c r="C924" s="97" t="s">
        <v>369</v>
      </c>
      <c r="D924" s="97" t="s">
        <v>1018</v>
      </c>
      <c r="E924" s="97" t="s">
        <v>1051</v>
      </c>
      <c r="F924" s="97">
        <v>5.6485614899999986E-6</v>
      </c>
      <c r="G924" s="97" t="s">
        <v>1167</v>
      </c>
      <c r="H924" s="5"/>
      <c r="I924"/>
      <c r="J924"/>
      <c r="K924"/>
      <c r="L924"/>
      <c r="M924"/>
      <c r="N924"/>
      <c r="O924"/>
      <c r="P924"/>
      <c r="Q924"/>
      <c r="R924"/>
      <c r="S924"/>
      <c r="T924"/>
      <c r="U924"/>
      <c r="V924"/>
      <c r="W924"/>
      <c r="X924"/>
      <c r="Y924"/>
    </row>
    <row r="925" spans="1:25" s="104" customFormat="1" x14ac:dyDescent="0.25">
      <c r="A925" s="97" t="str">
        <f t="shared" si="14"/>
        <v>ddr16_1600_ios_vdd_dyn_ddr4_1067_16_idle</v>
      </c>
      <c r="B925" s="97" t="s">
        <v>620</v>
      </c>
      <c r="C925" s="98" t="s">
        <v>369</v>
      </c>
      <c r="D925" s="97" t="s">
        <v>527</v>
      </c>
      <c r="E925" s="97" t="s">
        <v>1166</v>
      </c>
      <c r="F925" s="97">
        <v>0.8539999999999992</v>
      </c>
      <c r="G925" s="97" t="s">
        <v>572</v>
      </c>
      <c r="H925" s="5"/>
      <c r="I925"/>
      <c r="J925"/>
      <c r="K925"/>
      <c r="L925"/>
      <c r="M925"/>
      <c r="N925"/>
      <c r="O925"/>
      <c r="P925"/>
      <c r="Q925"/>
      <c r="R925"/>
      <c r="S925"/>
      <c r="T925"/>
      <c r="U925"/>
      <c r="V925"/>
      <c r="W925"/>
      <c r="X925"/>
      <c r="Y925"/>
    </row>
    <row r="926" spans="1:25" s="104" customFormat="1" x14ac:dyDescent="0.25">
      <c r="A926" s="97" t="str">
        <f t="shared" si="14"/>
        <v>ddr16_1600_ios_vdd_dyn_ddr4_1067_16_read</v>
      </c>
      <c r="B926" s="97" t="s">
        <v>620</v>
      </c>
      <c r="C926" s="98" t="s">
        <v>369</v>
      </c>
      <c r="D926" s="97" t="s">
        <v>540</v>
      </c>
      <c r="E926" s="97" t="s">
        <v>1166</v>
      </c>
      <c r="F926" s="97">
        <v>20.7137125</v>
      </c>
      <c r="G926" s="97" t="s">
        <v>572</v>
      </c>
      <c r="H926" s="5"/>
      <c r="I926"/>
      <c r="J926"/>
      <c r="K926"/>
      <c r="L926"/>
      <c r="M926"/>
      <c r="N926"/>
      <c r="O926"/>
      <c r="P926"/>
      <c r="Q926"/>
      <c r="R926"/>
      <c r="S926"/>
      <c r="T926"/>
      <c r="U926"/>
      <c r="V926"/>
      <c r="W926"/>
      <c r="X926"/>
      <c r="Y926"/>
    </row>
    <row r="927" spans="1:25" s="104" customFormat="1" x14ac:dyDescent="0.25">
      <c r="A927" s="97" t="str">
        <f t="shared" si="14"/>
        <v>ddr16_1600_ios_vdd_dyn_ddr4_1067_16_write</v>
      </c>
      <c r="B927" s="97" t="s">
        <v>620</v>
      </c>
      <c r="C927" s="98" t="s">
        <v>369</v>
      </c>
      <c r="D927" s="97" t="s">
        <v>553</v>
      </c>
      <c r="E927" s="97" t="s">
        <v>1166</v>
      </c>
      <c r="F927" s="97">
        <v>33.386653624999994</v>
      </c>
      <c r="G927" s="97" t="s">
        <v>572</v>
      </c>
      <c r="H927" s="5"/>
      <c r="I927"/>
      <c r="J927"/>
      <c r="K927"/>
      <c r="L927"/>
      <c r="M927"/>
      <c r="N927"/>
      <c r="O927"/>
      <c r="P927"/>
      <c r="Q927"/>
      <c r="R927"/>
      <c r="S927"/>
      <c r="T927"/>
      <c r="U927"/>
      <c r="V927"/>
      <c r="W927"/>
      <c r="X927"/>
      <c r="Y927"/>
    </row>
    <row r="928" spans="1:25" s="104" customFormat="1" x14ac:dyDescent="0.25">
      <c r="A928" s="97" t="str">
        <f t="shared" si="14"/>
        <v>ddr16_1600_ios_vdd_dyn_ddr4_1333_16_idle</v>
      </c>
      <c r="B928" s="97" t="s">
        <v>620</v>
      </c>
      <c r="C928" s="98" t="s">
        <v>369</v>
      </c>
      <c r="D928" s="97" t="s">
        <v>526</v>
      </c>
      <c r="E928" s="97" t="s">
        <v>1166</v>
      </c>
      <c r="F928" s="97">
        <v>0.8539999999999992</v>
      </c>
      <c r="G928" s="97" t="s">
        <v>572</v>
      </c>
      <c r="H928" s="5"/>
      <c r="I928"/>
      <c r="J928"/>
      <c r="K928"/>
      <c r="L928"/>
      <c r="M928"/>
      <c r="N928"/>
      <c r="O928"/>
      <c r="P928"/>
      <c r="Q928"/>
      <c r="R928"/>
      <c r="S928"/>
      <c r="T928"/>
      <c r="U928"/>
      <c r="V928"/>
      <c r="W928"/>
      <c r="X928"/>
      <c r="Y928"/>
    </row>
    <row r="929" spans="1:25" s="104" customFormat="1" x14ac:dyDescent="0.25">
      <c r="A929" s="97" t="str">
        <f t="shared" si="14"/>
        <v>ddr16_1600_ios_vdd_dyn_ddr4_1333_16_read</v>
      </c>
      <c r="B929" s="97" t="s">
        <v>620</v>
      </c>
      <c r="C929" s="98" t="s">
        <v>369</v>
      </c>
      <c r="D929" s="97" t="s">
        <v>539</v>
      </c>
      <c r="E929" s="97" t="s">
        <v>1166</v>
      </c>
      <c r="F929" s="97">
        <v>25.901856249999994</v>
      </c>
      <c r="G929" s="97" t="s">
        <v>572</v>
      </c>
      <c r="H929" s="5"/>
      <c r="I929"/>
      <c r="J929"/>
      <c r="K929"/>
      <c r="L929"/>
      <c r="M929"/>
      <c r="N929"/>
      <c r="O929"/>
      <c r="P929"/>
      <c r="Q929"/>
      <c r="R929"/>
      <c r="S929"/>
      <c r="T929"/>
      <c r="U929"/>
      <c r="V929"/>
      <c r="W929"/>
      <c r="X929"/>
      <c r="Y929"/>
    </row>
    <row r="930" spans="1:25" s="104" customFormat="1" x14ac:dyDescent="0.25">
      <c r="A930" s="97" t="str">
        <f t="shared" si="14"/>
        <v>ddr16_1600_ios_vdd_dyn_ddr4_1333_16_write</v>
      </c>
      <c r="B930" s="97" t="s">
        <v>620</v>
      </c>
      <c r="C930" s="98" t="s">
        <v>369</v>
      </c>
      <c r="D930" s="97" t="s">
        <v>552</v>
      </c>
      <c r="E930" s="97" t="s">
        <v>1166</v>
      </c>
      <c r="F930" s="97">
        <v>41.748976812500004</v>
      </c>
      <c r="G930" s="97" t="s">
        <v>572</v>
      </c>
      <c r="H930" s="5"/>
      <c r="I930"/>
      <c r="J930"/>
      <c r="K930"/>
      <c r="L930"/>
      <c r="M930"/>
      <c r="N930"/>
      <c r="O930"/>
      <c r="P930"/>
      <c r="Q930"/>
      <c r="R930"/>
      <c r="S930"/>
      <c r="T930"/>
      <c r="U930"/>
      <c r="V930"/>
      <c r="W930"/>
      <c r="X930"/>
      <c r="Y930"/>
    </row>
    <row r="931" spans="1:25" s="104" customFormat="1" x14ac:dyDescent="0.25">
      <c r="A931" s="97" t="str">
        <f t="shared" si="14"/>
        <v>ddr16_1600_ios_vdd_dyn_ddr4_1600_16_idle</v>
      </c>
      <c r="B931" s="97" t="s">
        <v>620</v>
      </c>
      <c r="C931" s="98" t="s">
        <v>369</v>
      </c>
      <c r="D931" s="97" t="s">
        <v>525</v>
      </c>
      <c r="E931" s="97" t="s">
        <v>1166</v>
      </c>
      <c r="F931" s="97">
        <v>0.8539999999999992</v>
      </c>
      <c r="G931" s="97" t="s">
        <v>572</v>
      </c>
      <c r="H931" s="5"/>
      <c r="I931"/>
      <c r="J931"/>
      <c r="K931"/>
      <c r="L931"/>
      <c r="M931"/>
      <c r="N931"/>
      <c r="O931"/>
      <c r="P931"/>
      <c r="Q931"/>
      <c r="R931"/>
      <c r="S931"/>
      <c r="T931"/>
      <c r="U931"/>
      <c r="V931"/>
      <c r="W931"/>
      <c r="X931"/>
      <c r="Y931"/>
    </row>
    <row r="932" spans="1:25" s="104" customFormat="1" x14ac:dyDescent="0.25">
      <c r="A932" s="97" t="str">
        <f t="shared" si="14"/>
        <v>ddr16_1600_ios_vdd_dyn_ddr4_1600_16_read</v>
      </c>
      <c r="B932" s="97" t="s">
        <v>620</v>
      </c>
      <c r="C932" s="98" t="s">
        <v>369</v>
      </c>
      <c r="D932" s="97" t="s">
        <v>538</v>
      </c>
      <c r="E932" s="97" t="s">
        <v>1166</v>
      </c>
      <c r="F932" s="97">
        <v>31.089999999999989</v>
      </c>
      <c r="G932" s="97" t="s">
        <v>572</v>
      </c>
      <c r="H932" s="5"/>
      <c r="I932"/>
      <c r="J932"/>
      <c r="K932"/>
      <c r="L932"/>
      <c r="M932"/>
      <c r="N932"/>
      <c r="O932"/>
      <c r="P932"/>
      <c r="Q932"/>
      <c r="R932"/>
      <c r="S932"/>
      <c r="T932"/>
      <c r="U932"/>
      <c r="V932"/>
      <c r="W932"/>
      <c r="X932"/>
      <c r="Y932"/>
    </row>
    <row r="933" spans="1:25" s="104" customFormat="1" x14ac:dyDescent="0.25">
      <c r="A933" s="97" t="str">
        <f t="shared" si="14"/>
        <v>ddr16_1600_ios_vdd_dyn_ddr4_1600_16_write</v>
      </c>
      <c r="B933" s="97" t="s">
        <v>620</v>
      </c>
      <c r="C933" s="98" t="s">
        <v>369</v>
      </c>
      <c r="D933" s="97" t="s">
        <v>551</v>
      </c>
      <c r="E933" s="97" t="s">
        <v>1166</v>
      </c>
      <c r="F933" s="97">
        <v>50.1113</v>
      </c>
      <c r="G933" s="97" t="s">
        <v>572</v>
      </c>
      <c r="H933" s="5"/>
      <c r="I933"/>
      <c r="J933"/>
      <c r="K933"/>
      <c r="L933"/>
      <c r="M933"/>
      <c r="N933"/>
      <c r="O933"/>
      <c r="P933"/>
      <c r="Q933"/>
      <c r="R933"/>
      <c r="S933"/>
      <c r="T933"/>
      <c r="U933"/>
      <c r="V933"/>
      <c r="W933"/>
      <c r="X933"/>
      <c r="Y933"/>
    </row>
    <row r="934" spans="1:25" s="104" customFormat="1" x14ac:dyDescent="0.25">
      <c r="A934" s="97" t="str">
        <f t="shared" si="14"/>
        <v>ddr16_1600_ios_vdd_dyn_ddr4_533_16_idle</v>
      </c>
      <c r="B934" s="97" t="s">
        <v>620</v>
      </c>
      <c r="C934" s="98" t="s">
        <v>369</v>
      </c>
      <c r="D934" s="97" t="s">
        <v>529</v>
      </c>
      <c r="E934" s="97" t="s">
        <v>1166</v>
      </c>
      <c r="F934" s="97">
        <v>0.8539999999999992</v>
      </c>
      <c r="G934" s="97" t="s">
        <v>572</v>
      </c>
      <c r="H934" s="5"/>
      <c r="I934"/>
      <c r="J934"/>
      <c r="K934"/>
      <c r="L934"/>
      <c r="M934"/>
      <c r="N934"/>
      <c r="O934"/>
      <c r="P934"/>
      <c r="Q934"/>
      <c r="R934"/>
      <c r="S934"/>
      <c r="T934"/>
      <c r="U934"/>
      <c r="V934"/>
      <c r="W934"/>
      <c r="X934"/>
      <c r="Y934"/>
    </row>
    <row r="935" spans="1:25" s="104" customFormat="1" x14ac:dyDescent="0.25">
      <c r="A935" s="97" t="str">
        <f t="shared" si="14"/>
        <v>ddr16_1600_ios_vdd_dyn_ddr4_533_16_read</v>
      </c>
      <c r="B935" s="97" t="s">
        <v>620</v>
      </c>
      <c r="C935" s="98" t="s">
        <v>369</v>
      </c>
      <c r="D935" s="97" t="s">
        <v>542</v>
      </c>
      <c r="E935" s="97" t="s">
        <v>1166</v>
      </c>
      <c r="F935" s="97">
        <v>10.35685625</v>
      </c>
      <c r="G935" s="97" t="s">
        <v>572</v>
      </c>
      <c r="H935" s="5"/>
      <c r="I935"/>
      <c r="J935"/>
      <c r="K935"/>
      <c r="L935"/>
      <c r="M935"/>
      <c r="N935"/>
      <c r="O935"/>
      <c r="P935"/>
      <c r="Q935"/>
      <c r="R935"/>
      <c r="S935"/>
      <c r="T935"/>
      <c r="U935"/>
      <c r="V935"/>
      <c r="W935"/>
      <c r="X935"/>
      <c r="Y935"/>
    </row>
    <row r="936" spans="1:25" s="104" customFormat="1" x14ac:dyDescent="0.25">
      <c r="A936" s="97" t="str">
        <f t="shared" si="14"/>
        <v>ddr16_1600_ios_vdd_dyn_ddr4_533_16_write</v>
      </c>
      <c r="B936" s="97" t="s">
        <v>620</v>
      </c>
      <c r="C936" s="98" t="s">
        <v>369</v>
      </c>
      <c r="D936" s="97" t="s">
        <v>555</v>
      </c>
      <c r="E936" s="97" t="s">
        <v>1166</v>
      </c>
      <c r="F936" s="97">
        <v>16.693326812499997</v>
      </c>
      <c r="G936" s="97" t="s">
        <v>572</v>
      </c>
      <c r="H936" s="5"/>
      <c r="I936"/>
      <c r="J936"/>
      <c r="K936"/>
      <c r="L936"/>
      <c r="M936"/>
      <c r="N936"/>
      <c r="O936"/>
      <c r="P936"/>
      <c r="Q936"/>
      <c r="R936"/>
      <c r="S936"/>
      <c r="T936"/>
      <c r="U936"/>
      <c r="V936"/>
      <c r="W936"/>
      <c r="X936"/>
      <c r="Y936"/>
    </row>
    <row r="937" spans="1:25" s="104" customFormat="1" x14ac:dyDescent="0.25">
      <c r="A937" s="97" t="str">
        <f t="shared" si="14"/>
        <v>ddr16_1600_ios_vdd_dyn_ddr4_800_16_idle</v>
      </c>
      <c r="B937" s="97" t="s">
        <v>620</v>
      </c>
      <c r="C937" s="98" t="s">
        <v>369</v>
      </c>
      <c r="D937" s="97" t="s">
        <v>528</v>
      </c>
      <c r="E937" s="97" t="s">
        <v>1166</v>
      </c>
      <c r="F937" s="97">
        <v>0.8539999999999992</v>
      </c>
      <c r="G937" s="97" t="s">
        <v>572</v>
      </c>
      <c r="H937" s="5"/>
      <c r="I937"/>
      <c r="J937"/>
      <c r="K937"/>
      <c r="L937"/>
      <c r="M937"/>
      <c r="N937"/>
      <c r="O937"/>
      <c r="P937"/>
      <c r="Q937"/>
      <c r="R937"/>
      <c r="S937"/>
      <c r="T937"/>
      <c r="U937"/>
      <c r="V937"/>
      <c r="W937"/>
      <c r="X937"/>
      <c r="Y937"/>
    </row>
    <row r="938" spans="1:25" s="104" customFormat="1" x14ac:dyDescent="0.25">
      <c r="A938" s="97" t="str">
        <f t="shared" si="14"/>
        <v>ddr16_1600_ios_vdd_dyn_ddr4_800_16_read</v>
      </c>
      <c r="B938" s="97" t="s">
        <v>620</v>
      </c>
      <c r="C938" s="98" t="s">
        <v>369</v>
      </c>
      <c r="D938" s="97" t="s">
        <v>541</v>
      </c>
      <c r="E938" s="97" t="s">
        <v>1166</v>
      </c>
      <c r="F938" s="97">
        <v>15.544999999999998</v>
      </c>
      <c r="G938" s="97" t="s">
        <v>572</v>
      </c>
      <c r="H938" s="5"/>
      <c r="I938"/>
      <c r="J938"/>
      <c r="K938"/>
      <c r="L938"/>
      <c r="M938"/>
      <c r="N938"/>
      <c r="O938"/>
      <c r="P938"/>
      <c r="Q938"/>
      <c r="R938"/>
      <c r="S938"/>
      <c r="T938"/>
      <c r="U938"/>
      <c r="V938"/>
      <c r="W938"/>
      <c r="X938"/>
      <c r="Y938"/>
    </row>
    <row r="939" spans="1:25" s="104" customFormat="1" x14ac:dyDescent="0.25">
      <c r="A939" s="97" t="str">
        <f t="shared" si="14"/>
        <v>ddr16_1600_ios_vdd_dyn_ddr4_800_16_write</v>
      </c>
      <c r="B939" s="97" t="s">
        <v>620</v>
      </c>
      <c r="C939" s="98" t="s">
        <v>369</v>
      </c>
      <c r="D939" s="97" t="s">
        <v>554</v>
      </c>
      <c r="E939" s="97" t="s">
        <v>1166</v>
      </c>
      <c r="F939" s="97">
        <v>25.05565</v>
      </c>
      <c r="G939" s="97" t="s">
        <v>572</v>
      </c>
      <c r="H939" s="5"/>
      <c r="I939"/>
      <c r="J939"/>
      <c r="K939"/>
      <c r="L939"/>
      <c r="M939"/>
      <c r="N939"/>
      <c r="O939"/>
      <c r="P939"/>
      <c r="Q939"/>
      <c r="R939"/>
      <c r="S939"/>
      <c r="T939"/>
      <c r="U939"/>
      <c r="V939"/>
      <c r="W939"/>
      <c r="X939"/>
      <c r="Y939"/>
    </row>
    <row r="940" spans="1:25" s="104" customFormat="1" x14ac:dyDescent="0.25">
      <c r="A940" s="97" t="str">
        <f t="shared" si="14"/>
        <v>ddr16_1600_ios_vdd_dyn_lpddr4_100_16_idle</v>
      </c>
      <c r="B940" s="97" t="s">
        <v>620</v>
      </c>
      <c r="C940" s="98" t="s">
        <v>369</v>
      </c>
      <c r="D940" s="97" t="s">
        <v>523</v>
      </c>
      <c r="E940" s="97" t="s">
        <v>1166</v>
      </c>
      <c r="F940" s="97">
        <v>0.56400000000000006</v>
      </c>
      <c r="G940" s="97" t="s">
        <v>572</v>
      </c>
      <c r="H940" s="5"/>
      <c r="I940"/>
      <c r="J940"/>
      <c r="K940"/>
      <c r="L940"/>
      <c r="M940"/>
      <c r="N940"/>
      <c r="O940"/>
      <c r="P940"/>
      <c r="Q940"/>
      <c r="R940"/>
      <c r="S940"/>
      <c r="T940"/>
      <c r="U940"/>
      <c r="V940"/>
      <c r="W940"/>
      <c r="X940"/>
      <c r="Y940"/>
    </row>
    <row r="941" spans="1:25" s="104" customFormat="1" x14ac:dyDescent="0.25">
      <c r="A941" s="97" t="str">
        <f t="shared" ref="A941:A963" si="15">B941&amp;"_"&amp;C941&amp;"_"&amp;D941</f>
        <v>ddr16_1600_ios_vdd_dyn_lpddr4_100_16_read</v>
      </c>
      <c r="B941" s="97" t="s">
        <v>620</v>
      </c>
      <c r="C941" s="98" t="s">
        <v>369</v>
      </c>
      <c r="D941" s="97" t="s">
        <v>536</v>
      </c>
      <c r="E941" s="97" t="s">
        <v>1166</v>
      </c>
      <c r="F941" s="97">
        <v>1.8997656250000006</v>
      </c>
      <c r="G941" s="97" t="s">
        <v>572</v>
      </c>
      <c r="H941" s="5"/>
      <c r="I941"/>
      <c r="J941"/>
      <c r="K941"/>
      <c r="L941"/>
      <c r="M941"/>
      <c r="N941"/>
      <c r="O941"/>
      <c r="P941"/>
      <c r="Q941"/>
      <c r="R941"/>
      <c r="S941"/>
      <c r="T941"/>
      <c r="U941"/>
      <c r="V941"/>
      <c r="W941"/>
      <c r="X941"/>
      <c r="Y941"/>
    </row>
    <row r="942" spans="1:25" s="104" customFormat="1" x14ac:dyDescent="0.25">
      <c r="A942" s="97" t="str">
        <f t="shared" si="15"/>
        <v>ddr16_1600_ios_vdd_dyn_lpddr4_100_16_write</v>
      </c>
      <c r="B942" s="97" t="s">
        <v>620</v>
      </c>
      <c r="C942" s="98" t="s">
        <v>369</v>
      </c>
      <c r="D942" s="97" t="s">
        <v>549</v>
      </c>
      <c r="E942" s="97" t="s">
        <v>1166</v>
      </c>
      <c r="F942" s="97">
        <v>2.7542687499999978</v>
      </c>
      <c r="G942" s="97" t="s">
        <v>572</v>
      </c>
      <c r="H942" s="5"/>
      <c r="I942"/>
      <c r="J942"/>
      <c r="K942"/>
      <c r="L942"/>
      <c r="M942"/>
      <c r="N942"/>
      <c r="O942"/>
      <c r="P942"/>
      <c r="Q942"/>
      <c r="R942"/>
      <c r="S942"/>
      <c r="T942"/>
      <c r="U942"/>
      <c r="V942"/>
      <c r="W942"/>
      <c r="X942"/>
      <c r="Y942"/>
    </row>
    <row r="943" spans="1:25" s="104" customFormat="1" x14ac:dyDescent="0.25">
      <c r="A943" s="97" t="str">
        <f t="shared" si="15"/>
        <v>ddr16_1600_ios_vdd_dyn_lpddr4_1067_16_idle</v>
      </c>
      <c r="B943" s="97" t="s">
        <v>620</v>
      </c>
      <c r="C943" s="98" t="s">
        <v>369</v>
      </c>
      <c r="D943" s="97" t="s">
        <v>520</v>
      </c>
      <c r="E943" s="97" t="s">
        <v>1166</v>
      </c>
      <c r="F943" s="97">
        <v>0.56400000000000006</v>
      </c>
      <c r="G943" s="97" t="s">
        <v>572</v>
      </c>
      <c r="H943" s="5"/>
      <c r="I943"/>
      <c r="J943"/>
      <c r="K943"/>
      <c r="L943"/>
      <c r="M943"/>
      <c r="N943"/>
      <c r="O943"/>
      <c r="P943"/>
      <c r="Q943"/>
      <c r="R943"/>
      <c r="S943"/>
      <c r="T943"/>
      <c r="U943"/>
      <c r="V943"/>
      <c r="W943"/>
      <c r="X943"/>
      <c r="Y943"/>
    </row>
    <row r="944" spans="1:25" s="104" customFormat="1" x14ac:dyDescent="0.25">
      <c r="A944" s="97" t="str">
        <f t="shared" si="15"/>
        <v>ddr16_1600_ios_vdd_dyn_lpddr4_1067_16_read</v>
      </c>
      <c r="B944" s="97" t="s">
        <v>620</v>
      </c>
      <c r="C944" s="98" t="s">
        <v>369</v>
      </c>
      <c r="D944" s="97" t="s">
        <v>533</v>
      </c>
      <c r="E944" s="97" t="s">
        <v>1166</v>
      </c>
      <c r="F944" s="97">
        <v>20.251501562500003</v>
      </c>
      <c r="G944" s="97" t="s">
        <v>572</v>
      </c>
      <c r="H944" s="5"/>
      <c r="I944"/>
      <c r="J944"/>
      <c r="K944"/>
      <c r="L944"/>
      <c r="M944"/>
      <c r="N944"/>
      <c r="O944"/>
      <c r="P944"/>
      <c r="Q944"/>
      <c r="R944"/>
      <c r="S944"/>
      <c r="T944"/>
      <c r="U944"/>
      <c r="V944"/>
      <c r="W944"/>
      <c r="X944"/>
      <c r="Y944"/>
    </row>
    <row r="945" spans="1:25" s="104" customFormat="1" x14ac:dyDescent="0.25">
      <c r="A945" s="97" t="str">
        <f t="shared" si="15"/>
        <v>ddr16_1600_ios_vdd_dyn_lpddr4_1067_16_write</v>
      </c>
      <c r="B945" s="97" t="s">
        <v>620</v>
      </c>
      <c r="C945" s="98" t="s">
        <v>369</v>
      </c>
      <c r="D945" s="97" t="s">
        <v>546</v>
      </c>
      <c r="E945" s="97" t="s">
        <v>1166</v>
      </c>
      <c r="F945" s="97">
        <v>29.360504874999997</v>
      </c>
      <c r="G945" s="97" t="s">
        <v>572</v>
      </c>
      <c r="H945" s="5"/>
      <c r="I945"/>
      <c r="J945"/>
      <c r="K945"/>
      <c r="L945"/>
      <c r="M945"/>
      <c r="N945"/>
      <c r="O945"/>
      <c r="P945"/>
      <c r="Q945"/>
      <c r="R945"/>
      <c r="S945"/>
      <c r="T945"/>
      <c r="U945"/>
      <c r="V945"/>
      <c r="W945"/>
      <c r="X945"/>
      <c r="Y945"/>
    </row>
    <row r="946" spans="1:25" s="104" customFormat="1" x14ac:dyDescent="0.25">
      <c r="A946" s="97" t="str">
        <f t="shared" si="15"/>
        <v>ddr16_1600_ios_vdd_dyn_lpddr4_1333_16_idle</v>
      </c>
      <c r="B946" s="97" t="s">
        <v>620</v>
      </c>
      <c r="C946" s="98" t="s">
        <v>369</v>
      </c>
      <c r="D946" s="97" t="s">
        <v>519</v>
      </c>
      <c r="E946" s="97" t="s">
        <v>1166</v>
      </c>
      <c r="F946" s="97">
        <v>0.56400000000000006</v>
      </c>
      <c r="G946" s="97" t="s">
        <v>572</v>
      </c>
      <c r="H946" s="5"/>
      <c r="I946"/>
      <c r="J946"/>
      <c r="K946"/>
      <c r="L946"/>
      <c r="M946"/>
      <c r="N946"/>
      <c r="O946"/>
      <c r="P946"/>
      <c r="Q946"/>
      <c r="R946"/>
      <c r="S946"/>
      <c r="T946"/>
      <c r="U946"/>
      <c r="V946"/>
      <c r="W946"/>
      <c r="X946"/>
      <c r="Y946"/>
    </row>
    <row r="947" spans="1:25" s="104" customFormat="1" x14ac:dyDescent="0.25">
      <c r="A947" s="97" t="str">
        <f t="shared" si="15"/>
        <v>ddr16_1600_ios_vdd_dyn_lpddr4_1333_16_read</v>
      </c>
      <c r="B947" s="97" t="s">
        <v>620</v>
      </c>
      <c r="C947" s="98" t="s">
        <v>369</v>
      </c>
      <c r="D947" s="97" t="s">
        <v>532</v>
      </c>
      <c r="E947" s="97" t="s">
        <v>1166</v>
      </c>
      <c r="F947" s="97">
        <v>25.323875781249995</v>
      </c>
      <c r="G947" s="97" t="s">
        <v>572</v>
      </c>
      <c r="H947" s="5"/>
      <c r="I947"/>
      <c r="J947"/>
      <c r="K947"/>
      <c r="L947"/>
      <c r="M947"/>
      <c r="N947"/>
      <c r="O947"/>
      <c r="P947"/>
      <c r="Q947"/>
      <c r="R947"/>
      <c r="S947"/>
      <c r="T947"/>
      <c r="U947"/>
      <c r="V947"/>
      <c r="W947"/>
      <c r="X947"/>
      <c r="Y947"/>
    </row>
    <row r="948" spans="1:25" s="104" customFormat="1" x14ac:dyDescent="0.25">
      <c r="A948" s="97" t="str">
        <f t="shared" si="15"/>
        <v>ddr16_1600_ios_vdd_dyn_lpddr4_1333_16_write</v>
      </c>
      <c r="B948" s="97" t="s">
        <v>620</v>
      </c>
      <c r="C948" s="98" t="s">
        <v>369</v>
      </c>
      <c r="D948" s="97" t="s">
        <v>545</v>
      </c>
      <c r="E948" s="97" t="s">
        <v>1166</v>
      </c>
      <c r="F948" s="97">
        <v>36.714402437499999</v>
      </c>
      <c r="G948" s="97" t="s">
        <v>572</v>
      </c>
      <c r="H948" s="5"/>
      <c r="I948"/>
      <c r="J948"/>
      <c r="K948"/>
      <c r="L948"/>
      <c r="M948"/>
      <c r="N948"/>
      <c r="O948"/>
      <c r="P948"/>
      <c r="Q948"/>
      <c r="R948"/>
      <c r="S948"/>
      <c r="T948"/>
      <c r="U948"/>
      <c r="V948"/>
      <c r="W948"/>
      <c r="X948"/>
      <c r="Y948"/>
    </row>
    <row r="949" spans="1:25" s="104" customFormat="1" x14ac:dyDescent="0.25">
      <c r="A949" s="97" t="str">
        <f t="shared" si="15"/>
        <v>ddr16_1600_ios_vdd_dyn_lpddr4_1600_16_idle</v>
      </c>
      <c r="B949" s="97" t="s">
        <v>620</v>
      </c>
      <c r="C949" s="98" t="s">
        <v>369</v>
      </c>
      <c r="D949" s="97" t="s">
        <v>518</v>
      </c>
      <c r="E949" s="97" t="s">
        <v>1166</v>
      </c>
      <c r="F949" s="97">
        <v>0.56400000000000006</v>
      </c>
      <c r="G949" s="97" t="s">
        <v>572</v>
      </c>
      <c r="H949" s="5"/>
      <c r="I949"/>
      <c r="J949"/>
      <c r="K949"/>
      <c r="L949"/>
      <c r="M949"/>
      <c r="N949"/>
      <c r="O949"/>
      <c r="P949"/>
      <c r="Q949"/>
      <c r="R949"/>
      <c r="S949"/>
      <c r="T949"/>
      <c r="U949"/>
      <c r="V949"/>
      <c r="W949"/>
      <c r="X949"/>
      <c r="Y949"/>
    </row>
    <row r="950" spans="1:25" s="104" customFormat="1" x14ac:dyDescent="0.25">
      <c r="A950" s="97" t="str">
        <f t="shared" si="15"/>
        <v>ddr16_1600_ios_vdd_dyn_lpddr4_1600_16_read</v>
      </c>
      <c r="B950" s="97" t="s">
        <v>620</v>
      </c>
      <c r="C950" s="98" t="s">
        <v>369</v>
      </c>
      <c r="D950" s="97" t="s">
        <v>531</v>
      </c>
      <c r="E950" s="97" t="s">
        <v>1166</v>
      </c>
      <c r="F950" s="97">
        <v>30.396249999999995</v>
      </c>
      <c r="G950" s="97" t="s">
        <v>572</v>
      </c>
      <c r="H950" s="5"/>
      <c r="I950"/>
      <c r="J950"/>
      <c r="K950"/>
      <c r="L950"/>
      <c r="M950"/>
      <c r="N950"/>
      <c r="O950"/>
      <c r="P950"/>
      <c r="Q950"/>
      <c r="R950"/>
      <c r="S950"/>
      <c r="T950"/>
      <c r="U950"/>
      <c r="V950"/>
      <c r="W950"/>
      <c r="X950"/>
      <c r="Y950"/>
    </row>
    <row r="951" spans="1:25" s="104" customFormat="1" x14ac:dyDescent="0.25">
      <c r="A951" s="97" t="str">
        <f t="shared" si="15"/>
        <v>ddr16_1600_ios_vdd_dyn_lpddr4_1600_16_write</v>
      </c>
      <c r="B951" s="97" t="s">
        <v>620</v>
      </c>
      <c r="C951" s="98" t="s">
        <v>369</v>
      </c>
      <c r="D951" s="97" t="s">
        <v>544</v>
      </c>
      <c r="E951" s="97" t="s">
        <v>1166</v>
      </c>
      <c r="F951" s="97">
        <v>44.068299999999994</v>
      </c>
      <c r="G951" s="97" t="s">
        <v>572</v>
      </c>
      <c r="H951" s="5"/>
      <c r="I951"/>
      <c r="J951"/>
      <c r="K951"/>
      <c r="L951"/>
      <c r="M951"/>
      <c r="N951"/>
      <c r="O951"/>
      <c r="P951"/>
      <c r="Q951"/>
      <c r="R951"/>
      <c r="S951"/>
      <c r="T951"/>
      <c r="U951"/>
      <c r="V951"/>
      <c r="W951"/>
      <c r="X951"/>
      <c r="Y951"/>
    </row>
    <row r="952" spans="1:25" s="104" customFormat="1" x14ac:dyDescent="0.25">
      <c r="A952" s="97" t="str">
        <f t="shared" si="15"/>
        <v>ddr16_1600_ios_vdd_dyn_lpddr4_50_16_idle</v>
      </c>
      <c r="B952" s="97" t="s">
        <v>620</v>
      </c>
      <c r="C952" s="98" t="s">
        <v>369</v>
      </c>
      <c r="D952" s="97" t="s">
        <v>524</v>
      </c>
      <c r="E952" s="97" t="s">
        <v>1166</v>
      </c>
      <c r="F952" s="97">
        <v>0.56400000000000006</v>
      </c>
      <c r="G952" s="97" t="s">
        <v>572</v>
      </c>
      <c r="H952" s="5"/>
      <c r="I952"/>
      <c r="J952"/>
      <c r="K952"/>
      <c r="L952"/>
      <c r="M952"/>
      <c r="N952"/>
      <c r="O952"/>
      <c r="P952"/>
      <c r="Q952"/>
      <c r="R952"/>
      <c r="S952"/>
      <c r="T952"/>
      <c r="U952"/>
      <c r="V952"/>
      <c r="W952"/>
      <c r="X952"/>
      <c r="Y952"/>
    </row>
    <row r="953" spans="1:25" s="104" customFormat="1" x14ac:dyDescent="0.25">
      <c r="A953" s="97" t="str">
        <f t="shared" si="15"/>
        <v>ddr16_1600_ios_vdd_dyn_lpddr4_50_16_read</v>
      </c>
      <c r="B953" s="97" t="s">
        <v>620</v>
      </c>
      <c r="C953" s="98" t="s">
        <v>369</v>
      </c>
      <c r="D953" s="97" t="s">
        <v>537</v>
      </c>
      <c r="E953" s="97" t="s">
        <v>1166</v>
      </c>
      <c r="F953" s="97">
        <v>0.94988281250000028</v>
      </c>
      <c r="G953" s="97" t="s">
        <v>572</v>
      </c>
      <c r="H953" s="5"/>
      <c r="I953"/>
      <c r="J953"/>
      <c r="K953"/>
      <c r="L953"/>
      <c r="M953"/>
      <c r="N953"/>
      <c r="O953"/>
      <c r="P953"/>
      <c r="Q953"/>
      <c r="R953"/>
      <c r="S953"/>
      <c r="T953"/>
      <c r="U953"/>
      <c r="V953"/>
      <c r="W953"/>
      <c r="X953"/>
      <c r="Y953"/>
    </row>
    <row r="954" spans="1:25" s="104" customFormat="1" x14ac:dyDescent="0.25">
      <c r="A954" s="97" t="str">
        <f t="shared" si="15"/>
        <v>ddr16_1600_ios_vdd_dyn_lpddr4_50_16_write</v>
      </c>
      <c r="B954" s="97" t="s">
        <v>620</v>
      </c>
      <c r="C954" s="98" t="s">
        <v>369</v>
      </c>
      <c r="D954" s="97" t="s">
        <v>550</v>
      </c>
      <c r="E954" s="97" t="s">
        <v>1166</v>
      </c>
      <c r="F954" s="97">
        <v>1.3771343750000007</v>
      </c>
      <c r="G954" s="97" t="s">
        <v>572</v>
      </c>
      <c r="H954" s="5"/>
      <c r="I954"/>
      <c r="J954"/>
      <c r="K954"/>
      <c r="L954"/>
      <c r="M954"/>
      <c r="N954"/>
      <c r="O954"/>
      <c r="P954"/>
      <c r="Q954"/>
      <c r="R954"/>
      <c r="S954"/>
      <c r="T954"/>
      <c r="U954"/>
      <c r="V954"/>
      <c r="W954"/>
      <c r="X954"/>
      <c r="Y954"/>
    </row>
    <row r="955" spans="1:25" s="104" customFormat="1" x14ac:dyDescent="0.25">
      <c r="A955" s="97" t="str">
        <f t="shared" si="15"/>
        <v>ddr16_1600_ios_vdd_dyn_lpddr4_533_16_idle</v>
      </c>
      <c r="B955" s="97" t="s">
        <v>620</v>
      </c>
      <c r="C955" s="98" t="s">
        <v>369</v>
      </c>
      <c r="D955" s="97" t="s">
        <v>522</v>
      </c>
      <c r="E955" s="97" t="s">
        <v>1166</v>
      </c>
      <c r="F955" s="97">
        <v>0.56400000000000006</v>
      </c>
      <c r="G955" s="97" t="s">
        <v>572</v>
      </c>
      <c r="H955" s="5"/>
      <c r="I955"/>
      <c r="J955"/>
      <c r="K955"/>
      <c r="L955"/>
      <c r="M955"/>
      <c r="N955"/>
      <c r="O955"/>
      <c r="P955"/>
      <c r="Q955"/>
      <c r="R955"/>
      <c r="S955"/>
      <c r="T955"/>
      <c r="U955"/>
      <c r="V955"/>
      <c r="W955"/>
      <c r="X955"/>
      <c r="Y955"/>
    </row>
    <row r="956" spans="1:25" s="104" customFormat="1" x14ac:dyDescent="0.25">
      <c r="A956" s="97" t="str">
        <f t="shared" si="15"/>
        <v>ddr16_1600_ios_vdd_dyn_lpddr4_533_16_read</v>
      </c>
      <c r="B956" s="97" t="s">
        <v>620</v>
      </c>
      <c r="C956" s="98" t="s">
        <v>369</v>
      </c>
      <c r="D956" s="97" t="s">
        <v>535</v>
      </c>
      <c r="E956" s="97" t="s">
        <v>1166</v>
      </c>
      <c r="F956" s="97">
        <v>10.125750781250002</v>
      </c>
      <c r="G956" s="97" t="s">
        <v>572</v>
      </c>
      <c r="H956" s="5"/>
      <c r="I956"/>
      <c r="J956"/>
      <c r="K956"/>
      <c r="L956"/>
      <c r="M956"/>
      <c r="N956"/>
      <c r="O956"/>
      <c r="P956"/>
      <c r="Q956"/>
      <c r="R956"/>
      <c r="S956"/>
      <c r="T956"/>
      <c r="U956"/>
      <c r="V956"/>
      <c r="W956"/>
      <c r="X956"/>
      <c r="Y956"/>
    </row>
    <row r="957" spans="1:25" s="104" customFormat="1" x14ac:dyDescent="0.25">
      <c r="A957" s="97" t="str">
        <f t="shared" si="15"/>
        <v>ddr16_1600_ios_vdd_dyn_lpddr4_533_16_write</v>
      </c>
      <c r="B957" s="97" t="s">
        <v>620</v>
      </c>
      <c r="C957" s="98" t="s">
        <v>369</v>
      </c>
      <c r="D957" s="97" t="s">
        <v>548</v>
      </c>
      <c r="E957" s="97" t="s">
        <v>1166</v>
      </c>
      <c r="F957" s="97">
        <v>14.680252437499998</v>
      </c>
      <c r="G957" s="97" t="s">
        <v>572</v>
      </c>
      <c r="H957" s="5"/>
      <c r="I957"/>
      <c r="J957"/>
      <c r="K957"/>
      <c r="L957"/>
      <c r="M957"/>
      <c r="N957"/>
      <c r="O957"/>
      <c r="P957"/>
      <c r="Q957"/>
      <c r="R957"/>
      <c r="S957"/>
      <c r="T957"/>
      <c r="U957"/>
      <c r="V957"/>
      <c r="W957"/>
      <c r="X957"/>
      <c r="Y957"/>
    </row>
    <row r="958" spans="1:25" s="104" customFormat="1" x14ac:dyDescent="0.25">
      <c r="A958" s="97" t="str">
        <f t="shared" si="15"/>
        <v>ddr16_1600_ios_vdd_dyn_lpddr4_800_16_idle</v>
      </c>
      <c r="B958" s="97" t="s">
        <v>620</v>
      </c>
      <c r="C958" s="98" t="s">
        <v>369</v>
      </c>
      <c r="D958" s="97" t="s">
        <v>521</v>
      </c>
      <c r="E958" s="97" t="s">
        <v>1166</v>
      </c>
      <c r="F958" s="97">
        <v>0.56400000000000006</v>
      </c>
      <c r="G958" s="97" t="s">
        <v>572</v>
      </c>
      <c r="H958" s="5"/>
      <c r="I958"/>
      <c r="J958"/>
      <c r="K958"/>
      <c r="L958"/>
      <c r="M958"/>
      <c r="N958"/>
      <c r="O958"/>
      <c r="P958"/>
      <c r="Q958"/>
      <c r="R958"/>
      <c r="S958"/>
      <c r="T958"/>
      <c r="U958"/>
      <c r="V958"/>
      <c r="W958"/>
      <c r="X958"/>
      <c r="Y958"/>
    </row>
    <row r="959" spans="1:25" s="104" customFormat="1" x14ac:dyDescent="0.25">
      <c r="A959" s="97" t="str">
        <f t="shared" si="15"/>
        <v>ddr16_1600_ios_vdd_dyn_lpddr4_800_16_read</v>
      </c>
      <c r="B959" s="97" t="s">
        <v>620</v>
      </c>
      <c r="C959" s="98" t="s">
        <v>369</v>
      </c>
      <c r="D959" s="97" t="s">
        <v>534</v>
      </c>
      <c r="E959" s="97" t="s">
        <v>1166</v>
      </c>
      <c r="F959" s="97">
        <v>15.198124999999997</v>
      </c>
      <c r="G959" s="97" t="s">
        <v>572</v>
      </c>
      <c r="H959" s="5"/>
      <c r="I959"/>
      <c r="J959"/>
      <c r="K959"/>
      <c r="L959"/>
      <c r="M959"/>
      <c r="N959"/>
      <c r="O959"/>
      <c r="P959"/>
      <c r="Q959"/>
      <c r="R959"/>
      <c r="S959"/>
      <c r="T959"/>
      <c r="U959"/>
      <c r="V959"/>
      <c r="W959"/>
      <c r="X959"/>
      <c r="Y959"/>
    </row>
    <row r="960" spans="1:25" s="104" customFormat="1" x14ac:dyDescent="0.25">
      <c r="A960" s="97" t="str">
        <f t="shared" si="15"/>
        <v>ddr16_1600_ios_vdd_dyn_lpddr4_800_16_write</v>
      </c>
      <c r="B960" s="97" t="s">
        <v>620</v>
      </c>
      <c r="C960" s="98" t="s">
        <v>369</v>
      </c>
      <c r="D960" s="97" t="s">
        <v>547</v>
      </c>
      <c r="E960" s="97" t="s">
        <v>1166</v>
      </c>
      <c r="F960" s="97">
        <v>22.034149999999997</v>
      </c>
      <c r="G960" s="97" t="s">
        <v>572</v>
      </c>
      <c r="H960" s="5"/>
      <c r="I960"/>
      <c r="J960"/>
      <c r="K960"/>
      <c r="L960"/>
      <c r="M960"/>
      <c r="N960"/>
      <c r="O960"/>
      <c r="P960"/>
      <c r="Q960"/>
      <c r="R960"/>
      <c r="S960"/>
      <c r="T960"/>
      <c r="U960"/>
      <c r="V960"/>
      <c r="W960"/>
      <c r="X960"/>
      <c r="Y960"/>
    </row>
    <row r="961" spans="1:25" s="104" customFormat="1" x14ac:dyDescent="0.25">
      <c r="A961" s="97" t="str">
        <f t="shared" si="15"/>
        <v>ddr16_1600_ios_vdd_dyn_Sleep_idle</v>
      </c>
      <c r="B961" s="97" t="s">
        <v>620</v>
      </c>
      <c r="C961" s="98" t="s">
        <v>369</v>
      </c>
      <c r="D961" s="97" t="s">
        <v>530</v>
      </c>
      <c r="E961" s="97" t="s">
        <v>1166</v>
      </c>
      <c r="F961" s="97">
        <v>0</v>
      </c>
      <c r="G961" s="97" t="s">
        <v>572</v>
      </c>
      <c r="H961" s="5"/>
      <c r="I961"/>
      <c r="J961"/>
      <c r="K961"/>
      <c r="L961"/>
      <c r="M961"/>
      <c r="N961"/>
      <c r="O961"/>
      <c r="P961"/>
      <c r="Q961"/>
      <c r="R961"/>
      <c r="S961"/>
      <c r="T961"/>
      <c r="U961"/>
      <c r="V961"/>
      <c r="W961"/>
      <c r="X961"/>
      <c r="Y961"/>
    </row>
    <row r="962" spans="1:25" s="104" customFormat="1" x14ac:dyDescent="0.25">
      <c r="A962" s="97" t="str">
        <f t="shared" si="15"/>
        <v>ddr16_1600_ios_vdd_dyn_Sleep_read</v>
      </c>
      <c r="B962" s="97" t="s">
        <v>620</v>
      </c>
      <c r="C962" s="98" t="s">
        <v>369</v>
      </c>
      <c r="D962" s="97" t="s">
        <v>543</v>
      </c>
      <c r="E962" s="97" t="s">
        <v>1166</v>
      </c>
      <c r="F962" s="97">
        <v>0</v>
      </c>
      <c r="G962" s="97" t="s">
        <v>572</v>
      </c>
      <c r="H962" s="5"/>
      <c r="I962"/>
      <c r="J962"/>
      <c r="K962"/>
      <c r="L962"/>
      <c r="M962"/>
      <c r="N962"/>
      <c r="O962"/>
      <c r="P962"/>
      <c r="Q962"/>
      <c r="R962"/>
      <c r="S962"/>
      <c r="T962"/>
      <c r="U962"/>
      <c r="V962"/>
      <c r="W962"/>
      <c r="X962"/>
      <c r="Y962"/>
    </row>
    <row r="963" spans="1:25" s="104" customFormat="1" x14ac:dyDescent="0.25">
      <c r="A963" s="97" t="str">
        <f t="shared" si="15"/>
        <v>ddr16_1600_ios_vdd_dyn_Sleep_write</v>
      </c>
      <c r="B963" s="97" t="s">
        <v>620</v>
      </c>
      <c r="C963" s="98" t="s">
        <v>369</v>
      </c>
      <c r="D963" s="97" t="s">
        <v>556</v>
      </c>
      <c r="E963" s="97" t="s">
        <v>1166</v>
      </c>
      <c r="F963" s="97">
        <v>0</v>
      </c>
      <c r="G963" s="97" t="s">
        <v>572</v>
      </c>
      <c r="H963" s="5"/>
      <c r="I963"/>
      <c r="J963"/>
      <c r="K963"/>
      <c r="L963"/>
      <c r="M963"/>
      <c r="N963"/>
      <c r="O963"/>
      <c r="P963"/>
      <c r="Q963"/>
      <c r="R963"/>
      <c r="S963"/>
      <c r="T963"/>
      <c r="U963"/>
      <c r="V963"/>
      <c r="W963"/>
      <c r="X963"/>
      <c r="Y963"/>
    </row>
    <row r="964" spans="1:25" s="104" customFormat="1" hidden="1" x14ac:dyDescent="0.25">
      <c r="A964" s="97" t="str">
        <f t="shared" ref="A964:A995" si="16">B964&amp;"_"&amp;C964</f>
        <v>sam62_m4ss_wrap_vdd_dyn_idle</v>
      </c>
      <c r="B964" s="97" t="s">
        <v>219</v>
      </c>
      <c r="C964" s="97" t="s">
        <v>1079</v>
      </c>
      <c r="D964" s="108"/>
      <c r="E964" s="97" t="s">
        <v>1072</v>
      </c>
      <c r="F964" s="114">
        <v>0.13560606060606062</v>
      </c>
      <c r="G964" s="97" t="s">
        <v>1120</v>
      </c>
      <c r="H964" s="5"/>
      <c r="I964"/>
      <c r="J964"/>
      <c r="K964"/>
      <c r="L964"/>
      <c r="M964"/>
      <c r="N964"/>
      <c r="O964"/>
      <c r="P964"/>
      <c r="Q964"/>
      <c r="R964"/>
      <c r="S964"/>
      <c r="T964"/>
      <c r="U964"/>
      <c r="V964"/>
      <c r="W964"/>
      <c r="X964"/>
      <c r="Y964"/>
    </row>
    <row r="965" spans="1:25" s="104" customFormat="1" hidden="1" x14ac:dyDescent="0.25">
      <c r="A965" s="97" t="str">
        <f t="shared" si="16"/>
        <v>sam62_dm_wrap_vdd_dyn_idle</v>
      </c>
      <c r="B965" s="97" t="s">
        <v>237</v>
      </c>
      <c r="C965" s="97" t="s">
        <v>1079</v>
      </c>
      <c r="D965" s="108"/>
      <c r="E965" s="97" t="s">
        <v>1072</v>
      </c>
      <c r="F965" s="114">
        <v>0.08</v>
      </c>
      <c r="G965" s="97" t="s">
        <v>1120</v>
      </c>
      <c r="H965" s="5"/>
      <c r="I965"/>
      <c r="J965"/>
      <c r="K965"/>
      <c r="L965"/>
      <c r="M965"/>
      <c r="N965"/>
      <c r="O965"/>
      <c r="P965"/>
      <c r="Q965"/>
      <c r="R965"/>
      <c r="S965"/>
      <c r="T965"/>
      <c r="U965"/>
      <c r="V965"/>
      <c r="W965"/>
      <c r="X965"/>
      <c r="Y965"/>
    </row>
    <row r="966" spans="1:25" s="104" customFormat="1" hidden="1" x14ac:dyDescent="0.25">
      <c r="A966" s="97" t="str">
        <f t="shared" si="16"/>
        <v>sam62_a53_dual_wrap_cba_cpu_phys_vdd_dyn_idle</v>
      </c>
      <c r="B966" s="97" t="s">
        <v>274</v>
      </c>
      <c r="C966" s="97" t="s">
        <v>1079</v>
      </c>
      <c r="D966" s="108"/>
      <c r="E966" s="97" t="s">
        <v>1072</v>
      </c>
      <c r="F966" s="114">
        <v>2.7833981841763947E-2</v>
      </c>
      <c r="G966" s="97" t="s">
        <v>1120</v>
      </c>
      <c r="H966" s="5"/>
      <c r="I966"/>
      <c r="J966"/>
      <c r="K966"/>
      <c r="L966"/>
      <c r="M966"/>
      <c r="N966"/>
      <c r="O966"/>
      <c r="P966"/>
      <c r="Q966"/>
      <c r="R966"/>
      <c r="S966"/>
      <c r="T966"/>
      <c r="U966"/>
      <c r="V966"/>
      <c r="W966"/>
      <c r="X966"/>
      <c r="Y966"/>
    </row>
    <row r="967" spans="1:25" s="104" customFormat="1" hidden="1" x14ac:dyDescent="0.25">
      <c r="A967" s="97" t="str">
        <f t="shared" si="16"/>
        <v>sam62_a53_512kb_wrap_vdd_dyn_idle</v>
      </c>
      <c r="B967" s="97" t="s">
        <v>270</v>
      </c>
      <c r="C967" s="97" t="s">
        <v>1079</v>
      </c>
      <c r="D967" s="108"/>
      <c r="E967" s="97" t="s">
        <v>1072</v>
      </c>
      <c r="F967" s="114">
        <v>7.8524864965542909E-2</v>
      </c>
      <c r="G967" s="97" t="s">
        <v>1120</v>
      </c>
      <c r="H967" s="5"/>
      <c r="I967"/>
      <c r="J967"/>
      <c r="K967"/>
      <c r="L967"/>
      <c r="M967"/>
      <c r="N967"/>
      <c r="O967"/>
      <c r="P967"/>
      <c r="Q967"/>
      <c r="R967"/>
      <c r="S967"/>
      <c r="T967"/>
      <c r="U967"/>
      <c r="V967"/>
      <c r="W967"/>
      <c r="X967"/>
      <c r="Y967"/>
    </row>
    <row r="968" spans="1:25" s="104" customFormat="1" hidden="1" x14ac:dyDescent="0.25">
      <c r="A968" s="97" t="str">
        <f t="shared" si="16"/>
        <v>sam62_cpsw3_wrap_vdd_dyn_idle</v>
      </c>
      <c r="B968" s="97" t="s">
        <v>216</v>
      </c>
      <c r="C968" s="97" t="s">
        <v>1079</v>
      </c>
      <c r="D968" s="108"/>
      <c r="E968" s="97" t="s">
        <v>1072</v>
      </c>
      <c r="F968" s="114">
        <v>0.30298962782184258</v>
      </c>
      <c r="G968" s="97" t="s">
        <v>1120</v>
      </c>
      <c r="H968" s="5"/>
      <c r="I968"/>
      <c r="J968"/>
      <c r="K968"/>
      <c r="L968"/>
      <c r="M968"/>
      <c r="N968"/>
      <c r="O968"/>
      <c r="P968"/>
      <c r="Q968"/>
      <c r="R968"/>
      <c r="S968"/>
      <c r="T968"/>
      <c r="U968"/>
      <c r="V968"/>
      <c r="W968"/>
      <c r="X968"/>
      <c r="Y968"/>
    </row>
    <row r="969" spans="1:25" s="104" customFormat="1" hidden="1" x14ac:dyDescent="0.25">
      <c r="A969" s="97" t="str">
        <f t="shared" si="16"/>
        <v>sam62_icss_m_wrap_vdd_dyn_idle</v>
      </c>
      <c r="B969" s="97" t="s">
        <v>209</v>
      </c>
      <c r="C969" s="97" t="s">
        <v>1079</v>
      </c>
      <c r="D969" s="108"/>
      <c r="E969" s="97" t="s">
        <v>1072</v>
      </c>
      <c r="F969" s="114">
        <v>0.17598130841121493</v>
      </c>
      <c r="G969" s="97" t="s">
        <v>1120</v>
      </c>
      <c r="H969" s="5"/>
      <c r="I969"/>
      <c r="J969"/>
      <c r="K969"/>
      <c r="L969"/>
      <c r="M969"/>
      <c r="N969"/>
      <c r="O969"/>
      <c r="P969"/>
      <c r="Q969"/>
      <c r="R969"/>
      <c r="S969"/>
      <c r="T969"/>
      <c r="U969"/>
      <c r="V969"/>
      <c r="W969"/>
      <c r="X969"/>
      <c r="Y969"/>
    </row>
    <row r="970" spans="1:25" s="104" customFormat="1" hidden="1" x14ac:dyDescent="0.25">
      <c r="A970" s="97" t="str">
        <f t="shared" si="16"/>
        <v>sam62_dss_oldi_wrap_vdd_dyn_idle</v>
      </c>
      <c r="B970" s="97" t="s">
        <v>214</v>
      </c>
      <c r="C970" s="97" t="s">
        <v>1079</v>
      </c>
      <c r="D970" s="108"/>
      <c r="E970" s="97" t="s">
        <v>1072</v>
      </c>
      <c r="F970" s="114">
        <v>0.18814814814814815</v>
      </c>
      <c r="G970" s="97" t="s">
        <v>1120</v>
      </c>
      <c r="H970" s="5"/>
      <c r="I970"/>
      <c r="J970"/>
      <c r="K970"/>
      <c r="L970"/>
      <c r="M970"/>
      <c r="N970"/>
      <c r="O970"/>
      <c r="P970"/>
      <c r="Q970"/>
      <c r="R970"/>
      <c r="S970"/>
      <c r="T970"/>
      <c r="U970"/>
      <c r="V970"/>
      <c r="W970"/>
      <c r="X970"/>
      <c r="Y970"/>
    </row>
    <row r="971" spans="1:25" s="104" customFormat="1" hidden="1" x14ac:dyDescent="0.25">
      <c r="A971" s="97" t="str">
        <f t="shared" si="16"/>
        <v>sam62_k3_gpu_axe116m_wrap_vdd_dyn_idle</v>
      </c>
      <c r="B971" s="97" t="s">
        <v>242</v>
      </c>
      <c r="C971" s="97" t="s">
        <v>1079</v>
      </c>
      <c r="D971" s="108"/>
      <c r="E971" s="97" t="s">
        <v>1072</v>
      </c>
      <c r="F971" s="114">
        <v>3.663735999036493E-2</v>
      </c>
      <c r="G971" s="97" t="s">
        <v>1120</v>
      </c>
      <c r="H971" s="5"/>
      <c r="I971"/>
      <c r="J971"/>
      <c r="K971"/>
      <c r="L971"/>
      <c r="M971"/>
      <c r="N971"/>
      <c r="O971"/>
      <c r="P971"/>
      <c r="Q971"/>
      <c r="R971"/>
      <c r="S971"/>
      <c r="T971"/>
      <c r="U971"/>
      <c r="V971"/>
      <c r="W971"/>
      <c r="X971"/>
      <c r="Y971"/>
    </row>
    <row r="972" spans="1:25" s="104" customFormat="1" hidden="1" x14ac:dyDescent="0.25">
      <c r="A972" s="97" t="str">
        <f t="shared" si="16"/>
        <v>sam62_mcasp_wrap_vdd_dyn_idle</v>
      </c>
      <c r="B972" s="97" t="s">
        <v>208</v>
      </c>
      <c r="C972" s="97" t="s">
        <v>1079</v>
      </c>
      <c r="D972" s="108"/>
      <c r="E972" s="97" t="s">
        <v>1072</v>
      </c>
      <c r="F972" s="114">
        <v>0.40338983050847455</v>
      </c>
      <c r="G972" s="97" t="s">
        <v>1120</v>
      </c>
      <c r="H972" s="5"/>
      <c r="I972"/>
      <c r="J972"/>
      <c r="K972"/>
      <c r="L972"/>
      <c r="M972"/>
      <c r="N972"/>
      <c r="O972"/>
      <c r="P972"/>
      <c r="Q972"/>
      <c r="R972"/>
      <c r="S972"/>
      <c r="T972"/>
      <c r="U972"/>
      <c r="V972"/>
      <c r="W972"/>
      <c r="X972"/>
      <c r="Y972"/>
    </row>
    <row r="973" spans="1:25" s="104" customFormat="1" hidden="1" x14ac:dyDescent="0.25">
      <c r="A973" s="97" t="str">
        <f t="shared" si="16"/>
        <v>sam62_csirx_wrap_vdd_dyn_idle</v>
      </c>
      <c r="B973" s="97" t="s">
        <v>239</v>
      </c>
      <c r="C973" s="97" t="s">
        <v>1079</v>
      </c>
      <c r="D973" s="108"/>
      <c r="E973" s="97" t="s">
        <v>1072</v>
      </c>
      <c r="F973" s="114">
        <v>0.23204172876304027</v>
      </c>
      <c r="G973" s="97" t="s">
        <v>1120</v>
      </c>
      <c r="H973" s="5"/>
      <c r="I973"/>
      <c r="J973"/>
      <c r="K973"/>
      <c r="L973"/>
      <c r="M973"/>
      <c r="N973"/>
      <c r="O973"/>
      <c r="P973"/>
      <c r="Q973"/>
      <c r="R973"/>
      <c r="S973"/>
      <c r="T973"/>
      <c r="U973"/>
      <c r="V973"/>
      <c r="W973"/>
      <c r="X973"/>
      <c r="Y973"/>
    </row>
    <row r="974" spans="1:25" s="104" customFormat="1" hidden="1" x14ac:dyDescent="0.25">
      <c r="A974" s="97" t="str">
        <f t="shared" si="16"/>
        <v>sam62_usb2_wrap_vdd_dyn_idle</v>
      </c>
      <c r="B974" s="97" t="s">
        <v>207</v>
      </c>
      <c r="C974" s="97" t="s">
        <v>1079</v>
      </c>
      <c r="D974" s="108"/>
      <c r="E974" s="97" t="s">
        <v>1072</v>
      </c>
      <c r="F974" s="114">
        <v>0.28439560439560441</v>
      </c>
      <c r="G974" s="97" t="s">
        <v>1120</v>
      </c>
      <c r="H974" s="5"/>
      <c r="I974"/>
      <c r="J974"/>
      <c r="K974"/>
      <c r="L974"/>
      <c r="M974"/>
      <c r="N974"/>
      <c r="O974"/>
      <c r="P974"/>
      <c r="Q974"/>
      <c r="R974"/>
      <c r="S974"/>
      <c r="T974"/>
      <c r="U974"/>
      <c r="V974"/>
      <c r="W974"/>
      <c r="X974"/>
      <c r="Y974"/>
    </row>
    <row r="975" spans="1:25" s="104" customFormat="1" hidden="1" x14ac:dyDescent="0.25">
      <c r="A975" s="97" t="str">
        <f t="shared" si="16"/>
        <v>sam62_emmc_4bit_wrap_vdd_dyn_idle</v>
      </c>
      <c r="B975" s="97" t="s">
        <v>240</v>
      </c>
      <c r="C975" s="97" t="s">
        <v>1079</v>
      </c>
      <c r="D975" s="108"/>
      <c r="E975" s="97" t="s">
        <v>1072</v>
      </c>
      <c r="F975" s="114">
        <v>0.22374429223744297</v>
      </c>
      <c r="G975" s="97" t="s">
        <v>1120</v>
      </c>
      <c r="H975" s="5"/>
      <c r="I975"/>
      <c r="J975"/>
      <c r="K975"/>
      <c r="L975"/>
      <c r="M975"/>
      <c r="N975"/>
      <c r="O975"/>
      <c r="P975"/>
      <c r="Q975"/>
      <c r="R975"/>
      <c r="S975"/>
      <c r="T975"/>
      <c r="U975"/>
      <c r="V975"/>
      <c r="W975"/>
      <c r="X975"/>
      <c r="Y975"/>
    </row>
    <row r="976" spans="1:25" s="104" customFormat="1" hidden="1" x14ac:dyDescent="0.25">
      <c r="A976" s="97" t="str">
        <f t="shared" si="16"/>
        <v>sam62_emmc_8bit_wrap_vdd_dyn_idle</v>
      </c>
      <c r="B976" s="97" t="s">
        <v>241</v>
      </c>
      <c r="C976" s="97" t="s">
        <v>1079</v>
      </c>
      <c r="D976" s="108"/>
      <c r="E976" s="97" t="s">
        <v>1072</v>
      </c>
      <c r="F976" s="114">
        <v>0.23423423423423426</v>
      </c>
      <c r="G976" s="97" t="s">
        <v>1120</v>
      </c>
      <c r="H976" s="5"/>
      <c r="I976"/>
      <c r="J976"/>
      <c r="K976"/>
      <c r="L976"/>
      <c r="M976"/>
      <c r="N976"/>
      <c r="O976"/>
      <c r="P976"/>
      <c r="Q976"/>
      <c r="R976"/>
      <c r="S976"/>
      <c r="T976"/>
      <c r="U976"/>
      <c r="V976"/>
      <c r="W976"/>
      <c r="X976"/>
      <c r="Y976"/>
    </row>
    <row r="977" spans="1:25" s="104" customFormat="1" hidden="1" x14ac:dyDescent="0.25">
      <c r="A977" s="97" t="str">
        <f t="shared" si="16"/>
        <v>sam62_gpmc_elm_wrap_vdd_dyn_idle</v>
      </c>
      <c r="B977" s="97" t="s">
        <v>211</v>
      </c>
      <c r="C977" s="97" t="s">
        <v>1079</v>
      </c>
      <c r="D977" s="108"/>
      <c r="E977" s="97" t="s">
        <v>1072</v>
      </c>
      <c r="F977" s="114">
        <v>0.21654135338345862</v>
      </c>
      <c r="G977" s="97" t="s">
        <v>1120</v>
      </c>
      <c r="H977" s="5"/>
      <c r="I977"/>
      <c r="J977"/>
      <c r="K977"/>
      <c r="L977"/>
      <c r="M977"/>
      <c r="N977"/>
      <c r="O977"/>
      <c r="P977"/>
      <c r="Q977"/>
      <c r="R977"/>
      <c r="S977"/>
      <c r="T977"/>
      <c r="U977"/>
      <c r="V977"/>
      <c r="W977"/>
      <c r="X977"/>
      <c r="Y977"/>
    </row>
    <row r="978" spans="1:25" s="104" customFormat="1" hidden="1" x14ac:dyDescent="0.25">
      <c r="A978" s="97" t="str">
        <f t="shared" si="16"/>
        <v>sam62_ddr_wrap_vdd_dyn_idle</v>
      </c>
      <c r="B978" s="97" t="s">
        <v>215</v>
      </c>
      <c r="C978" s="97" t="s">
        <v>1079</v>
      </c>
      <c r="D978" s="108"/>
      <c r="E978" s="97" t="s">
        <v>1072</v>
      </c>
      <c r="F978" s="114">
        <v>0.24</v>
      </c>
      <c r="G978" s="97" t="s">
        <v>1120</v>
      </c>
      <c r="H978" s="5"/>
      <c r="I978"/>
      <c r="J978"/>
      <c r="K978"/>
      <c r="L978"/>
      <c r="M978"/>
      <c r="N978"/>
      <c r="O978"/>
      <c r="P978"/>
      <c r="Q978"/>
      <c r="R978"/>
      <c r="S978"/>
      <c r="T978"/>
      <c r="U978"/>
      <c r="V978"/>
      <c r="W978"/>
      <c r="X978"/>
      <c r="Y978"/>
    </row>
    <row r="979" spans="1:25" s="104" customFormat="1" hidden="1" x14ac:dyDescent="0.25">
      <c r="A979" s="97" t="str">
        <f t="shared" si="16"/>
        <v>ddr16_1600_phy_vdd_dyn_idle</v>
      </c>
      <c r="B979" s="97" t="s">
        <v>314</v>
      </c>
      <c r="C979" s="97" t="s">
        <v>1079</v>
      </c>
      <c r="D979" s="108"/>
      <c r="E979" s="97" t="s">
        <v>1072</v>
      </c>
      <c r="F979" s="114">
        <v>0.13203463203463203</v>
      </c>
      <c r="G979" s="97" t="s">
        <v>1120</v>
      </c>
      <c r="H979" s="5"/>
      <c r="I979"/>
      <c r="J979"/>
      <c r="K979"/>
      <c r="L979"/>
      <c r="M979"/>
      <c r="N979"/>
      <c r="O979"/>
      <c r="P979"/>
      <c r="Q979"/>
      <c r="R979"/>
      <c r="S979"/>
      <c r="T979"/>
      <c r="U979"/>
      <c r="V979"/>
      <c r="W979"/>
      <c r="X979"/>
      <c r="Y979"/>
    </row>
    <row r="980" spans="1:25" s="104" customFormat="1" hidden="1" x14ac:dyDescent="0.25">
      <c r="A980" s="97" t="str">
        <f t="shared" si="16"/>
        <v>sam62_debug_wrap_vdd_dyn_idle</v>
      </c>
      <c r="B980" s="97" t="s">
        <v>186</v>
      </c>
      <c r="C980" s="97" t="s">
        <v>1079</v>
      </c>
      <c r="D980" s="108"/>
      <c r="E980" s="97" t="s">
        <v>1072</v>
      </c>
      <c r="F980" s="114">
        <v>0.29742268041237113</v>
      </c>
      <c r="G980" s="97" t="s">
        <v>1120</v>
      </c>
      <c r="H980" s="5"/>
      <c r="I980"/>
      <c r="J980"/>
      <c r="K980"/>
      <c r="L980"/>
      <c r="M980"/>
      <c r="N980"/>
      <c r="O980"/>
      <c r="P980"/>
      <c r="Q980"/>
      <c r="R980"/>
      <c r="S980"/>
      <c r="T980"/>
      <c r="U980"/>
      <c r="V980"/>
      <c r="W980"/>
      <c r="X980"/>
      <c r="Y980"/>
    </row>
    <row r="981" spans="1:25" s="104" customFormat="1" hidden="1" x14ac:dyDescent="0.25">
      <c r="A981" s="97" t="str">
        <f t="shared" si="16"/>
        <v>sam62_efuse_ctrl_wrap_vdd_dyn_idle</v>
      </c>
      <c r="B981" s="97" t="s">
        <v>213</v>
      </c>
      <c r="C981" s="97" t="s">
        <v>1079</v>
      </c>
      <c r="D981" s="108"/>
      <c r="E981" s="97" t="s">
        <v>1072</v>
      </c>
      <c r="F981" s="114">
        <v>0.13116883116883118</v>
      </c>
      <c r="G981" s="97" t="s">
        <v>1120</v>
      </c>
      <c r="H981" s="5"/>
      <c r="I981"/>
      <c r="J981"/>
      <c r="K981"/>
      <c r="L981"/>
      <c r="M981"/>
      <c r="N981"/>
      <c r="O981"/>
      <c r="P981"/>
      <c r="Q981"/>
      <c r="R981"/>
      <c r="S981"/>
      <c r="T981"/>
      <c r="U981"/>
      <c r="V981"/>
      <c r="W981"/>
      <c r="X981"/>
      <c r="Y981"/>
    </row>
    <row r="982" spans="1:25" s="104" customFormat="1" hidden="1" x14ac:dyDescent="0.25">
      <c r="A982" s="97" t="str">
        <f t="shared" si="16"/>
        <v>sam62_main_infra_phys_vdd_dyn_idle</v>
      </c>
      <c r="B982" s="97" t="s">
        <v>144</v>
      </c>
      <c r="C982" s="97" t="s">
        <v>1079</v>
      </c>
      <c r="D982" s="108"/>
      <c r="E982" s="97" t="s">
        <v>1072</v>
      </c>
      <c r="F982" s="114">
        <v>0.2569573283858998</v>
      </c>
      <c r="G982" s="97" t="s">
        <v>1120</v>
      </c>
      <c r="H982" s="5"/>
      <c r="I982"/>
      <c r="J982"/>
      <c r="K982"/>
      <c r="L982"/>
      <c r="M982"/>
      <c r="N982"/>
      <c r="O982"/>
      <c r="P982"/>
      <c r="Q982"/>
      <c r="R982"/>
      <c r="S982"/>
      <c r="T982"/>
      <c r="U982"/>
      <c r="V982"/>
      <c r="W982"/>
      <c r="X982"/>
      <c r="Y982"/>
    </row>
    <row r="983" spans="1:25" s="104" customFormat="1" hidden="1" x14ac:dyDescent="0.25">
      <c r="A983" s="97" t="str">
        <f t="shared" si="16"/>
        <v>sam62_main_ip_wrap_vdd_dyn_idle</v>
      </c>
      <c r="B983" s="97" t="s">
        <v>238</v>
      </c>
      <c r="C983" s="97" t="s">
        <v>1079</v>
      </c>
      <c r="D983" s="108"/>
      <c r="E983" s="97" t="s">
        <v>1072</v>
      </c>
      <c r="F983" s="114">
        <v>7.6343469114553461E-2</v>
      </c>
      <c r="G983" s="97" t="s">
        <v>1120</v>
      </c>
      <c r="H983" s="5"/>
      <c r="I983"/>
      <c r="J983"/>
      <c r="K983"/>
      <c r="L983"/>
      <c r="M983"/>
      <c r="N983"/>
      <c r="O983"/>
      <c r="P983"/>
      <c r="Q983"/>
      <c r="R983"/>
      <c r="S983"/>
      <c r="T983"/>
      <c r="U983"/>
      <c r="V983"/>
      <c r="W983"/>
      <c r="X983"/>
      <c r="Y983"/>
    </row>
    <row r="984" spans="1:25" s="104" customFormat="1" hidden="1" x14ac:dyDescent="0.25">
      <c r="A984" s="97" t="str">
        <f t="shared" si="16"/>
        <v>sam62_mcu_infra_phys_vdd_dyn_idle</v>
      </c>
      <c r="B984" s="97" t="s">
        <v>183</v>
      </c>
      <c r="C984" s="97" t="s">
        <v>1079</v>
      </c>
      <c r="D984" s="108"/>
      <c r="E984" s="97" t="s">
        <v>1072</v>
      </c>
      <c r="F984" s="114">
        <v>0.17509578544061302</v>
      </c>
      <c r="G984" s="97" t="s">
        <v>1120</v>
      </c>
      <c r="H984" s="5"/>
      <c r="I984"/>
      <c r="J984"/>
      <c r="K984"/>
      <c r="L984"/>
      <c r="M984"/>
      <c r="N984"/>
      <c r="O984"/>
      <c r="P984"/>
      <c r="Q984"/>
      <c r="R984"/>
      <c r="S984"/>
      <c r="T984"/>
      <c r="U984"/>
      <c r="V984"/>
      <c r="W984"/>
      <c r="X984"/>
      <c r="Y984"/>
    </row>
    <row r="985" spans="1:25" s="104" customFormat="1" hidden="1" x14ac:dyDescent="0.25">
      <c r="A985" s="97" t="str">
        <f t="shared" si="16"/>
        <v>sam62_mcu_wrap_vdd_dyn_idle</v>
      </c>
      <c r="B985" s="97" t="s">
        <v>236</v>
      </c>
      <c r="C985" s="97" t="s">
        <v>1079</v>
      </c>
      <c r="D985" s="108"/>
      <c r="E985" s="97" t="s">
        <v>1072</v>
      </c>
      <c r="F985" s="114">
        <v>0.16296296296296295</v>
      </c>
      <c r="G985" s="97" t="s">
        <v>1120</v>
      </c>
      <c r="H985" s="5"/>
      <c r="I985"/>
      <c r="J985"/>
      <c r="K985"/>
      <c r="L985"/>
      <c r="M985"/>
      <c r="N985"/>
      <c r="O985"/>
      <c r="P985"/>
      <c r="Q985"/>
      <c r="R985"/>
      <c r="S985"/>
      <c r="T985"/>
      <c r="U985"/>
      <c r="V985"/>
      <c r="W985"/>
      <c r="X985"/>
      <c r="Y985"/>
    </row>
    <row r="986" spans="1:25" s="104" customFormat="1" hidden="1" x14ac:dyDescent="0.25">
      <c r="A986" s="97" t="str">
        <f t="shared" si="16"/>
        <v>sam62_odp_ctrl_wrap_vdd_dyn_idle</v>
      </c>
      <c r="B986" s="97" t="s">
        <v>212</v>
      </c>
      <c r="C986" s="97" t="s">
        <v>1079</v>
      </c>
      <c r="D986" s="108"/>
      <c r="E986" s="97" t="s">
        <v>1072</v>
      </c>
      <c r="F986" s="114">
        <v>0.41578947368421054</v>
      </c>
      <c r="G986" s="97" t="s">
        <v>1120</v>
      </c>
      <c r="H986" s="5"/>
      <c r="I986"/>
      <c r="J986"/>
      <c r="K986"/>
      <c r="L986"/>
      <c r="M986"/>
      <c r="N986"/>
      <c r="O986"/>
      <c r="P986"/>
      <c r="Q986"/>
      <c r="R986"/>
      <c r="S986"/>
      <c r="T986"/>
      <c r="U986"/>
      <c r="V986"/>
      <c r="W986"/>
      <c r="X986"/>
      <c r="Y986"/>
    </row>
    <row r="987" spans="1:25" s="104" customFormat="1" hidden="1" x14ac:dyDescent="0.25">
      <c r="A987" s="97" t="str">
        <f t="shared" si="16"/>
        <v>sam62_sec_wrap_vdd_dyn_idle</v>
      </c>
      <c r="B987" s="97" t="s">
        <v>262</v>
      </c>
      <c r="C987" s="97" t="s">
        <v>1079</v>
      </c>
      <c r="D987" s="108"/>
      <c r="E987" s="97" t="s">
        <v>1072</v>
      </c>
      <c r="F987" s="114">
        <v>0.12081407484717459</v>
      </c>
      <c r="G987" s="97" t="s">
        <v>1120</v>
      </c>
      <c r="H987" s="5"/>
      <c r="I987"/>
      <c r="J987"/>
      <c r="K987"/>
      <c r="L987"/>
      <c r="M987"/>
      <c r="N987"/>
      <c r="O987"/>
      <c r="P987"/>
      <c r="Q987"/>
      <c r="R987"/>
      <c r="S987"/>
      <c r="T987"/>
      <c r="U987"/>
      <c r="V987"/>
      <c r="W987"/>
      <c r="X987"/>
      <c r="Y987"/>
    </row>
    <row r="988" spans="1:25" s="104" customFormat="1" hidden="1" x14ac:dyDescent="0.25">
      <c r="A988" s="97" t="str">
        <f t="shared" si="16"/>
        <v>sam62_core_vdd_dyn_idle</v>
      </c>
      <c r="B988" s="97" t="s">
        <v>185</v>
      </c>
      <c r="C988" s="97" t="s">
        <v>1079</v>
      </c>
      <c r="D988" s="108"/>
      <c r="E988" s="97" t="s">
        <v>1072</v>
      </c>
      <c r="F988" s="114">
        <v>0.15</v>
      </c>
      <c r="G988" s="97" t="s">
        <v>1120</v>
      </c>
      <c r="H988" s="5"/>
      <c r="I988"/>
      <c r="J988"/>
      <c r="K988"/>
      <c r="L988"/>
      <c r="M988"/>
      <c r="N988"/>
      <c r="O988"/>
      <c r="P988"/>
      <c r="Q988"/>
      <c r="R988"/>
      <c r="S988"/>
      <c r="T988"/>
      <c r="U988"/>
      <c r="V988"/>
      <c r="W988"/>
      <c r="X988"/>
      <c r="Y988"/>
    </row>
    <row r="989" spans="1:25" s="104" customFormat="1" hidden="1" x14ac:dyDescent="0.25">
      <c r="A989" s="97" t="str">
        <f t="shared" si="16"/>
        <v>sam62_pll_ctrl_wrap_vdd_dyn_idle</v>
      </c>
      <c r="B989" s="97" t="s">
        <v>221</v>
      </c>
      <c r="C989" s="97" t="s">
        <v>1079</v>
      </c>
      <c r="D989" s="108"/>
      <c r="E989" s="97" t="s">
        <v>1072</v>
      </c>
      <c r="F989" s="114">
        <v>0.37301587301587302</v>
      </c>
      <c r="G989" s="97" t="s">
        <v>1120</v>
      </c>
      <c r="H989" s="5"/>
      <c r="I989"/>
      <c r="J989"/>
      <c r="K989"/>
      <c r="L989"/>
      <c r="M989"/>
      <c r="N989"/>
      <c r="O989"/>
      <c r="P989"/>
      <c r="Q989"/>
      <c r="R989"/>
      <c r="S989"/>
      <c r="T989"/>
      <c r="U989"/>
      <c r="V989"/>
      <c r="W989"/>
      <c r="X989"/>
      <c r="Y989"/>
    </row>
    <row r="990" spans="1:25" s="104" customFormat="1" hidden="1" x14ac:dyDescent="0.25">
      <c r="A990" s="97" t="str">
        <f t="shared" si="16"/>
        <v>sam62_m4ss_wrap_vdd_dyn_max</v>
      </c>
      <c r="B990" s="97" t="s">
        <v>219</v>
      </c>
      <c r="C990" s="97" t="s">
        <v>1078</v>
      </c>
      <c r="D990" s="108"/>
      <c r="E990" s="97" t="s">
        <v>1072</v>
      </c>
      <c r="F990" s="108">
        <v>0.5</v>
      </c>
      <c r="G990" s="97" t="s">
        <v>1121</v>
      </c>
      <c r="H990" s="5"/>
      <c r="I990"/>
      <c r="J990"/>
      <c r="K990"/>
      <c r="L990"/>
      <c r="M990"/>
      <c r="N990"/>
      <c r="O990"/>
      <c r="P990"/>
      <c r="Q990"/>
      <c r="R990"/>
      <c r="S990"/>
      <c r="T990"/>
      <c r="U990"/>
      <c r="V990"/>
      <c r="W990"/>
      <c r="X990"/>
      <c r="Y990"/>
    </row>
    <row r="991" spans="1:25" s="104" customFormat="1" hidden="1" x14ac:dyDescent="0.25">
      <c r="A991" s="97" t="str">
        <f t="shared" si="16"/>
        <v>sam62_dm_wrap_vdd_dyn_max</v>
      </c>
      <c r="B991" s="97" t="s">
        <v>237</v>
      </c>
      <c r="C991" s="97" t="s">
        <v>1078</v>
      </c>
      <c r="D991" s="108"/>
      <c r="E991" s="97" t="s">
        <v>1072</v>
      </c>
      <c r="F991" s="108">
        <v>0.3</v>
      </c>
      <c r="G991" s="97" t="s">
        <v>1121</v>
      </c>
      <c r="H991" s="5"/>
      <c r="I991"/>
      <c r="J991"/>
      <c r="K991"/>
      <c r="L991"/>
      <c r="M991"/>
      <c r="N991"/>
      <c r="O991"/>
      <c r="P991"/>
      <c r="Q991"/>
      <c r="R991"/>
      <c r="S991"/>
      <c r="T991"/>
      <c r="U991"/>
      <c r="V991"/>
      <c r="W991"/>
      <c r="X991"/>
      <c r="Y991"/>
    </row>
    <row r="992" spans="1:25" s="104" customFormat="1" hidden="1" x14ac:dyDescent="0.25">
      <c r="A992" s="97" t="str">
        <f t="shared" si="16"/>
        <v>sam62_a53_dual_wrap_cba_cpu_phys_vdd_dyn_max</v>
      </c>
      <c r="B992" s="97" t="s">
        <v>274</v>
      </c>
      <c r="C992" s="97" t="s">
        <v>1078</v>
      </c>
      <c r="D992" s="108"/>
      <c r="E992" s="97" t="s">
        <v>1072</v>
      </c>
      <c r="F992" s="108">
        <v>0.15227272727272728</v>
      </c>
      <c r="G992" s="97" t="s">
        <v>1121</v>
      </c>
      <c r="H992" s="5"/>
      <c r="I992"/>
      <c r="J992"/>
      <c r="K992"/>
      <c r="L992"/>
      <c r="M992"/>
      <c r="N992"/>
      <c r="O992"/>
      <c r="P992"/>
      <c r="Q992"/>
      <c r="R992"/>
      <c r="S992"/>
      <c r="T992"/>
      <c r="U992"/>
      <c r="V992"/>
      <c r="W992"/>
      <c r="X992"/>
      <c r="Y992"/>
    </row>
    <row r="993" spans="1:25" s="104" customFormat="1" hidden="1" x14ac:dyDescent="0.25">
      <c r="A993" s="97" t="str">
        <f t="shared" si="16"/>
        <v>sam62_a53_512kb_wrap_vdd_dyn_max</v>
      </c>
      <c r="B993" s="97" t="s">
        <v>270</v>
      </c>
      <c r="C993" s="97" t="s">
        <v>1078</v>
      </c>
      <c r="D993" s="108"/>
      <c r="E993" s="97" t="s">
        <v>1072</v>
      </c>
      <c r="F993" s="108">
        <v>0.1</v>
      </c>
      <c r="G993" s="97" t="s">
        <v>1121</v>
      </c>
      <c r="H993" s="5"/>
      <c r="I993"/>
      <c r="J993"/>
      <c r="K993"/>
      <c r="L993"/>
      <c r="M993"/>
      <c r="N993"/>
      <c r="O993"/>
      <c r="P993"/>
      <c r="Q993"/>
      <c r="R993"/>
      <c r="S993"/>
      <c r="T993"/>
      <c r="U993"/>
      <c r="V993"/>
      <c r="W993"/>
      <c r="X993"/>
      <c r="Y993"/>
    </row>
    <row r="994" spans="1:25" s="104" customFormat="1" hidden="1" x14ac:dyDescent="0.25">
      <c r="A994" s="97" t="str">
        <f t="shared" si="16"/>
        <v>sam62_cpsw3_wrap_vdd_dyn_max</v>
      </c>
      <c r="B994" s="97" t="s">
        <v>216</v>
      </c>
      <c r="C994" s="97" t="s">
        <v>1078</v>
      </c>
      <c r="D994" s="108"/>
      <c r="E994" s="97" t="s">
        <v>1072</v>
      </c>
      <c r="F994" s="108">
        <v>0.48</v>
      </c>
      <c r="G994" s="97" t="s">
        <v>1121</v>
      </c>
      <c r="H994" s="5"/>
      <c r="I994"/>
      <c r="J994"/>
      <c r="K994"/>
      <c r="L994"/>
      <c r="M994"/>
      <c r="N994"/>
      <c r="O994"/>
      <c r="P994"/>
      <c r="Q994"/>
      <c r="R994"/>
      <c r="S994"/>
      <c r="T994"/>
      <c r="U994"/>
      <c r="V994"/>
      <c r="W994"/>
      <c r="X994"/>
      <c r="Y994"/>
    </row>
    <row r="995" spans="1:25" s="104" customFormat="1" hidden="1" x14ac:dyDescent="0.25">
      <c r="A995" s="97" t="str">
        <f t="shared" si="16"/>
        <v>sam62_icss_m_wrap_vdd_dyn_max</v>
      </c>
      <c r="B995" s="97" t="s">
        <v>209</v>
      </c>
      <c r="C995" s="97" t="s">
        <v>1078</v>
      </c>
      <c r="D995" s="108"/>
      <c r="E995" s="97" t="s">
        <v>1072</v>
      </c>
      <c r="F995" s="108">
        <v>0.32</v>
      </c>
      <c r="G995" s="97" t="s">
        <v>1121</v>
      </c>
      <c r="H995" s="5"/>
      <c r="I995"/>
      <c r="J995"/>
      <c r="K995"/>
      <c r="L995"/>
      <c r="M995"/>
      <c r="N995"/>
      <c r="O995"/>
      <c r="P995"/>
      <c r="Q995"/>
      <c r="R995"/>
      <c r="S995"/>
      <c r="T995"/>
      <c r="U995"/>
      <c r="V995"/>
      <c r="W995"/>
      <c r="X995"/>
      <c r="Y995"/>
    </row>
    <row r="996" spans="1:25" s="104" customFormat="1" hidden="1" x14ac:dyDescent="0.25">
      <c r="A996" s="97" t="str">
        <f t="shared" ref="A996:A1027" si="17">B996&amp;"_"&amp;C996</f>
        <v>sam62_dss_oldi_wrap_vdd_dyn_max</v>
      </c>
      <c r="B996" s="97" t="s">
        <v>214</v>
      </c>
      <c r="C996" s="97" t="s">
        <v>1078</v>
      </c>
      <c r="D996" s="108"/>
      <c r="E996" s="97" t="s">
        <v>1072</v>
      </c>
      <c r="F996" s="108">
        <v>0.48</v>
      </c>
      <c r="G996" s="97" t="s">
        <v>1121</v>
      </c>
      <c r="H996" s="5"/>
      <c r="I996"/>
      <c r="J996"/>
      <c r="K996"/>
      <c r="L996"/>
      <c r="M996"/>
      <c r="N996"/>
      <c r="O996"/>
      <c r="P996"/>
      <c r="Q996"/>
      <c r="R996"/>
      <c r="S996"/>
      <c r="T996"/>
      <c r="U996"/>
      <c r="V996"/>
      <c r="W996"/>
      <c r="X996"/>
      <c r="Y996"/>
    </row>
    <row r="997" spans="1:25" s="104" customFormat="1" hidden="1" x14ac:dyDescent="0.25">
      <c r="A997" s="97" t="str">
        <f t="shared" si="17"/>
        <v>sam62_k3_gpu_axe116m_wrap_vdd_dyn_max</v>
      </c>
      <c r="B997" s="97" t="s">
        <v>242</v>
      </c>
      <c r="C997" s="97" t="s">
        <v>1078</v>
      </c>
      <c r="D997" s="108"/>
      <c r="E997" s="97" t="s">
        <v>1072</v>
      </c>
      <c r="F997" s="108">
        <v>0.2006880733944954</v>
      </c>
      <c r="G997" s="97" t="s">
        <v>1121</v>
      </c>
      <c r="H997" s="5"/>
      <c r="I997"/>
      <c r="J997"/>
      <c r="K997"/>
      <c r="L997"/>
      <c r="M997"/>
      <c r="N997"/>
      <c r="O997"/>
      <c r="P997"/>
      <c r="Q997"/>
      <c r="R997"/>
      <c r="S997"/>
      <c r="T997"/>
      <c r="U997"/>
      <c r="V997"/>
      <c r="W997"/>
      <c r="X997"/>
      <c r="Y997"/>
    </row>
    <row r="998" spans="1:25" s="104" customFormat="1" hidden="1" x14ac:dyDescent="0.25">
      <c r="A998" s="97" t="str">
        <f t="shared" si="17"/>
        <v>sam62_mcasp_wrap_vdd_dyn_max</v>
      </c>
      <c r="B998" s="97" t="s">
        <v>208</v>
      </c>
      <c r="C998" s="97" t="s">
        <v>1078</v>
      </c>
      <c r="D998" s="108"/>
      <c r="E998" s="97" t="s">
        <v>1072</v>
      </c>
      <c r="F998" s="108">
        <v>0.72</v>
      </c>
      <c r="G998" s="97" t="s">
        <v>1121</v>
      </c>
      <c r="H998" s="5"/>
      <c r="I998"/>
      <c r="J998"/>
      <c r="K998"/>
      <c r="L998"/>
      <c r="M998"/>
      <c r="N998"/>
      <c r="O998"/>
      <c r="P998"/>
      <c r="Q998"/>
      <c r="R998"/>
      <c r="S998"/>
      <c r="T998"/>
      <c r="U998"/>
      <c r="V998"/>
      <c r="W998"/>
      <c r="X998"/>
      <c r="Y998"/>
    </row>
    <row r="999" spans="1:25" s="104" customFormat="1" hidden="1" x14ac:dyDescent="0.25">
      <c r="A999" s="97" t="str">
        <f t="shared" si="17"/>
        <v>sam62_csirx_wrap_vdd_dyn_max</v>
      </c>
      <c r="B999" s="97" t="s">
        <v>239</v>
      </c>
      <c r="C999" s="97" t="s">
        <v>1078</v>
      </c>
      <c r="D999" s="108"/>
      <c r="E999" s="97" t="s">
        <v>1072</v>
      </c>
      <c r="F999" s="108">
        <v>0.47999999999999993</v>
      </c>
      <c r="G999" s="97" t="s">
        <v>1121</v>
      </c>
      <c r="H999" s="5"/>
      <c r="I999"/>
      <c r="J999"/>
      <c r="K999"/>
      <c r="L999"/>
      <c r="M999"/>
      <c r="N999"/>
      <c r="O999"/>
      <c r="P999"/>
      <c r="Q999"/>
      <c r="R999"/>
      <c r="S999"/>
      <c r="T999"/>
      <c r="U999"/>
      <c r="V999"/>
      <c r="W999"/>
      <c r="X999"/>
      <c r="Y999"/>
    </row>
    <row r="1000" spans="1:25" s="104" customFormat="1" hidden="1" x14ac:dyDescent="0.25">
      <c r="A1000" s="97" t="str">
        <f t="shared" si="17"/>
        <v>sam62_usb2_wrap_vdd_dyn_max</v>
      </c>
      <c r="B1000" s="97" t="s">
        <v>207</v>
      </c>
      <c r="C1000" s="97" t="s">
        <v>1078</v>
      </c>
      <c r="D1000" s="108"/>
      <c r="E1000" s="97" t="s">
        <v>1072</v>
      </c>
      <c r="F1000" s="108">
        <v>0.24</v>
      </c>
      <c r="G1000" s="97" t="s">
        <v>1121</v>
      </c>
      <c r="H1000" s="5"/>
      <c r="I1000"/>
      <c r="J1000"/>
      <c r="K1000"/>
      <c r="L1000"/>
      <c r="M1000"/>
      <c r="N1000"/>
      <c r="O1000"/>
      <c r="P1000"/>
      <c r="Q1000"/>
      <c r="R1000"/>
      <c r="S1000"/>
      <c r="T1000"/>
      <c r="U1000"/>
      <c r="V1000"/>
      <c r="W1000"/>
      <c r="X1000"/>
      <c r="Y1000"/>
    </row>
    <row r="1001" spans="1:25" s="104" customFormat="1" hidden="1" x14ac:dyDescent="0.25">
      <c r="A1001" s="97" t="str">
        <f t="shared" si="17"/>
        <v>sam62_emmc_4bit_wrap_vdd_dyn_max</v>
      </c>
      <c r="B1001" s="97" t="s">
        <v>240</v>
      </c>
      <c r="C1001" s="97" t="s">
        <v>1078</v>
      </c>
      <c r="D1001" s="108"/>
      <c r="E1001" s="97" t="s">
        <v>1072</v>
      </c>
      <c r="F1001" s="108">
        <v>0.48</v>
      </c>
      <c r="G1001" s="97" t="s">
        <v>1121</v>
      </c>
      <c r="H1001" s="5"/>
      <c r="I1001"/>
      <c r="J1001"/>
      <c r="K1001"/>
      <c r="L1001"/>
      <c r="M1001"/>
      <c r="N1001"/>
      <c r="O1001"/>
      <c r="P1001"/>
      <c r="Q1001"/>
      <c r="R1001"/>
      <c r="S1001"/>
      <c r="T1001"/>
      <c r="U1001"/>
      <c r="V1001"/>
      <c r="W1001"/>
      <c r="X1001"/>
      <c r="Y1001"/>
    </row>
    <row r="1002" spans="1:25" s="104" customFormat="1" hidden="1" x14ac:dyDescent="0.25">
      <c r="A1002" s="97" t="str">
        <f t="shared" si="17"/>
        <v>sam62_emmc_8bit_wrap_vdd_dyn_max</v>
      </c>
      <c r="B1002" s="97" t="s">
        <v>241</v>
      </c>
      <c r="C1002" s="97" t="s">
        <v>1078</v>
      </c>
      <c r="D1002" s="108"/>
      <c r="E1002" s="97" t="s">
        <v>1072</v>
      </c>
      <c r="F1002" s="108">
        <v>0.48</v>
      </c>
      <c r="G1002" s="97" t="s">
        <v>1121</v>
      </c>
      <c r="H1002" s="5"/>
      <c r="I1002"/>
      <c r="J1002"/>
      <c r="K1002"/>
      <c r="L1002"/>
      <c r="M1002"/>
      <c r="N1002"/>
      <c r="O1002"/>
      <c r="P1002"/>
      <c r="Q1002"/>
      <c r="R1002"/>
      <c r="S1002"/>
      <c r="T1002"/>
      <c r="U1002"/>
      <c r="V1002"/>
      <c r="W1002"/>
      <c r="X1002"/>
      <c r="Y1002"/>
    </row>
    <row r="1003" spans="1:25" s="104" customFormat="1" hidden="1" x14ac:dyDescent="0.25">
      <c r="A1003" s="97" t="str">
        <f t="shared" si="17"/>
        <v>sam62_gpmc_elm_wrap_vdd_dyn_max</v>
      </c>
      <c r="B1003" s="97" t="s">
        <v>211</v>
      </c>
      <c r="C1003" s="97" t="s">
        <v>1078</v>
      </c>
      <c r="D1003" s="108"/>
      <c r="E1003" s="97" t="s">
        <v>1072</v>
      </c>
      <c r="F1003" s="108">
        <v>0.48</v>
      </c>
      <c r="G1003" s="97" t="s">
        <v>1121</v>
      </c>
      <c r="H1003" s="5"/>
      <c r="I1003"/>
      <c r="J1003"/>
      <c r="K1003"/>
      <c r="L1003"/>
      <c r="M1003"/>
      <c r="N1003"/>
      <c r="O1003"/>
      <c r="P1003"/>
      <c r="Q1003"/>
      <c r="R1003"/>
      <c r="S1003"/>
      <c r="T1003"/>
      <c r="U1003"/>
      <c r="V1003"/>
      <c r="W1003"/>
      <c r="X1003"/>
      <c r="Y1003"/>
    </row>
    <row r="1004" spans="1:25" s="104" customFormat="1" hidden="1" x14ac:dyDescent="0.25">
      <c r="A1004" s="97" t="str">
        <f t="shared" si="17"/>
        <v>sam62_ddr_wrap_vdd_dyn_max</v>
      </c>
      <c r="B1004" s="97" t="s">
        <v>215</v>
      </c>
      <c r="C1004" s="97" t="s">
        <v>1078</v>
      </c>
      <c r="D1004" s="108"/>
      <c r="E1004" s="97" t="s">
        <v>1072</v>
      </c>
      <c r="F1004" s="108">
        <v>0.45</v>
      </c>
      <c r="G1004" s="97" t="s">
        <v>1121</v>
      </c>
      <c r="H1004" s="5"/>
      <c r="I1004"/>
      <c r="J1004"/>
      <c r="K1004"/>
      <c r="L1004"/>
      <c r="M1004"/>
      <c r="N1004"/>
      <c r="O1004"/>
      <c r="P1004"/>
      <c r="Q1004"/>
      <c r="R1004"/>
      <c r="S1004"/>
      <c r="T1004"/>
      <c r="U1004"/>
      <c r="V1004"/>
      <c r="W1004"/>
      <c r="X1004"/>
      <c r="Y1004"/>
    </row>
    <row r="1005" spans="1:25" s="104" customFormat="1" hidden="1" x14ac:dyDescent="0.25">
      <c r="A1005" s="97" t="str">
        <f t="shared" si="17"/>
        <v>ddr16_1600_phy_vdd_dyn_max</v>
      </c>
      <c r="B1005" s="97" t="s">
        <v>314</v>
      </c>
      <c r="C1005" s="97" t="s">
        <v>1078</v>
      </c>
      <c r="D1005" s="108"/>
      <c r="E1005" s="97" t="s">
        <v>1072</v>
      </c>
      <c r="F1005" s="108">
        <v>0.33</v>
      </c>
      <c r="G1005" s="97" t="s">
        <v>1121</v>
      </c>
      <c r="H1005" s="5"/>
      <c r="I1005"/>
      <c r="J1005"/>
      <c r="K1005"/>
      <c r="L1005"/>
      <c r="M1005"/>
      <c r="N1005"/>
      <c r="O1005"/>
      <c r="P1005"/>
      <c r="Q1005"/>
      <c r="R1005"/>
      <c r="S1005"/>
      <c r="T1005"/>
      <c r="U1005"/>
      <c r="V1005"/>
      <c r="W1005"/>
      <c r="X1005"/>
      <c r="Y1005"/>
    </row>
    <row r="1006" spans="1:25" s="104" customFormat="1" hidden="1" x14ac:dyDescent="0.25">
      <c r="A1006" s="97" t="str">
        <f t="shared" si="17"/>
        <v>sam62_debug_wrap_vdd_dyn_max</v>
      </c>
      <c r="B1006" s="97" t="s">
        <v>186</v>
      </c>
      <c r="C1006" s="97" t="s">
        <v>1078</v>
      </c>
      <c r="D1006" s="108"/>
      <c r="E1006" s="97" t="s">
        <v>1072</v>
      </c>
      <c r="F1006" s="108">
        <v>0.48</v>
      </c>
      <c r="G1006" s="97" t="s">
        <v>1121</v>
      </c>
      <c r="H1006" s="5"/>
      <c r="I1006"/>
      <c r="J1006"/>
      <c r="K1006"/>
      <c r="L1006"/>
      <c r="M1006"/>
      <c r="N1006"/>
      <c r="O1006"/>
      <c r="P1006"/>
      <c r="Q1006"/>
      <c r="R1006"/>
      <c r="S1006"/>
      <c r="T1006"/>
      <c r="U1006"/>
      <c r="V1006"/>
      <c r="W1006"/>
      <c r="X1006"/>
      <c r="Y1006"/>
    </row>
    <row r="1007" spans="1:25" s="104" customFormat="1" hidden="1" x14ac:dyDescent="0.25">
      <c r="A1007" s="97" t="str">
        <f t="shared" si="17"/>
        <v>sam62_efuse_ctrl_wrap_vdd_dyn_max</v>
      </c>
      <c r="B1007" s="97" t="s">
        <v>213</v>
      </c>
      <c r="C1007" s="97" t="s">
        <v>1078</v>
      </c>
      <c r="D1007" s="108"/>
      <c r="E1007" s="97" t="s">
        <v>1072</v>
      </c>
      <c r="F1007" s="108">
        <v>0.18</v>
      </c>
      <c r="G1007" s="97" t="s">
        <v>1121</v>
      </c>
      <c r="H1007" s="5"/>
      <c r="I1007"/>
      <c r="J1007"/>
      <c r="K1007"/>
      <c r="L1007"/>
      <c r="M1007"/>
      <c r="N1007"/>
      <c r="O1007"/>
      <c r="P1007"/>
      <c r="Q1007"/>
      <c r="R1007"/>
      <c r="S1007"/>
      <c r="T1007"/>
      <c r="U1007"/>
      <c r="V1007"/>
      <c r="W1007"/>
      <c r="X1007"/>
      <c r="Y1007"/>
    </row>
    <row r="1008" spans="1:25" s="104" customFormat="1" hidden="1" x14ac:dyDescent="0.25">
      <c r="A1008" s="97" t="str">
        <f t="shared" si="17"/>
        <v>sam62_main_infra_phys_vdd_dyn_max</v>
      </c>
      <c r="B1008" s="97" t="s">
        <v>144</v>
      </c>
      <c r="C1008" s="97" t="s">
        <v>1078</v>
      </c>
      <c r="D1008" s="108"/>
      <c r="E1008" s="97" t="s">
        <v>1072</v>
      </c>
      <c r="F1008" s="108">
        <v>0.4</v>
      </c>
      <c r="G1008" s="97" t="s">
        <v>1121</v>
      </c>
      <c r="H1008" s="5"/>
      <c r="I1008"/>
      <c r="J1008"/>
      <c r="K1008"/>
      <c r="L1008"/>
      <c r="M1008"/>
      <c r="N1008"/>
      <c r="O1008"/>
      <c r="P1008"/>
      <c r="Q1008"/>
      <c r="R1008"/>
      <c r="S1008"/>
      <c r="T1008"/>
      <c r="U1008"/>
      <c r="V1008"/>
      <c r="W1008"/>
      <c r="X1008"/>
      <c r="Y1008"/>
    </row>
    <row r="1009" spans="1:25" s="104" customFormat="1" hidden="1" x14ac:dyDescent="0.25">
      <c r="A1009" s="97" t="str">
        <f t="shared" si="17"/>
        <v>sam62_main_ip_wrap_vdd_dyn_max</v>
      </c>
      <c r="B1009" s="97" t="s">
        <v>238</v>
      </c>
      <c r="C1009" s="97" t="s">
        <v>1078</v>
      </c>
      <c r="D1009" s="108"/>
      <c r="E1009" s="97" t="s">
        <v>1072</v>
      </c>
      <c r="F1009" s="108">
        <v>0.4</v>
      </c>
      <c r="G1009" s="97" t="s">
        <v>1121</v>
      </c>
      <c r="H1009" s="5"/>
      <c r="I1009"/>
      <c r="J1009"/>
      <c r="K1009"/>
      <c r="L1009"/>
      <c r="M1009"/>
      <c r="N1009"/>
      <c r="O1009"/>
      <c r="P1009"/>
      <c r="Q1009"/>
      <c r="R1009"/>
      <c r="S1009"/>
      <c r="T1009"/>
      <c r="U1009"/>
      <c r="V1009"/>
      <c r="W1009"/>
      <c r="X1009"/>
      <c r="Y1009"/>
    </row>
    <row r="1010" spans="1:25" s="104" customFormat="1" hidden="1" x14ac:dyDescent="0.25">
      <c r="A1010" s="97" t="str">
        <f t="shared" si="17"/>
        <v>sam62_mcu_infra_phys_vdd_dyn_max</v>
      </c>
      <c r="B1010" s="97" t="s">
        <v>183</v>
      </c>
      <c r="C1010" s="97" t="s">
        <v>1078</v>
      </c>
      <c r="D1010" s="108"/>
      <c r="E1010" s="97" t="s">
        <v>1072</v>
      </c>
      <c r="F1010" s="108">
        <v>0.48</v>
      </c>
      <c r="G1010" s="97" t="s">
        <v>1121</v>
      </c>
      <c r="H1010" s="5"/>
      <c r="I1010"/>
      <c r="J1010"/>
      <c r="K1010"/>
      <c r="L1010"/>
      <c r="M1010"/>
      <c r="N1010"/>
      <c r="O1010"/>
      <c r="P1010"/>
      <c r="Q1010"/>
      <c r="R1010"/>
      <c r="S1010"/>
      <c r="T1010"/>
      <c r="U1010"/>
      <c r="V1010"/>
      <c r="W1010"/>
      <c r="X1010"/>
      <c r="Y1010"/>
    </row>
    <row r="1011" spans="1:25" s="104" customFormat="1" hidden="1" x14ac:dyDescent="0.25">
      <c r="A1011" s="97" t="str">
        <f t="shared" si="17"/>
        <v>sam62_mcu_wrap_vdd_dyn_max</v>
      </c>
      <c r="B1011" s="97" t="s">
        <v>236</v>
      </c>
      <c r="C1011" s="97" t="s">
        <v>1078</v>
      </c>
      <c r="D1011" s="108"/>
      <c r="E1011" s="97" t="s">
        <v>1072</v>
      </c>
      <c r="F1011" s="108">
        <v>0.48</v>
      </c>
      <c r="G1011" s="97" t="s">
        <v>1121</v>
      </c>
      <c r="H1011" s="5"/>
      <c r="I1011"/>
      <c r="J1011"/>
      <c r="K1011"/>
      <c r="L1011"/>
      <c r="M1011"/>
      <c r="N1011"/>
      <c r="O1011"/>
      <c r="P1011"/>
      <c r="Q1011"/>
      <c r="R1011"/>
      <c r="S1011"/>
      <c r="T1011"/>
      <c r="U1011"/>
      <c r="V1011"/>
      <c r="W1011"/>
      <c r="X1011"/>
      <c r="Y1011"/>
    </row>
    <row r="1012" spans="1:25" s="104" customFormat="1" hidden="1" x14ac:dyDescent="0.25">
      <c r="A1012" s="97" t="str">
        <f t="shared" si="17"/>
        <v>sam62_odp_ctrl_wrap_vdd_dyn_max</v>
      </c>
      <c r="B1012" s="97" t="s">
        <v>212</v>
      </c>
      <c r="C1012" s="97" t="s">
        <v>1078</v>
      </c>
      <c r="D1012" s="108"/>
      <c r="E1012" s="97" t="s">
        <v>1072</v>
      </c>
      <c r="F1012" s="108">
        <v>0.43</v>
      </c>
      <c r="G1012" s="97" t="s">
        <v>1121</v>
      </c>
      <c r="H1012" s="5"/>
      <c r="I1012"/>
      <c r="J1012"/>
      <c r="K1012"/>
      <c r="L1012"/>
      <c r="M1012"/>
      <c r="N1012"/>
      <c r="O1012"/>
      <c r="P1012"/>
      <c r="Q1012"/>
      <c r="R1012"/>
      <c r="S1012"/>
      <c r="T1012"/>
      <c r="U1012"/>
      <c r="V1012"/>
      <c r="W1012"/>
      <c r="X1012"/>
      <c r="Y1012"/>
    </row>
    <row r="1013" spans="1:25" s="104" customFormat="1" hidden="1" x14ac:dyDescent="0.25">
      <c r="A1013" s="97" t="str">
        <f t="shared" si="17"/>
        <v>sam62_sec_wrap_vdd_dyn_max</v>
      </c>
      <c r="B1013" s="97" t="s">
        <v>262</v>
      </c>
      <c r="C1013" s="97" t="s">
        <v>1078</v>
      </c>
      <c r="D1013" s="108"/>
      <c r="E1013" s="97" t="s">
        <v>1072</v>
      </c>
      <c r="F1013" s="108">
        <v>0.4</v>
      </c>
      <c r="G1013" s="97" t="s">
        <v>1121</v>
      </c>
      <c r="H1013" s="5"/>
      <c r="I1013"/>
      <c r="J1013"/>
      <c r="K1013"/>
      <c r="L1013"/>
      <c r="M1013"/>
      <c r="N1013"/>
      <c r="O1013"/>
      <c r="P1013"/>
      <c r="Q1013"/>
      <c r="R1013"/>
      <c r="S1013"/>
      <c r="T1013"/>
      <c r="U1013"/>
      <c r="V1013"/>
      <c r="W1013"/>
      <c r="X1013"/>
      <c r="Y1013"/>
    </row>
    <row r="1014" spans="1:25" s="104" customFormat="1" hidden="1" x14ac:dyDescent="0.25">
      <c r="A1014" s="97" t="str">
        <f t="shared" si="17"/>
        <v>sam62_core_vdd_dyn_max</v>
      </c>
      <c r="B1014" s="97" t="s">
        <v>185</v>
      </c>
      <c r="C1014" s="97" t="s">
        <v>1078</v>
      </c>
      <c r="D1014" s="108"/>
      <c r="E1014" s="97" t="s">
        <v>1072</v>
      </c>
      <c r="F1014" s="108">
        <v>0.4</v>
      </c>
      <c r="G1014" s="97" t="s">
        <v>1121</v>
      </c>
      <c r="H1014" s="5"/>
      <c r="I1014"/>
      <c r="J1014"/>
      <c r="K1014"/>
      <c r="L1014"/>
      <c r="M1014"/>
      <c r="N1014"/>
      <c r="O1014"/>
      <c r="P1014"/>
      <c r="Q1014"/>
      <c r="R1014"/>
      <c r="S1014"/>
      <c r="T1014"/>
      <c r="U1014"/>
      <c r="V1014"/>
      <c r="W1014"/>
      <c r="X1014"/>
      <c r="Y1014"/>
    </row>
    <row r="1015" spans="1:25" s="104" customFormat="1" hidden="1" x14ac:dyDescent="0.25">
      <c r="A1015" s="97" t="str">
        <f t="shared" si="17"/>
        <v>sam62_pll_ctrl_wrap_vdd_dyn_max</v>
      </c>
      <c r="B1015" s="97" t="s">
        <v>221</v>
      </c>
      <c r="C1015" s="97" t="s">
        <v>1078</v>
      </c>
      <c r="D1015" s="108"/>
      <c r="E1015" s="97" t="s">
        <v>1072</v>
      </c>
      <c r="F1015" s="108">
        <v>0.26</v>
      </c>
      <c r="G1015" s="97" t="s">
        <v>1121</v>
      </c>
      <c r="H1015" s="5"/>
      <c r="I1015"/>
      <c r="J1015"/>
      <c r="K1015"/>
      <c r="L1015"/>
      <c r="M1015"/>
      <c r="N1015"/>
      <c r="O1015"/>
      <c r="P1015"/>
      <c r="Q1015"/>
      <c r="R1015"/>
      <c r="S1015"/>
      <c r="T1015"/>
      <c r="U1015"/>
      <c r="V1015"/>
      <c r="W1015"/>
      <c r="X1015"/>
      <c r="Y1015"/>
    </row>
    <row r="1016" spans="1:25" s="104" customFormat="1" hidden="1" x14ac:dyDescent="0.25">
      <c r="A1016" s="97" t="str">
        <f t="shared" si="17"/>
        <v>sam62_m4ss_wrap_vdd_dyn_peak</v>
      </c>
      <c r="B1016" s="5" t="s">
        <v>219</v>
      </c>
      <c r="C1016" s="5" t="s">
        <v>1124</v>
      </c>
      <c r="D1016" s="5"/>
      <c r="E1016" s="5" t="s">
        <v>1072</v>
      </c>
      <c r="F1016" s="116">
        <v>0.6</v>
      </c>
      <c r="G1016" s="97" t="s">
        <v>1125</v>
      </c>
      <c r="H1016" s="5"/>
      <c r="I1016"/>
      <c r="J1016"/>
      <c r="K1016"/>
      <c r="L1016"/>
      <c r="M1016"/>
      <c r="N1016"/>
      <c r="O1016"/>
      <c r="P1016"/>
      <c r="Q1016"/>
      <c r="R1016"/>
      <c r="S1016"/>
      <c r="T1016"/>
      <c r="U1016"/>
      <c r="V1016"/>
      <c r="W1016"/>
      <c r="X1016"/>
      <c r="Y1016"/>
    </row>
    <row r="1017" spans="1:25" s="104" customFormat="1" hidden="1" x14ac:dyDescent="0.25">
      <c r="A1017" s="97" t="str">
        <f t="shared" si="17"/>
        <v>sam62_dm_wrap_vdd_dyn_peak</v>
      </c>
      <c r="B1017" s="5" t="s">
        <v>237</v>
      </c>
      <c r="C1017" s="5" t="s">
        <v>1124</v>
      </c>
      <c r="D1017" s="5"/>
      <c r="E1017" s="5" t="s">
        <v>1072</v>
      </c>
      <c r="F1017" s="116">
        <v>0.36</v>
      </c>
      <c r="G1017" s="97" t="s">
        <v>1125</v>
      </c>
      <c r="H1017" s="5"/>
      <c r="I1017"/>
      <c r="J1017"/>
      <c r="K1017"/>
      <c r="L1017"/>
      <c r="M1017"/>
      <c r="N1017"/>
      <c r="O1017"/>
      <c r="P1017"/>
      <c r="Q1017"/>
      <c r="R1017"/>
      <c r="S1017"/>
      <c r="T1017"/>
      <c r="U1017"/>
      <c r="V1017"/>
      <c r="W1017"/>
      <c r="X1017"/>
      <c r="Y1017"/>
    </row>
    <row r="1018" spans="1:25" s="104" customFormat="1" hidden="1" x14ac:dyDescent="0.25">
      <c r="A1018" s="97" t="str">
        <f t="shared" si="17"/>
        <v>sam62_a53_dual_wrap_cba_cpu_phys_vdd_dyn_peak</v>
      </c>
      <c r="B1018" s="5" t="s">
        <v>274</v>
      </c>
      <c r="C1018" s="5" t="s">
        <v>1124</v>
      </c>
      <c r="D1018" s="5"/>
      <c r="E1018" s="5" t="s">
        <v>1072</v>
      </c>
      <c r="F1018" s="116">
        <v>0.18272727272727274</v>
      </c>
      <c r="G1018" s="97" t="s">
        <v>1125</v>
      </c>
      <c r="H1018" s="5"/>
      <c r="I1018"/>
      <c r="J1018"/>
      <c r="K1018"/>
      <c r="L1018"/>
      <c r="M1018"/>
      <c r="N1018"/>
      <c r="O1018"/>
      <c r="P1018"/>
      <c r="Q1018"/>
      <c r="R1018"/>
      <c r="S1018"/>
      <c r="T1018"/>
      <c r="U1018"/>
      <c r="V1018"/>
      <c r="W1018"/>
      <c r="X1018"/>
      <c r="Y1018"/>
    </row>
    <row r="1019" spans="1:25" s="104" customFormat="1" hidden="1" x14ac:dyDescent="0.25">
      <c r="A1019" s="97" t="str">
        <f t="shared" si="17"/>
        <v>sam62_a53_512kb_wrap_vdd_dyn_peak</v>
      </c>
      <c r="B1019" s="5" t="s">
        <v>270</v>
      </c>
      <c r="C1019" s="5" t="s">
        <v>1124</v>
      </c>
      <c r="D1019" s="5"/>
      <c r="E1019" s="5" t="s">
        <v>1072</v>
      </c>
      <c r="F1019" s="116">
        <v>0.15</v>
      </c>
      <c r="G1019" s="97" t="s">
        <v>1125</v>
      </c>
      <c r="H1019" s="5"/>
      <c r="I1019"/>
      <c r="J1019"/>
      <c r="K1019"/>
      <c r="L1019"/>
      <c r="M1019"/>
      <c r="N1019"/>
      <c r="O1019"/>
      <c r="P1019"/>
      <c r="Q1019"/>
      <c r="R1019"/>
      <c r="S1019"/>
      <c r="T1019"/>
      <c r="U1019"/>
      <c r="V1019"/>
      <c r="W1019"/>
      <c r="X1019"/>
      <c r="Y1019"/>
    </row>
    <row r="1020" spans="1:25" s="104" customFormat="1" hidden="1" x14ac:dyDescent="0.25">
      <c r="A1020" s="97" t="str">
        <f t="shared" si="17"/>
        <v>sam62_cpsw3_wrap_vdd_dyn_peak</v>
      </c>
      <c r="B1020" s="5" t="s">
        <v>216</v>
      </c>
      <c r="C1020" s="5" t="s">
        <v>1124</v>
      </c>
      <c r="D1020" s="5"/>
      <c r="E1020" s="5" t="s">
        <v>1072</v>
      </c>
      <c r="F1020" s="116">
        <v>0.57599999999999996</v>
      </c>
      <c r="G1020" s="97" t="s">
        <v>1125</v>
      </c>
      <c r="H1020" s="5"/>
      <c r="I1020"/>
      <c r="J1020"/>
      <c r="K1020"/>
      <c r="L1020"/>
      <c r="M1020"/>
      <c r="N1020"/>
      <c r="O1020"/>
      <c r="P1020"/>
      <c r="Q1020"/>
      <c r="R1020"/>
      <c r="S1020"/>
      <c r="T1020"/>
      <c r="U1020"/>
      <c r="V1020"/>
      <c r="W1020"/>
      <c r="X1020"/>
      <c r="Y1020"/>
    </row>
    <row r="1021" spans="1:25" s="104" customFormat="1" hidden="1" x14ac:dyDescent="0.25">
      <c r="A1021" s="97" t="str">
        <f t="shared" si="17"/>
        <v>sam62_icss_m_wrap_vdd_dyn_peak</v>
      </c>
      <c r="B1021" s="5" t="s">
        <v>209</v>
      </c>
      <c r="C1021" s="5" t="s">
        <v>1124</v>
      </c>
      <c r="D1021" s="5"/>
      <c r="E1021" s="5" t="s">
        <v>1072</v>
      </c>
      <c r="F1021" s="116">
        <v>0.38400000000000001</v>
      </c>
      <c r="G1021" s="97" t="s">
        <v>1125</v>
      </c>
      <c r="H1021" s="5"/>
      <c r="I1021"/>
      <c r="J1021"/>
      <c r="K1021"/>
      <c r="L1021"/>
      <c r="M1021"/>
      <c r="N1021"/>
      <c r="O1021"/>
      <c r="P1021"/>
      <c r="Q1021"/>
      <c r="R1021"/>
      <c r="S1021"/>
      <c r="T1021"/>
      <c r="U1021"/>
      <c r="V1021"/>
      <c r="W1021"/>
      <c r="X1021"/>
      <c r="Y1021"/>
    </row>
    <row r="1022" spans="1:25" s="104" customFormat="1" hidden="1" x14ac:dyDescent="0.25">
      <c r="A1022" s="97" t="str">
        <f t="shared" si="17"/>
        <v>sam62_dss_oldi_wrap_vdd_dyn_peak</v>
      </c>
      <c r="B1022" s="5" t="s">
        <v>214</v>
      </c>
      <c r="C1022" s="5" t="s">
        <v>1124</v>
      </c>
      <c r="D1022" s="5"/>
      <c r="E1022" s="5" t="s">
        <v>1072</v>
      </c>
      <c r="F1022" s="116">
        <v>0.57599999999999996</v>
      </c>
      <c r="G1022" s="97" t="s">
        <v>1125</v>
      </c>
      <c r="H1022" s="5"/>
      <c r="I1022"/>
      <c r="J1022"/>
      <c r="K1022"/>
      <c r="L1022"/>
      <c r="M1022"/>
      <c r="N1022"/>
      <c r="O1022"/>
      <c r="P1022"/>
      <c r="Q1022"/>
      <c r="R1022"/>
      <c r="S1022"/>
      <c r="T1022"/>
      <c r="U1022"/>
      <c r="V1022"/>
      <c r="W1022"/>
      <c r="X1022"/>
      <c r="Y1022"/>
    </row>
    <row r="1023" spans="1:25" s="104" customFormat="1" hidden="1" x14ac:dyDescent="0.25">
      <c r="A1023" s="97" t="str">
        <f t="shared" si="17"/>
        <v>sam62_k3_gpu_axe116m_wrap_vdd_dyn_peak</v>
      </c>
      <c r="B1023" s="5" t="s">
        <v>242</v>
      </c>
      <c r="C1023" s="5" t="s">
        <v>1124</v>
      </c>
      <c r="D1023" s="5"/>
      <c r="E1023" s="5" t="s">
        <v>1072</v>
      </c>
      <c r="F1023" s="116">
        <v>0.32</v>
      </c>
      <c r="G1023" s="97" t="s">
        <v>1125</v>
      </c>
      <c r="H1023" s="5"/>
      <c r="I1023"/>
      <c r="J1023"/>
      <c r="K1023"/>
      <c r="L1023"/>
      <c r="M1023"/>
      <c r="N1023"/>
      <c r="O1023"/>
      <c r="P1023"/>
      <c r="Q1023"/>
      <c r="R1023"/>
      <c r="S1023"/>
      <c r="T1023"/>
      <c r="U1023"/>
      <c r="V1023"/>
      <c r="W1023"/>
      <c r="X1023"/>
      <c r="Y1023"/>
    </row>
    <row r="1024" spans="1:25" s="104" customFormat="1" hidden="1" x14ac:dyDescent="0.25">
      <c r="A1024" s="97" t="str">
        <f t="shared" si="17"/>
        <v>sam62_mcasp_wrap_vdd_dyn_peak</v>
      </c>
      <c r="B1024" s="5" t="s">
        <v>208</v>
      </c>
      <c r="C1024" s="5" t="s">
        <v>1124</v>
      </c>
      <c r="D1024" s="5"/>
      <c r="E1024" s="5" t="s">
        <v>1072</v>
      </c>
      <c r="F1024" s="116">
        <v>0.86399999999999999</v>
      </c>
      <c r="G1024" s="97" t="s">
        <v>1125</v>
      </c>
      <c r="H1024" s="5"/>
      <c r="I1024"/>
      <c r="J1024"/>
      <c r="K1024"/>
      <c r="L1024"/>
      <c r="M1024"/>
      <c r="N1024"/>
      <c r="O1024"/>
      <c r="P1024"/>
      <c r="Q1024"/>
      <c r="R1024"/>
      <c r="S1024"/>
      <c r="T1024"/>
      <c r="U1024"/>
      <c r="V1024"/>
      <c r="W1024"/>
      <c r="X1024"/>
      <c r="Y1024"/>
    </row>
    <row r="1025" spans="1:25" s="104" customFormat="1" hidden="1" x14ac:dyDescent="0.25">
      <c r="A1025" s="97" t="str">
        <f t="shared" si="17"/>
        <v>sam62_csirx_wrap_vdd_dyn_peak</v>
      </c>
      <c r="B1025" s="5" t="s">
        <v>239</v>
      </c>
      <c r="C1025" s="5" t="s">
        <v>1124</v>
      </c>
      <c r="D1025" s="5"/>
      <c r="E1025" s="5" t="s">
        <v>1072</v>
      </c>
      <c r="F1025" s="116">
        <v>0.57599999999999985</v>
      </c>
      <c r="G1025" s="97" t="s">
        <v>1125</v>
      </c>
      <c r="H1025" s="5"/>
      <c r="I1025"/>
      <c r="J1025"/>
      <c r="K1025"/>
      <c r="L1025"/>
      <c r="M1025"/>
      <c r="N1025"/>
      <c r="O1025"/>
      <c r="P1025"/>
      <c r="Q1025"/>
      <c r="R1025"/>
      <c r="S1025"/>
      <c r="T1025"/>
      <c r="U1025"/>
      <c r="V1025"/>
      <c r="W1025"/>
      <c r="X1025"/>
      <c r="Y1025"/>
    </row>
    <row r="1026" spans="1:25" s="104" customFormat="1" hidden="1" x14ac:dyDescent="0.25">
      <c r="A1026" s="97" t="str">
        <f t="shared" si="17"/>
        <v>sam62_usb2_wrap_vdd_dyn_peak</v>
      </c>
      <c r="B1026" s="5" t="s">
        <v>207</v>
      </c>
      <c r="C1026" s="5" t="s">
        <v>1124</v>
      </c>
      <c r="D1026" s="5"/>
      <c r="E1026" s="5" t="s">
        <v>1072</v>
      </c>
      <c r="F1026" s="116">
        <v>0.28799999999999998</v>
      </c>
      <c r="G1026" s="97" t="s">
        <v>1125</v>
      </c>
      <c r="H1026" s="5"/>
      <c r="I1026"/>
      <c r="J1026"/>
      <c r="K1026"/>
      <c r="L1026"/>
      <c r="M1026"/>
      <c r="N1026"/>
      <c r="O1026"/>
      <c r="P1026"/>
      <c r="Q1026"/>
      <c r="R1026"/>
      <c r="S1026"/>
      <c r="T1026"/>
      <c r="U1026"/>
      <c r="V1026"/>
      <c r="W1026"/>
      <c r="X1026"/>
      <c r="Y1026"/>
    </row>
    <row r="1027" spans="1:25" s="104" customFormat="1" hidden="1" x14ac:dyDescent="0.25">
      <c r="A1027" s="97" t="str">
        <f t="shared" si="17"/>
        <v>sam62_emmc_4bit_wrap_vdd_dyn_peak</v>
      </c>
      <c r="B1027" s="5" t="s">
        <v>240</v>
      </c>
      <c r="C1027" s="5" t="s">
        <v>1124</v>
      </c>
      <c r="D1027" s="5"/>
      <c r="E1027" s="5" t="s">
        <v>1072</v>
      </c>
      <c r="F1027" s="116">
        <v>0.57599999999999996</v>
      </c>
      <c r="G1027" s="97" t="s">
        <v>1125</v>
      </c>
      <c r="H1027" s="5"/>
      <c r="I1027"/>
      <c r="J1027"/>
      <c r="K1027"/>
      <c r="L1027"/>
      <c r="M1027"/>
      <c r="N1027"/>
      <c r="O1027"/>
      <c r="P1027"/>
      <c r="Q1027"/>
      <c r="R1027"/>
      <c r="S1027"/>
      <c r="T1027"/>
      <c r="U1027"/>
      <c r="V1027"/>
      <c r="W1027"/>
      <c r="X1027"/>
      <c r="Y1027"/>
    </row>
    <row r="1028" spans="1:25" s="104" customFormat="1" hidden="1" x14ac:dyDescent="0.25">
      <c r="A1028" s="97" t="str">
        <f t="shared" ref="A1028:A1059" si="18">B1028&amp;"_"&amp;C1028</f>
        <v>sam62_emmc_8bit_wrap_vdd_dyn_peak</v>
      </c>
      <c r="B1028" s="5" t="s">
        <v>241</v>
      </c>
      <c r="C1028" s="5" t="s">
        <v>1124</v>
      </c>
      <c r="D1028" s="5"/>
      <c r="E1028" s="5" t="s">
        <v>1072</v>
      </c>
      <c r="F1028" s="116">
        <v>0.57599999999999996</v>
      </c>
      <c r="G1028" s="97" t="s">
        <v>1125</v>
      </c>
      <c r="H1028" s="5"/>
      <c r="I1028"/>
      <c r="J1028"/>
      <c r="K1028"/>
      <c r="L1028"/>
      <c r="M1028"/>
      <c r="N1028"/>
      <c r="O1028"/>
      <c r="P1028"/>
      <c r="Q1028"/>
      <c r="R1028"/>
      <c r="S1028"/>
      <c r="T1028"/>
      <c r="U1028"/>
      <c r="V1028"/>
      <c r="W1028"/>
      <c r="X1028"/>
      <c r="Y1028"/>
    </row>
    <row r="1029" spans="1:25" s="104" customFormat="1" hidden="1" x14ac:dyDescent="0.25">
      <c r="A1029" s="97" t="str">
        <f t="shared" si="18"/>
        <v>sam62_gpmc_elm_wrap_vdd_dyn_peak</v>
      </c>
      <c r="B1029" s="5" t="s">
        <v>211</v>
      </c>
      <c r="C1029" s="5" t="s">
        <v>1124</v>
      </c>
      <c r="D1029" s="5"/>
      <c r="E1029" s="5" t="s">
        <v>1072</v>
      </c>
      <c r="F1029" s="116">
        <v>0.57599999999999996</v>
      </c>
      <c r="G1029" s="97" t="s">
        <v>1125</v>
      </c>
      <c r="H1029" s="5"/>
      <c r="I1029"/>
      <c r="J1029"/>
      <c r="K1029"/>
      <c r="L1029"/>
      <c r="M1029"/>
      <c r="N1029"/>
      <c r="O1029"/>
      <c r="P1029"/>
      <c r="Q1029"/>
      <c r="R1029"/>
      <c r="S1029"/>
      <c r="T1029"/>
      <c r="U1029"/>
      <c r="V1029"/>
      <c r="W1029"/>
      <c r="X1029"/>
      <c r="Y1029"/>
    </row>
    <row r="1030" spans="1:25" s="104" customFormat="1" hidden="1" x14ac:dyDescent="0.25">
      <c r="A1030" s="97" t="str">
        <f t="shared" si="18"/>
        <v>sam62_ddr_wrap_vdd_dyn_peak</v>
      </c>
      <c r="B1030" s="5" t="s">
        <v>215</v>
      </c>
      <c r="C1030" s="5" t="s">
        <v>1124</v>
      </c>
      <c r="D1030" s="5"/>
      <c r="E1030" s="5" t="s">
        <v>1072</v>
      </c>
      <c r="F1030" s="116">
        <v>0.75</v>
      </c>
      <c r="G1030" s="97" t="s">
        <v>1125</v>
      </c>
      <c r="H1030" s="5"/>
      <c r="I1030"/>
      <c r="J1030"/>
      <c r="K1030"/>
      <c r="L1030"/>
      <c r="M1030"/>
      <c r="N1030"/>
      <c r="O1030"/>
      <c r="P1030"/>
      <c r="Q1030"/>
      <c r="R1030"/>
      <c r="S1030"/>
      <c r="T1030"/>
      <c r="U1030"/>
      <c r="V1030"/>
      <c r="W1030"/>
      <c r="X1030"/>
      <c r="Y1030"/>
    </row>
    <row r="1031" spans="1:25" s="104" customFormat="1" hidden="1" x14ac:dyDescent="0.25">
      <c r="A1031" s="97" t="str">
        <f t="shared" si="18"/>
        <v>ddr16_1600_phy_vdd_dyn_peak</v>
      </c>
      <c r="B1031" s="5" t="s">
        <v>314</v>
      </c>
      <c r="C1031" s="5" t="s">
        <v>1124</v>
      </c>
      <c r="D1031" s="5"/>
      <c r="E1031" s="5" t="s">
        <v>1072</v>
      </c>
      <c r="F1031" s="116">
        <v>0.39600000000000002</v>
      </c>
      <c r="G1031" s="97" t="s">
        <v>1125</v>
      </c>
      <c r="H1031" s="5"/>
      <c r="I1031"/>
      <c r="J1031"/>
      <c r="K1031"/>
      <c r="L1031"/>
      <c r="M1031"/>
      <c r="N1031"/>
      <c r="O1031"/>
      <c r="P1031"/>
      <c r="Q1031"/>
      <c r="R1031"/>
      <c r="S1031"/>
      <c r="T1031"/>
      <c r="U1031"/>
      <c r="V1031"/>
      <c r="W1031"/>
      <c r="X1031"/>
      <c r="Y1031"/>
    </row>
    <row r="1032" spans="1:25" s="104" customFormat="1" hidden="1" x14ac:dyDescent="0.25">
      <c r="A1032" s="97" t="str">
        <f t="shared" si="18"/>
        <v>sam62_debug_wrap_vdd_dyn_peak</v>
      </c>
      <c r="B1032" s="5" t="s">
        <v>186</v>
      </c>
      <c r="C1032" s="5" t="s">
        <v>1124</v>
      </c>
      <c r="D1032" s="5"/>
      <c r="E1032" s="5" t="s">
        <v>1072</v>
      </c>
      <c r="F1032" s="116">
        <v>0.57599999999999996</v>
      </c>
      <c r="G1032" s="97" t="s">
        <v>1125</v>
      </c>
      <c r="H1032" s="5"/>
      <c r="I1032"/>
      <c r="J1032"/>
      <c r="K1032"/>
      <c r="L1032"/>
      <c r="M1032"/>
      <c r="N1032"/>
      <c r="O1032"/>
      <c r="P1032"/>
      <c r="Q1032"/>
      <c r="R1032"/>
      <c r="S1032"/>
      <c r="T1032"/>
      <c r="U1032"/>
      <c r="V1032"/>
      <c r="W1032"/>
      <c r="X1032"/>
      <c r="Y1032"/>
    </row>
    <row r="1033" spans="1:25" s="104" customFormat="1" hidden="1" x14ac:dyDescent="0.25">
      <c r="A1033" s="97" t="str">
        <f t="shared" si="18"/>
        <v>sam62_efuse_ctrl_wrap_vdd_dyn_peak</v>
      </c>
      <c r="B1033" s="5" t="s">
        <v>213</v>
      </c>
      <c r="C1033" s="5" t="s">
        <v>1124</v>
      </c>
      <c r="D1033" s="5"/>
      <c r="E1033" s="5" t="s">
        <v>1072</v>
      </c>
      <c r="F1033" s="116">
        <v>0.216</v>
      </c>
      <c r="G1033" s="97" t="s">
        <v>1125</v>
      </c>
      <c r="H1033" s="5"/>
      <c r="I1033"/>
      <c r="J1033"/>
      <c r="K1033"/>
      <c r="L1033"/>
      <c r="M1033"/>
      <c r="N1033"/>
      <c r="O1033"/>
      <c r="P1033"/>
      <c r="Q1033"/>
      <c r="R1033"/>
      <c r="S1033"/>
      <c r="T1033"/>
      <c r="U1033"/>
      <c r="V1033"/>
      <c r="W1033"/>
      <c r="X1033"/>
      <c r="Y1033"/>
    </row>
    <row r="1034" spans="1:25" s="104" customFormat="1" hidden="1" x14ac:dyDescent="0.25">
      <c r="A1034" s="97" t="str">
        <f t="shared" si="18"/>
        <v>sam62_main_infra_phys_vdd_dyn_peak</v>
      </c>
      <c r="B1034" s="5" t="s">
        <v>144</v>
      </c>
      <c r="C1034" s="5" t="s">
        <v>1124</v>
      </c>
      <c r="D1034" s="5"/>
      <c r="E1034" s="5" t="s">
        <v>1072</v>
      </c>
      <c r="F1034" s="116">
        <v>0.48</v>
      </c>
      <c r="G1034" s="97" t="s">
        <v>1125</v>
      </c>
      <c r="H1034" s="5"/>
      <c r="I1034"/>
      <c r="J1034"/>
      <c r="K1034"/>
      <c r="L1034"/>
      <c r="M1034"/>
      <c r="N1034"/>
      <c r="O1034"/>
      <c r="P1034"/>
      <c r="Q1034"/>
      <c r="R1034"/>
      <c r="S1034"/>
      <c r="T1034"/>
      <c r="U1034"/>
      <c r="V1034"/>
      <c r="W1034"/>
      <c r="X1034"/>
      <c r="Y1034"/>
    </row>
    <row r="1035" spans="1:25" s="104" customFormat="1" hidden="1" x14ac:dyDescent="0.25">
      <c r="A1035" s="97" t="str">
        <f t="shared" si="18"/>
        <v>sam62_main_ip_wrap_vdd_dyn_peak</v>
      </c>
      <c r="B1035" s="5" t="s">
        <v>238</v>
      </c>
      <c r="C1035" s="5" t="s">
        <v>1124</v>
      </c>
      <c r="D1035" s="5"/>
      <c r="E1035" s="5" t="s">
        <v>1072</v>
      </c>
      <c r="F1035" s="116">
        <v>0.48</v>
      </c>
      <c r="G1035" s="97" t="s">
        <v>1125</v>
      </c>
      <c r="H1035" s="5"/>
      <c r="I1035"/>
      <c r="J1035"/>
      <c r="K1035"/>
      <c r="L1035"/>
      <c r="M1035"/>
      <c r="N1035"/>
      <c r="O1035"/>
      <c r="P1035"/>
      <c r="Q1035"/>
      <c r="R1035"/>
      <c r="S1035"/>
      <c r="T1035"/>
      <c r="U1035"/>
      <c r="V1035"/>
      <c r="W1035"/>
      <c r="X1035"/>
      <c r="Y1035"/>
    </row>
    <row r="1036" spans="1:25" s="104" customFormat="1" hidden="1" x14ac:dyDescent="0.25">
      <c r="A1036" s="97" t="str">
        <f t="shared" si="18"/>
        <v>sam62_mcu_infra_phys_vdd_dyn_peak</v>
      </c>
      <c r="B1036" s="5" t="s">
        <v>183</v>
      </c>
      <c r="C1036" s="5" t="s">
        <v>1124</v>
      </c>
      <c r="D1036" s="5"/>
      <c r="E1036" s="5" t="s">
        <v>1072</v>
      </c>
      <c r="F1036" s="116">
        <v>0.57599999999999996</v>
      </c>
      <c r="G1036" s="97" t="s">
        <v>1125</v>
      </c>
      <c r="H1036" s="5"/>
      <c r="I1036"/>
      <c r="J1036"/>
      <c r="K1036"/>
      <c r="L1036"/>
      <c r="M1036"/>
      <c r="N1036"/>
      <c r="O1036"/>
      <c r="P1036"/>
      <c r="Q1036"/>
      <c r="R1036"/>
      <c r="S1036"/>
      <c r="T1036"/>
      <c r="U1036"/>
      <c r="V1036"/>
      <c r="W1036"/>
      <c r="X1036"/>
      <c r="Y1036"/>
    </row>
    <row r="1037" spans="1:25" s="104" customFormat="1" hidden="1" x14ac:dyDescent="0.25">
      <c r="A1037" s="97" t="str">
        <f t="shared" si="18"/>
        <v>sam62_mcu_wrap_vdd_dyn_peak</v>
      </c>
      <c r="B1037" s="5" t="s">
        <v>236</v>
      </c>
      <c r="C1037" s="5" t="s">
        <v>1124</v>
      </c>
      <c r="D1037" s="5"/>
      <c r="E1037" s="5" t="s">
        <v>1072</v>
      </c>
      <c r="F1037" s="116">
        <v>0.57599999999999996</v>
      </c>
      <c r="G1037" s="97" t="s">
        <v>1125</v>
      </c>
      <c r="H1037" s="5"/>
      <c r="I1037"/>
      <c r="J1037"/>
      <c r="K1037"/>
      <c r="L1037"/>
      <c r="M1037"/>
      <c r="N1037"/>
      <c r="O1037"/>
      <c r="P1037"/>
      <c r="Q1037"/>
      <c r="R1037"/>
      <c r="S1037"/>
      <c r="T1037"/>
      <c r="U1037"/>
      <c r="V1037"/>
      <c r="W1037"/>
      <c r="X1037"/>
      <c r="Y1037"/>
    </row>
    <row r="1038" spans="1:25" s="104" customFormat="1" hidden="1" x14ac:dyDescent="0.25">
      <c r="A1038" s="97" t="str">
        <f t="shared" si="18"/>
        <v>sam62_odp_ctrl_wrap_vdd_dyn_peak</v>
      </c>
      <c r="B1038" s="5" t="s">
        <v>212</v>
      </c>
      <c r="C1038" s="5" t="s">
        <v>1124</v>
      </c>
      <c r="D1038" s="5"/>
      <c r="E1038" s="5" t="s">
        <v>1072</v>
      </c>
      <c r="F1038" s="116">
        <v>0.51600000000000001</v>
      </c>
      <c r="G1038" s="97" t="s">
        <v>1125</v>
      </c>
      <c r="H1038" s="5"/>
      <c r="I1038"/>
      <c r="J1038"/>
      <c r="K1038"/>
      <c r="L1038"/>
      <c r="M1038"/>
      <c r="N1038"/>
      <c r="O1038"/>
      <c r="P1038"/>
      <c r="Q1038"/>
      <c r="R1038"/>
      <c r="S1038"/>
      <c r="T1038"/>
      <c r="U1038"/>
      <c r="V1038"/>
      <c r="W1038"/>
      <c r="X1038"/>
      <c r="Y1038"/>
    </row>
    <row r="1039" spans="1:25" s="104" customFormat="1" hidden="1" x14ac:dyDescent="0.25">
      <c r="A1039" s="97" t="str">
        <f t="shared" si="18"/>
        <v>sam62_sec_wrap_vdd_dyn_peak</v>
      </c>
      <c r="B1039" s="5" t="s">
        <v>262</v>
      </c>
      <c r="C1039" s="5" t="s">
        <v>1124</v>
      </c>
      <c r="D1039" s="5"/>
      <c r="E1039" s="5" t="s">
        <v>1072</v>
      </c>
      <c r="F1039" s="116">
        <v>0.48</v>
      </c>
      <c r="G1039" s="97" t="s">
        <v>1125</v>
      </c>
      <c r="H1039" s="5"/>
      <c r="I1039"/>
      <c r="J1039"/>
      <c r="K1039"/>
      <c r="L1039"/>
      <c r="M1039"/>
      <c r="N1039"/>
      <c r="O1039"/>
      <c r="P1039"/>
      <c r="Q1039"/>
      <c r="R1039"/>
      <c r="S1039"/>
      <c r="T1039"/>
      <c r="U1039"/>
      <c r="V1039"/>
      <c r="W1039"/>
      <c r="X1039"/>
      <c r="Y1039"/>
    </row>
    <row r="1040" spans="1:25" s="104" customFormat="1" hidden="1" x14ac:dyDescent="0.25">
      <c r="A1040" s="97" t="str">
        <f t="shared" si="18"/>
        <v>sam62_core_vdd_dyn_peak</v>
      </c>
      <c r="B1040" s="5" t="s">
        <v>185</v>
      </c>
      <c r="C1040" s="5" t="s">
        <v>1124</v>
      </c>
      <c r="D1040" s="5"/>
      <c r="E1040" s="5" t="s">
        <v>1072</v>
      </c>
      <c r="F1040" s="116">
        <v>0.48</v>
      </c>
      <c r="G1040" s="97" t="s">
        <v>1125</v>
      </c>
      <c r="H1040" s="5"/>
      <c r="I1040"/>
      <c r="J1040"/>
      <c r="K1040"/>
      <c r="L1040"/>
      <c r="M1040"/>
      <c r="N1040"/>
      <c r="O1040"/>
      <c r="P1040"/>
      <c r="Q1040"/>
      <c r="R1040"/>
      <c r="S1040"/>
      <c r="T1040"/>
      <c r="U1040"/>
      <c r="V1040"/>
      <c r="W1040"/>
      <c r="X1040"/>
      <c r="Y1040"/>
    </row>
    <row r="1041" spans="1:25" s="104" customFormat="1" hidden="1" x14ac:dyDescent="0.25">
      <c r="A1041" s="97" t="str">
        <f t="shared" si="18"/>
        <v>sam62_pll_ctrl_wrap_vdd_dyn_peak</v>
      </c>
      <c r="B1041" s="5" t="s">
        <v>221</v>
      </c>
      <c r="C1041" s="5" t="s">
        <v>1124</v>
      </c>
      <c r="D1041" s="5"/>
      <c r="E1041" s="5" t="s">
        <v>1072</v>
      </c>
      <c r="F1041" s="116">
        <v>0.312</v>
      </c>
      <c r="G1041" s="97" t="s">
        <v>1125</v>
      </c>
      <c r="H1041" s="5"/>
      <c r="I1041"/>
      <c r="J1041"/>
      <c r="K1041"/>
      <c r="L1041"/>
      <c r="M1041"/>
      <c r="N1041"/>
      <c r="O1041"/>
      <c r="P1041"/>
      <c r="Q1041"/>
      <c r="R1041"/>
      <c r="S1041"/>
      <c r="T1041"/>
      <c r="U1041"/>
      <c r="V1041"/>
      <c r="W1041"/>
      <c r="X1041"/>
      <c r="Y1041"/>
    </row>
    <row r="1042" spans="1:25" s="104" customFormat="1" hidden="1" x14ac:dyDescent="0.25">
      <c r="A1042" s="97" t="str">
        <f t="shared" si="18"/>
        <v>sam62_m4ss_wrap_vdd_dyn_trk</v>
      </c>
      <c r="B1042" s="5" t="s">
        <v>219</v>
      </c>
      <c r="C1042" s="5" t="s">
        <v>1122</v>
      </c>
      <c r="D1042" s="5"/>
      <c r="E1042" s="5" t="s">
        <v>1072</v>
      </c>
      <c r="F1042" s="5">
        <v>53.6</v>
      </c>
      <c r="G1042" s="97" t="s">
        <v>1123</v>
      </c>
      <c r="H1042" s="5">
        <v>53.8</v>
      </c>
      <c r="I1042"/>
      <c r="J1042"/>
      <c r="K1042"/>
      <c r="L1042"/>
      <c r="M1042"/>
      <c r="N1042"/>
      <c r="O1042"/>
      <c r="P1042"/>
      <c r="Q1042"/>
      <c r="R1042"/>
      <c r="S1042"/>
      <c r="T1042"/>
      <c r="U1042"/>
      <c r="V1042"/>
      <c r="W1042"/>
      <c r="X1042"/>
      <c r="Y1042"/>
    </row>
    <row r="1043" spans="1:25" s="104" customFormat="1" hidden="1" x14ac:dyDescent="0.25">
      <c r="A1043" s="97" t="str">
        <f t="shared" si="18"/>
        <v>sam62_dm_wrap_vdd_dyn_trk</v>
      </c>
      <c r="B1043" s="5" t="s">
        <v>237</v>
      </c>
      <c r="C1043" s="5" t="s">
        <v>1122</v>
      </c>
      <c r="D1043" s="5"/>
      <c r="E1043" s="5" t="s">
        <v>1072</v>
      </c>
      <c r="F1043" s="5">
        <v>254.7</v>
      </c>
      <c r="G1043" s="97" t="s">
        <v>1123</v>
      </c>
      <c r="H1043" s="5">
        <v>255.5</v>
      </c>
      <c r="I1043"/>
      <c r="J1043"/>
      <c r="K1043"/>
      <c r="L1043"/>
      <c r="M1043"/>
      <c r="N1043"/>
      <c r="O1043"/>
      <c r="P1043"/>
      <c r="Q1043"/>
      <c r="R1043"/>
      <c r="S1043"/>
      <c r="T1043"/>
      <c r="U1043"/>
      <c r="V1043"/>
      <c r="W1043"/>
      <c r="X1043"/>
      <c r="Y1043"/>
    </row>
    <row r="1044" spans="1:25" s="104" customFormat="1" hidden="1" x14ac:dyDescent="0.25">
      <c r="A1044" s="97" t="str">
        <f t="shared" si="18"/>
        <v>sam62_a53_dual_wrap_cba_cpu_phys_vdd_dyn_trk</v>
      </c>
      <c r="B1044" s="5" t="s">
        <v>274</v>
      </c>
      <c r="C1044" s="5" t="s">
        <v>1122</v>
      </c>
      <c r="D1044" s="5"/>
      <c r="E1044" s="5" t="s">
        <v>1072</v>
      </c>
      <c r="F1044" s="5">
        <v>504.9</v>
      </c>
      <c r="G1044" s="97" t="s">
        <v>1123</v>
      </c>
      <c r="H1044" s="5">
        <v>504.79999999999995</v>
      </c>
      <c r="I1044"/>
      <c r="J1044"/>
      <c r="K1044"/>
      <c r="L1044"/>
      <c r="M1044"/>
      <c r="N1044"/>
      <c r="O1044"/>
      <c r="P1044"/>
      <c r="Q1044"/>
      <c r="R1044"/>
      <c r="S1044"/>
      <c r="T1044"/>
      <c r="U1044"/>
      <c r="V1044"/>
      <c r="W1044"/>
      <c r="X1044"/>
      <c r="Y1044"/>
    </row>
    <row r="1045" spans="1:25" s="104" customFormat="1" hidden="1" x14ac:dyDescent="0.25">
      <c r="A1045" s="97" t="str">
        <f t="shared" si="18"/>
        <v>sam62_a53_512kb_wrap_vdd_dyn_trk</v>
      </c>
      <c r="B1045" s="5" t="s">
        <v>270</v>
      </c>
      <c r="C1045" s="5" t="s">
        <v>1122</v>
      </c>
      <c r="D1045" s="5"/>
      <c r="E1045" s="5" t="s">
        <v>1072</v>
      </c>
      <c r="F1045" s="5">
        <v>537</v>
      </c>
      <c r="G1045" s="97" t="s">
        <v>1123</v>
      </c>
      <c r="H1045" s="5">
        <v>1337.8999999999999</v>
      </c>
      <c r="I1045"/>
      <c r="J1045"/>
      <c r="K1045"/>
      <c r="L1045"/>
      <c r="M1045"/>
      <c r="N1045"/>
      <c r="O1045"/>
      <c r="P1045"/>
      <c r="Q1045"/>
      <c r="R1045"/>
      <c r="S1045"/>
      <c r="T1045"/>
      <c r="U1045"/>
      <c r="V1045"/>
      <c r="W1045"/>
      <c r="X1045"/>
      <c r="Y1045"/>
    </row>
    <row r="1046" spans="1:25" s="104" customFormat="1" hidden="1" x14ac:dyDescent="0.25">
      <c r="A1046" s="97" t="str">
        <f t="shared" si="18"/>
        <v>sam62_cpsw3_wrap_vdd_dyn_trk</v>
      </c>
      <c r="B1046" s="5" t="s">
        <v>216</v>
      </c>
      <c r="C1046" s="5" t="s">
        <v>1122</v>
      </c>
      <c r="D1046" s="5"/>
      <c r="E1046" s="5" t="s">
        <v>1072</v>
      </c>
      <c r="F1046" s="5">
        <v>164.1</v>
      </c>
      <c r="G1046" s="97" t="s">
        <v>1123</v>
      </c>
      <c r="H1046" s="5">
        <v>164.5</v>
      </c>
      <c r="I1046"/>
      <c r="J1046"/>
      <c r="K1046"/>
      <c r="L1046"/>
      <c r="M1046"/>
      <c r="N1046"/>
      <c r="O1046"/>
      <c r="P1046"/>
      <c r="Q1046"/>
      <c r="R1046"/>
      <c r="S1046"/>
      <c r="T1046"/>
      <c r="U1046"/>
      <c r="V1046"/>
      <c r="W1046"/>
      <c r="X1046"/>
      <c r="Y1046"/>
    </row>
    <row r="1047" spans="1:25" s="104" customFormat="1" hidden="1" x14ac:dyDescent="0.25">
      <c r="A1047" s="97" t="str">
        <f t="shared" si="18"/>
        <v>sam62_icss_m_wrap_vdd_dyn_trk</v>
      </c>
      <c r="B1047" s="5" t="s">
        <v>209</v>
      </c>
      <c r="C1047" s="5" t="s">
        <v>1122</v>
      </c>
      <c r="D1047" s="5"/>
      <c r="E1047" s="5" t="s">
        <v>1072</v>
      </c>
      <c r="F1047" s="5">
        <v>108</v>
      </c>
      <c r="G1047" s="97" t="s">
        <v>1123</v>
      </c>
      <c r="H1047" s="5">
        <v>108.4</v>
      </c>
      <c r="I1047"/>
      <c r="J1047"/>
      <c r="K1047"/>
      <c r="L1047"/>
      <c r="M1047"/>
      <c r="N1047"/>
      <c r="O1047"/>
      <c r="P1047"/>
      <c r="Q1047"/>
      <c r="R1047"/>
      <c r="S1047"/>
      <c r="T1047"/>
      <c r="U1047"/>
      <c r="V1047"/>
      <c r="W1047"/>
      <c r="X1047"/>
      <c r="Y1047"/>
    </row>
    <row r="1048" spans="1:25" s="104" customFormat="1" hidden="1" x14ac:dyDescent="0.25">
      <c r="A1048" s="97" t="str">
        <f t="shared" si="18"/>
        <v>sam62_dss_oldi_wrap_vdd_dyn_trk</v>
      </c>
      <c r="B1048" s="5" t="s">
        <v>214</v>
      </c>
      <c r="C1048" s="5" t="s">
        <v>1122</v>
      </c>
      <c r="D1048" s="5"/>
      <c r="E1048" s="5" t="s">
        <v>1072</v>
      </c>
      <c r="F1048" s="5">
        <v>67</v>
      </c>
      <c r="G1048" s="97" t="s">
        <v>1123</v>
      </c>
      <c r="H1048" s="5">
        <v>67.5</v>
      </c>
      <c r="I1048"/>
      <c r="J1048"/>
      <c r="K1048"/>
      <c r="L1048"/>
      <c r="M1048"/>
      <c r="N1048"/>
      <c r="O1048"/>
      <c r="P1048"/>
      <c r="Q1048"/>
      <c r="R1048"/>
      <c r="S1048"/>
      <c r="T1048"/>
      <c r="U1048"/>
      <c r="V1048"/>
      <c r="W1048"/>
      <c r="X1048"/>
      <c r="Y1048"/>
    </row>
    <row r="1049" spans="1:25" s="104" customFormat="1" hidden="1" x14ac:dyDescent="0.25">
      <c r="A1049" s="97" t="str">
        <f t="shared" si="18"/>
        <v>sam62_k3_gpu_axe116m_wrap_vdd_dyn_trk</v>
      </c>
      <c r="B1049" s="5" t="s">
        <v>242</v>
      </c>
      <c r="C1049" s="5" t="s">
        <v>1122</v>
      </c>
      <c r="D1049" s="5"/>
      <c r="E1049" s="5" t="s">
        <v>1072</v>
      </c>
      <c r="F1049" s="5">
        <v>831</v>
      </c>
      <c r="G1049" s="97" t="s">
        <v>1123</v>
      </c>
      <c r="H1049" s="5">
        <v>836.3</v>
      </c>
      <c r="I1049"/>
      <c r="J1049"/>
      <c r="K1049"/>
      <c r="L1049"/>
      <c r="M1049"/>
      <c r="N1049"/>
      <c r="O1049"/>
      <c r="P1049"/>
      <c r="Q1049"/>
      <c r="R1049"/>
      <c r="S1049"/>
      <c r="T1049"/>
      <c r="U1049"/>
      <c r="V1049"/>
      <c r="W1049"/>
      <c r="X1049"/>
      <c r="Y1049"/>
    </row>
    <row r="1050" spans="1:25" s="104" customFormat="1" hidden="1" x14ac:dyDescent="0.25">
      <c r="A1050" s="97" t="str">
        <f t="shared" si="18"/>
        <v>sam62_mcasp_wrap_vdd_dyn_trk</v>
      </c>
      <c r="B1050" s="5" t="s">
        <v>208</v>
      </c>
      <c r="C1050" s="5" t="s">
        <v>1122</v>
      </c>
      <c r="D1050" s="5"/>
      <c r="E1050" s="5" t="s">
        <v>1072</v>
      </c>
      <c r="F1050" s="5">
        <v>5.9</v>
      </c>
      <c r="G1050" s="97" t="s">
        <v>1123</v>
      </c>
      <c r="H1050" s="5">
        <v>5.9</v>
      </c>
      <c r="I1050"/>
      <c r="J1050"/>
      <c r="K1050"/>
      <c r="L1050"/>
      <c r="M1050"/>
      <c r="N1050"/>
      <c r="O1050"/>
      <c r="P1050"/>
      <c r="Q1050"/>
      <c r="R1050"/>
      <c r="S1050"/>
      <c r="T1050"/>
      <c r="U1050"/>
      <c r="V1050"/>
      <c r="W1050"/>
      <c r="X1050"/>
      <c r="Y1050"/>
    </row>
    <row r="1051" spans="1:25" s="104" customFormat="1" hidden="1" x14ac:dyDescent="0.25">
      <c r="A1051" s="97" t="str">
        <f t="shared" si="18"/>
        <v>sam62_csirx_wrap_vdd_dyn_trk</v>
      </c>
      <c r="B1051" s="5" t="s">
        <v>239</v>
      </c>
      <c r="C1051" s="5" t="s">
        <v>1122</v>
      </c>
      <c r="D1051" s="5"/>
      <c r="E1051" s="5" t="s">
        <v>1072</v>
      </c>
      <c r="F1051" s="5">
        <v>66.3</v>
      </c>
      <c r="G1051" s="97" t="s">
        <v>1123</v>
      </c>
      <c r="H1051" s="5">
        <v>66.7</v>
      </c>
      <c r="I1051"/>
      <c r="J1051"/>
      <c r="K1051"/>
      <c r="L1051"/>
      <c r="M1051"/>
      <c r="N1051"/>
      <c r="O1051"/>
      <c r="P1051"/>
      <c r="Q1051"/>
      <c r="R1051"/>
      <c r="S1051"/>
      <c r="T1051"/>
      <c r="U1051"/>
      <c r="V1051"/>
      <c r="W1051"/>
      <c r="X1051"/>
      <c r="Y1051"/>
    </row>
    <row r="1052" spans="1:25" s="104" customFormat="1" hidden="1" x14ac:dyDescent="0.25">
      <c r="A1052" s="97" t="str">
        <f t="shared" si="18"/>
        <v>sam62_usb2_wrap_vdd_dyn_trk</v>
      </c>
      <c r="B1052" s="5" t="s">
        <v>207</v>
      </c>
      <c r="C1052" s="5" t="s">
        <v>1122</v>
      </c>
      <c r="D1052" s="5"/>
      <c r="E1052" s="5" t="s">
        <v>1072</v>
      </c>
      <c r="F1052" s="5">
        <v>45.2</v>
      </c>
      <c r="G1052" s="97" t="s">
        <v>1123</v>
      </c>
      <c r="H1052" s="5">
        <v>45.300000000000004</v>
      </c>
      <c r="I1052"/>
      <c r="J1052"/>
      <c r="K1052"/>
      <c r="L1052"/>
      <c r="M1052"/>
      <c r="N1052"/>
      <c r="O1052"/>
      <c r="P1052"/>
      <c r="Q1052"/>
      <c r="R1052"/>
      <c r="S1052"/>
      <c r="T1052"/>
      <c r="U1052"/>
      <c r="V1052"/>
      <c r="W1052"/>
      <c r="X1052"/>
      <c r="Y1052"/>
    </row>
    <row r="1053" spans="1:25" s="104" customFormat="1" hidden="1" x14ac:dyDescent="0.25">
      <c r="A1053" s="97" t="str">
        <f t="shared" si="18"/>
        <v>sam62_emmc_4bit_wrap_vdd_dyn_trk</v>
      </c>
      <c r="B1053" s="5" t="s">
        <v>240</v>
      </c>
      <c r="C1053" s="5" t="s">
        <v>1122</v>
      </c>
      <c r="D1053" s="5"/>
      <c r="E1053" s="5" t="s">
        <v>1072</v>
      </c>
      <c r="F1053" s="5">
        <v>16.399999999999999</v>
      </c>
      <c r="G1053" s="97" t="s">
        <v>1123</v>
      </c>
      <c r="H1053" s="5">
        <v>16.5</v>
      </c>
      <c r="I1053"/>
      <c r="J1053"/>
      <c r="K1053"/>
      <c r="L1053"/>
      <c r="M1053"/>
      <c r="N1053"/>
      <c r="O1053"/>
      <c r="P1053"/>
      <c r="Q1053"/>
      <c r="R1053"/>
      <c r="S1053"/>
      <c r="T1053"/>
      <c r="U1053"/>
      <c r="V1053"/>
      <c r="W1053"/>
      <c r="X1053"/>
      <c r="Y1053"/>
    </row>
    <row r="1054" spans="1:25" s="104" customFormat="1" hidden="1" x14ac:dyDescent="0.25">
      <c r="A1054" s="97" t="str">
        <f t="shared" si="18"/>
        <v>sam62_emmc_8bit_wrap_vdd_dyn_trk</v>
      </c>
      <c r="B1054" s="5" t="s">
        <v>241</v>
      </c>
      <c r="C1054" s="5" t="s">
        <v>1122</v>
      </c>
      <c r="D1054" s="5"/>
      <c r="E1054" s="5" t="s">
        <v>1072</v>
      </c>
      <c r="F1054" s="5">
        <v>16.7</v>
      </c>
      <c r="G1054" s="97" t="s">
        <v>1123</v>
      </c>
      <c r="H1054" s="5">
        <v>16.8</v>
      </c>
      <c r="I1054"/>
      <c r="J1054"/>
      <c r="K1054"/>
      <c r="L1054"/>
      <c r="M1054"/>
      <c r="N1054"/>
      <c r="O1054"/>
      <c r="P1054"/>
      <c r="Q1054"/>
      <c r="R1054"/>
      <c r="S1054"/>
      <c r="T1054"/>
      <c r="U1054"/>
      <c r="V1054"/>
      <c r="W1054"/>
      <c r="X1054"/>
      <c r="Y1054"/>
    </row>
    <row r="1055" spans="1:25" s="104" customFormat="1" hidden="1" x14ac:dyDescent="0.25">
      <c r="A1055" s="97" t="str">
        <f t="shared" si="18"/>
        <v>sam62_gpmc_elm_wrap_vdd_dyn_trk</v>
      </c>
      <c r="B1055" s="5" t="s">
        <v>211</v>
      </c>
      <c r="C1055" s="5" t="s">
        <v>1122</v>
      </c>
      <c r="D1055" s="5"/>
      <c r="E1055" s="5" t="s">
        <v>1072</v>
      </c>
      <c r="F1055" s="5">
        <v>13.4</v>
      </c>
      <c r="G1055" s="97" t="s">
        <v>1123</v>
      </c>
      <c r="H1055" s="5">
        <v>13.4</v>
      </c>
      <c r="I1055"/>
      <c r="J1055"/>
      <c r="K1055"/>
      <c r="L1055"/>
      <c r="M1055"/>
      <c r="N1055"/>
      <c r="O1055"/>
      <c r="P1055"/>
      <c r="Q1055"/>
      <c r="R1055"/>
      <c r="S1055"/>
      <c r="T1055"/>
      <c r="U1055"/>
      <c r="V1055"/>
      <c r="W1055"/>
      <c r="X1055"/>
      <c r="Y1055"/>
    </row>
    <row r="1056" spans="1:25" s="104" customFormat="1" hidden="1" x14ac:dyDescent="0.25">
      <c r="A1056" s="97" t="str">
        <f t="shared" si="18"/>
        <v>sam62_ddr_wrap_vdd_dyn_trk</v>
      </c>
      <c r="B1056" s="5" t="s">
        <v>215</v>
      </c>
      <c r="C1056" s="5" t="s">
        <v>1122</v>
      </c>
      <c r="D1056" s="5"/>
      <c r="E1056" s="5" t="s">
        <v>1072</v>
      </c>
      <c r="F1056" s="5">
        <v>227.7</v>
      </c>
      <c r="G1056" s="97" t="s">
        <v>1123</v>
      </c>
      <c r="H1056" s="5">
        <v>237.5</v>
      </c>
      <c r="I1056"/>
      <c r="J1056"/>
      <c r="K1056"/>
      <c r="L1056"/>
      <c r="M1056"/>
      <c r="N1056"/>
      <c r="O1056"/>
      <c r="P1056"/>
      <c r="Q1056"/>
      <c r="R1056"/>
      <c r="S1056"/>
      <c r="T1056"/>
      <c r="U1056"/>
      <c r="V1056"/>
      <c r="W1056"/>
      <c r="X1056"/>
      <c r="Y1056"/>
    </row>
    <row r="1057" spans="1:25" s="104" customFormat="1" hidden="1" x14ac:dyDescent="0.25">
      <c r="A1057" s="97" t="str">
        <f t="shared" si="18"/>
        <v>ddr16_1600_phy_vdd_dyn_trk</v>
      </c>
      <c r="B1057" s="5" t="s">
        <v>314</v>
      </c>
      <c r="C1057" s="5" t="s">
        <v>1122</v>
      </c>
      <c r="D1057" s="5"/>
      <c r="E1057" s="5" t="s">
        <v>1072</v>
      </c>
      <c r="F1057" s="5">
        <v>462</v>
      </c>
      <c r="G1057" s="97" t="s">
        <v>1123</v>
      </c>
      <c r="H1057" s="5"/>
      <c r="I1057"/>
      <c r="J1057"/>
      <c r="K1057"/>
      <c r="L1057"/>
      <c r="M1057"/>
      <c r="N1057"/>
      <c r="O1057"/>
      <c r="P1057"/>
      <c r="Q1057"/>
      <c r="R1057"/>
      <c r="S1057"/>
      <c r="T1057"/>
      <c r="U1057"/>
      <c r="V1057"/>
      <c r="W1057"/>
      <c r="X1057"/>
      <c r="Y1057"/>
    </row>
    <row r="1058" spans="1:25" s="104" customFormat="1" hidden="1" x14ac:dyDescent="0.25">
      <c r="A1058" s="97" t="str">
        <f t="shared" si="18"/>
        <v>sam62_debug_wrap_vdd_dyn_trk</v>
      </c>
      <c r="B1058" s="5" t="s">
        <v>186</v>
      </c>
      <c r="C1058" s="5" t="s">
        <v>1122</v>
      </c>
      <c r="D1058" s="5"/>
      <c r="E1058" s="5" t="s">
        <v>1072</v>
      </c>
      <c r="F1058" s="5">
        <v>36.799999999999997</v>
      </c>
      <c r="G1058" s="97" t="s">
        <v>1123</v>
      </c>
      <c r="H1058" s="5">
        <v>37</v>
      </c>
      <c r="I1058"/>
      <c r="J1058"/>
      <c r="K1058"/>
      <c r="L1058"/>
      <c r="M1058"/>
      <c r="N1058"/>
      <c r="O1058"/>
      <c r="P1058"/>
      <c r="Q1058"/>
      <c r="R1058"/>
      <c r="S1058"/>
      <c r="T1058"/>
      <c r="U1058"/>
      <c r="V1058"/>
      <c r="W1058"/>
      <c r="X1058"/>
      <c r="Y1058"/>
    </row>
    <row r="1059" spans="1:25" s="104" customFormat="1" hidden="1" x14ac:dyDescent="0.25">
      <c r="A1059" s="97" t="str">
        <f t="shared" si="18"/>
        <v>sam62_efuse_ctrl_wrap_vdd_dyn_trk</v>
      </c>
      <c r="B1059" s="5" t="s">
        <v>213</v>
      </c>
      <c r="C1059" s="5" t="s">
        <v>1122</v>
      </c>
      <c r="D1059" s="5"/>
      <c r="E1059" s="5" t="s">
        <v>1072</v>
      </c>
      <c r="F1059" s="5">
        <v>7.6</v>
      </c>
      <c r="G1059" s="97" t="s">
        <v>1123</v>
      </c>
      <c r="H1059" s="5">
        <v>7.6</v>
      </c>
      <c r="I1059"/>
      <c r="J1059"/>
      <c r="K1059"/>
      <c r="L1059"/>
      <c r="M1059"/>
      <c r="N1059"/>
      <c r="O1059"/>
      <c r="P1059"/>
      <c r="Q1059"/>
      <c r="R1059"/>
      <c r="S1059"/>
      <c r="T1059"/>
      <c r="U1059"/>
      <c r="V1059"/>
      <c r="W1059"/>
      <c r="X1059"/>
      <c r="Y1059"/>
    </row>
    <row r="1060" spans="1:25" s="104" customFormat="1" hidden="1" x14ac:dyDescent="0.25">
      <c r="A1060" s="97" t="str">
        <f t="shared" ref="A1060:A1091" si="19">B1060&amp;"_"&amp;C1060</f>
        <v>sam62_main_infra_phys_vdd_dyn_trk</v>
      </c>
      <c r="B1060" s="5" t="s">
        <v>144</v>
      </c>
      <c r="C1060" s="5" t="s">
        <v>1122</v>
      </c>
      <c r="D1060" s="5"/>
      <c r="E1060" s="5" t="s">
        <v>1072</v>
      </c>
      <c r="F1060" s="5">
        <v>53.8</v>
      </c>
      <c r="G1060" s="97" t="s">
        <v>1123</v>
      </c>
      <c r="H1060" s="5">
        <v>54.1</v>
      </c>
      <c r="I1060"/>
      <c r="J1060"/>
      <c r="K1060"/>
      <c r="L1060"/>
      <c r="M1060"/>
      <c r="N1060"/>
      <c r="O1060"/>
      <c r="P1060"/>
      <c r="Q1060"/>
      <c r="R1060"/>
      <c r="S1060"/>
      <c r="T1060"/>
      <c r="U1060"/>
      <c r="V1060"/>
      <c r="W1060"/>
      <c r="X1060"/>
      <c r="Y1060"/>
    </row>
    <row r="1061" spans="1:25" s="104" customFormat="1" hidden="1" x14ac:dyDescent="0.25">
      <c r="A1061" s="97" t="str">
        <f t="shared" si="19"/>
        <v>sam62_main_ip_wrap_vdd_dyn_trk</v>
      </c>
      <c r="B1061" s="5" t="s">
        <v>238</v>
      </c>
      <c r="C1061" s="5" t="s">
        <v>1122</v>
      </c>
      <c r="D1061" s="5"/>
      <c r="E1061" s="5" t="s">
        <v>1072</v>
      </c>
      <c r="F1061" s="5">
        <v>520.6</v>
      </c>
      <c r="G1061" s="97" t="s">
        <v>1123</v>
      </c>
      <c r="H1061" s="5">
        <v>522.59999999999991</v>
      </c>
      <c r="I1061"/>
      <c r="J1061"/>
      <c r="K1061"/>
      <c r="L1061"/>
      <c r="M1061"/>
      <c r="N1061"/>
      <c r="O1061"/>
      <c r="P1061"/>
      <c r="Q1061"/>
      <c r="R1061"/>
      <c r="S1061"/>
      <c r="T1061"/>
      <c r="U1061"/>
      <c r="V1061"/>
      <c r="W1061"/>
      <c r="X1061"/>
      <c r="Y1061"/>
    </row>
    <row r="1062" spans="1:25" s="104" customFormat="1" hidden="1" x14ac:dyDescent="0.25">
      <c r="A1062" s="97" t="str">
        <f t="shared" si="19"/>
        <v>sam62_mcu_infra_phys_vdd_dyn_trk</v>
      </c>
      <c r="B1062" s="5" t="s">
        <v>183</v>
      </c>
      <c r="C1062" s="5" t="s">
        <v>1122</v>
      </c>
      <c r="D1062" s="5"/>
      <c r="E1062" s="5" t="s">
        <v>1072</v>
      </c>
      <c r="F1062" s="5">
        <v>21</v>
      </c>
      <c r="G1062" s="97" t="s">
        <v>1123</v>
      </c>
      <c r="H1062" s="5">
        <v>21.1</v>
      </c>
      <c r="I1062"/>
      <c r="J1062"/>
      <c r="K1062"/>
      <c r="L1062"/>
      <c r="M1062"/>
      <c r="N1062"/>
      <c r="O1062"/>
      <c r="P1062"/>
      <c r="Q1062"/>
      <c r="R1062"/>
      <c r="S1062"/>
      <c r="T1062"/>
      <c r="U1062"/>
      <c r="V1062"/>
      <c r="W1062"/>
      <c r="X1062"/>
      <c r="Y1062"/>
    </row>
    <row r="1063" spans="1:25" s="104" customFormat="1" hidden="1" x14ac:dyDescent="0.25">
      <c r="A1063" s="97" t="str">
        <f t="shared" si="19"/>
        <v>sam62_mcu_wrap_vdd_dyn_trk</v>
      </c>
      <c r="B1063" s="5" t="s">
        <v>236</v>
      </c>
      <c r="C1063" s="5" t="s">
        <v>1122</v>
      </c>
      <c r="D1063" s="5"/>
      <c r="E1063" s="5" t="s">
        <v>1072</v>
      </c>
      <c r="F1063" s="5">
        <v>51.1</v>
      </c>
      <c r="G1063" s="97" t="s">
        <v>1123</v>
      </c>
      <c r="H1063" s="5">
        <v>50.5</v>
      </c>
      <c r="I1063"/>
      <c r="J1063"/>
      <c r="K1063"/>
      <c r="L1063"/>
      <c r="M1063"/>
      <c r="N1063"/>
      <c r="O1063"/>
      <c r="P1063"/>
      <c r="Q1063"/>
      <c r="R1063"/>
      <c r="S1063"/>
      <c r="T1063"/>
      <c r="U1063"/>
      <c r="V1063"/>
      <c r="W1063"/>
      <c r="X1063"/>
      <c r="Y1063"/>
    </row>
    <row r="1064" spans="1:25" s="104" customFormat="1" hidden="1" x14ac:dyDescent="0.25">
      <c r="A1064" s="97" t="str">
        <f t="shared" si="19"/>
        <v>sam62_odp_ctrl_wrap_vdd_dyn_trk</v>
      </c>
      <c r="B1064" s="5" t="s">
        <v>212</v>
      </c>
      <c r="C1064" s="5" t="s">
        <v>1122</v>
      </c>
      <c r="D1064" s="5"/>
      <c r="E1064" s="5" t="s">
        <v>1072</v>
      </c>
      <c r="F1064" s="5">
        <v>2</v>
      </c>
      <c r="G1064" s="97" t="s">
        <v>1123</v>
      </c>
      <c r="H1064" s="5">
        <v>2</v>
      </c>
      <c r="I1064"/>
      <c r="J1064"/>
      <c r="K1064"/>
      <c r="L1064"/>
      <c r="M1064"/>
      <c r="N1064"/>
      <c r="O1064"/>
      <c r="P1064"/>
      <c r="Q1064"/>
      <c r="R1064"/>
      <c r="S1064"/>
      <c r="T1064"/>
      <c r="U1064"/>
      <c r="V1064"/>
      <c r="W1064"/>
      <c r="X1064"/>
      <c r="Y1064"/>
    </row>
    <row r="1065" spans="1:25" s="104" customFormat="1" hidden="1" x14ac:dyDescent="0.25">
      <c r="A1065" s="97" t="str">
        <f t="shared" si="19"/>
        <v>sam62_sec_wrap_vdd_dyn_trk</v>
      </c>
      <c r="B1065" s="5" t="s">
        <v>262</v>
      </c>
      <c r="C1065" s="5" t="s">
        <v>1122</v>
      </c>
      <c r="D1065" s="5"/>
      <c r="E1065" s="5" t="s">
        <v>1072</v>
      </c>
      <c r="F1065" s="5">
        <v>669.9</v>
      </c>
      <c r="G1065" s="97" t="s">
        <v>1123</v>
      </c>
      <c r="H1065" s="5">
        <v>670.5</v>
      </c>
      <c r="I1065"/>
      <c r="J1065"/>
      <c r="K1065"/>
      <c r="L1065"/>
      <c r="M1065"/>
      <c r="N1065"/>
      <c r="O1065"/>
      <c r="P1065"/>
      <c r="Q1065"/>
      <c r="R1065"/>
      <c r="S1065"/>
      <c r="T1065"/>
      <c r="U1065"/>
      <c r="V1065"/>
      <c r="W1065"/>
      <c r="X1065"/>
      <c r="Y1065"/>
    </row>
    <row r="1066" spans="1:25" s="104" customFormat="1" hidden="1" x14ac:dyDescent="0.25">
      <c r="A1066" s="97" t="str">
        <f t="shared" si="19"/>
        <v>sam62_core_vdd_dyn_trk</v>
      </c>
      <c r="B1066" s="5" t="s">
        <v>185</v>
      </c>
      <c r="C1066" s="5" t="s">
        <v>1122</v>
      </c>
      <c r="D1066" s="5"/>
      <c r="E1066" s="5" t="s">
        <v>1072</v>
      </c>
      <c r="F1066" s="5">
        <v>136</v>
      </c>
      <c r="G1066" s="97" t="s">
        <v>1123</v>
      </c>
      <c r="H1066" s="5"/>
      <c r="I1066"/>
      <c r="J1066"/>
      <c r="K1066"/>
      <c r="L1066"/>
      <c r="M1066"/>
      <c r="N1066"/>
      <c r="O1066"/>
      <c r="P1066"/>
      <c r="Q1066"/>
      <c r="R1066"/>
      <c r="S1066"/>
      <c r="T1066"/>
      <c r="U1066"/>
      <c r="V1066"/>
      <c r="W1066"/>
      <c r="X1066"/>
      <c r="Y1066"/>
    </row>
    <row r="1067" spans="1:25" s="104" customFormat="1" hidden="1" x14ac:dyDescent="0.25">
      <c r="A1067" s="97" t="str">
        <f t="shared" si="19"/>
        <v>sam62_pll_ctrl_wrap_vdd_dyn_trk</v>
      </c>
      <c r="B1067" s="5" t="s">
        <v>221</v>
      </c>
      <c r="C1067" s="5" t="s">
        <v>1122</v>
      </c>
      <c r="D1067" s="5"/>
      <c r="E1067" s="5" t="s">
        <v>1072</v>
      </c>
      <c r="F1067" s="5">
        <v>6.3</v>
      </c>
      <c r="G1067" s="97" t="s">
        <v>1123</v>
      </c>
      <c r="H1067" s="5">
        <v>6.4</v>
      </c>
      <c r="I1067"/>
      <c r="J1067"/>
      <c r="K1067"/>
      <c r="L1067"/>
      <c r="M1067"/>
      <c r="N1067"/>
      <c r="O1067"/>
      <c r="P1067"/>
      <c r="Q1067"/>
      <c r="R1067"/>
      <c r="S1067"/>
      <c r="T1067"/>
      <c r="U1067"/>
      <c r="V1067"/>
      <c r="W1067"/>
      <c r="X1067"/>
      <c r="Y1067"/>
    </row>
    <row r="1068" spans="1:25" s="104" customFormat="1" hidden="1" x14ac:dyDescent="0.25">
      <c r="A1068" s="97" t="str">
        <f t="shared" si="19"/>
        <v>PLLTS16FFCLAFRACF_vdd_lkg</v>
      </c>
      <c r="B1068" s="97" t="s">
        <v>78</v>
      </c>
      <c r="C1068" s="97" t="s">
        <v>368</v>
      </c>
      <c r="D1068" s="97" t="s">
        <v>68</v>
      </c>
      <c r="E1068" s="97" t="s">
        <v>1038</v>
      </c>
      <c r="F1068" s="97">
        <v>3.8885176066760181E-2</v>
      </c>
      <c r="G1068" s="97" t="s">
        <v>559</v>
      </c>
      <c r="H1068" s="5"/>
      <c r="I1068"/>
      <c r="J1068"/>
      <c r="K1068"/>
      <c r="L1068"/>
      <c r="M1068"/>
      <c r="N1068"/>
      <c r="O1068"/>
      <c r="P1068"/>
      <c r="Q1068"/>
      <c r="R1068"/>
      <c r="S1068"/>
      <c r="T1068"/>
      <c r="U1068"/>
      <c r="V1068"/>
      <c r="W1068"/>
      <c r="X1068"/>
      <c r="Y1068"/>
    </row>
    <row r="1069" spans="1:25" s="104" customFormat="1" hidden="1" x14ac:dyDescent="0.25">
      <c r="A1069" s="97" t="str">
        <f t="shared" si="19"/>
        <v>N16FFC_POK_vdd_lkg</v>
      </c>
      <c r="B1069" s="97" t="s">
        <v>80</v>
      </c>
      <c r="C1069" s="97" t="s">
        <v>368</v>
      </c>
      <c r="D1069" s="97"/>
      <c r="E1069" s="97" t="s">
        <v>1038</v>
      </c>
      <c r="F1069" s="99">
        <f>0.0019*0.88</f>
        <v>1.6720000000000001E-3</v>
      </c>
      <c r="G1069" s="97" t="s">
        <v>606</v>
      </c>
      <c r="H1069" s="5"/>
      <c r="I1069"/>
      <c r="J1069"/>
      <c r="K1069"/>
      <c r="L1069"/>
      <c r="M1069"/>
      <c r="N1069"/>
      <c r="O1069"/>
      <c r="P1069"/>
      <c r="Q1069"/>
      <c r="R1069"/>
      <c r="S1069"/>
      <c r="T1069"/>
      <c r="U1069"/>
      <c r="V1069"/>
      <c r="W1069"/>
      <c r="X1069"/>
      <c r="Y1069"/>
    </row>
    <row r="1070" spans="1:25" s="104" customFormat="1" hidden="1" x14ac:dyDescent="0.25">
      <c r="A1070" s="97" t="str">
        <f t="shared" si="19"/>
        <v>N16FFC_POKSA_vdd_lkg</v>
      </c>
      <c r="B1070" s="97" t="s">
        <v>83</v>
      </c>
      <c r="C1070" s="97" t="s">
        <v>368</v>
      </c>
      <c r="D1070" s="97" t="s">
        <v>68</v>
      </c>
      <c r="E1070" s="97" t="s">
        <v>1038</v>
      </c>
      <c r="F1070" s="97">
        <v>1.17766E-2</v>
      </c>
      <c r="G1070" s="97" t="s">
        <v>567</v>
      </c>
      <c r="H1070" s="5"/>
      <c r="I1070"/>
      <c r="J1070"/>
      <c r="K1070"/>
      <c r="L1070"/>
      <c r="M1070"/>
      <c r="N1070"/>
      <c r="O1070"/>
      <c r="P1070"/>
      <c r="Q1070"/>
      <c r="R1070"/>
      <c r="S1070"/>
      <c r="T1070"/>
      <c r="U1070"/>
      <c r="V1070"/>
      <c r="W1070"/>
      <c r="X1070"/>
      <c r="Y1070"/>
    </row>
    <row r="1071" spans="1:25" s="104" customFormat="1" hidden="1" x14ac:dyDescent="0.25">
      <c r="A1071" s="97" t="str">
        <f t="shared" si="19"/>
        <v>TEF16FCLL256X32HD18_PHRM_vdd_lkg</v>
      </c>
      <c r="B1071" s="98" t="s">
        <v>74</v>
      </c>
      <c r="C1071" s="97" t="s">
        <v>368</v>
      </c>
      <c r="D1071" s="97" t="s">
        <v>68</v>
      </c>
      <c r="E1071" s="97" t="s">
        <v>1038</v>
      </c>
      <c r="F1071" s="97">
        <v>5.28E-3</v>
      </c>
      <c r="G1071" s="97"/>
      <c r="H1071" s="5"/>
      <c r="I1071"/>
      <c r="J1071"/>
      <c r="K1071"/>
      <c r="L1071"/>
      <c r="M1071"/>
      <c r="N1071"/>
      <c r="O1071"/>
      <c r="P1071"/>
      <c r="Q1071"/>
      <c r="R1071"/>
      <c r="S1071"/>
      <c r="T1071"/>
      <c r="U1071"/>
      <c r="V1071"/>
      <c r="W1071"/>
      <c r="X1071"/>
      <c r="Y1071"/>
    </row>
    <row r="1072" spans="1:25" s="104" customFormat="1" hidden="1" x14ac:dyDescent="0.25">
      <c r="A1072" s="97" t="str">
        <f t="shared" si="19"/>
        <v>sd1000_vdd_lkg</v>
      </c>
      <c r="B1072" s="97" t="s">
        <v>608</v>
      </c>
      <c r="C1072" s="98" t="s">
        <v>368</v>
      </c>
      <c r="D1072" s="97"/>
      <c r="E1072" s="97" t="s">
        <v>1038</v>
      </c>
      <c r="F1072" s="97">
        <v>0</v>
      </c>
      <c r="G1072" s="97" t="s">
        <v>487</v>
      </c>
      <c r="H1072" s="5"/>
      <c r="I1072"/>
      <c r="J1072"/>
      <c r="K1072"/>
      <c r="L1072"/>
      <c r="M1072"/>
      <c r="N1072"/>
      <c r="O1072"/>
      <c r="P1072"/>
      <c r="Q1072"/>
      <c r="R1072"/>
      <c r="S1072"/>
      <c r="T1072"/>
      <c r="U1072"/>
      <c r="V1072"/>
      <c r="W1072"/>
      <c r="X1072"/>
      <c r="Y1072"/>
    </row>
    <row r="1073" spans="1:25" s="104" customFormat="1" hidden="1" x14ac:dyDescent="0.25">
      <c r="A1073" s="97" t="str">
        <f t="shared" si="19"/>
        <v>TODP16FFC18_C170915_vdd_lkg</v>
      </c>
      <c r="B1073" s="97" t="s">
        <v>75</v>
      </c>
      <c r="C1073" s="97" t="s">
        <v>368</v>
      </c>
      <c r="D1073" s="97" t="s">
        <v>68</v>
      </c>
      <c r="E1073" s="97" t="s">
        <v>1038</v>
      </c>
      <c r="F1073" s="97">
        <v>0.05</v>
      </c>
      <c r="G1073" s="97"/>
      <c r="H1073" s="5"/>
      <c r="I1073"/>
      <c r="J1073"/>
      <c r="K1073"/>
      <c r="L1073"/>
      <c r="M1073"/>
      <c r="N1073"/>
      <c r="O1073"/>
      <c r="P1073"/>
      <c r="Q1073"/>
      <c r="R1073"/>
      <c r="S1073"/>
      <c r="T1073"/>
      <c r="U1073"/>
      <c r="V1073"/>
      <c r="W1073"/>
      <c r="X1073"/>
      <c r="Y1073"/>
    </row>
    <row r="1074" spans="1:25" s="104" customFormat="1" hidden="1" x14ac:dyDescent="0.25">
      <c r="A1074" s="97" t="str">
        <f t="shared" si="19"/>
        <v>N16FFC_POR_vdd_lkg</v>
      </c>
      <c r="B1074" s="97" t="s">
        <v>73</v>
      </c>
      <c r="C1074" s="97" t="s">
        <v>368</v>
      </c>
      <c r="D1074" s="97" t="s">
        <v>68</v>
      </c>
      <c r="E1074" s="97" t="s">
        <v>1038</v>
      </c>
      <c r="F1074" s="97">
        <v>5.2800239072262767E-3</v>
      </c>
      <c r="G1074" s="97" t="s">
        <v>566</v>
      </c>
      <c r="H1074" s="5"/>
      <c r="I1074"/>
      <c r="J1074"/>
      <c r="K1074"/>
      <c r="L1074"/>
      <c r="M1074"/>
      <c r="N1074"/>
      <c r="O1074"/>
      <c r="P1074"/>
      <c r="Q1074"/>
      <c r="R1074"/>
      <c r="S1074"/>
      <c r="T1074"/>
      <c r="U1074"/>
      <c r="V1074"/>
      <c r="W1074"/>
      <c r="X1074"/>
      <c r="Y1074"/>
    </row>
    <row r="1075" spans="1:25" s="104" customFormat="1" hidden="1" x14ac:dyDescent="0.25">
      <c r="A1075" s="97" t="str">
        <f t="shared" si="19"/>
        <v>ABJSTBL5_vdd_lkg</v>
      </c>
      <c r="B1075" s="98" t="s">
        <v>269</v>
      </c>
      <c r="C1075" s="97" t="s">
        <v>368</v>
      </c>
      <c r="D1075" s="97" t="s">
        <v>68</v>
      </c>
      <c r="E1075" s="97" t="s">
        <v>1038</v>
      </c>
      <c r="F1075" s="97">
        <v>0.08</v>
      </c>
      <c r="G1075" s="97" t="s">
        <v>267</v>
      </c>
      <c r="H1075" s="5"/>
      <c r="I1075"/>
      <c r="J1075"/>
      <c r="K1075"/>
      <c r="L1075"/>
      <c r="M1075"/>
      <c r="N1075"/>
      <c r="O1075"/>
      <c r="P1075"/>
      <c r="Q1075"/>
      <c r="R1075"/>
      <c r="S1075"/>
      <c r="T1075"/>
      <c r="U1075"/>
      <c r="V1075"/>
      <c r="W1075"/>
      <c r="X1075"/>
      <c r="Y1075"/>
    </row>
    <row r="1076" spans="1:25" s="104" customFormat="1" hidden="1" x14ac:dyDescent="0.25">
      <c r="A1076" s="97" t="str">
        <f t="shared" si="19"/>
        <v>LVDSTS16LLBI1E_vdd_lkg</v>
      </c>
      <c r="B1076" s="97" t="s">
        <v>81</v>
      </c>
      <c r="C1076" s="98" t="s">
        <v>368</v>
      </c>
      <c r="D1076" s="97"/>
      <c r="E1076" s="97" t="s">
        <v>1038</v>
      </c>
      <c r="F1076" s="97">
        <f>0.05*0.88</f>
        <v>4.4000000000000004E-2</v>
      </c>
      <c r="G1076" s="97" t="s">
        <v>453</v>
      </c>
      <c r="H1076" s="5"/>
      <c r="I1076"/>
      <c r="J1076"/>
      <c r="K1076"/>
      <c r="L1076"/>
      <c r="M1076"/>
      <c r="N1076"/>
      <c r="O1076"/>
      <c r="P1076"/>
      <c r="Q1076"/>
      <c r="R1076"/>
      <c r="S1076"/>
      <c r="T1076"/>
      <c r="U1076"/>
      <c r="V1076"/>
      <c r="W1076"/>
      <c r="X1076"/>
      <c r="Y1076"/>
    </row>
    <row r="1077" spans="1:25" s="104" customFormat="1" x14ac:dyDescent="0.25">
      <c r="A1077" s="97" t="str">
        <f t="shared" si="19"/>
        <v>ddr16_1600_ios_vdd_lkg</v>
      </c>
      <c r="B1077" s="97" t="s">
        <v>620</v>
      </c>
      <c r="C1077" s="98" t="s">
        <v>368</v>
      </c>
      <c r="D1077" s="97"/>
      <c r="E1077" s="97" t="s">
        <v>1038</v>
      </c>
      <c r="F1077" s="97">
        <v>10.262</v>
      </c>
      <c r="G1077" s="97" t="s">
        <v>572</v>
      </c>
      <c r="H1077" s="5"/>
      <c r="I1077"/>
      <c r="J1077"/>
      <c r="K1077"/>
      <c r="L1077"/>
      <c r="M1077"/>
      <c r="N1077"/>
      <c r="O1077"/>
      <c r="P1077"/>
      <c r="Q1077"/>
      <c r="R1077"/>
      <c r="S1077"/>
      <c r="T1077"/>
      <c r="U1077"/>
      <c r="V1077"/>
      <c r="W1077"/>
      <c r="X1077"/>
      <c r="Y1077"/>
    </row>
    <row r="1078" spans="1:25" s="104" customFormat="1" hidden="1" x14ac:dyDescent="0.25">
      <c r="A1078" s="97" t="str">
        <f t="shared" si="19"/>
        <v>sam62_m4ss_wrap_vdd_lkg</v>
      </c>
      <c r="B1078" s="97" t="s">
        <v>219</v>
      </c>
      <c r="C1078" s="97" t="s">
        <v>368</v>
      </c>
      <c r="D1078" s="97"/>
      <c r="E1078" s="97" t="s">
        <v>1072</v>
      </c>
      <c r="F1078" s="97">
        <v>12</v>
      </c>
      <c r="G1078" s="97" t="s">
        <v>1073</v>
      </c>
      <c r="H1078" s="97">
        <v>12.000000000000002</v>
      </c>
      <c r="I1078"/>
      <c r="J1078"/>
      <c r="K1078"/>
      <c r="L1078"/>
      <c r="M1078"/>
      <c r="N1078"/>
      <c r="O1078"/>
      <c r="P1078"/>
      <c r="Q1078"/>
      <c r="R1078"/>
      <c r="S1078"/>
      <c r="T1078"/>
      <c r="U1078"/>
      <c r="V1078"/>
      <c r="W1078"/>
      <c r="X1078"/>
      <c r="Y1078"/>
    </row>
    <row r="1079" spans="1:25" s="104" customFormat="1" hidden="1" x14ac:dyDescent="0.25">
      <c r="A1079" s="97" t="str">
        <f t="shared" si="19"/>
        <v>sam62_dm_wrap_vdd_lkg</v>
      </c>
      <c r="B1079" s="97" t="s">
        <v>237</v>
      </c>
      <c r="C1079" s="97" t="s">
        <v>368</v>
      </c>
      <c r="D1079" s="97"/>
      <c r="E1079" s="97" t="s">
        <v>1072</v>
      </c>
      <c r="F1079" s="97">
        <v>16.8</v>
      </c>
      <c r="G1079" s="97" t="s">
        <v>1073</v>
      </c>
      <c r="H1079" s="97">
        <v>16.8</v>
      </c>
      <c r="I1079"/>
      <c r="J1079"/>
      <c r="K1079"/>
      <c r="L1079"/>
      <c r="M1079"/>
      <c r="N1079"/>
      <c r="O1079"/>
      <c r="P1079"/>
      <c r="Q1079"/>
      <c r="R1079"/>
      <c r="S1079"/>
      <c r="T1079"/>
      <c r="U1079"/>
      <c r="V1079"/>
      <c r="W1079"/>
      <c r="X1079"/>
      <c r="Y1079"/>
    </row>
    <row r="1080" spans="1:25" s="104" customFormat="1" hidden="1" x14ac:dyDescent="0.25">
      <c r="A1080" s="97" t="str">
        <f t="shared" si="19"/>
        <v>sam62_a53_dual_wrap_cba_cpu_phys_vdd_lkg</v>
      </c>
      <c r="B1080" s="97" t="s">
        <v>274</v>
      </c>
      <c r="C1080" s="97" t="s">
        <v>368</v>
      </c>
      <c r="D1080" s="97"/>
      <c r="E1080" s="97" t="s">
        <v>1072</v>
      </c>
      <c r="F1080" s="97">
        <v>75.8</v>
      </c>
      <c r="G1080" s="97" t="s">
        <v>1073</v>
      </c>
      <c r="H1080" s="97">
        <v>73.899999999999991</v>
      </c>
      <c r="I1080"/>
      <c r="J1080"/>
      <c r="K1080"/>
      <c r="L1080"/>
      <c r="M1080"/>
      <c r="N1080"/>
      <c r="O1080"/>
      <c r="P1080"/>
      <c r="Q1080"/>
      <c r="R1080"/>
      <c r="S1080"/>
      <c r="T1080"/>
      <c r="U1080"/>
      <c r="V1080"/>
      <c r="W1080"/>
      <c r="X1080"/>
      <c r="Y1080"/>
    </row>
    <row r="1081" spans="1:25" s="104" customFormat="1" hidden="1" x14ac:dyDescent="0.25">
      <c r="A1081" s="97" t="str">
        <f t="shared" si="19"/>
        <v>sam62_a53_512kb_wrap_vdd_lkg</v>
      </c>
      <c r="B1081" s="97" t="s">
        <v>270</v>
      </c>
      <c r="C1081" s="97" t="s">
        <v>368</v>
      </c>
      <c r="D1081" s="97"/>
      <c r="E1081" s="97" t="s">
        <v>1072</v>
      </c>
      <c r="F1081" s="97">
        <v>102.3</v>
      </c>
      <c r="G1081" s="97" t="s">
        <v>1073</v>
      </c>
      <c r="H1081" s="97">
        <v>92.7</v>
      </c>
      <c r="I1081"/>
      <c r="J1081"/>
      <c r="K1081"/>
      <c r="L1081"/>
      <c r="M1081"/>
      <c r="N1081"/>
      <c r="O1081"/>
      <c r="P1081"/>
      <c r="Q1081"/>
      <c r="R1081"/>
      <c r="S1081"/>
      <c r="T1081"/>
      <c r="U1081"/>
      <c r="V1081"/>
      <c r="W1081"/>
      <c r="X1081"/>
      <c r="Y1081"/>
    </row>
    <row r="1082" spans="1:25" s="104" customFormat="1" hidden="1" x14ac:dyDescent="0.25">
      <c r="A1082" s="97" t="str">
        <f t="shared" si="19"/>
        <v>sam62_cpsw3_wrap_vdd_lkg</v>
      </c>
      <c r="B1082" s="97" t="s">
        <v>216</v>
      </c>
      <c r="C1082" s="97" t="s">
        <v>368</v>
      </c>
      <c r="D1082" s="97"/>
      <c r="E1082" s="97" t="s">
        <v>1072</v>
      </c>
      <c r="F1082" s="97">
        <v>9.3000000000000007</v>
      </c>
      <c r="G1082" s="97" t="s">
        <v>1073</v>
      </c>
      <c r="H1082" s="97">
        <v>9.3000000000000007</v>
      </c>
      <c r="I1082"/>
      <c r="J1082"/>
      <c r="K1082"/>
      <c r="L1082"/>
      <c r="M1082"/>
      <c r="N1082"/>
      <c r="O1082"/>
      <c r="P1082"/>
      <c r="Q1082"/>
      <c r="R1082"/>
      <c r="S1082"/>
      <c r="T1082"/>
      <c r="U1082"/>
      <c r="V1082"/>
      <c r="W1082"/>
      <c r="X1082"/>
      <c r="Y1082"/>
    </row>
    <row r="1083" spans="1:25" s="104" customFormat="1" hidden="1" x14ac:dyDescent="0.25">
      <c r="A1083" s="97" t="str">
        <f t="shared" si="19"/>
        <v>sam62_icss_m_wrap_vdd_lkg</v>
      </c>
      <c r="B1083" s="97" t="s">
        <v>209</v>
      </c>
      <c r="C1083" s="97" t="s">
        <v>368</v>
      </c>
      <c r="D1083" s="97"/>
      <c r="E1083" s="97" t="s">
        <v>1072</v>
      </c>
      <c r="F1083" s="97">
        <v>8.9</v>
      </c>
      <c r="G1083" s="97" t="s">
        <v>1073</v>
      </c>
      <c r="H1083" s="97">
        <v>8.8999999999999986</v>
      </c>
      <c r="I1083"/>
      <c r="J1083"/>
      <c r="K1083"/>
      <c r="L1083"/>
      <c r="M1083"/>
      <c r="N1083"/>
      <c r="O1083"/>
      <c r="P1083"/>
      <c r="Q1083"/>
      <c r="R1083"/>
      <c r="S1083"/>
      <c r="T1083"/>
      <c r="U1083"/>
      <c r="V1083"/>
      <c r="W1083"/>
      <c r="X1083"/>
      <c r="Y1083"/>
    </row>
    <row r="1084" spans="1:25" s="104" customFormat="1" hidden="1" x14ac:dyDescent="0.25">
      <c r="A1084" s="97" t="str">
        <f t="shared" si="19"/>
        <v>sam62_dss_oldi_wrap_vdd_lkg</v>
      </c>
      <c r="B1084" s="97" t="s">
        <v>214</v>
      </c>
      <c r="C1084" s="97" t="s">
        <v>368</v>
      </c>
      <c r="D1084" s="97"/>
      <c r="E1084" s="97" t="s">
        <v>1072</v>
      </c>
      <c r="F1084" s="97">
        <v>5.8</v>
      </c>
      <c r="G1084" s="97" t="s">
        <v>1073</v>
      </c>
      <c r="H1084" s="97">
        <v>5.8000000000000007</v>
      </c>
      <c r="I1084"/>
      <c r="J1084"/>
      <c r="K1084"/>
      <c r="L1084"/>
      <c r="M1084"/>
      <c r="N1084"/>
      <c r="O1084"/>
      <c r="P1084"/>
      <c r="Q1084"/>
      <c r="R1084"/>
      <c r="S1084"/>
      <c r="T1084"/>
      <c r="U1084"/>
      <c r="V1084"/>
      <c r="W1084"/>
      <c r="X1084"/>
      <c r="Y1084"/>
    </row>
    <row r="1085" spans="1:25" s="104" customFormat="1" hidden="1" x14ac:dyDescent="0.25">
      <c r="A1085" s="97" t="str">
        <f t="shared" si="19"/>
        <v>sam62_k3_gpu_axe116m_wrap_vdd_lkg</v>
      </c>
      <c r="B1085" s="97" t="s">
        <v>242</v>
      </c>
      <c r="C1085" s="97" t="s">
        <v>368</v>
      </c>
      <c r="D1085" s="97"/>
      <c r="E1085" s="97" t="s">
        <v>1072</v>
      </c>
      <c r="F1085" s="97">
        <v>54.9</v>
      </c>
      <c r="G1085" s="97" t="s">
        <v>1073</v>
      </c>
      <c r="H1085" s="97">
        <v>54.9</v>
      </c>
      <c r="I1085"/>
      <c r="J1085"/>
      <c r="K1085"/>
      <c r="L1085"/>
      <c r="M1085"/>
      <c r="N1085"/>
      <c r="O1085"/>
      <c r="P1085"/>
      <c r="Q1085"/>
      <c r="R1085"/>
      <c r="S1085"/>
      <c r="T1085"/>
      <c r="U1085"/>
      <c r="V1085"/>
      <c r="W1085"/>
      <c r="X1085"/>
      <c r="Y1085"/>
    </row>
    <row r="1086" spans="1:25" s="104" customFormat="1" hidden="1" x14ac:dyDescent="0.25">
      <c r="A1086" s="97" t="str">
        <f t="shared" si="19"/>
        <v>sam62_mcasp_wrap_vdd_lkg</v>
      </c>
      <c r="B1086" s="97" t="s">
        <v>208</v>
      </c>
      <c r="C1086" s="97" t="s">
        <v>368</v>
      </c>
      <c r="D1086" s="97"/>
      <c r="E1086" s="97" t="s">
        <v>1072</v>
      </c>
      <c r="F1086" s="97">
        <v>0.6</v>
      </c>
      <c r="G1086" s="97" t="s">
        <v>1073</v>
      </c>
      <c r="H1086" s="97">
        <v>0.6</v>
      </c>
      <c r="I1086"/>
      <c r="J1086"/>
      <c r="K1086"/>
      <c r="L1086"/>
      <c r="M1086"/>
      <c r="N1086"/>
      <c r="O1086"/>
      <c r="P1086"/>
      <c r="Q1086"/>
      <c r="R1086"/>
      <c r="S1086"/>
      <c r="T1086"/>
      <c r="U1086"/>
      <c r="V1086"/>
      <c r="W1086"/>
      <c r="X1086"/>
      <c r="Y1086"/>
    </row>
    <row r="1087" spans="1:25" s="104" customFormat="1" hidden="1" x14ac:dyDescent="0.25">
      <c r="A1087" s="97" t="str">
        <f t="shared" si="19"/>
        <v>sam62_csirx_wrap_vdd_lkg</v>
      </c>
      <c r="B1087" s="97" t="s">
        <v>239</v>
      </c>
      <c r="C1087" s="97" t="s">
        <v>368</v>
      </c>
      <c r="D1087" s="97"/>
      <c r="E1087" s="97" t="s">
        <v>1072</v>
      </c>
      <c r="F1087" s="97">
        <v>5.9</v>
      </c>
      <c r="G1087" s="97" t="s">
        <v>1073</v>
      </c>
      <c r="H1087" s="97">
        <v>5.9</v>
      </c>
      <c r="I1087"/>
      <c r="J1087"/>
      <c r="K1087"/>
      <c r="L1087"/>
      <c r="M1087"/>
      <c r="N1087"/>
      <c r="O1087"/>
      <c r="P1087"/>
      <c r="Q1087"/>
      <c r="R1087"/>
      <c r="S1087"/>
      <c r="T1087"/>
      <c r="U1087"/>
      <c r="V1087"/>
      <c r="W1087"/>
      <c r="X1087"/>
      <c r="Y1087"/>
    </row>
    <row r="1088" spans="1:25" s="104" customFormat="1" hidden="1" x14ac:dyDescent="0.25">
      <c r="A1088" s="97" t="str">
        <f t="shared" si="19"/>
        <v>sam62_usb2_wrap_vdd_lkg</v>
      </c>
      <c r="B1088" s="97" t="s">
        <v>207</v>
      </c>
      <c r="C1088" s="97" t="s">
        <v>368</v>
      </c>
      <c r="D1088" s="97"/>
      <c r="E1088" s="97" t="s">
        <v>1072</v>
      </c>
      <c r="F1088" s="97">
        <v>4.0999999999999996</v>
      </c>
      <c r="G1088" s="97" t="s">
        <v>1073</v>
      </c>
      <c r="H1088" s="97">
        <v>4.0999999999999996</v>
      </c>
      <c r="I1088"/>
      <c r="J1088"/>
      <c r="K1088"/>
      <c r="L1088"/>
      <c r="M1088"/>
      <c r="N1088"/>
      <c r="O1088"/>
      <c r="P1088"/>
      <c r="Q1088"/>
      <c r="R1088"/>
      <c r="S1088"/>
      <c r="T1088"/>
      <c r="U1088"/>
      <c r="V1088"/>
      <c r="W1088"/>
      <c r="X1088"/>
      <c r="Y1088"/>
    </row>
    <row r="1089" spans="1:25" s="104" customFormat="1" hidden="1" x14ac:dyDescent="0.25">
      <c r="A1089" s="97" t="str">
        <f t="shared" si="19"/>
        <v>sam62_emmc_4bit_wrap_vdd_lkg</v>
      </c>
      <c r="B1089" s="97" t="s">
        <v>240</v>
      </c>
      <c r="C1089" s="97" t="s">
        <v>368</v>
      </c>
      <c r="D1089" s="97"/>
      <c r="E1089" s="97" t="s">
        <v>1072</v>
      </c>
      <c r="F1089" s="97">
        <v>2</v>
      </c>
      <c r="G1089" s="97" t="s">
        <v>1073</v>
      </c>
      <c r="H1089" s="97">
        <v>2</v>
      </c>
      <c r="I1089"/>
      <c r="J1089"/>
      <c r="K1089"/>
      <c r="L1089"/>
      <c r="M1089"/>
      <c r="N1089"/>
      <c r="O1089"/>
      <c r="P1089"/>
      <c r="Q1089"/>
      <c r="R1089"/>
      <c r="S1089"/>
      <c r="T1089"/>
      <c r="U1089"/>
      <c r="V1089"/>
      <c r="W1089"/>
      <c r="X1089"/>
      <c r="Y1089"/>
    </row>
    <row r="1090" spans="1:25" s="104" customFormat="1" hidden="1" x14ac:dyDescent="0.25">
      <c r="A1090" s="97" t="str">
        <f t="shared" si="19"/>
        <v>sam62_emmc_8bit_wrap_vdd_lkg</v>
      </c>
      <c r="B1090" s="97" t="s">
        <v>241</v>
      </c>
      <c r="C1090" s="97" t="s">
        <v>368</v>
      </c>
      <c r="D1090" s="97"/>
      <c r="E1090" s="97" t="s">
        <v>1072</v>
      </c>
      <c r="F1090" s="97">
        <v>1.8</v>
      </c>
      <c r="G1090" s="97" t="s">
        <v>1073</v>
      </c>
      <c r="H1090" s="97">
        <v>1.8</v>
      </c>
      <c r="I1090"/>
      <c r="J1090"/>
      <c r="K1090"/>
      <c r="L1090"/>
      <c r="M1090"/>
      <c r="N1090"/>
      <c r="O1090"/>
      <c r="P1090"/>
      <c r="Q1090"/>
      <c r="R1090"/>
      <c r="S1090"/>
      <c r="T1090"/>
      <c r="U1090"/>
      <c r="V1090"/>
      <c r="W1090"/>
      <c r="X1090"/>
      <c r="Y1090"/>
    </row>
    <row r="1091" spans="1:25" s="104" customFormat="1" hidden="1" x14ac:dyDescent="0.25">
      <c r="A1091" s="97" t="str">
        <f t="shared" si="19"/>
        <v>sam62_gpmc_elm_wrap_vdd_lkg</v>
      </c>
      <c r="B1091" s="97" t="s">
        <v>211</v>
      </c>
      <c r="C1091" s="97" t="s">
        <v>368</v>
      </c>
      <c r="D1091" s="97"/>
      <c r="E1091" s="97" t="s">
        <v>1072</v>
      </c>
      <c r="F1091" s="97">
        <v>1.3</v>
      </c>
      <c r="G1091" s="97" t="s">
        <v>1073</v>
      </c>
      <c r="H1091" s="97">
        <v>1.3</v>
      </c>
      <c r="I1091"/>
      <c r="J1091"/>
      <c r="K1091"/>
      <c r="L1091"/>
      <c r="M1091"/>
      <c r="N1091"/>
      <c r="O1091"/>
      <c r="P1091"/>
      <c r="Q1091"/>
      <c r="R1091"/>
      <c r="S1091"/>
      <c r="T1091"/>
      <c r="U1091"/>
      <c r="V1091"/>
      <c r="W1091"/>
      <c r="X1091"/>
      <c r="Y1091"/>
    </row>
    <row r="1092" spans="1:25" s="104" customFormat="1" hidden="1" x14ac:dyDescent="0.25">
      <c r="A1092" s="97" t="str">
        <f t="shared" ref="A1092:A1103" si="20">B1092&amp;"_"&amp;C1092</f>
        <v>sam62_ddr_wrap_vdd_lkg</v>
      </c>
      <c r="B1092" s="97" t="s">
        <v>215</v>
      </c>
      <c r="C1092" s="97" t="s">
        <v>368</v>
      </c>
      <c r="D1092" s="97"/>
      <c r="E1092" s="97" t="s">
        <v>1072</v>
      </c>
      <c r="F1092" s="97">
        <v>9.1999999999999993</v>
      </c>
      <c r="G1092" s="97" t="s">
        <v>1073</v>
      </c>
      <c r="H1092" s="97">
        <v>9.1999999999999993</v>
      </c>
      <c r="I1092"/>
      <c r="J1092"/>
      <c r="K1092"/>
      <c r="L1092"/>
      <c r="M1092"/>
      <c r="N1092"/>
      <c r="O1092"/>
      <c r="P1092"/>
      <c r="Q1092"/>
      <c r="R1092"/>
      <c r="S1092"/>
      <c r="T1092"/>
      <c r="U1092"/>
      <c r="V1092"/>
      <c r="W1092"/>
      <c r="X1092"/>
      <c r="Y1092"/>
    </row>
    <row r="1093" spans="1:25" s="104" customFormat="1" hidden="1" x14ac:dyDescent="0.25">
      <c r="A1093" s="97" t="str">
        <f t="shared" si="20"/>
        <v>ddr16_1600_phy_vdd_lkg</v>
      </c>
      <c r="B1093" s="97" t="s">
        <v>314</v>
      </c>
      <c r="C1093" s="97" t="s">
        <v>368</v>
      </c>
      <c r="D1093" s="97"/>
      <c r="E1093" s="97" t="s">
        <v>1072</v>
      </c>
      <c r="F1093" s="97">
        <v>53</v>
      </c>
      <c r="G1093" s="97" t="s">
        <v>1073</v>
      </c>
      <c r="H1093" s="5"/>
      <c r="I1093"/>
      <c r="J1093"/>
      <c r="K1093"/>
      <c r="L1093"/>
      <c r="M1093"/>
      <c r="N1093"/>
      <c r="O1093"/>
      <c r="P1093"/>
      <c r="Q1093"/>
      <c r="R1093"/>
      <c r="S1093"/>
      <c r="T1093"/>
      <c r="U1093"/>
      <c r="V1093"/>
      <c r="W1093"/>
      <c r="X1093"/>
      <c r="Y1093"/>
    </row>
    <row r="1094" spans="1:25" s="104" customFormat="1" hidden="1" x14ac:dyDescent="0.25">
      <c r="A1094" s="97" t="str">
        <f t="shared" si="20"/>
        <v>sam62_debug_wrap_vdd_lkg</v>
      </c>
      <c r="B1094" s="97" t="s">
        <v>186</v>
      </c>
      <c r="C1094" s="97" t="s">
        <v>368</v>
      </c>
      <c r="D1094" s="97"/>
      <c r="E1094" s="97" t="s">
        <v>1072</v>
      </c>
      <c r="F1094" s="97">
        <v>4.4000000000000004</v>
      </c>
      <c r="G1094" s="97" t="s">
        <v>1073</v>
      </c>
      <c r="H1094" s="97">
        <v>4.4000000000000004</v>
      </c>
      <c r="I1094"/>
      <c r="J1094"/>
      <c r="K1094"/>
      <c r="L1094"/>
      <c r="M1094"/>
      <c r="N1094"/>
      <c r="O1094"/>
      <c r="P1094"/>
      <c r="Q1094"/>
      <c r="R1094"/>
      <c r="S1094"/>
      <c r="T1094"/>
      <c r="U1094"/>
      <c r="V1094"/>
      <c r="W1094"/>
      <c r="X1094"/>
      <c r="Y1094"/>
    </row>
    <row r="1095" spans="1:25" s="104" customFormat="1" hidden="1" x14ac:dyDescent="0.25">
      <c r="A1095" s="97" t="str">
        <f t="shared" si="20"/>
        <v>sam62_efuse_ctrl_wrap_vdd_lkg</v>
      </c>
      <c r="B1095" s="97" t="s">
        <v>213</v>
      </c>
      <c r="C1095" s="97" t="s">
        <v>368</v>
      </c>
      <c r="D1095" s="97"/>
      <c r="E1095" s="97" t="s">
        <v>1072</v>
      </c>
      <c r="F1095" s="97">
        <v>0.7</v>
      </c>
      <c r="G1095" s="97" t="s">
        <v>1073</v>
      </c>
      <c r="H1095" s="97">
        <v>0.7</v>
      </c>
      <c r="I1095"/>
      <c r="J1095"/>
      <c r="K1095"/>
      <c r="L1095"/>
      <c r="M1095"/>
      <c r="N1095"/>
      <c r="O1095"/>
      <c r="P1095"/>
      <c r="Q1095"/>
      <c r="R1095"/>
      <c r="S1095"/>
      <c r="T1095"/>
      <c r="U1095"/>
      <c r="V1095"/>
      <c r="W1095"/>
      <c r="X1095"/>
      <c r="Y1095"/>
    </row>
    <row r="1096" spans="1:25" s="104" customFormat="1" hidden="1" x14ac:dyDescent="0.25">
      <c r="A1096" s="97" t="str">
        <f t="shared" si="20"/>
        <v>sam62_main_infra_phys_vdd_lkg</v>
      </c>
      <c r="B1096" s="97" t="s">
        <v>144</v>
      </c>
      <c r="C1096" s="97" t="s">
        <v>368</v>
      </c>
      <c r="D1096" s="97"/>
      <c r="E1096" s="97" t="s">
        <v>1072</v>
      </c>
      <c r="F1096" s="97">
        <v>9</v>
      </c>
      <c r="G1096" s="97" t="s">
        <v>1073</v>
      </c>
      <c r="H1096" s="97">
        <v>9</v>
      </c>
      <c r="I1096"/>
      <c r="J1096"/>
      <c r="K1096"/>
      <c r="L1096"/>
      <c r="M1096"/>
      <c r="N1096"/>
      <c r="O1096"/>
      <c r="P1096"/>
      <c r="Q1096"/>
      <c r="R1096"/>
      <c r="S1096"/>
      <c r="T1096"/>
      <c r="U1096"/>
      <c r="V1096"/>
      <c r="W1096"/>
      <c r="X1096"/>
      <c r="Y1096"/>
    </row>
    <row r="1097" spans="1:25" s="104" customFormat="1" hidden="1" x14ac:dyDescent="0.25">
      <c r="A1097" s="97" t="str">
        <f t="shared" si="20"/>
        <v>sam62_main_ip_wrap_vdd_lkg</v>
      </c>
      <c r="B1097" s="97" t="s">
        <v>238</v>
      </c>
      <c r="C1097" s="97" t="s">
        <v>368</v>
      </c>
      <c r="D1097" s="97"/>
      <c r="E1097" s="97" t="s">
        <v>1072</v>
      </c>
      <c r="F1097" s="97">
        <v>57.2</v>
      </c>
      <c r="G1097" s="97" t="s">
        <v>1073</v>
      </c>
      <c r="H1097" s="97">
        <v>55.900000000000006</v>
      </c>
      <c r="I1097"/>
      <c r="J1097"/>
      <c r="K1097"/>
      <c r="L1097"/>
      <c r="M1097"/>
      <c r="N1097"/>
      <c r="O1097"/>
      <c r="P1097"/>
      <c r="Q1097"/>
      <c r="R1097"/>
      <c r="S1097"/>
      <c r="T1097"/>
      <c r="U1097"/>
      <c r="V1097"/>
      <c r="W1097"/>
      <c r="X1097"/>
      <c r="Y1097"/>
    </row>
    <row r="1098" spans="1:25" s="104" customFormat="1" hidden="1" x14ac:dyDescent="0.25">
      <c r="A1098" s="97" t="str">
        <f t="shared" si="20"/>
        <v>sam62_mcu_infra_phys_vdd_lkg</v>
      </c>
      <c r="B1098" s="97" t="s">
        <v>183</v>
      </c>
      <c r="C1098" s="97" t="s">
        <v>368</v>
      </c>
      <c r="D1098" s="97"/>
      <c r="E1098" s="97" t="s">
        <v>1072</v>
      </c>
      <c r="F1098" s="97">
        <v>3.3</v>
      </c>
      <c r="G1098" s="97" t="s">
        <v>1073</v>
      </c>
      <c r="H1098" s="97">
        <v>3.3</v>
      </c>
      <c r="I1098"/>
      <c r="J1098"/>
      <c r="K1098"/>
      <c r="L1098"/>
      <c r="M1098"/>
      <c r="N1098"/>
      <c r="O1098"/>
      <c r="P1098"/>
      <c r="Q1098"/>
      <c r="R1098"/>
      <c r="S1098"/>
      <c r="T1098"/>
      <c r="U1098"/>
      <c r="V1098"/>
      <c r="W1098"/>
      <c r="X1098"/>
      <c r="Y1098"/>
    </row>
    <row r="1099" spans="1:25" s="104" customFormat="1" hidden="1" x14ac:dyDescent="0.25">
      <c r="A1099" s="97" t="str">
        <f t="shared" si="20"/>
        <v>sam62_mcu_wrap_vdd_lkg</v>
      </c>
      <c r="B1099" s="97" t="s">
        <v>236</v>
      </c>
      <c r="C1099" s="97" t="s">
        <v>368</v>
      </c>
      <c r="D1099" s="97"/>
      <c r="E1099" s="97" t="s">
        <v>1072</v>
      </c>
      <c r="F1099" s="97">
        <v>6.7</v>
      </c>
      <c r="G1099" s="97" t="s">
        <v>1073</v>
      </c>
      <c r="H1099" s="97">
        <v>6.6</v>
      </c>
      <c r="I1099"/>
      <c r="J1099"/>
      <c r="K1099"/>
      <c r="L1099"/>
      <c r="M1099"/>
      <c r="N1099"/>
      <c r="O1099"/>
      <c r="P1099"/>
      <c r="Q1099"/>
      <c r="R1099"/>
      <c r="S1099"/>
      <c r="T1099"/>
      <c r="U1099"/>
      <c r="V1099"/>
      <c r="W1099"/>
      <c r="X1099"/>
      <c r="Y1099"/>
    </row>
    <row r="1100" spans="1:25" s="104" customFormat="1" hidden="1" x14ac:dyDescent="0.25">
      <c r="A1100" s="97" t="str">
        <f t="shared" si="20"/>
        <v>sam62_odp_ctrl_wrap_vdd_lkg</v>
      </c>
      <c r="B1100" s="97" t="s">
        <v>212</v>
      </c>
      <c r="C1100" s="97" t="s">
        <v>368</v>
      </c>
      <c r="D1100" s="97"/>
      <c r="E1100" s="97" t="s">
        <v>1072</v>
      </c>
      <c r="F1100" s="97">
        <v>0.2</v>
      </c>
      <c r="G1100" s="97" t="s">
        <v>1073</v>
      </c>
      <c r="H1100" s="97">
        <v>0.2</v>
      </c>
      <c r="I1100"/>
      <c r="J1100"/>
      <c r="K1100"/>
      <c r="L1100"/>
      <c r="M1100"/>
      <c r="N1100"/>
      <c r="O1100"/>
      <c r="P1100"/>
      <c r="Q1100"/>
      <c r="R1100"/>
      <c r="S1100"/>
      <c r="T1100"/>
      <c r="U1100"/>
      <c r="V1100"/>
      <c r="W1100"/>
      <c r="X1100"/>
      <c r="Y1100"/>
    </row>
    <row r="1101" spans="1:25" s="104" customFormat="1" hidden="1" x14ac:dyDescent="0.25">
      <c r="A1101" s="97" t="str">
        <f t="shared" si="20"/>
        <v>sam62_sec_wrap_vdd_lkg</v>
      </c>
      <c r="B1101" s="97" t="s">
        <v>262</v>
      </c>
      <c r="C1101" s="97" t="s">
        <v>368</v>
      </c>
      <c r="D1101" s="97"/>
      <c r="E1101" s="97" t="s">
        <v>1072</v>
      </c>
      <c r="F1101" s="97">
        <v>62.7</v>
      </c>
      <c r="G1101" s="97" t="s">
        <v>1073</v>
      </c>
      <c r="H1101" s="97">
        <v>63.5</v>
      </c>
      <c r="I1101"/>
      <c r="J1101"/>
      <c r="K1101"/>
      <c r="L1101"/>
      <c r="M1101"/>
      <c r="N1101"/>
      <c r="O1101"/>
      <c r="P1101"/>
      <c r="Q1101"/>
      <c r="R1101"/>
      <c r="S1101"/>
      <c r="T1101"/>
      <c r="U1101"/>
      <c r="V1101"/>
      <c r="W1101"/>
      <c r="X1101"/>
      <c r="Y1101"/>
    </row>
    <row r="1102" spans="1:25" s="104" customFormat="1" hidden="1" x14ac:dyDescent="0.25">
      <c r="A1102" s="97" t="str">
        <f t="shared" si="20"/>
        <v>sam62_core_vdd_lkg</v>
      </c>
      <c r="B1102" s="97" t="s">
        <v>185</v>
      </c>
      <c r="C1102" s="97" t="s">
        <v>368</v>
      </c>
      <c r="D1102" s="97"/>
      <c r="E1102" s="97" t="s">
        <v>1072</v>
      </c>
      <c r="F1102" s="97">
        <v>47.274000000000001</v>
      </c>
      <c r="G1102" s="97" t="s">
        <v>1073</v>
      </c>
      <c r="H1102" s="5"/>
      <c r="I1102"/>
      <c r="J1102"/>
      <c r="K1102"/>
      <c r="L1102"/>
      <c r="M1102"/>
      <c r="N1102"/>
      <c r="O1102"/>
      <c r="P1102"/>
      <c r="Q1102"/>
      <c r="R1102"/>
      <c r="S1102"/>
      <c r="T1102"/>
      <c r="U1102"/>
      <c r="V1102"/>
      <c r="W1102"/>
      <c r="X1102"/>
      <c r="Y1102"/>
    </row>
    <row r="1103" spans="1:25" s="104" customFormat="1" hidden="1" x14ac:dyDescent="0.25">
      <c r="A1103" s="97" t="str">
        <f t="shared" si="20"/>
        <v>sam62_pll_ctrl_wrap_vdd_lkg</v>
      </c>
      <c r="B1103" s="97" t="s">
        <v>221</v>
      </c>
      <c r="C1103" s="97" t="s">
        <v>368</v>
      </c>
      <c r="D1103" s="97"/>
      <c r="E1103" s="97" t="s">
        <v>1072</v>
      </c>
      <c r="F1103" s="97">
        <v>0.5</v>
      </c>
      <c r="G1103" s="97" t="s">
        <v>1073</v>
      </c>
      <c r="H1103" s="97">
        <v>0.5</v>
      </c>
      <c r="I1103"/>
      <c r="J1103"/>
      <c r="K1103"/>
      <c r="L1103"/>
      <c r="M1103"/>
      <c r="N1103"/>
      <c r="O1103"/>
      <c r="P1103"/>
      <c r="Q1103"/>
      <c r="R1103"/>
      <c r="S1103"/>
      <c r="T1103"/>
      <c r="U1103"/>
      <c r="V1103"/>
      <c r="W1103"/>
      <c r="X1103"/>
      <c r="Y1103"/>
    </row>
    <row r="1104" spans="1:25" s="104" customFormat="1" hidden="1" x14ac:dyDescent="0.25">
      <c r="A1104" s="97" t="str">
        <f t="shared" ref="A1104:A1123" si="21">B1104&amp;"_"&amp;C1104&amp;"_"&amp;D1104</f>
        <v>PGD_vdda_dyn_off</v>
      </c>
      <c r="B1104" s="97" t="s">
        <v>11</v>
      </c>
      <c r="C1104" s="97" t="s">
        <v>502</v>
      </c>
      <c r="D1104" s="97" t="s">
        <v>69</v>
      </c>
      <c r="E1104" s="97" t="s">
        <v>1038</v>
      </c>
      <c r="F1104" s="97">
        <v>0</v>
      </c>
      <c r="G1104" s="97" t="s">
        <v>1127</v>
      </c>
      <c r="H1104" s="5"/>
      <c r="I1104"/>
      <c r="J1104"/>
      <c r="K1104"/>
      <c r="L1104"/>
      <c r="M1104"/>
      <c r="N1104"/>
      <c r="O1104"/>
      <c r="P1104"/>
      <c r="Q1104"/>
      <c r="R1104"/>
      <c r="S1104"/>
      <c r="T1104"/>
      <c r="U1104"/>
      <c r="V1104"/>
      <c r="W1104"/>
      <c r="X1104"/>
      <c r="Y1104"/>
    </row>
    <row r="1105" spans="1:25" s="104" customFormat="1" hidden="1" x14ac:dyDescent="0.25">
      <c r="A1105" s="97" t="str">
        <f t="shared" si="21"/>
        <v>PGD_vdda_dyn_on</v>
      </c>
      <c r="B1105" s="97" t="s">
        <v>11</v>
      </c>
      <c r="C1105" s="97" t="s">
        <v>502</v>
      </c>
      <c r="D1105" s="97" t="s">
        <v>68</v>
      </c>
      <c r="E1105" s="97" t="s">
        <v>1038</v>
      </c>
      <c r="F1105" s="97">
        <v>4.4000000000000004</v>
      </c>
      <c r="G1105" s="97" t="s">
        <v>1127</v>
      </c>
      <c r="H1105" s="5"/>
      <c r="I1105"/>
      <c r="J1105"/>
      <c r="K1105"/>
      <c r="L1105"/>
      <c r="M1105"/>
      <c r="N1105"/>
      <c r="O1105"/>
      <c r="P1105"/>
      <c r="Q1105"/>
      <c r="R1105"/>
      <c r="S1105"/>
      <c r="T1105"/>
      <c r="U1105"/>
      <c r="V1105"/>
      <c r="W1105"/>
      <c r="X1105"/>
      <c r="Y1105"/>
    </row>
    <row r="1106" spans="1:25" s="104" customFormat="1" hidden="1" x14ac:dyDescent="0.25">
      <c r="A1106" s="97" t="str">
        <f t="shared" si="21"/>
        <v>sd0901_rx4_vdda_dyn_1p5g4l</v>
      </c>
      <c r="B1106" s="97" t="s">
        <v>607</v>
      </c>
      <c r="C1106" s="97" t="s">
        <v>502</v>
      </c>
      <c r="D1106" s="97" t="s">
        <v>373</v>
      </c>
      <c r="E1106" s="97" t="s">
        <v>1038</v>
      </c>
      <c r="F1106" s="97">
        <v>15.04</v>
      </c>
      <c r="G1106" s="97" t="s">
        <v>385</v>
      </c>
      <c r="H1106" s="5"/>
      <c r="I1106"/>
      <c r="J1106"/>
      <c r="K1106"/>
      <c r="L1106"/>
      <c r="M1106"/>
      <c r="N1106"/>
      <c r="O1106"/>
      <c r="P1106"/>
      <c r="Q1106"/>
      <c r="R1106"/>
      <c r="S1106"/>
      <c r="T1106"/>
      <c r="U1106"/>
      <c r="V1106"/>
      <c r="W1106"/>
      <c r="X1106"/>
      <c r="Y1106"/>
    </row>
    <row r="1107" spans="1:25" s="104" customFormat="1" hidden="1" x14ac:dyDescent="0.25">
      <c r="A1107" s="97" t="str">
        <f t="shared" si="21"/>
        <v>sd0901_rx4_vdda_dyn_2p5g4l</v>
      </c>
      <c r="B1107" s="97" t="s">
        <v>607</v>
      </c>
      <c r="C1107" s="97" t="s">
        <v>502</v>
      </c>
      <c r="D1107" s="97" t="s">
        <v>372</v>
      </c>
      <c r="E1107" s="97" t="s">
        <v>1038</v>
      </c>
      <c r="F1107" s="97">
        <v>20.831</v>
      </c>
      <c r="G1107" s="97" t="s">
        <v>385</v>
      </c>
      <c r="H1107" s="5"/>
      <c r="I1107"/>
      <c r="J1107"/>
      <c r="K1107"/>
      <c r="L1107"/>
      <c r="M1107"/>
      <c r="N1107"/>
      <c r="O1107"/>
      <c r="P1107"/>
      <c r="Q1107"/>
      <c r="R1107"/>
      <c r="S1107"/>
      <c r="T1107"/>
      <c r="U1107"/>
      <c r="V1107"/>
      <c r="W1107"/>
      <c r="X1107"/>
      <c r="Y1107"/>
    </row>
    <row r="1108" spans="1:25" s="104" customFormat="1" hidden="1" x14ac:dyDescent="0.25">
      <c r="A1108" s="97" t="str">
        <f t="shared" si="21"/>
        <v>sd0901_rx4_vdda_dyn_lprx</v>
      </c>
      <c r="B1108" s="97" t="s">
        <v>607</v>
      </c>
      <c r="C1108" s="97" t="s">
        <v>502</v>
      </c>
      <c r="D1108" s="97" t="s">
        <v>411</v>
      </c>
      <c r="E1108" s="97" t="s">
        <v>1038</v>
      </c>
      <c r="F1108" s="97">
        <v>20.831</v>
      </c>
      <c r="G1108" s="97" t="s">
        <v>385</v>
      </c>
      <c r="H1108" s="5"/>
      <c r="I1108"/>
      <c r="J1108"/>
      <c r="K1108"/>
      <c r="L1108"/>
      <c r="M1108"/>
      <c r="N1108"/>
      <c r="O1108"/>
      <c r="P1108"/>
      <c r="Q1108"/>
      <c r="R1108"/>
      <c r="S1108"/>
      <c r="T1108"/>
      <c r="U1108"/>
      <c r="V1108"/>
      <c r="W1108"/>
      <c r="X1108"/>
      <c r="Y1108"/>
    </row>
    <row r="1109" spans="1:25" s="104" customFormat="1" hidden="1" x14ac:dyDescent="0.25">
      <c r="A1109" s="97" t="str">
        <f t="shared" si="21"/>
        <v>sd0901_rx4_vdda_dyn_ulps</v>
      </c>
      <c r="B1109" s="97" t="s">
        <v>607</v>
      </c>
      <c r="C1109" s="97" t="s">
        <v>502</v>
      </c>
      <c r="D1109" s="97" t="s">
        <v>374</v>
      </c>
      <c r="E1109" s="97" t="s">
        <v>1038</v>
      </c>
      <c r="F1109" s="97">
        <v>4.1920000000000002</v>
      </c>
      <c r="G1109" s="97" t="s">
        <v>385</v>
      </c>
      <c r="H1109" s="5"/>
      <c r="I1109"/>
      <c r="J1109"/>
      <c r="K1109"/>
      <c r="L1109"/>
      <c r="M1109"/>
      <c r="N1109"/>
      <c r="O1109"/>
      <c r="P1109"/>
      <c r="Q1109"/>
      <c r="R1109"/>
      <c r="S1109"/>
      <c r="T1109"/>
      <c r="U1109"/>
      <c r="V1109"/>
      <c r="W1109"/>
      <c r="X1109"/>
      <c r="Y1109"/>
    </row>
    <row r="1110" spans="1:25" s="104" customFormat="1" hidden="1" x14ac:dyDescent="0.25">
      <c r="A1110" s="97" t="str">
        <f t="shared" si="21"/>
        <v>sd1000_vdda_dyn_device_fs</v>
      </c>
      <c r="B1110" s="97" t="s">
        <v>608</v>
      </c>
      <c r="C1110" s="98" t="s">
        <v>502</v>
      </c>
      <c r="D1110" s="97" t="s">
        <v>468</v>
      </c>
      <c r="E1110" s="97" t="s">
        <v>1038</v>
      </c>
      <c r="F1110" s="105">
        <f>(0.185+0.188)/2</f>
        <v>0.1865</v>
      </c>
      <c r="G1110" s="97" t="s">
        <v>473</v>
      </c>
      <c r="H1110" s="5"/>
      <c r="I1110"/>
      <c r="J1110"/>
      <c r="K1110"/>
      <c r="L1110"/>
      <c r="M1110"/>
      <c r="N1110"/>
      <c r="O1110"/>
      <c r="P1110"/>
      <c r="Q1110"/>
      <c r="R1110"/>
      <c r="S1110"/>
      <c r="T1110"/>
      <c r="U1110"/>
      <c r="V1110"/>
      <c r="W1110"/>
      <c r="X1110"/>
      <c r="Y1110"/>
    </row>
    <row r="1111" spans="1:25" s="104" customFormat="1" hidden="1" x14ac:dyDescent="0.25">
      <c r="A1111" s="97" t="str">
        <f t="shared" si="21"/>
        <v>sd1000_vdda_dyn_device_fs_idle</v>
      </c>
      <c r="B1111" s="97" t="s">
        <v>608</v>
      </c>
      <c r="C1111" s="98" t="s">
        <v>502</v>
      </c>
      <c r="D1111" s="97" t="s">
        <v>478</v>
      </c>
      <c r="E1111" s="97" t="s">
        <v>1038</v>
      </c>
      <c r="F1111" s="105">
        <v>0.185</v>
      </c>
      <c r="G1111" s="97" t="s">
        <v>480</v>
      </c>
      <c r="H1111" s="5"/>
      <c r="I1111"/>
      <c r="J1111"/>
      <c r="K1111"/>
      <c r="L1111"/>
      <c r="M1111"/>
      <c r="N1111"/>
      <c r="O1111"/>
      <c r="P1111"/>
      <c r="Q1111"/>
      <c r="R1111"/>
      <c r="S1111"/>
      <c r="T1111"/>
      <c r="U1111"/>
      <c r="V1111"/>
      <c r="W1111"/>
      <c r="X1111"/>
      <c r="Y1111"/>
    </row>
    <row r="1112" spans="1:25" s="104" customFormat="1" hidden="1" x14ac:dyDescent="0.25">
      <c r="A1112" s="97" t="str">
        <f t="shared" si="21"/>
        <v>sd1000_vdda_dyn_device_hs</v>
      </c>
      <c r="B1112" s="97" t="s">
        <v>608</v>
      </c>
      <c r="C1112" s="98" t="s">
        <v>502</v>
      </c>
      <c r="D1112" s="97" t="s">
        <v>467</v>
      </c>
      <c r="E1112" s="97" t="s">
        <v>1038</v>
      </c>
      <c r="F1112" s="105">
        <f>(6.757+4.183)/2</f>
        <v>5.47</v>
      </c>
      <c r="G1112" s="97" t="s">
        <v>473</v>
      </c>
      <c r="H1112" s="5"/>
      <c r="I1112"/>
      <c r="J1112"/>
      <c r="K1112"/>
      <c r="L1112"/>
      <c r="M1112"/>
      <c r="N1112"/>
      <c r="O1112"/>
      <c r="P1112"/>
      <c r="Q1112"/>
      <c r="R1112"/>
      <c r="S1112"/>
      <c r="T1112"/>
      <c r="U1112"/>
      <c r="V1112"/>
      <c r="W1112"/>
      <c r="X1112"/>
      <c r="Y1112"/>
    </row>
    <row r="1113" spans="1:25" s="104" customFormat="1" hidden="1" x14ac:dyDescent="0.25">
      <c r="A1113" s="97" t="str">
        <f t="shared" si="21"/>
        <v>sd1000_vdda_dyn_device_hs_idle</v>
      </c>
      <c r="B1113" s="97" t="s">
        <v>608</v>
      </c>
      <c r="C1113" s="98" t="s">
        <v>502</v>
      </c>
      <c r="D1113" s="97" t="s">
        <v>477</v>
      </c>
      <c r="E1113" s="97" t="s">
        <v>1038</v>
      </c>
      <c r="F1113" s="105">
        <v>0.51</v>
      </c>
      <c r="G1113" s="97" t="s">
        <v>480</v>
      </c>
      <c r="H1113" s="5"/>
      <c r="I1113"/>
      <c r="J1113"/>
      <c r="K1113"/>
      <c r="L1113"/>
      <c r="M1113"/>
      <c r="N1113"/>
      <c r="O1113"/>
      <c r="P1113"/>
      <c r="Q1113"/>
      <c r="R1113"/>
      <c r="S1113"/>
      <c r="T1113"/>
      <c r="U1113"/>
      <c r="V1113"/>
      <c r="W1113"/>
      <c r="X1113"/>
      <c r="Y1113"/>
    </row>
    <row r="1114" spans="1:25" s="104" customFormat="1" hidden="1" x14ac:dyDescent="0.25">
      <c r="A1114" s="97" t="str">
        <f t="shared" si="21"/>
        <v>sd1000_vdda_dyn_device_ls</v>
      </c>
      <c r="B1114" s="97" t="s">
        <v>608</v>
      </c>
      <c r="C1114" s="98" t="s">
        <v>502</v>
      </c>
      <c r="D1114" s="97" t="s">
        <v>469</v>
      </c>
      <c r="E1114" s="97" t="s">
        <v>1038</v>
      </c>
      <c r="F1114" s="105">
        <f>(0.185+0.187)/2</f>
        <v>0.186</v>
      </c>
      <c r="G1114" s="97" t="s">
        <v>473</v>
      </c>
      <c r="H1114" s="5"/>
      <c r="I1114"/>
      <c r="J1114"/>
      <c r="K1114"/>
      <c r="L1114"/>
      <c r="M1114"/>
      <c r="N1114"/>
      <c r="O1114"/>
      <c r="P1114"/>
      <c r="Q1114"/>
      <c r="R1114"/>
      <c r="S1114"/>
      <c r="T1114"/>
      <c r="U1114"/>
      <c r="V1114"/>
      <c r="W1114"/>
      <c r="X1114"/>
      <c r="Y1114"/>
    </row>
    <row r="1115" spans="1:25" s="104" customFormat="1" hidden="1" x14ac:dyDescent="0.25">
      <c r="A1115" s="97" t="str">
        <f t="shared" si="21"/>
        <v>sd1000_vdda_dyn_device_ls_idle</v>
      </c>
      <c r="B1115" s="97" t="s">
        <v>608</v>
      </c>
      <c r="C1115" s="98" t="s">
        <v>502</v>
      </c>
      <c r="D1115" s="97" t="s">
        <v>479</v>
      </c>
      <c r="E1115" s="97" t="s">
        <v>1038</v>
      </c>
      <c r="F1115" s="105">
        <v>0.185</v>
      </c>
      <c r="G1115" s="97" t="s">
        <v>480</v>
      </c>
      <c r="H1115" s="5"/>
      <c r="I1115"/>
      <c r="J1115"/>
      <c r="K1115"/>
      <c r="L1115"/>
      <c r="M1115"/>
      <c r="N1115"/>
      <c r="O1115"/>
      <c r="P1115"/>
      <c r="Q1115"/>
      <c r="R1115"/>
      <c r="S1115"/>
      <c r="T1115"/>
      <c r="U1115"/>
      <c r="V1115"/>
      <c r="W1115"/>
      <c r="X1115"/>
      <c r="Y1115"/>
    </row>
    <row r="1116" spans="1:25" s="104" customFormat="1" hidden="1" x14ac:dyDescent="0.25">
      <c r="A1116" s="97" t="str">
        <f t="shared" si="21"/>
        <v>sd1000_vdda_dyn_host_fs</v>
      </c>
      <c r="B1116" s="97" t="s">
        <v>608</v>
      </c>
      <c r="C1116" s="98" t="s">
        <v>502</v>
      </c>
      <c r="D1116" s="97" t="s">
        <v>465</v>
      </c>
      <c r="E1116" s="97" t="s">
        <v>1038</v>
      </c>
      <c r="F1116" s="105">
        <f>(0.185+0.187)/2</f>
        <v>0.186</v>
      </c>
      <c r="G1116" s="97" t="s">
        <v>473</v>
      </c>
      <c r="H1116" s="5"/>
      <c r="I1116"/>
      <c r="J1116"/>
      <c r="K1116"/>
      <c r="L1116"/>
      <c r="M1116"/>
      <c r="N1116"/>
      <c r="O1116"/>
      <c r="P1116"/>
      <c r="Q1116"/>
      <c r="R1116"/>
      <c r="S1116"/>
      <c r="T1116"/>
      <c r="U1116"/>
      <c r="V1116"/>
      <c r="W1116"/>
      <c r="X1116"/>
      <c r="Y1116"/>
    </row>
    <row r="1117" spans="1:25" s="104" customFormat="1" hidden="1" x14ac:dyDescent="0.25">
      <c r="A1117" s="97" t="str">
        <f t="shared" si="21"/>
        <v>sd1000_vdda_dyn_host_fs_idle</v>
      </c>
      <c r="B1117" s="97" t="s">
        <v>608</v>
      </c>
      <c r="C1117" s="98" t="s">
        <v>502</v>
      </c>
      <c r="D1117" s="97" t="s">
        <v>475</v>
      </c>
      <c r="E1117" s="97" t="s">
        <v>1038</v>
      </c>
      <c r="F1117" s="105">
        <v>0.185</v>
      </c>
      <c r="G1117" s="97" t="s">
        <v>149</v>
      </c>
      <c r="H1117" s="5"/>
      <c r="I1117"/>
      <c r="J1117"/>
      <c r="K1117"/>
      <c r="L1117"/>
      <c r="M1117"/>
      <c r="N1117"/>
      <c r="O1117"/>
      <c r="P1117"/>
      <c r="Q1117"/>
      <c r="R1117"/>
      <c r="S1117"/>
      <c r="T1117"/>
      <c r="U1117"/>
      <c r="V1117"/>
      <c r="W1117"/>
      <c r="X1117"/>
      <c r="Y1117"/>
    </row>
    <row r="1118" spans="1:25" s="104" customFormat="1" hidden="1" x14ac:dyDescent="0.25">
      <c r="A1118" s="97" t="str">
        <f t="shared" si="21"/>
        <v>sd1000_vdda_dyn_host_hs</v>
      </c>
      <c r="B1118" s="97" t="s">
        <v>608</v>
      </c>
      <c r="C1118" s="98" t="s">
        <v>502</v>
      </c>
      <c r="D1118" s="97" t="s">
        <v>464</v>
      </c>
      <c r="E1118" s="97" t="s">
        <v>1038</v>
      </c>
      <c r="F1118" s="105">
        <f>(6.752+4.181)/2</f>
        <v>5.4664999999999999</v>
      </c>
      <c r="G1118" s="97" t="s">
        <v>473</v>
      </c>
      <c r="H1118" s="5"/>
      <c r="I1118"/>
      <c r="J1118"/>
      <c r="K1118"/>
      <c r="L1118"/>
      <c r="M1118"/>
      <c r="N1118"/>
      <c r="O1118"/>
      <c r="P1118"/>
      <c r="Q1118"/>
      <c r="R1118"/>
      <c r="S1118"/>
      <c r="T1118"/>
      <c r="U1118"/>
      <c r="V1118"/>
      <c r="W1118"/>
      <c r="X1118"/>
      <c r="Y1118"/>
    </row>
    <row r="1119" spans="1:25" s="104" customFormat="1" hidden="1" x14ac:dyDescent="0.25">
      <c r="A1119" s="97" t="str">
        <f t="shared" si="21"/>
        <v>sd1000_vdda_dyn_host_hs_idle</v>
      </c>
      <c r="B1119" s="97" t="s">
        <v>608</v>
      </c>
      <c r="C1119" s="98" t="s">
        <v>502</v>
      </c>
      <c r="D1119" s="97" t="s">
        <v>474</v>
      </c>
      <c r="E1119" s="97" t="s">
        <v>1038</v>
      </c>
      <c r="F1119" s="105">
        <v>0.51</v>
      </c>
      <c r="G1119" s="97" t="s">
        <v>149</v>
      </c>
      <c r="H1119" s="5"/>
      <c r="I1119"/>
      <c r="J1119"/>
      <c r="K1119"/>
      <c r="L1119"/>
      <c r="M1119"/>
      <c r="N1119"/>
      <c r="O1119"/>
      <c r="P1119"/>
      <c r="Q1119"/>
      <c r="R1119"/>
      <c r="S1119"/>
      <c r="T1119"/>
      <c r="U1119"/>
      <c r="V1119"/>
      <c r="W1119"/>
      <c r="X1119"/>
      <c r="Y1119"/>
    </row>
    <row r="1120" spans="1:25" s="104" customFormat="1" hidden="1" x14ac:dyDescent="0.25">
      <c r="A1120" s="97" t="str">
        <f t="shared" si="21"/>
        <v>sd1000_vdda_dyn_host_ls</v>
      </c>
      <c r="B1120" s="97" t="s">
        <v>608</v>
      </c>
      <c r="C1120" s="98" t="s">
        <v>502</v>
      </c>
      <c r="D1120" s="97" t="s">
        <v>466</v>
      </c>
      <c r="E1120" s="97" t="s">
        <v>1038</v>
      </c>
      <c r="F1120" s="105">
        <f>(0.186+0.185)/2</f>
        <v>0.1855</v>
      </c>
      <c r="G1120" s="97" t="s">
        <v>149</v>
      </c>
      <c r="H1120" s="5"/>
      <c r="I1120"/>
      <c r="J1120"/>
      <c r="K1120"/>
      <c r="L1120"/>
      <c r="M1120"/>
      <c r="N1120"/>
      <c r="O1120"/>
      <c r="P1120"/>
      <c r="Q1120"/>
      <c r="R1120"/>
      <c r="S1120"/>
      <c r="T1120"/>
      <c r="U1120"/>
      <c r="V1120"/>
      <c r="W1120"/>
      <c r="X1120"/>
      <c r="Y1120"/>
    </row>
    <row r="1121" spans="1:25" s="104" customFormat="1" hidden="1" x14ac:dyDescent="0.25">
      <c r="A1121" s="97" t="str">
        <f t="shared" si="21"/>
        <v>sd1000_vdda_dyn_host_ls_idle</v>
      </c>
      <c r="B1121" s="97" t="s">
        <v>608</v>
      </c>
      <c r="C1121" s="98" t="s">
        <v>502</v>
      </c>
      <c r="D1121" s="97" t="s">
        <v>476</v>
      </c>
      <c r="E1121" s="97" t="s">
        <v>1038</v>
      </c>
      <c r="F1121" s="105">
        <v>0.185</v>
      </c>
      <c r="G1121" s="97" t="s">
        <v>149</v>
      </c>
      <c r="H1121" s="5"/>
      <c r="I1121"/>
      <c r="J1121"/>
      <c r="K1121"/>
      <c r="L1121"/>
      <c r="M1121"/>
      <c r="N1121"/>
      <c r="O1121"/>
      <c r="P1121"/>
      <c r="Q1121"/>
      <c r="R1121"/>
      <c r="S1121"/>
      <c r="T1121"/>
      <c r="U1121"/>
      <c r="V1121"/>
      <c r="W1121"/>
      <c r="X1121"/>
      <c r="Y1121"/>
    </row>
    <row r="1122" spans="1:25" s="104" customFormat="1" hidden="1" x14ac:dyDescent="0.25">
      <c r="A1122" s="97" t="str">
        <f t="shared" si="21"/>
        <v>sd1000_vdda_dyn_Power_down</v>
      </c>
      <c r="B1122" s="97" t="s">
        <v>608</v>
      </c>
      <c r="C1122" s="98" t="s">
        <v>502</v>
      </c>
      <c r="D1122" s="97" t="s">
        <v>470</v>
      </c>
      <c r="E1122" s="97" t="s">
        <v>1038</v>
      </c>
      <c r="F1122" s="105">
        <v>0.03</v>
      </c>
      <c r="G1122" s="97" t="s">
        <v>472</v>
      </c>
      <c r="H1122" s="5"/>
      <c r="I1122"/>
      <c r="J1122"/>
      <c r="K1122"/>
      <c r="L1122"/>
      <c r="M1122"/>
      <c r="N1122"/>
      <c r="O1122"/>
      <c r="P1122"/>
      <c r="Q1122"/>
      <c r="R1122"/>
      <c r="S1122"/>
      <c r="T1122"/>
      <c r="U1122"/>
      <c r="V1122"/>
      <c r="W1122"/>
      <c r="X1122"/>
      <c r="Y1122"/>
    </row>
    <row r="1123" spans="1:25" s="104" customFormat="1" hidden="1" x14ac:dyDescent="0.25">
      <c r="A1123" s="97" t="str">
        <f t="shared" si="21"/>
        <v>sd1000_vdda_dyn_sleep</v>
      </c>
      <c r="B1123" s="97" t="s">
        <v>608</v>
      </c>
      <c r="C1123" s="98" t="s">
        <v>502</v>
      </c>
      <c r="D1123" s="97" t="s">
        <v>463</v>
      </c>
      <c r="E1123" s="97" t="s">
        <v>1038</v>
      </c>
      <c r="F1123" s="105">
        <v>0.03</v>
      </c>
      <c r="G1123" s="97" t="s">
        <v>471</v>
      </c>
      <c r="H1123" s="5"/>
      <c r="I1123"/>
      <c r="J1123"/>
      <c r="K1123"/>
      <c r="L1123"/>
      <c r="M1123"/>
      <c r="N1123"/>
      <c r="O1123"/>
      <c r="P1123"/>
      <c r="Q1123"/>
      <c r="R1123"/>
      <c r="S1123"/>
      <c r="T1123"/>
      <c r="U1123"/>
      <c r="V1123"/>
      <c r="W1123"/>
      <c r="X1123"/>
      <c r="Y1123"/>
    </row>
    <row r="1124" spans="1:25" s="104" customFormat="1" hidden="1" x14ac:dyDescent="0.25">
      <c r="A1124" s="97" t="str">
        <f>B1124&amp;"_"&amp;C1124</f>
        <v>PGD_vdda_lkg</v>
      </c>
      <c r="B1124" s="97" t="s">
        <v>11</v>
      </c>
      <c r="C1124" s="97" t="s">
        <v>503</v>
      </c>
      <c r="D1124" s="97" t="s">
        <v>68</v>
      </c>
      <c r="E1124" s="97" t="s">
        <v>1038</v>
      </c>
      <c r="F1124" s="97">
        <v>4.4000000000000004E-2</v>
      </c>
      <c r="G1124" s="97" t="s">
        <v>560</v>
      </c>
      <c r="H1124" s="5"/>
      <c r="I1124"/>
      <c r="J1124"/>
      <c r="K1124"/>
      <c r="L1124"/>
      <c r="M1124"/>
      <c r="N1124"/>
      <c r="O1124"/>
      <c r="P1124"/>
      <c r="Q1124"/>
      <c r="R1124"/>
      <c r="S1124"/>
      <c r="T1124"/>
      <c r="U1124"/>
      <c r="V1124"/>
      <c r="W1124"/>
      <c r="X1124"/>
      <c r="Y1124"/>
    </row>
    <row r="1125" spans="1:25" s="104" customFormat="1" hidden="1" x14ac:dyDescent="0.25">
      <c r="A1125" s="97" t="str">
        <f>B1125&amp;"_"&amp;C1125</f>
        <v>sd1000_vdda_lkg</v>
      </c>
      <c r="B1125" s="97" t="s">
        <v>608</v>
      </c>
      <c r="C1125" s="98" t="s">
        <v>503</v>
      </c>
      <c r="D1125" s="97"/>
      <c r="E1125" s="97" t="s">
        <v>1038</v>
      </c>
      <c r="F1125" s="97">
        <v>0</v>
      </c>
      <c r="G1125" s="97" t="s">
        <v>487</v>
      </c>
      <c r="H1125" s="5"/>
      <c r="I1125"/>
      <c r="J1125"/>
      <c r="K1125"/>
      <c r="L1125"/>
      <c r="M1125"/>
      <c r="N1125"/>
      <c r="O1125"/>
      <c r="P1125"/>
      <c r="Q1125"/>
      <c r="R1125"/>
      <c r="S1125"/>
      <c r="T1125"/>
      <c r="U1125"/>
      <c r="V1125"/>
      <c r="W1125"/>
      <c r="X1125"/>
      <c r="Y1125"/>
    </row>
    <row r="1126" spans="1:25" s="104" customFormat="1" hidden="1" x14ac:dyDescent="0.25">
      <c r="A1126" s="97" t="str">
        <f t="shared" ref="A1126:A1189" si="22">B1126&amp;"_"&amp;C1126&amp;"_"&amp;D1126</f>
        <v>PLLTS16FFCLAFRACF_vddh1_dyn_</v>
      </c>
      <c r="B1126" s="97" t="s">
        <v>78</v>
      </c>
      <c r="C1126" s="97" t="s">
        <v>501</v>
      </c>
      <c r="D1126" s="97"/>
      <c r="E1126" s="97" t="s">
        <v>1038</v>
      </c>
      <c r="F1126" s="97"/>
      <c r="G1126" s="97" t="s">
        <v>559</v>
      </c>
      <c r="H1126" s="5"/>
      <c r="I1126"/>
      <c r="J1126"/>
      <c r="K1126"/>
      <c r="L1126"/>
      <c r="M1126"/>
      <c r="N1126"/>
      <c r="O1126"/>
      <c r="P1126"/>
      <c r="Q1126"/>
      <c r="R1126"/>
      <c r="S1126"/>
      <c r="T1126"/>
      <c r="U1126"/>
      <c r="V1126"/>
      <c r="W1126"/>
      <c r="X1126"/>
      <c r="Y1126"/>
    </row>
    <row r="1127" spans="1:25" s="104" customFormat="1" hidden="1" x14ac:dyDescent="0.25">
      <c r="A1127" s="97" t="str">
        <f t="shared" si="22"/>
        <v>PLLTS16FFCLAFRACF_vddh1_dyn_0</v>
      </c>
      <c r="B1127" s="97" t="s">
        <v>78</v>
      </c>
      <c r="C1127" s="97" t="s">
        <v>501</v>
      </c>
      <c r="D1127" s="97">
        <v>0</v>
      </c>
      <c r="E1127" s="97" t="s">
        <v>1038</v>
      </c>
      <c r="F1127" s="97">
        <v>0</v>
      </c>
      <c r="G1127" s="97" t="s">
        <v>559</v>
      </c>
      <c r="H1127" s="5"/>
      <c r="I1127"/>
      <c r="J1127"/>
      <c r="K1127"/>
      <c r="L1127"/>
      <c r="M1127"/>
      <c r="N1127"/>
      <c r="O1127"/>
      <c r="P1127"/>
      <c r="Q1127"/>
      <c r="R1127"/>
      <c r="S1127"/>
      <c r="T1127"/>
      <c r="U1127"/>
      <c r="V1127"/>
      <c r="W1127"/>
      <c r="X1127"/>
      <c r="Y1127"/>
    </row>
    <row r="1128" spans="1:25" s="104" customFormat="1" hidden="1" x14ac:dyDescent="0.25">
      <c r="A1128" s="97" t="str">
        <f t="shared" si="22"/>
        <v>PLLTS16FFCLAFRACF_vddh1_dyn_1000</v>
      </c>
      <c r="B1128" s="97" t="s">
        <v>78</v>
      </c>
      <c r="C1128" s="97" t="s">
        <v>501</v>
      </c>
      <c r="D1128" s="97">
        <v>1000</v>
      </c>
      <c r="E1128" s="97" t="s">
        <v>1038</v>
      </c>
      <c r="F1128" s="97">
        <v>2.1571068270443288</v>
      </c>
      <c r="G1128" s="97" t="s">
        <v>559</v>
      </c>
      <c r="H1128" s="5"/>
      <c r="I1128"/>
      <c r="J1128"/>
      <c r="K1128"/>
      <c r="L1128"/>
      <c r="M1128"/>
      <c r="N1128"/>
      <c r="O1128"/>
      <c r="P1128"/>
      <c r="Q1128"/>
      <c r="R1128"/>
      <c r="S1128"/>
      <c r="T1128"/>
      <c r="U1128"/>
      <c r="V1128"/>
      <c r="W1128"/>
      <c r="X1128"/>
      <c r="Y1128"/>
    </row>
    <row r="1129" spans="1:25" s="104" customFormat="1" hidden="1" x14ac:dyDescent="0.25">
      <c r="A1129" s="97" t="str">
        <f t="shared" si="22"/>
        <v>PLLTS16FFCLAFRACF_vddh1_dyn_1250</v>
      </c>
      <c r="B1129" s="97" t="s">
        <v>78</v>
      </c>
      <c r="C1129" s="97" t="s">
        <v>501</v>
      </c>
      <c r="D1129" s="97">
        <v>1250</v>
      </c>
      <c r="E1129" s="97" t="s">
        <v>1038</v>
      </c>
      <c r="F1129" s="97">
        <v>3.0146484375</v>
      </c>
      <c r="G1129" s="97" t="s">
        <v>559</v>
      </c>
      <c r="H1129" s="5"/>
      <c r="I1129"/>
      <c r="J1129"/>
      <c r="K1129"/>
      <c r="L1129"/>
      <c r="M1129"/>
      <c r="N1129"/>
      <c r="O1129"/>
      <c r="P1129"/>
      <c r="Q1129"/>
      <c r="R1129"/>
      <c r="S1129"/>
      <c r="T1129"/>
      <c r="U1129"/>
      <c r="V1129"/>
      <c r="W1129"/>
      <c r="X1129"/>
      <c r="Y1129"/>
    </row>
    <row r="1130" spans="1:25" s="104" customFormat="1" hidden="1" x14ac:dyDescent="0.25">
      <c r="A1130" s="97" t="str">
        <f t="shared" si="22"/>
        <v>PLLTS16FFCLAFRACF_vddh1_dyn_1500</v>
      </c>
      <c r="B1130" s="97" t="s">
        <v>78</v>
      </c>
      <c r="C1130" s="97" t="s">
        <v>501</v>
      </c>
      <c r="D1130" s="97">
        <v>1500</v>
      </c>
      <c r="E1130" s="97" t="s">
        <v>1038</v>
      </c>
      <c r="F1130" s="97">
        <v>3.9628582851994874</v>
      </c>
      <c r="G1130" s="97" t="s">
        <v>559</v>
      </c>
      <c r="H1130" s="5"/>
      <c r="I1130"/>
      <c r="J1130"/>
      <c r="K1130"/>
      <c r="L1130"/>
      <c r="M1130"/>
      <c r="N1130"/>
      <c r="O1130"/>
      <c r="P1130"/>
      <c r="Q1130"/>
      <c r="R1130"/>
      <c r="S1130"/>
      <c r="T1130"/>
      <c r="U1130"/>
      <c r="V1130"/>
      <c r="W1130"/>
      <c r="X1130"/>
      <c r="Y1130"/>
    </row>
    <row r="1131" spans="1:25" s="104" customFormat="1" hidden="1" x14ac:dyDescent="0.25">
      <c r="A1131" s="97" t="str">
        <f t="shared" si="22"/>
        <v>PLLTS16FFCLAFRACF_vddh1_dyn_1750</v>
      </c>
      <c r="B1131" s="97" t="s">
        <v>78</v>
      </c>
      <c r="C1131" s="97" t="s">
        <v>501</v>
      </c>
      <c r="D1131" s="97">
        <v>1750</v>
      </c>
      <c r="E1131" s="97" t="s">
        <v>1038</v>
      </c>
      <c r="F1131" s="97">
        <v>4.9937721887890474</v>
      </c>
      <c r="G1131" s="97" t="s">
        <v>559</v>
      </c>
      <c r="H1131" s="5"/>
      <c r="I1131"/>
      <c r="J1131"/>
      <c r="K1131"/>
      <c r="L1131"/>
      <c r="M1131"/>
      <c r="N1131"/>
      <c r="O1131"/>
      <c r="P1131"/>
      <c r="Q1131"/>
      <c r="R1131"/>
      <c r="S1131"/>
      <c r="T1131"/>
      <c r="U1131"/>
      <c r="V1131"/>
      <c r="W1131"/>
      <c r="X1131"/>
      <c r="Y1131"/>
    </row>
    <row r="1132" spans="1:25" s="104" customFormat="1" hidden="1" x14ac:dyDescent="0.25">
      <c r="A1132" s="97" t="str">
        <f t="shared" si="22"/>
        <v>PLLTS16FFCLAFRACF_vddh1_dyn_2000</v>
      </c>
      <c r="B1132" s="97" t="s">
        <v>78</v>
      </c>
      <c r="C1132" s="97" t="s">
        <v>501</v>
      </c>
      <c r="D1132" s="97">
        <v>2000</v>
      </c>
      <c r="E1132" s="97" t="s">
        <v>1038</v>
      </c>
      <c r="F1132" s="97">
        <v>6.1012194605873669</v>
      </c>
      <c r="G1132" s="97" t="s">
        <v>559</v>
      </c>
      <c r="H1132" s="5"/>
      <c r="I1132"/>
      <c r="J1132"/>
      <c r="K1132"/>
      <c r="L1132"/>
      <c r="M1132"/>
      <c r="N1132"/>
      <c r="O1132"/>
      <c r="P1132"/>
      <c r="Q1132"/>
      <c r="R1132"/>
      <c r="S1132"/>
      <c r="T1132"/>
      <c r="U1132"/>
      <c r="V1132"/>
      <c r="W1132"/>
      <c r="X1132"/>
      <c r="Y1132"/>
    </row>
    <row r="1133" spans="1:25" s="104" customFormat="1" hidden="1" x14ac:dyDescent="0.25">
      <c r="A1133" s="97" t="str">
        <f t="shared" si="22"/>
        <v>PLLTS16FFCLAFRACF_vddh1_dyn_2250</v>
      </c>
      <c r="B1133" s="97" t="s">
        <v>78</v>
      </c>
      <c r="C1133" s="97" t="s">
        <v>501</v>
      </c>
      <c r="D1133" s="97">
        <v>2250</v>
      </c>
      <c r="E1133" s="97" t="s">
        <v>1038</v>
      </c>
      <c r="F1133" s="97">
        <v>7.2802355412746094</v>
      </c>
      <c r="G1133" s="97" t="s">
        <v>559</v>
      </c>
      <c r="H1133" s="5"/>
      <c r="I1133"/>
      <c r="J1133"/>
      <c r="K1133"/>
      <c r="L1133"/>
      <c r="M1133"/>
      <c r="N1133"/>
      <c r="O1133"/>
      <c r="P1133"/>
      <c r="Q1133"/>
      <c r="R1133"/>
      <c r="S1133"/>
      <c r="T1133"/>
      <c r="U1133"/>
      <c r="V1133"/>
      <c r="W1133"/>
      <c r="X1133"/>
      <c r="Y1133"/>
    </row>
    <row r="1134" spans="1:25" s="104" customFormat="1" hidden="1" x14ac:dyDescent="0.25">
      <c r="A1134" s="97" t="str">
        <f t="shared" si="22"/>
        <v>PLLTS16FFCLAFRACF_vddh1_dyn_250</v>
      </c>
      <c r="B1134" s="97" t="s">
        <v>78</v>
      </c>
      <c r="C1134" s="97" t="s">
        <v>501</v>
      </c>
      <c r="D1134" s="97">
        <v>250</v>
      </c>
      <c r="E1134" s="97" t="s">
        <v>1038</v>
      </c>
      <c r="F1134" s="97">
        <v>0.3</v>
      </c>
      <c r="G1134" s="97" t="s">
        <v>559</v>
      </c>
      <c r="H1134" s="5"/>
      <c r="I1134"/>
      <c r="J1134"/>
      <c r="K1134"/>
      <c r="L1134"/>
      <c r="M1134"/>
      <c r="N1134"/>
      <c r="O1134"/>
      <c r="P1134"/>
      <c r="Q1134"/>
      <c r="R1134"/>
      <c r="S1134"/>
      <c r="T1134"/>
      <c r="U1134"/>
      <c r="V1134"/>
      <c r="W1134"/>
      <c r="X1134"/>
      <c r="Y1134"/>
    </row>
    <row r="1135" spans="1:25" s="104" customFormat="1" hidden="1" x14ac:dyDescent="0.25">
      <c r="A1135" s="97" t="str">
        <f t="shared" si="22"/>
        <v>PLLTS16FFCLAFRACF_vddh1_dyn_2500</v>
      </c>
      <c r="B1135" s="97" t="s">
        <v>78</v>
      </c>
      <c r="C1135" s="97" t="s">
        <v>501</v>
      </c>
      <c r="D1135" s="97">
        <v>2500</v>
      </c>
      <c r="E1135" s="97" t="s">
        <v>1038</v>
      </c>
      <c r="F1135" s="97">
        <v>8.5267134121987205</v>
      </c>
      <c r="G1135" s="97" t="s">
        <v>559</v>
      </c>
      <c r="H1135" s="5"/>
      <c r="I1135"/>
      <c r="J1135"/>
      <c r="K1135"/>
      <c r="L1135"/>
      <c r="M1135"/>
      <c r="N1135"/>
      <c r="O1135"/>
      <c r="P1135"/>
      <c r="Q1135"/>
      <c r="R1135"/>
      <c r="S1135"/>
      <c r="T1135"/>
      <c r="U1135"/>
      <c r="V1135"/>
      <c r="W1135"/>
      <c r="X1135"/>
      <c r="Y1135"/>
    </row>
    <row r="1136" spans="1:25" s="104" customFormat="1" hidden="1" x14ac:dyDescent="0.25">
      <c r="A1136" s="97" t="str">
        <f t="shared" si="22"/>
        <v>PLLTS16FFCLAFRACF_vddh1_dyn_2750</v>
      </c>
      <c r="B1136" s="97" t="s">
        <v>78</v>
      </c>
      <c r="C1136" s="97" t="s">
        <v>501</v>
      </c>
      <c r="D1136" s="97">
        <v>2750</v>
      </c>
      <c r="E1136" s="97" t="s">
        <v>1038</v>
      </c>
      <c r="F1136" s="97">
        <v>9.8371817100077603</v>
      </c>
      <c r="G1136" s="97" t="s">
        <v>559</v>
      </c>
      <c r="H1136" s="5"/>
      <c r="I1136"/>
      <c r="J1136"/>
      <c r="K1136"/>
      <c r="L1136"/>
      <c r="M1136"/>
      <c r="N1136"/>
      <c r="O1136"/>
      <c r="P1136"/>
      <c r="Q1136"/>
      <c r="R1136"/>
      <c r="S1136"/>
      <c r="T1136"/>
      <c r="U1136"/>
      <c r="V1136"/>
      <c r="W1136"/>
      <c r="X1136"/>
      <c r="Y1136"/>
    </row>
    <row r="1137" spans="1:25" s="104" customFormat="1" hidden="1" x14ac:dyDescent="0.25">
      <c r="A1137" s="97" t="str">
        <f t="shared" si="22"/>
        <v>PLLTS16FFCLAFRACF_vddh1_dyn_3000</v>
      </c>
      <c r="B1137" s="97" t="s">
        <v>78</v>
      </c>
      <c r="C1137" s="97" t="s">
        <v>501</v>
      </c>
      <c r="D1137" s="97">
        <v>3000</v>
      </c>
      <c r="E1137" s="97" t="s">
        <v>1038</v>
      </c>
      <c r="F1137" s="97">
        <v>11.208655865383403</v>
      </c>
      <c r="G1137" s="97" t="s">
        <v>559</v>
      </c>
      <c r="H1137" s="5"/>
      <c r="I1137"/>
      <c r="J1137"/>
      <c r="K1137"/>
      <c r="L1137"/>
      <c r="M1137"/>
      <c r="N1137"/>
      <c r="O1137"/>
      <c r="P1137"/>
      <c r="Q1137"/>
      <c r="R1137"/>
      <c r="S1137"/>
      <c r="T1137"/>
      <c r="U1137"/>
      <c r="V1137"/>
      <c r="W1137"/>
      <c r="X1137"/>
      <c r="Y1137"/>
    </row>
    <row r="1138" spans="1:25" s="104" customFormat="1" hidden="1" x14ac:dyDescent="0.25">
      <c r="A1138" s="97" t="str">
        <f t="shared" si="22"/>
        <v>PLLTS16FFCLAFRACF_vddh1_dyn_3250</v>
      </c>
      <c r="B1138" s="97" t="s">
        <v>78</v>
      </c>
      <c r="C1138" s="97" t="s">
        <v>501</v>
      </c>
      <c r="D1138" s="97">
        <v>3250</v>
      </c>
      <c r="E1138" s="97" t="s">
        <v>1038</v>
      </c>
      <c r="F1138" s="97">
        <v>12.638533816287858</v>
      </c>
      <c r="G1138" s="97" t="s">
        <v>559</v>
      </c>
      <c r="H1138" s="5"/>
      <c r="I1138"/>
      <c r="J1138"/>
      <c r="K1138"/>
      <c r="L1138"/>
      <c r="M1138"/>
      <c r="N1138"/>
      <c r="O1138"/>
      <c r="P1138"/>
      <c r="Q1138"/>
      <c r="R1138"/>
      <c r="S1138"/>
      <c r="T1138"/>
      <c r="U1138"/>
      <c r="V1138"/>
      <c r="W1138"/>
      <c r="X1138"/>
      <c r="Y1138"/>
    </row>
    <row r="1139" spans="1:25" s="104" customFormat="1" hidden="1" x14ac:dyDescent="0.25">
      <c r="A1139" s="97" t="str">
        <f t="shared" si="22"/>
        <v>PLLTS16FFCLAFRACF_vddh1_dyn_3500</v>
      </c>
      <c r="B1139" s="97" t="s">
        <v>78</v>
      </c>
      <c r="C1139" s="97" t="s">
        <v>501</v>
      </c>
      <c r="D1139" s="97">
        <v>3500</v>
      </c>
      <c r="E1139" s="97" t="s">
        <v>1038</v>
      </c>
      <c r="F1139" s="97">
        <v>14.124520713574091</v>
      </c>
      <c r="G1139" s="97" t="s">
        <v>559</v>
      </c>
      <c r="H1139" s="5"/>
      <c r="I1139"/>
      <c r="J1139"/>
      <c r="K1139"/>
      <c r="L1139"/>
      <c r="M1139"/>
      <c r="N1139"/>
      <c r="O1139"/>
      <c r="P1139"/>
      <c r="Q1139"/>
      <c r="R1139"/>
      <c r="S1139"/>
      <c r="T1139"/>
      <c r="U1139"/>
      <c r="V1139"/>
      <c r="W1139"/>
      <c r="X1139"/>
      <c r="Y1139"/>
    </row>
    <row r="1140" spans="1:25" s="104" customFormat="1" hidden="1" x14ac:dyDescent="0.25">
      <c r="A1140" s="97" t="str">
        <f t="shared" si="22"/>
        <v>PLLTS16FFCLAFRACF_vddh1_dyn_3750</v>
      </c>
      <c r="B1140" s="97" t="s">
        <v>78</v>
      </c>
      <c r="C1140" s="97" t="s">
        <v>501</v>
      </c>
      <c r="D1140" s="97">
        <v>3750</v>
      </c>
      <c r="E1140" s="97" t="s">
        <v>1038</v>
      </c>
      <c r="F1140" s="97">
        <v>15.66457278212439</v>
      </c>
      <c r="G1140" s="97" t="s">
        <v>559</v>
      </c>
      <c r="H1140" s="5"/>
      <c r="I1140"/>
      <c r="J1140"/>
      <c r="K1140"/>
      <c r="L1140"/>
      <c r="M1140"/>
      <c r="N1140"/>
      <c r="O1140"/>
      <c r="P1140"/>
      <c r="Q1140"/>
      <c r="R1140"/>
      <c r="S1140"/>
      <c r="T1140"/>
      <c r="U1140"/>
      <c r="V1140"/>
      <c r="W1140"/>
      <c r="X1140"/>
      <c r="Y1140"/>
    </row>
    <row r="1141" spans="1:25" s="104" customFormat="1" hidden="1" x14ac:dyDescent="0.25">
      <c r="A1141" s="97" t="str">
        <f t="shared" si="22"/>
        <v>PLLTS16FFCLAFRACF_vddh1_dyn_500</v>
      </c>
      <c r="B1141" s="97" t="s">
        <v>78</v>
      </c>
      <c r="C1141" s="97" t="s">
        <v>501</v>
      </c>
      <c r="D1141" s="97">
        <v>500</v>
      </c>
      <c r="E1141" s="97" t="s">
        <v>1038</v>
      </c>
      <c r="F1141" s="97">
        <v>0.76265243257342086</v>
      </c>
      <c r="G1141" s="97" t="s">
        <v>559</v>
      </c>
      <c r="H1141" s="5"/>
      <c r="I1141"/>
      <c r="J1141"/>
      <c r="K1141"/>
      <c r="L1141"/>
      <c r="M1141"/>
      <c r="N1141"/>
      <c r="O1141"/>
      <c r="P1141"/>
      <c r="Q1141"/>
      <c r="R1141"/>
      <c r="S1141"/>
      <c r="T1141"/>
      <c r="U1141"/>
      <c r="V1141"/>
      <c r="W1141"/>
      <c r="X1141"/>
      <c r="Y1141"/>
    </row>
    <row r="1142" spans="1:25" s="104" customFormat="1" hidden="1" x14ac:dyDescent="0.25">
      <c r="A1142" s="97" t="str">
        <f t="shared" si="22"/>
        <v>PLLTS16FFCLAFRACF_vddh1_dyn_750</v>
      </c>
      <c r="B1142" s="97" t="s">
        <v>78</v>
      </c>
      <c r="C1142" s="97" t="s">
        <v>501</v>
      </c>
      <c r="D1142" s="97">
        <v>750</v>
      </c>
      <c r="E1142" s="97" t="s">
        <v>1038</v>
      </c>
      <c r="F1142" s="97">
        <v>1.4010819831729253</v>
      </c>
      <c r="G1142" s="97" t="s">
        <v>559</v>
      </c>
      <c r="H1142" s="5"/>
      <c r="I1142"/>
      <c r="J1142"/>
      <c r="K1142"/>
      <c r="L1142"/>
      <c r="M1142"/>
      <c r="N1142"/>
      <c r="O1142"/>
      <c r="P1142"/>
      <c r="Q1142"/>
      <c r="R1142"/>
      <c r="S1142"/>
      <c r="T1142"/>
      <c r="U1142"/>
      <c r="V1142"/>
      <c r="W1142"/>
      <c r="X1142"/>
      <c r="Y1142"/>
    </row>
    <row r="1143" spans="1:25" s="104" customFormat="1" hidden="1" x14ac:dyDescent="0.25">
      <c r="A1143" s="97" t="str">
        <f t="shared" si="22"/>
        <v>N16FFC_POK_vddh1_dyn_on</v>
      </c>
      <c r="B1143" s="97" t="s">
        <v>80</v>
      </c>
      <c r="C1143" s="97" t="s">
        <v>501</v>
      </c>
      <c r="D1143" s="97" t="s">
        <v>68</v>
      </c>
      <c r="E1143" s="97" t="s">
        <v>1038</v>
      </c>
      <c r="F1143" s="99">
        <f>(0.0536-0.0456)*1.98</f>
        <v>1.584E-2</v>
      </c>
      <c r="G1143" s="97" t="s">
        <v>604</v>
      </c>
      <c r="H1143" s="5"/>
      <c r="I1143"/>
      <c r="J1143"/>
      <c r="K1143"/>
      <c r="L1143"/>
      <c r="M1143"/>
      <c r="N1143"/>
      <c r="O1143"/>
      <c r="P1143"/>
      <c r="Q1143"/>
      <c r="R1143"/>
      <c r="S1143"/>
      <c r="T1143"/>
      <c r="U1143"/>
      <c r="V1143"/>
      <c r="W1143"/>
      <c r="X1143"/>
      <c r="Y1143"/>
    </row>
    <row r="1144" spans="1:25" s="104" customFormat="1" hidden="1" x14ac:dyDescent="0.25">
      <c r="A1144" s="97" t="str">
        <f t="shared" si="22"/>
        <v>N16FFC_POKSA_vddh1_dyn_on</v>
      </c>
      <c r="B1144" s="97" t="s">
        <v>83</v>
      </c>
      <c r="C1144" s="97" t="s">
        <v>501</v>
      </c>
      <c r="D1144" s="97" t="s">
        <v>68</v>
      </c>
      <c r="E1144" s="97" t="s">
        <v>1038</v>
      </c>
      <c r="F1144" s="97">
        <v>4.6440000000000002E-2</v>
      </c>
      <c r="G1144" s="97" t="s">
        <v>567</v>
      </c>
      <c r="H1144" s="5"/>
      <c r="I1144"/>
      <c r="J1144"/>
      <c r="K1144"/>
      <c r="L1144"/>
      <c r="M1144"/>
      <c r="N1144"/>
      <c r="O1144"/>
      <c r="P1144"/>
      <c r="Q1144"/>
      <c r="R1144"/>
      <c r="S1144"/>
      <c r="T1144"/>
      <c r="U1144"/>
      <c r="V1144"/>
      <c r="W1144"/>
      <c r="X1144"/>
      <c r="Y1144"/>
    </row>
    <row r="1145" spans="1:25" s="104" customFormat="1" hidden="1" x14ac:dyDescent="0.25">
      <c r="A1145" s="97" t="str">
        <f t="shared" si="22"/>
        <v>sd0901_rx4_vddh1_dyn_1p5g4l</v>
      </c>
      <c r="B1145" s="97" t="s">
        <v>607</v>
      </c>
      <c r="C1145" s="97" t="s">
        <v>501</v>
      </c>
      <c r="D1145" s="97" t="s">
        <v>373</v>
      </c>
      <c r="E1145" s="97" t="s">
        <v>1038</v>
      </c>
      <c r="F1145" s="97">
        <v>18.619</v>
      </c>
      <c r="G1145" s="97" t="s">
        <v>385</v>
      </c>
      <c r="H1145" s="5"/>
      <c r="I1145"/>
      <c r="J1145"/>
      <c r="K1145"/>
      <c r="L1145"/>
      <c r="M1145"/>
      <c r="N1145"/>
      <c r="O1145"/>
      <c r="P1145"/>
      <c r="Q1145"/>
      <c r="R1145"/>
      <c r="S1145"/>
      <c r="T1145"/>
      <c r="U1145"/>
      <c r="V1145"/>
      <c r="W1145"/>
      <c r="X1145"/>
      <c r="Y1145"/>
    </row>
    <row r="1146" spans="1:25" s="104" customFormat="1" hidden="1" x14ac:dyDescent="0.25">
      <c r="A1146" s="97" t="str">
        <f t="shared" si="22"/>
        <v>sd0901_rx4_vddh1_dyn_2p5g4l</v>
      </c>
      <c r="B1146" s="97" t="s">
        <v>607</v>
      </c>
      <c r="C1146" s="97" t="s">
        <v>501</v>
      </c>
      <c r="D1146" s="97" t="s">
        <v>372</v>
      </c>
      <c r="E1146" s="97" t="s">
        <v>1038</v>
      </c>
      <c r="F1146" s="97">
        <v>26.558</v>
      </c>
      <c r="G1146" s="97" t="s">
        <v>385</v>
      </c>
      <c r="H1146" s="5"/>
      <c r="I1146"/>
      <c r="J1146"/>
      <c r="K1146"/>
      <c r="L1146"/>
      <c r="M1146"/>
      <c r="N1146"/>
      <c r="O1146"/>
      <c r="P1146"/>
      <c r="Q1146"/>
      <c r="R1146"/>
      <c r="S1146"/>
      <c r="T1146"/>
      <c r="U1146"/>
      <c r="V1146"/>
      <c r="W1146"/>
      <c r="X1146"/>
      <c r="Y1146"/>
    </row>
    <row r="1147" spans="1:25" s="104" customFormat="1" hidden="1" x14ac:dyDescent="0.25">
      <c r="A1147" s="97" t="str">
        <f t="shared" si="22"/>
        <v>sd0901_rx4_vddh1_dyn_lprx</v>
      </c>
      <c r="B1147" s="97" t="s">
        <v>607</v>
      </c>
      <c r="C1147" s="97" t="s">
        <v>501</v>
      </c>
      <c r="D1147" s="97" t="s">
        <v>411</v>
      </c>
      <c r="E1147" s="97" t="s">
        <v>1038</v>
      </c>
      <c r="F1147" s="97">
        <v>17.105</v>
      </c>
      <c r="G1147" s="97" t="s">
        <v>385</v>
      </c>
      <c r="H1147" s="5"/>
      <c r="I1147"/>
      <c r="J1147"/>
      <c r="K1147"/>
      <c r="L1147"/>
      <c r="M1147"/>
      <c r="N1147"/>
      <c r="O1147"/>
      <c r="P1147"/>
      <c r="Q1147"/>
      <c r="R1147"/>
      <c r="S1147"/>
      <c r="T1147"/>
      <c r="U1147"/>
      <c r="V1147"/>
      <c r="W1147"/>
      <c r="X1147"/>
      <c r="Y1147"/>
    </row>
    <row r="1148" spans="1:25" s="104" customFormat="1" hidden="1" x14ac:dyDescent="0.25">
      <c r="A1148" s="97" t="str">
        <f t="shared" si="22"/>
        <v>sd1000_vddh1_dyn_device_fs</v>
      </c>
      <c r="B1148" s="97" t="s">
        <v>608</v>
      </c>
      <c r="C1148" s="98" t="s">
        <v>501</v>
      </c>
      <c r="D1148" s="97" t="s">
        <v>468</v>
      </c>
      <c r="E1148" s="97" t="s">
        <v>1038</v>
      </c>
      <c r="F1148" s="105">
        <f>(5.872+5.399)/2</f>
        <v>5.6355000000000004</v>
      </c>
      <c r="G1148" s="97" t="s">
        <v>473</v>
      </c>
      <c r="H1148" s="5"/>
      <c r="I1148"/>
      <c r="J1148"/>
      <c r="K1148"/>
      <c r="L1148"/>
      <c r="M1148"/>
      <c r="N1148"/>
      <c r="O1148"/>
      <c r="P1148"/>
      <c r="Q1148"/>
      <c r="R1148"/>
      <c r="S1148"/>
      <c r="T1148"/>
      <c r="U1148"/>
      <c r="V1148"/>
      <c r="W1148"/>
      <c r="X1148"/>
      <c r="Y1148"/>
    </row>
    <row r="1149" spans="1:25" s="104" customFormat="1" hidden="1" x14ac:dyDescent="0.25">
      <c r="A1149" s="97" t="str">
        <f t="shared" si="22"/>
        <v>sd1000_vddh1_dyn_device_fs_idle</v>
      </c>
      <c r="B1149" s="97" t="s">
        <v>608</v>
      </c>
      <c r="C1149" s="98" t="s">
        <v>501</v>
      </c>
      <c r="D1149" s="97" t="s">
        <v>478</v>
      </c>
      <c r="E1149" s="97" t="s">
        <v>1038</v>
      </c>
      <c r="F1149" s="105">
        <v>5.3440000000000003</v>
      </c>
      <c r="G1149" s="97" t="s">
        <v>480</v>
      </c>
      <c r="H1149" s="5"/>
      <c r="I1149"/>
      <c r="J1149"/>
      <c r="K1149"/>
      <c r="L1149"/>
      <c r="M1149"/>
      <c r="N1149"/>
      <c r="O1149"/>
      <c r="P1149"/>
      <c r="Q1149"/>
      <c r="R1149"/>
      <c r="S1149"/>
      <c r="T1149"/>
      <c r="U1149"/>
      <c r="V1149"/>
      <c r="W1149"/>
      <c r="X1149"/>
      <c r="Y1149"/>
    </row>
    <row r="1150" spans="1:25" s="104" customFormat="1" hidden="1" x14ac:dyDescent="0.25">
      <c r="A1150" s="97" t="str">
        <f t="shared" si="22"/>
        <v>sd1000_vddh1_dyn_device_hs</v>
      </c>
      <c r="B1150" s="97" t="s">
        <v>608</v>
      </c>
      <c r="C1150" s="98" t="s">
        <v>501</v>
      </c>
      <c r="D1150" s="97" t="s">
        <v>467</v>
      </c>
      <c r="E1150" s="97" t="s">
        <v>1038</v>
      </c>
      <c r="F1150" s="105">
        <f>(16.329+9.445)/2</f>
        <v>12.887</v>
      </c>
      <c r="G1150" s="97" t="s">
        <v>473</v>
      </c>
      <c r="H1150" s="5"/>
      <c r="I1150"/>
      <c r="J1150"/>
      <c r="K1150"/>
      <c r="L1150"/>
      <c r="M1150"/>
      <c r="N1150"/>
      <c r="O1150"/>
      <c r="P1150"/>
      <c r="Q1150"/>
      <c r="R1150"/>
      <c r="S1150"/>
      <c r="T1150"/>
      <c r="U1150"/>
      <c r="V1150"/>
      <c r="W1150"/>
      <c r="X1150"/>
      <c r="Y1150"/>
    </row>
    <row r="1151" spans="1:25" s="104" customFormat="1" hidden="1" x14ac:dyDescent="0.25">
      <c r="A1151" s="97" t="str">
        <f t="shared" si="22"/>
        <v>sd1000_vddh1_dyn_device_hs_idle</v>
      </c>
      <c r="B1151" s="97" t="s">
        <v>608</v>
      </c>
      <c r="C1151" s="98" t="s">
        <v>501</v>
      </c>
      <c r="D1151" s="97" t="s">
        <v>477</v>
      </c>
      <c r="E1151" s="97" t="s">
        <v>1038</v>
      </c>
      <c r="F1151" s="105">
        <v>9.4209999999999994</v>
      </c>
      <c r="G1151" s="97" t="s">
        <v>480</v>
      </c>
      <c r="H1151" s="5"/>
      <c r="I1151"/>
      <c r="J1151"/>
      <c r="K1151"/>
      <c r="L1151"/>
      <c r="M1151"/>
      <c r="N1151"/>
      <c r="O1151"/>
      <c r="P1151"/>
      <c r="Q1151"/>
      <c r="R1151"/>
      <c r="S1151"/>
      <c r="T1151"/>
      <c r="U1151"/>
      <c r="V1151"/>
      <c r="W1151"/>
      <c r="X1151"/>
      <c r="Y1151"/>
    </row>
    <row r="1152" spans="1:25" s="104" customFormat="1" hidden="1" x14ac:dyDescent="0.25">
      <c r="A1152" s="97" t="str">
        <f t="shared" si="22"/>
        <v>sd1000_vddh1_dyn_device_ls</v>
      </c>
      <c r="B1152" s="97" t="s">
        <v>608</v>
      </c>
      <c r="C1152" s="98" t="s">
        <v>501</v>
      </c>
      <c r="D1152" s="97" t="s">
        <v>469</v>
      </c>
      <c r="E1152" s="97" t="s">
        <v>1038</v>
      </c>
      <c r="F1152" s="105">
        <f>(5.79+5.39)/2</f>
        <v>5.59</v>
      </c>
      <c r="G1152" s="97" t="s">
        <v>473</v>
      </c>
      <c r="H1152" s="5"/>
      <c r="I1152"/>
      <c r="J1152"/>
      <c r="K1152"/>
      <c r="L1152"/>
      <c r="M1152"/>
      <c r="N1152"/>
      <c r="O1152"/>
      <c r="P1152"/>
      <c r="Q1152"/>
      <c r="R1152"/>
      <c r="S1152"/>
      <c r="T1152"/>
      <c r="U1152"/>
      <c r="V1152"/>
      <c r="W1152"/>
      <c r="X1152"/>
      <c r="Y1152"/>
    </row>
    <row r="1153" spans="1:25" s="104" customFormat="1" hidden="1" x14ac:dyDescent="0.25">
      <c r="A1153" s="97" t="str">
        <f t="shared" si="22"/>
        <v>sd1000_vddh1_dyn_device_ls_idle</v>
      </c>
      <c r="B1153" s="97" t="s">
        <v>608</v>
      </c>
      <c r="C1153" s="98" t="s">
        <v>501</v>
      </c>
      <c r="D1153" s="97" t="s">
        <v>479</v>
      </c>
      <c r="E1153" s="97" t="s">
        <v>1038</v>
      </c>
      <c r="F1153" s="105">
        <v>5.3940000000000001</v>
      </c>
      <c r="G1153" s="97" t="s">
        <v>480</v>
      </c>
      <c r="H1153" s="5"/>
      <c r="I1153"/>
      <c r="J1153"/>
      <c r="K1153"/>
      <c r="L1153"/>
      <c r="M1153"/>
      <c r="N1153"/>
      <c r="O1153"/>
      <c r="P1153"/>
      <c r="Q1153"/>
      <c r="R1153"/>
      <c r="S1153"/>
      <c r="T1153"/>
      <c r="U1153"/>
      <c r="V1153"/>
      <c r="W1153"/>
      <c r="X1153"/>
      <c r="Y1153"/>
    </row>
    <row r="1154" spans="1:25" s="104" customFormat="1" hidden="1" x14ac:dyDescent="0.25">
      <c r="A1154" s="97" t="str">
        <f t="shared" si="22"/>
        <v>sd1000_vddh1_dyn_host_fs</v>
      </c>
      <c r="B1154" s="97" t="s">
        <v>608</v>
      </c>
      <c r="C1154" s="98" t="s">
        <v>501</v>
      </c>
      <c r="D1154" s="97" t="s">
        <v>465</v>
      </c>
      <c r="E1154" s="97" t="s">
        <v>1038</v>
      </c>
      <c r="F1154" s="105">
        <f>(5.871+5.398)/2</f>
        <v>5.6345000000000001</v>
      </c>
      <c r="G1154" s="97" t="s">
        <v>473</v>
      </c>
      <c r="H1154" s="5"/>
      <c r="I1154"/>
      <c r="J1154"/>
      <c r="K1154"/>
      <c r="L1154"/>
      <c r="M1154"/>
      <c r="N1154"/>
      <c r="O1154"/>
      <c r="P1154"/>
      <c r="Q1154"/>
      <c r="R1154"/>
      <c r="S1154"/>
      <c r="T1154"/>
      <c r="U1154"/>
      <c r="V1154"/>
      <c r="W1154"/>
      <c r="X1154"/>
      <c r="Y1154"/>
    </row>
    <row r="1155" spans="1:25" s="104" customFormat="1" hidden="1" x14ac:dyDescent="0.25">
      <c r="A1155" s="97" t="str">
        <f t="shared" si="22"/>
        <v>sd1000_vddh1_dyn_host_fs_idle</v>
      </c>
      <c r="B1155" s="97" t="s">
        <v>608</v>
      </c>
      <c r="C1155" s="98" t="s">
        <v>501</v>
      </c>
      <c r="D1155" s="97" t="s">
        <v>475</v>
      </c>
      <c r="E1155" s="97" t="s">
        <v>1038</v>
      </c>
      <c r="F1155" s="105">
        <v>5.3460000000000001</v>
      </c>
      <c r="G1155" s="97" t="s">
        <v>149</v>
      </c>
      <c r="H1155" s="5"/>
      <c r="I1155"/>
      <c r="J1155"/>
      <c r="K1155"/>
      <c r="L1155"/>
      <c r="M1155"/>
      <c r="N1155"/>
      <c r="O1155"/>
      <c r="P1155"/>
      <c r="Q1155"/>
      <c r="R1155"/>
      <c r="S1155"/>
      <c r="T1155"/>
      <c r="U1155"/>
      <c r="V1155"/>
      <c r="W1155"/>
      <c r="X1155"/>
      <c r="Y1155"/>
    </row>
    <row r="1156" spans="1:25" s="104" customFormat="1" hidden="1" x14ac:dyDescent="0.25">
      <c r="A1156" s="97" t="str">
        <f t="shared" si="22"/>
        <v>sd1000_vddh1_dyn_host_hs</v>
      </c>
      <c r="B1156" s="97" t="s">
        <v>608</v>
      </c>
      <c r="C1156" s="98" t="s">
        <v>501</v>
      </c>
      <c r="D1156" s="97" t="s">
        <v>464</v>
      </c>
      <c r="E1156" s="97" t="s">
        <v>1038</v>
      </c>
      <c r="F1156" s="105">
        <f>(16.317+9.452)/2</f>
        <v>12.884499999999999</v>
      </c>
      <c r="G1156" s="97" t="s">
        <v>473</v>
      </c>
      <c r="H1156" s="5"/>
      <c r="I1156"/>
      <c r="J1156"/>
      <c r="K1156"/>
      <c r="L1156"/>
      <c r="M1156"/>
      <c r="N1156"/>
      <c r="O1156"/>
      <c r="P1156"/>
      <c r="Q1156"/>
      <c r="R1156"/>
      <c r="S1156"/>
      <c r="T1156"/>
      <c r="U1156"/>
      <c r="V1156"/>
      <c r="W1156"/>
      <c r="X1156"/>
      <c r="Y1156"/>
    </row>
    <row r="1157" spans="1:25" s="104" customFormat="1" hidden="1" x14ac:dyDescent="0.25">
      <c r="A1157" s="97" t="str">
        <f t="shared" si="22"/>
        <v>sd1000_vddh1_dyn_host_hs_idle</v>
      </c>
      <c r="B1157" s="97" t="s">
        <v>608</v>
      </c>
      <c r="C1157" s="98" t="s">
        <v>501</v>
      </c>
      <c r="D1157" s="97" t="s">
        <v>474</v>
      </c>
      <c r="E1157" s="97" t="s">
        <v>1038</v>
      </c>
      <c r="F1157" s="105">
        <v>9.4209999999999994</v>
      </c>
      <c r="G1157" s="97" t="s">
        <v>149</v>
      </c>
      <c r="H1157" s="5"/>
      <c r="I1157"/>
      <c r="J1157"/>
      <c r="K1157"/>
      <c r="L1157"/>
      <c r="M1157"/>
      <c r="N1157"/>
      <c r="O1157"/>
      <c r="P1157"/>
      <c r="Q1157"/>
      <c r="R1157"/>
      <c r="S1157"/>
      <c r="T1157"/>
      <c r="U1157"/>
      <c r="V1157"/>
      <c r="W1157"/>
      <c r="X1157"/>
      <c r="Y1157"/>
    </row>
    <row r="1158" spans="1:25" s="104" customFormat="1" hidden="1" x14ac:dyDescent="0.25">
      <c r="A1158" s="97" t="str">
        <f t="shared" si="22"/>
        <v>sd1000_vddh1_dyn_host_ls</v>
      </c>
      <c r="B1158" s="97" t="s">
        <v>608</v>
      </c>
      <c r="C1158" s="98" t="s">
        <v>501</v>
      </c>
      <c r="D1158" s="97" t="s">
        <v>466</v>
      </c>
      <c r="E1158" s="97" t="s">
        <v>1038</v>
      </c>
      <c r="F1158" s="105">
        <f>(5.798+5.39)/2</f>
        <v>5.5939999999999994</v>
      </c>
      <c r="G1158" s="97" t="s">
        <v>149</v>
      </c>
      <c r="H1158" s="5"/>
      <c r="I1158"/>
      <c r="J1158"/>
      <c r="K1158"/>
      <c r="L1158"/>
      <c r="M1158"/>
      <c r="N1158"/>
      <c r="O1158"/>
      <c r="P1158"/>
      <c r="Q1158"/>
      <c r="R1158"/>
      <c r="S1158"/>
      <c r="T1158"/>
      <c r="U1158"/>
      <c r="V1158"/>
      <c r="W1158"/>
      <c r="X1158"/>
      <c r="Y1158"/>
    </row>
    <row r="1159" spans="1:25" s="104" customFormat="1" hidden="1" x14ac:dyDescent="0.25">
      <c r="A1159" s="97" t="str">
        <f t="shared" si="22"/>
        <v>sd1000_vddh1_dyn_host_ls_idle</v>
      </c>
      <c r="B1159" s="97" t="s">
        <v>608</v>
      </c>
      <c r="C1159" s="98" t="s">
        <v>501</v>
      </c>
      <c r="D1159" s="97" t="s">
        <v>476</v>
      </c>
      <c r="E1159" s="97" t="s">
        <v>1038</v>
      </c>
      <c r="F1159" s="105">
        <v>5.3940000000000001</v>
      </c>
      <c r="G1159" s="97" t="s">
        <v>149</v>
      </c>
      <c r="H1159" s="5"/>
      <c r="I1159"/>
      <c r="J1159"/>
      <c r="K1159"/>
      <c r="L1159"/>
      <c r="M1159"/>
      <c r="N1159"/>
      <c r="O1159"/>
      <c r="P1159"/>
      <c r="Q1159"/>
      <c r="R1159"/>
      <c r="S1159"/>
      <c r="T1159"/>
      <c r="U1159"/>
      <c r="V1159"/>
      <c r="W1159"/>
      <c r="X1159"/>
      <c r="Y1159"/>
    </row>
    <row r="1160" spans="1:25" s="104" customFormat="1" hidden="1" x14ac:dyDescent="0.25">
      <c r="A1160" s="97" t="str">
        <f t="shared" si="22"/>
        <v>sd1000_vddh1_dyn_Power_down</v>
      </c>
      <c r="B1160" s="97" t="s">
        <v>608</v>
      </c>
      <c r="C1160" s="98" t="s">
        <v>501</v>
      </c>
      <c r="D1160" s="97" t="s">
        <v>470</v>
      </c>
      <c r="E1160" s="97" t="s">
        <v>1038</v>
      </c>
      <c r="F1160" s="105">
        <v>0.182</v>
      </c>
      <c r="G1160" s="97" t="s">
        <v>472</v>
      </c>
      <c r="H1160" s="5"/>
      <c r="I1160"/>
      <c r="J1160"/>
      <c r="K1160"/>
      <c r="L1160"/>
      <c r="M1160"/>
      <c r="N1160"/>
      <c r="O1160"/>
      <c r="P1160"/>
      <c r="Q1160"/>
      <c r="R1160"/>
      <c r="S1160"/>
      <c r="T1160"/>
      <c r="U1160"/>
      <c r="V1160"/>
      <c r="W1160"/>
      <c r="X1160"/>
      <c r="Y1160"/>
    </row>
    <row r="1161" spans="1:25" s="104" customFormat="1" hidden="1" x14ac:dyDescent="0.25">
      <c r="A1161" s="97" t="str">
        <f t="shared" si="22"/>
        <v>sd1000_vddh1_dyn_sleep</v>
      </c>
      <c r="B1161" s="97" t="s">
        <v>608</v>
      </c>
      <c r="C1161" s="98" t="s">
        <v>501</v>
      </c>
      <c r="D1161" s="97" t="s">
        <v>463</v>
      </c>
      <c r="E1161" s="97" t="s">
        <v>1038</v>
      </c>
      <c r="F1161" s="105">
        <v>0.23899999999999999</v>
      </c>
      <c r="G1161" s="97" t="s">
        <v>471</v>
      </c>
      <c r="H1161" s="5"/>
      <c r="I1161"/>
      <c r="J1161"/>
      <c r="K1161"/>
      <c r="L1161"/>
      <c r="M1161"/>
      <c r="N1161"/>
      <c r="O1161"/>
      <c r="P1161"/>
      <c r="Q1161"/>
      <c r="R1161"/>
      <c r="S1161"/>
      <c r="T1161"/>
      <c r="U1161"/>
      <c r="V1161"/>
      <c r="W1161"/>
      <c r="X1161"/>
      <c r="Y1161"/>
    </row>
    <row r="1162" spans="1:25" s="104" customFormat="1" hidden="1" x14ac:dyDescent="0.25">
      <c r="A1162" s="97" t="str">
        <f t="shared" si="22"/>
        <v>N16FFC_HFXOSC_vddh1_dyn_on</v>
      </c>
      <c r="B1162" s="97" t="s">
        <v>77</v>
      </c>
      <c r="C1162" s="97" t="s">
        <v>501</v>
      </c>
      <c r="D1162" s="97" t="s">
        <v>68</v>
      </c>
      <c r="E1162" s="97" t="s">
        <v>1038</v>
      </c>
      <c r="F1162" s="97">
        <v>5.58</v>
      </c>
      <c r="G1162" s="97" t="s">
        <v>569</v>
      </c>
      <c r="H1162" s="5"/>
      <c r="I1162"/>
      <c r="J1162"/>
      <c r="K1162"/>
      <c r="L1162"/>
      <c r="M1162"/>
      <c r="N1162"/>
      <c r="O1162"/>
      <c r="P1162"/>
      <c r="Q1162"/>
      <c r="R1162"/>
      <c r="S1162"/>
      <c r="T1162"/>
      <c r="U1162"/>
      <c r="V1162"/>
      <c r="W1162"/>
      <c r="X1162"/>
      <c r="Y1162"/>
    </row>
    <row r="1163" spans="1:25" s="104" customFormat="1" hidden="1" x14ac:dyDescent="0.25">
      <c r="A1163" s="97" t="str">
        <f t="shared" si="22"/>
        <v>N16FFC_LFXOSC_vddh1_dyn_on</v>
      </c>
      <c r="B1163" s="97" t="s">
        <v>76</v>
      </c>
      <c r="C1163" s="97" t="s">
        <v>501</v>
      </c>
      <c r="D1163" s="97" t="s">
        <v>68</v>
      </c>
      <c r="E1163" s="97" t="s">
        <v>1038</v>
      </c>
      <c r="F1163" s="97">
        <v>2.6280000000000001E-3</v>
      </c>
      <c r="G1163" s="97" t="s">
        <v>568</v>
      </c>
      <c r="H1163" s="5"/>
      <c r="I1163"/>
      <c r="J1163"/>
      <c r="K1163"/>
      <c r="L1163"/>
      <c r="M1163"/>
      <c r="N1163"/>
      <c r="O1163"/>
      <c r="P1163"/>
      <c r="Q1163"/>
      <c r="R1163"/>
      <c r="S1163"/>
      <c r="T1163"/>
      <c r="U1163"/>
      <c r="V1163"/>
      <c r="W1163"/>
      <c r="X1163"/>
      <c r="Y1163"/>
    </row>
    <row r="1164" spans="1:25" s="104" customFormat="1" hidden="1" x14ac:dyDescent="0.25">
      <c r="A1164" s="97" t="str">
        <f t="shared" si="22"/>
        <v>N16FFC_RCOSC_vddh1_dyn_on</v>
      </c>
      <c r="B1164" s="97" t="s">
        <v>84</v>
      </c>
      <c r="C1164" s="97" t="s">
        <v>501</v>
      </c>
      <c r="D1164" s="97" t="s">
        <v>68</v>
      </c>
      <c r="E1164" s="97" t="s">
        <v>1038</v>
      </c>
      <c r="F1164" s="97">
        <v>8.7300000000000003E-2</v>
      </c>
      <c r="G1164" s="97" t="s">
        <v>565</v>
      </c>
      <c r="H1164" s="5"/>
      <c r="I1164"/>
      <c r="J1164"/>
      <c r="K1164"/>
      <c r="L1164"/>
      <c r="M1164"/>
      <c r="N1164"/>
      <c r="O1164"/>
      <c r="P1164"/>
      <c r="Q1164"/>
      <c r="R1164"/>
      <c r="S1164"/>
      <c r="T1164"/>
      <c r="U1164"/>
      <c r="V1164"/>
      <c r="W1164"/>
      <c r="X1164"/>
      <c r="Y1164"/>
    </row>
    <row r="1165" spans="1:25" s="104" customFormat="1" hidden="1" x14ac:dyDescent="0.25">
      <c r="A1165" s="97" t="str">
        <f t="shared" si="22"/>
        <v>N16FFC_POR_vddh1_dyn_on</v>
      </c>
      <c r="B1165" s="97" t="s">
        <v>73</v>
      </c>
      <c r="C1165" s="97" t="s">
        <v>501</v>
      </c>
      <c r="D1165" s="97" t="s">
        <v>68</v>
      </c>
      <c r="E1165" s="97" t="s">
        <v>1038</v>
      </c>
      <c r="F1165" s="97">
        <v>0.48600000000000004</v>
      </c>
      <c r="G1165" s="97" t="s">
        <v>566</v>
      </c>
      <c r="H1165" s="5"/>
      <c r="I1165"/>
      <c r="J1165"/>
      <c r="K1165"/>
      <c r="L1165"/>
      <c r="M1165"/>
      <c r="N1165"/>
      <c r="O1165"/>
      <c r="P1165"/>
      <c r="Q1165"/>
      <c r="R1165"/>
      <c r="S1165"/>
      <c r="T1165"/>
      <c r="U1165"/>
      <c r="V1165"/>
      <c r="W1165"/>
      <c r="X1165"/>
      <c r="Y1165"/>
    </row>
    <row r="1166" spans="1:25" s="104" customFormat="1" hidden="1" x14ac:dyDescent="0.25">
      <c r="A1166" s="97" t="str">
        <f t="shared" si="22"/>
        <v>N16FFC_TEMP_DIODE_TOP_vddh1_dyn_on</v>
      </c>
      <c r="B1166" s="97" t="s">
        <v>82</v>
      </c>
      <c r="C1166" s="97" t="s">
        <v>501</v>
      </c>
      <c r="D1166" s="97" t="s">
        <v>68</v>
      </c>
      <c r="E1166" s="97" t="s">
        <v>1038</v>
      </c>
      <c r="F1166" s="97">
        <v>2</v>
      </c>
      <c r="G1166" s="97" t="s">
        <v>564</v>
      </c>
      <c r="H1166" s="5"/>
      <c r="I1166"/>
      <c r="J1166"/>
      <c r="K1166"/>
      <c r="L1166"/>
      <c r="M1166"/>
      <c r="N1166"/>
      <c r="O1166"/>
      <c r="P1166"/>
      <c r="Q1166"/>
      <c r="R1166"/>
      <c r="S1166"/>
      <c r="T1166"/>
      <c r="U1166"/>
      <c r="V1166"/>
      <c r="W1166"/>
      <c r="X1166"/>
      <c r="Y1166"/>
    </row>
    <row r="1167" spans="1:25" s="104" customFormat="1" hidden="1" x14ac:dyDescent="0.25">
      <c r="A1167" s="97" t="str">
        <f t="shared" si="22"/>
        <v>ABJSTBL5_vddh1_dyn_on</v>
      </c>
      <c r="B1167" s="98" t="s">
        <v>269</v>
      </c>
      <c r="C1167" s="97" t="s">
        <v>501</v>
      </c>
      <c r="D1167" s="97" t="s">
        <v>68</v>
      </c>
      <c r="E1167" s="97" t="s">
        <v>1038</v>
      </c>
      <c r="F1167" s="97">
        <v>0.60000271673025873</v>
      </c>
      <c r="G1167" s="97" t="s">
        <v>267</v>
      </c>
      <c r="H1167" s="5"/>
      <c r="I1167"/>
      <c r="J1167"/>
      <c r="K1167"/>
      <c r="L1167"/>
      <c r="M1167"/>
      <c r="N1167"/>
      <c r="O1167"/>
      <c r="P1167"/>
      <c r="Q1167"/>
      <c r="R1167"/>
      <c r="S1167"/>
      <c r="T1167"/>
      <c r="U1167"/>
      <c r="V1167"/>
      <c r="W1167"/>
      <c r="X1167"/>
      <c r="Y1167"/>
    </row>
    <row r="1168" spans="1:25" s="104" customFormat="1" hidden="1" x14ac:dyDescent="0.25">
      <c r="A1168" s="97" t="str">
        <f t="shared" si="22"/>
        <v>LVDSTS16LLBI1E_vddh1_dyn_aurora</v>
      </c>
      <c r="B1168" s="97" t="s">
        <v>81</v>
      </c>
      <c r="C1168" s="98" t="s">
        <v>501</v>
      </c>
      <c r="D1168" s="97" t="s">
        <v>1036</v>
      </c>
      <c r="E1168" s="97" t="s">
        <v>1038</v>
      </c>
      <c r="F1168" s="97">
        <f>14.81*8/10</f>
        <v>11.848000000000001</v>
      </c>
      <c r="G1168" s="97" t="s">
        <v>462</v>
      </c>
      <c r="H1168" s="5"/>
      <c r="I1168"/>
      <c r="J1168"/>
      <c r="K1168"/>
      <c r="L1168"/>
      <c r="M1168"/>
      <c r="N1168"/>
      <c r="O1168"/>
      <c r="P1168"/>
      <c r="Q1168"/>
      <c r="R1168"/>
      <c r="S1168"/>
      <c r="T1168"/>
      <c r="U1168"/>
      <c r="V1168"/>
      <c r="W1168"/>
      <c r="X1168"/>
      <c r="Y1168"/>
    </row>
    <row r="1169" spans="1:25" s="104" customFormat="1" hidden="1" x14ac:dyDescent="0.25">
      <c r="A1169" s="97" t="str">
        <f t="shared" si="22"/>
        <v>LVDSTS16LLBI1E_vddh1_dyn_disabled</v>
      </c>
      <c r="B1169" s="97" t="s">
        <v>81</v>
      </c>
      <c r="C1169" s="98" t="s">
        <v>501</v>
      </c>
      <c r="D1169" s="97" t="s">
        <v>439</v>
      </c>
      <c r="E1169" s="97" t="s">
        <v>1038</v>
      </c>
      <c r="F1169" s="97">
        <v>0</v>
      </c>
      <c r="G1169" s="97" t="s">
        <v>453</v>
      </c>
      <c r="H1169" s="5"/>
      <c r="I1169"/>
      <c r="J1169"/>
      <c r="K1169"/>
      <c r="L1169"/>
      <c r="M1169"/>
      <c r="N1169"/>
      <c r="O1169"/>
      <c r="P1169"/>
      <c r="Q1169"/>
      <c r="R1169"/>
      <c r="S1169"/>
      <c r="T1169"/>
      <c r="U1169"/>
      <c r="V1169"/>
      <c r="W1169"/>
      <c r="X1169"/>
      <c r="Y1169"/>
    </row>
    <row r="1170" spans="1:25" s="104" customFormat="1" hidden="1" x14ac:dyDescent="0.25">
      <c r="A1170" s="97" t="str">
        <f t="shared" si="22"/>
        <v>LVDSTS16LLBI1E_vddh1_dyn_mlb</v>
      </c>
      <c r="B1170" s="97" t="s">
        <v>81</v>
      </c>
      <c r="C1170" s="98" t="s">
        <v>501</v>
      </c>
      <c r="D1170" s="97" t="s">
        <v>449</v>
      </c>
      <c r="E1170" s="97" t="s">
        <v>1038</v>
      </c>
      <c r="F1170" s="97">
        <f>14.81*3/10</f>
        <v>4.4429999999999996</v>
      </c>
      <c r="G1170" s="97" t="s">
        <v>460</v>
      </c>
      <c r="H1170" s="5"/>
      <c r="I1170"/>
      <c r="J1170"/>
      <c r="K1170"/>
      <c r="L1170"/>
      <c r="M1170"/>
      <c r="N1170"/>
      <c r="O1170"/>
      <c r="P1170"/>
      <c r="Q1170"/>
      <c r="R1170"/>
      <c r="S1170"/>
      <c r="T1170"/>
      <c r="U1170"/>
      <c r="V1170"/>
      <c r="W1170"/>
      <c r="X1170"/>
      <c r="Y1170"/>
    </row>
    <row r="1171" spans="1:25" s="104" customFormat="1" hidden="1" x14ac:dyDescent="0.25">
      <c r="A1171" s="97" t="str">
        <f t="shared" si="22"/>
        <v>LVDSTS16LLBI1E_vddh1_dyn_oldi_dual_18b_modes</v>
      </c>
      <c r="B1171" s="97" t="s">
        <v>81</v>
      </c>
      <c r="C1171" s="98" t="s">
        <v>501</v>
      </c>
      <c r="D1171" s="97" t="s">
        <v>442</v>
      </c>
      <c r="E1171" s="97" t="s">
        <v>1038</v>
      </c>
      <c r="F1171" s="97">
        <f>14.81*8/10</f>
        <v>11.848000000000001</v>
      </c>
      <c r="G1171" s="97" t="s">
        <v>462</v>
      </c>
      <c r="H1171" s="5"/>
      <c r="I1171"/>
      <c r="J1171"/>
      <c r="K1171"/>
      <c r="L1171"/>
      <c r="M1171"/>
      <c r="N1171"/>
      <c r="O1171"/>
      <c r="P1171"/>
      <c r="Q1171"/>
      <c r="R1171"/>
      <c r="S1171"/>
      <c r="T1171"/>
      <c r="U1171"/>
      <c r="V1171"/>
      <c r="W1171"/>
      <c r="X1171"/>
      <c r="Y1171"/>
    </row>
    <row r="1172" spans="1:25" s="104" customFormat="1" hidden="1" x14ac:dyDescent="0.25">
      <c r="A1172" s="97" t="str">
        <f t="shared" si="22"/>
        <v>LVDSTS16LLBI1E_vddh1_dyn_oldi_dual_24b_modes</v>
      </c>
      <c r="B1172" s="97" t="s">
        <v>81</v>
      </c>
      <c r="C1172" s="98" t="s">
        <v>501</v>
      </c>
      <c r="D1172" s="97" t="s">
        <v>443</v>
      </c>
      <c r="E1172" s="97" t="s">
        <v>1038</v>
      </c>
      <c r="F1172" s="97">
        <f>14.81*10/10</f>
        <v>14.809999999999999</v>
      </c>
      <c r="G1172" s="97" t="s">
        <v>455</v>
      </c>
      <c r="H1172" s="5"/>
      <c r="I1172"/>
      <c r="J1172"/>
      <c r="K1172"/>
      <c r="L1172"/>
      <c r="M1172"/>
      <c r="N1172"/>
      <c r="O1172"/>
      <c r="P1172"/>
      <c r="Q1172"/>
      <c r="R1172"/>
      <c r="S1172"/>
      <c r="T1172"/>
      <c r="U1172"/>
      <c r="V1172"/>
      <c r="W1172"/>
      <c r="X1172"/>
      <c r="Y1172"/>
    </row>
    <row r="1173" spans="1:25" s="104" customFormat="1" hidden="1" x14ac:dyDescent="0.25">
      <c r="A1173" s="97" t="str">
        <f t="shared" si="22"/>
        <v>LVDSTS16LLBI1E_vddh1_dyn_oldi_single_18b_modes</v>
      </c>
      <c r="B1173" s="97" t="s">
        <v>81</v>
      </c>
      <c r="C1173" s="98" t="s">
        <v>501</v>
      </c>
      <c r="D1173" s="97" t="s">
        <v>440</v>
      </c>
      <c r="E1173" s="97" t="s">
        <v>1038</v>
      </c>
      <c r="F1173" s="97">
        <f>14.81*4/10</f>
        <v>5.9240000000000004</v>
      </c>
      <c r="G1173" s="97" t="s">
        <v>459</v>
      </c>
      <c r="H1173" s="5"/>
      <c r="I1173"/>
      <c r="J1173"/>
      <c r="K1173"/>
      <c r="L1173"/>
      <c r="M1173"/>
      <c r="N1173"/>
      <c r="O1173"/>
      <c r="P1173"/>
      <c r="Q1173"/>
      <c r="R1173"/>
      <c r="S1173"/>
      <c r="T1173"/>
      <c r="U1173"/>
      <c r="V1173"/>
      <c r="W1173"/>
      <c r="X1173"/>
      <c r="Y1173"/>
    </row>
    <row r="1174" spans="1:25" s="104" customFormat="1" hidden="1" x14ac:dyDescent="0.25">
      <c r="A1174" s="97" t="str">
        <f t="shared" si="22"/>
        <v>LVDSTS16LLBI1E_vddh1_dyn_oldi_single_24b_modes</v>
      </c>
      <c r="B1174" s="97" t="s">
        <v>81</v>
      </c>
      <c r="C1174" s="98" t="s">
        <v>501</v>
      </c>
      <c r="D1174" s="97" t="s">
        <v>441</v>
      </c>
      <c r="E1174" s="97" t="s">
        <v>1038</v>
      </c>
      <c r="F1174" s="97">
        <f>14.81*5/10</f>
        <v>7.4049999999999994</v>
      </c>
      <c r="G1174" s="97" t="s">
        <v>461</v>
      </c>
      <c r="H1174" s="5"/>
      <c r="I1174"/>
      <c r="J1174"/>
      <c r="K1174"/>
      <c r="L1174"/>
      <c r="M1174"/>
      <c r="N1174"/>
      <c r="O1174"/>
      <c r="P1174"/>
      <c r="Q1174"/>
      <c r="R1174"/>
      <c r="S1174"/>
      <c r="T1174"/>
      <c r="U1174"/>
      <c r="V1174"/>
      <c r="W1174"/>
      <c r="X1174"/>
      <c r="Y1174"/>
    </row>
    <row r="1175" spans="1:25" s="104" customFormat="1" hidden="1" x14ac:dyDescent="0.25">
      <c r="A1175" s="97" t="str">
        <f t="shared" si="22"/>
        <v>canfd_vddh1_dyn_12mbs_1p8v</v>
      </c>
      <c r="B1175" s="97" t="s">
        <v>655</v>
      </c>
      <c r="C1175" s="97" t="s">
        <v>501</v>
      </c>
      <c r="D1175" s="97" t="s">
        <v>660</v>
      </c>
      <c r="E1175" s="97" t="s">
        <v>1050</v>
      </c>
      <c r="F1175" s="97">
        <v>0.15221520000000002</v>
      </c>
      <c r="G1175" s="97" t="s">
        <v>629</v>
      </c>
      <c r="H1175" s="5"/>
      <c r="I1175"/>
      <c r="J1175"/>
      <c r="K1175"/>
      <c r="L1175"/>
      <c r="M1175"/>
      <c r="N1175"/>
      <c r="O1175"/>
      <c r="P1175"/>
      <c r="Q1175"/>
      <c r="R1175"/>
      <c r="S1175"/>
      <c r="T1175"/>
      <c r="U1175"/>
      <c r="V1175"/>
      <c r="W1175"/>
      <c r="X1175"/>
      <c r="Y1175"/>
    </row>
    <row r="1176" spans="1:25" s="104" customFormat="1" hidden="1" x14ac:dyDescent="0.25">
      <c r="A1176" s="97" t="str">
        <f t="shared" si="22"/>
        <v>canfd_vddh1_dyn_1mbs_1p8v</v>
      </c>
      <c r="B1176" s="97" t="s">
        <v>655</v>
      </c>
      <c r="C1176" s="97" t="s">
        <v>501</v>
      </c>
      <c r="D1176" s="97" t="s">
        <v>662</v>
      </c>
      <c r="E1176" s="97" t="s">
        <v>1050</v>
      </c>
      <c r="F1176" s="97">
        <v>1.2684600000000001E-2</v>
      </c>
      <c r="G1176" s="97" t="s">
        <v>629</v>
      </c>
      <c r="H1176" s="5"/>
      <c r="I1176"/>
      <c r="J1176"/>
      <c r="K1176"/>
      <c r="L1176"/>
      <c r="M1176"/>
      <c r="N1176"/>
      <c r="O1176"/>
      <c r="P1176"/>
      <c r="Q1176"/>
      <c r="R1176"/>
      <c r="S1176"/>
      <c r="T1176"/>
      <c r="U1176"/>
      <c r="V1176"/>
      <c r="W1176"/>
      <c r="X1176"/>
      <c r="Y1176"/>
    </row>
    <row r="1177" spans="1:25" s="104" customFormat="1" hidden="1" x14ac:dyDescent="0.25">
      <c r="A1177" s="97" t="str">
        <f t="shared" si="22"/>
        <v>canfd_vddh1_dyn_1mbs_8p8v</v>
      </c>
      <c r="B1177" s="97" t="s">
        <v>655</v>
      </c>
      <c r="C1177" s="97" t="s">
        <v>501</v>
      </c>
      <c r="D1177" s="97" t="s">
        <v>1203</v>
      </c>
      <c r="E1177" s="97" t="s">
        <v>1050</v>
      </c>
      <c r="F1177" s="97">
        <v>0.10147680000000001</v>
      </c>
      <c r="G1177" s="97" t="s">
        <v>629</v>
      </c>
      <c r="H1177" s="5"/>
      <c r="I1177"/>
      <c r="J1177"/>
      <c r="K1177"/>
      <c r="L1177"/>
      <c r="M1177"/>
      <c r="N1177"/>
      <c r="O1177"/>
      <c r="P1177"/>
      <c r="Q1177"/>
      <c r="R1177"/>
      <c r="S1177"/>
      <c r="T1177"/>
      <c r="U1177"/>
      <c r="V1177"/>
      <c r="W1177"/>
      <c r="X1177"/>
      <c r="Y1177"/>
    </row>
    <row r="1178" spans="1:25" s="104" customFormat="1" hidden="1" x14ac:dyDescent="0.25">
      <c r="A1178" s="97" t="str">
        <f t="shared" si="22"/>
        <v>canfd_vddh1_dyn_250kbs_1p8v</v>
      </c>
      <c r="B1178" s="97" t="s">
        <v>655</v>
      </c>
      <c r="C1178" s="97" t="s">
        <v>501</v>
      </c>
      <c r="D1178" s="97" t="s">
        <v>663</v>
      </c>
      <c r="E1178" s="97" t="s">
        <v>1050</v>
      </c>
      <c r="F1178" s="97">
        <v>3.1711500000000002E-3</v>
      </c>
      <c r="G1178" s="97" t="s">
        <v>629</v>
      </c>
      <c r="H1178" s="5"/>
      <c r="I1178"/>
      <c r="J1178"/>
      <c r="K1178"/>
      <c r="L1178"/>
      <c r="M1178"/>
      <c r="N1178"/>
      <c r="O1178"/>
      <c r="P1178"/>
      <c r="Q1178"/>
      <c r="R1178"/>
      <c r="S1178"/>
      <c r="T1178"/>
      <c r="U1178"/>
      <c r="V1178"/>
      <c r="W1178"/>
      <c r="X1178"/>
      <c r="Y1178"/>
    </row>
    <row r="1179" spans="1:25" s="104" customFormat="1" hidden="1" x14ac:dyDescent="0.25">
      <c r="A1179" s="97" t="str">
        <f t="shared" si="22"/>
        <v>canfd_vddh1_dyn_5mbs_1p8v</v>
      </c>
      <c r="B1179" s="97" t="s">
        <v>655</v>
      </c>
      <c r="C1179" s="97" t="s">
        <v>501</v>
      </c>
      <c r="D1179" s="97" t="s">
        <v>661</v>
      </c>
      <c r="E1179" s="97" t="s">
        <v>1050</v>
      </c>
      <c r="F1179" s="97">
        <v>6.3422999999999993E-2</v>
      </c>
      <c r="G1179" s="97" t="s">
        <v>629</v>
      </c>
      <c r="H1179" s="5"/>
      <c r="I1179"/>
      <c r="J1179"/>
      <c r="K1179"/>
      <c r="L1179"/>
      <c r="M1179"/>
      <c r="N1179"/>
      <c r="O1179"/>
      <c r="P1179"/>
      <c r="Q1179"/>
      <c r="R1179"/>
      <c r="S1179"/>
      <c r="T1179"/>
      <c r="U1179"/>
      <c r="V1179"/>
      <c r="W1179"/>
      <c r="X1179"/>
      <c r="Y1179"/>
    </row>
    <row r="1180" spans="1:25" s="104" customFormat="1" hidden="1" x14ac:dyDescent="0.25">
      <c r="A1180" s="97" t="str">
        <f t="shared" si="22"/>
        <v>canfd_vddh1_dyn_off</v>
      </c>
      <c r="B1180" s="97" t="s">
        <v>655</v>
      </c>
      <c r="C1180" s="97" t="s">
        <v>501</v>
      </c>
      <c r="D1180" s="97" t="s">
        <v>69</v>
      </c>
      <c r="E1180" s="97" t="s">
        <v>1050</v>
      </c>
      <c r="F1180" s="97">
        <v>0</v>
      </c>
      <c r="G1180" s="97" t="s">
        <v>629</v>
      </c>
      <c r="H1180" s="5"/>
      <c r="I1180"/>
      <c r="J1180"/>
      <c r="K1180"/>
      <c r="L1180"/>
      <c r="M1180"/>
      <c r="N1180"/>
      <c r="O1180"/>
      <c r="P1180"/>
      <c r="Q1180"/>
      <c r="R1180"/>
      <c r="S1180"/>
      <c r="T1180"/>
      <c r="U1180"/>
      <c r="V1180"/>
      <c r="W1180"/>
      <c r="X1180"/>
      <c r="Y1180"/>
    </row>
    <row r="1181" spans="1:25" s="104" customFormat="1" hidden="1" x14ac:dyDescent="0.25">
      <c r="A1181" s="97" t="str">
        <f t="shared" si="22"/>
        <v>gpmc_vddh1_dyn_16b_100_MHz_1p8V</v>
      </c>
      <c r="B1181" s="97" t="s">
        <v>653</v>
      </c>
      <c r="C1181" s="97" t="s">
        <v>501</v>
      </c>
      <c r="D1181" s="107" t="s">
        <v>671</v>
      </c>
      <c r="E1181" s="97" t="s">
        <v>1050</v>
      </c>
      <c r="F1181" s="105">
        <v>49.057746876000003</v>
      </c>
      <c r="G1181" s="97" t="s">
        <v>629</v>
      </c>
      <c r="H1181" s="5"/>
      <c r="I1181"/>
      <c r="J1181"/>
      <c r="K1181"/>
      <c r="L1181"/>
      <c r="M1181"/>
      <c r="N1181"/>
      <c r="O1181"/>
      <c r="P1181"/>
      <c r="Q1181"/>
      <c r="R1181"/>
      <c r="S1181"/>
      <c r="T1181"/>
      <c r="U1181"/>
      <c r="V1181"/>
      <c r="W1181"/>
      <c r="X1181"/>
      <c r="Y1181"/>
    </row>
    <row r="1182" spans="1:25" s="104" customFormat="1" hidden="1" x14ac:dyDescent="0.25">
      <c r="A1182" s="97" t="str">
        <f t="shared" si="22"/>
        <v>gpmc_vddh1_dyn_16b_133_MHz_1p8V</v>
      </c>
      <c r="B1182" s="97" t="s">
        <v>653</v>
      </c>
      <c r="C1182" s="97" t="s">
        <v>501</v>
      </c>
      <c r="D1182" s="107" t="s">
        <v>670</v>
      </c>
      <c r="E1182" s="97" t="s">
        <v>1050</v>
      </c>
      <c r="F1182" s="105">
        <v>37.123181213580004</v>
      </c>
      <c r="G1182" s="97" t="s">
        <v>629</v>
      </c>
      <c r="H1182" s="5"/>
      <c r="I1182"/>
      <c r="J1182"/>
      <c r="K1182"/>
      <c r="L1182"/>
      <c r="M1182"/>
      <c r="N1182"/>
      <c r="O1182"/>
      <c r="P1182"/>
      <c r="Q1182"/>
      <c r="R1182"/>
      <c r="S1182"/>
      <c r="T1182"/>
      <c r="U1182"/>
      <c r="V1182"/>
      <c r="W1182"/>
      <c r="X1182"/>
      <c r="Y1182"/>
    </row>
    <row r="1183" spans="1:25" s="104" customFormat="1" hidden="1" x14ac:dyDescent="0.25">
      <c r="A1183" s="97" t="str">
        <f t="shared" si="22"/>
        <v>gpmc_vddh1_dyn_16b_80_MHz_1p8V</v>
      </c>
      <c r="B1183" s="97" t="s">
        <v>653</v>
      </c>
      <c r="C1183" s="97" t="s">
        <v>501</v>
      </c>
      <c r="D1183" s="107" t="s">
        <v>672</v>
      </c>
      <c r="E1183" s="97" t="s">
        <v>1050</v>
      </c>
      <c r="F1183" s="105">
        <v>15.563147284800001</v>
      </c>
      <c r="G1183" s="97" t="s">
        <v>629</v>
      </c>
      <c r="H1183" s="5"/>
      <c r="I1183"/>
      <c r="J1183"/>
      <c r="K1183"/>
      <c r="L1183"/>
      <c r="M1183"/>
      <c r="N1183"/>
      <c r="O1183"/>
      <c r="P1183"/>
      <c r="Q1183"/>
      <c r="R1183"/>
      <c r="S1183"/>
      <c r="T1183"/>
      <c r="U1183"/>
      <c r="V1183"/>
      <c r="W1183"/>
      <c r="X1183"/>
      <c r="Y1183"/>
    </row>
    <row r="1184" spans="1:25" s="104" customFormat="1" hidden="1" x14ac:dyDescent="0.25">
      <c r="A1184" s="97" t="str">
        <f t="shared" si="22"/>
        <v>gpmc_vddh1_dyn_off</v>
      </c>
      <c r="B1184" s="97" t="s">
        <v>653</v>
      </c>
      <c r="C1184" s="97" t="s">
        <v>501</v>
      </c>
      <c r="D1184" s="107" t="s">
        <v>69</v>
      </c>
      <c r="E1184" s="97" t="s">
        <v>1050</v>
      </c>
      <c r="F1184" s="105">
        <v>0</v>
      </c>
      <c r="G1184" s="97" t="s">
        <v>629</v>
      </c>
      <c r="H1184" s="5"/>
      <c r="I1184"/>
      <c r="J1184"/>
      <c r="K1184"/>
      <c r="L1184"/>
      <c r="M1184"/>
      <c r="N1184"/>
      <c r="O1184"/>
      <c r="P1184"/>
      <c r="Q1184"/>
      <c r="R1184"/>
      <c r="S1184"/>
      <c r="T1184"/>
      <c r="U1184"/>
      <c r="V1184"/>
      <c r="W1184"/>
      <c r="X1184"/>
      <c r="Y1184"/>
    </row>
    <row r="1185" spans="1:25" s="104" customFormat="1" hidden="1" x14ac:dyDescent="0.25">
      <c r="A1185" s="97" t="str">
        <f t="shared" si="22"/>
        <v>gpmc_vddh1_dyn_off</v>
      </c>
      <c r="B1185" s="97" t="s">
        <v>653</v>
      </c>
      <c r="C1185" s="97" t="s">
        <v>501</v>
      </c>
      <c r="D1185" s="107" t="s">
        <v>69</v>
      </c>
      <c r="E1185" s="97" t="s">
        <v>1050</v>
      </c>
      <c r="F1185" s="105">
        <v>0</v>
      </c>
      <c r="G1185" s="97" t="s">
        <v>629</v>
      </c>
      <c r="H1185" s="5"/>
      <c r="I1185"/>
      <c r="J1185"/>
      <c r="K1185"/>
      <c r="L1185"/>
      <c r="M1185"/>
      <c r="N1185"/>
      <c r="O1185"/>
      <c r="P1185"/>
      <c r="Q1185"/>
      <c r="R1185"/>
      <c r="S1185"/>
      <c r="T1185"/>
      <c r="U1185"/>
      <c r="V1185"/>
      <c r="W1185"/>
      <c r="X1185"/>
      <c r="Y1185"/>
    </row>
    <row r="1186" spans="1:25" s="104" customFormat="1" hidden="1" x14ac:dyDescent="0.25">
      <c r="A1186" s="97" t="str">
        <f t="shared" si="22"/>
        <v>mcasp_vddh1_dyn_12Ch_RXTX_48_ksps_24b_1p8v</v>
      </c>
      <c r="B1186" s="97" t="s">
        <v>874</v>
      </c>
      <c r="C1186" s="97" t="s">
        <v>501</v>
      </c>
      <c r="D1186" s="97" t="s">
        <v>870</v>
      </c>
      <c r="E1186" s="97" t="s">
        <v>1050</v>
      </c>
      <c r="F1186" s="97">
        <v>0.37687022254079999</v>
      </c>
      <c r="G1186" s="97" t="s">
        <v>629</v>
      </c>
      <c r="H1186" s="5"/>
      <c r="I1186"/>
      <c r="J1186"/>
      <c r="K1186"/>
      <c r="L1186"/>
      <c r="M1186"/>
      <c r="N1186"/>
      <c r="O1186"/>
      <c r="P1186"/>
      <c r="Q1186"/>
      <c r="R1186"/>
      <c r="S1186"/>
      <c r="T1186"/>
      <c r="U1186"/>
      <c r="V1186"/>
      <c r="W1186"/>
      <c r="X1186"/>
      <c r="Y1186"/>
    </row>
    <row r="1187" spans="1:25" s="104" customFormat="1" hidden="1" x14ac:dyDescent="0.25">
      <c r="A1187" s="97" t="str">
        <f t="shared" si="22"/>
        <v>mcasp_vddh1_dyn_12Ch_TX_48_ksps_24b_1p8v</v>
      </c>
      <c r="B1187" s="97" t="s">
        <v>874</v>
      </c>
      <c r="C1187" s="97" t="s">
        <v>501</v>
      </c>
      <c r="D1187" s="97" t="s">
        <v>865</v>
      </c>
      <c r="E1187" s="97" t="s">
        <v>1050</v>
      </c>
      <c r="F1187" s="97">
        <v>0.75374044508159999</v>
      </c>
      <c r="G1187" s="97" t="s">
        <v>629</v>
      </c>
      <c r="H1187" s="5"/>
      <c r="I1187"/>
      <c r="J1187"/>
      <c r="K1187"/>
      <c r="L1187"/>
      <c r="M1187"/>
      <c r="N1187"/>
      <c r="O1187"/>
      <c r="P1187"/>
      <c r="Q1187"/>
      <c r="R1187"/>
      <c r="S1187"/>
      <c r="T1187"/>
      <c r="U1187"/>
      <c r="V1187"/>
      <c r="W1187"/>
      <c r="X1187"/>
      <c r="Y1187"/>
    </row>
    <row r="1188" spans="1:25" s="104" customFormat="1" hidden="1" x14ac:dyDescent="0.25">
      <c r="A1188" s="97" t="str">
        <f t="shared" si="22"/>
        <v>mcasp_vddh1_dyn_16Ch_RXTX_48ksps_24b_1p8v</v>
      </c>
      <c r="B1188" s="97" t="s">
        <v>874</v>
      </c>
      <c r="C1188" s="97" t="s">
        <v>501</v>
      </c>
      <c r="D1188" s="97" t="s">
        <v>869</v>
      </c>
      <c r="E1188" s="97" t="s">
        <v>1050</v>
      </c>
      <c r="F1188" s="97">
        <v>0.37687022254079999</v>
      </c>
      <c r="G1188" s="97" t="s">
        <v>629</v>
      </c>
      <c r="H1188" s="5"/>
      <c r="I1188"/>
      <c r="J1188"/>
      <c r="K1188"/>
      <c r="L1188"/>
      <c r="M1188"/>
      <c r="N1188"/>
      <c r="O1188"/>
      <c r="P1188"/>
      <c r="Q1188"/>
      <c r="R1188"/>
      <c r="S1188"/>
      <c r="T1188"/>
      <c r="U1188"/>
      <c r="V1188"/>
      <c r="W1188"/>
      <c r="X1188"/>
      <c r="Y1188"/>
    </row>
    <row r="1189" spans="1:25" s="104" customFormat="1" hidden="1" x14ac:dyDescent="0.25">
      <c r="A1189" s="97" t="str">
        <f t="shared" si="22"/>
        <v>mcasp_vddh1_dyn_16Ch_TX_48_ksps_24b_1p8v</v>
      </c>
      <c r="B1189" s="97" t="s">
        <v>874</v>
      </c>
      <c r="C1189" s="97" t="s">
        <v>501</v>
      </c>
      <c r="D1189" s="97" t="s">
        <v>864</v>
      </c>
      <c r="E1189" s="97" t="s">
        <v>1050</v>
      </c>
      <c r="F1189" s="97">
        <v>0.9421755563519999</v>
      </c>
      <c r="G1189" s="97" t="s">
        <v>629</v>
      </c>
      <c r="H1189" s="5"/>
      <c r="I1189"/>
      <c r="J1189"/>
      <c r="K1189"/>
      <c r="L1189"/>
      <c r="M1189"/>
      <c r="N1189"/>
      <c r="O1189"/>
      <c r="P1189"/>
      <c r="Q1189"/>
      <c r="R1189"/>
      <c r="S1189"/>
      <c r="T1189"/>
      <c r="U1189"/>
      <c r="V1189"/>
      <c r="W1189"/>
      <c r="X1189"/>
      <c r="Y1189"/>
    </row>
    <row r="1190" spans="1:25" s="104" customFormat="1" hidden="1" x14ac:dyDescent="0.25">
      <c r="A1190" s="97" t="str">
        <f t="shared" ref="A1190:A1253" si="23">B1190&amp;"_"&amp;C1190&amp;"_"&amp;D1190</f>
        <v>mcasp_vddh1_dyn_2Ch_RX_48_ksps_24b_1p8v</v>
      </c>
      <c r="B1190" s="97" t="s">
        <v>874</v>
      </c>
      <c r="C1190" s="97" t="s">
        <v>501</v>
      </c>
      <c r="D1190" s="97" t="s">
        <v>863</v>
      </c>
      <c r="E1190" s="97" t="s">
        <v>1050</v>
      </c>
      <c r="F1190" s="97">
        <v>0.1884351112704</v>
      </c>
      <c r="G1190" s="97" t="s">
        <v>629</v>
      </c>
      <c r="H1190" s="5"/>
      <c r="I1190"/>
      <c r="J1190"/>
      <c r="K1190"/>
      <c r="L1190"/>
      <c r="M1190"/>
      <c r="N1190"/>
      <c r="O1190"/>
      <c r="P1190"/>
      <c r="Q1190"/>
      <c r="R1190"/>
      <c r="S1190"/>
      <c r="T1190"/>
      <c r="U1190"/>
      <c r="V1190"/>
      <c r="W1190"/>
      <c r="X1190"/>
      <c r="Y1190"/>
    </row>
    <row r="1191" spans="1:25" s="104" customFormat="1" hidden="1" x14ac:dyDescent="0.25">
      <c r="A1191" s="97" t="str">
        <f t="shared" si="23"/>
        <v>mcasp_vddh1_dyn_2Ch_RXTX_48_ksps_24b_1p8v</v>
      </c>
      <c r="B1191" s="97" t="s">
        <v>874</v>
      </c>
      <c r="C1191" s="97" t="s">
        <v>501</v>
      </c>
      <c r="D1191" s="97" t="s">
        <v>873</v>
      </c>
      <c r="E1191" s="97" t="s">
        <v>1050</v>
      </c>
      <c r="F1191" s="97">
        <v>0.37687022254079999</v>
      </c>
      <c r="G1191" s="97" t="s">
        <v>629</v>
      </c>
      <c r="H1191" s="5"/>
      <c r="I1191"/>
      <c r="J1191"/>
      <c r="K1191"/>
      <c r="L1191"/>
      <c r="M1191"/>
      <c r="N1191"/>
      <c r="O1191"/>
      <c r="P1191"/>
      <c r="Q1191"/>
      <c r="R1191"/>
      <c r="S1191"/>
      <c r="T1191"/>
      <c r="U1191"/>
      <c r="V1191"/>
      <c r="W1191"/>
      <c r="X1191"/>
      <c r="Y1191"/>
    </row>
    <row r="1192" spans="1:25" s="104" customFormat="1" hidden="1" x14ac:dyDescent="0.25">
      <c r="A1192" s="97" t="str">
        <f t="shared" si="23"/>
        <v>mcasp_vddh1_dyn_2Ch_TX_48_ksps_24b_1p8v</v>
      </c>
      <c r="B1192" s="97" t="s">
        <v>874</v>
      </c>
      <c r="C1192" s="97" t="s">
        <v>501</v>
      </c>
      <c r="D1192" s="97" t="s">
        <v>868</v>
      </c>
      <c r="E1192" s="97" t="s">
        <v>1050</v>
      </c>
      <c r="F1192" s="97">
        <v>0.56530533381119996</v>
      </c>
      <c r="G1192" s="97" t="s">
        <v>629</v>
      </c>
      <c r="H1192" s="5"/>
      <c r="I1192"/>
      <c r="J1192"/>
      <c r="K1192"/>
      <c r="L1192"/>
      <c r="M1192"/>
      <c r="N1192"/>
      <c r="O1192"/>
      <c r="P1192"/>
      <c r="Q1192"/>
      <c r="R1192"/>
      <c r="S1192"/>
      <c r="T1192"/>
      <c r="U1192"/>
      <c r="V1192"/>
      <c r="W1192"/>
      <c r="X1192"/>
      <c r="Y1192"/>
    </row>
    <row r="1193" spans="1:25" s="104" customFormat="1" hidden="1" x14ac:dyDescent="0.25">
      <c r="A1193" s="97" t="str">
        <f t="shared" si="23"/>
        <v>mcasp_vddh1_dyn_4Ch_RX_48_ksps_24b_1p8v</v>
      </c>
      <c r="B1193" s="97" t="s">
        <v>874</v>
      </c>
      <c r="C1193" s="97" t="s">
        <v>501</v>
      </c>
      <c r="D1193" s="97" t="s">
        <v>862</v>
      </c>
      <c r="E1193" s="97" t="s">
        <v>1050</v>
      </c>
      <c r="F1193" s="97">
        <v>0.1884351112704</v>
      </c>
      <c r="G1193" s="97" t="s">
        <v>629</v>
      </c>
      <c r="H1193" s="5"/>
      <c r="I1193"/>
      <c r="J1193"/>
      <c r="K1193"/>
      <c r="L1193"/>
      <c r="M1193"/>
      <c r="N1193"/>
      <c r="O1193"/>
      <c r="P1193"/>
      <c r="Q1193"/>
      <c r="R1193"/>
      <c r="S1193"/>
      <c r="T1193"/>
      <c r="U1193"/>
      <c r="V1193"/>
      <c r="W1193"/>
      <c r="X1193"/>
      <c r="Y1193"/>
    </row>
    <row r="1194" spans="1:25" s="104" customFormat="1" hidden="1" x14ac:dyDescent="0.25">
      <c r="A1194" s="97" t="str">
        <f t="shared" si="23"/>
        <v>mcasp_vddh1_dyn_4Ch_RXTX_48_ksps_24b_1p8v</v>
      </c>
      <c r="B1194" s="97" t="s">
        <v>874</v>
      </c>
      <c r="C1194" s="97" t="s">
        <v>501</v>
      </c>
      <c r="D1194" s="97" t="s">
        <v>872</v>
      </c>
      <c r="E1194" s="97" t="s">
        <v>1050</v>
      </c>
      <c r="F1194" s="97">
        <v>0.37687022254079999</v>
      </c>
      <c r="G1194" s="97" t="s">
        <v>629</v>
      </c>
      <c r="H1194" s="5"/>
      <c r="I1194"/>
      <c r="J1194"/>
      <c r="K1194"/>
      <c r="L1194"/>
      <c r="M1194"/>
      <c r="N1194"/>
      <c r="O1194"/>
      <c r="P1194"/>
      <c r="Q1194"/>
      <c r="R1194"/>
      <c r="S1194"/>
      <c r="T1194"/>
      <c r="U1194"/>
      <c r="V1194"/>
      <c r="W1194"/>
      <c r="X1194"/>
      <c r="Y1194"/>
    </row>
    <row r="1195" spans="1:25" s="104" customFormat="1" hidden="1" x14ac:dyDescent="0.25">
      <c r="A1195" s="97" t="str">
        <f t="shared" si="23"/>
        <v>mcasp_vddh1_dyn_4Ch_TX_48_ksps_24b_1p8v</v>
      </c>
      <c r="B1195" s="97" t="s">
        <v>874</v>
      </c>
      <c r="C1195" s="97" t="s">
        <v>501</v>
      </c>
      <c r="D1195" s="97" t="s">
        <v>867</v>
      </c>
      <c r="E1195" s="97" t="s">
        <v>1050</v>
      </c>
      <c r="F1195" s="97">
        <v>0.75374044508159999</v>
      </c>
      <c r="G1195" s="97" t="s">
        <v>629</v>
      </c>
      <c r="H1195" s="5"/>
      <c r="I1195"/>
      <c r="J1195"/>
      <c r="K1195"/>
      <c r="L1195"/>
      <c r="M1195"/>
      <c r="N1195"/>
      <c r="O1195"/>
      <c r="P1195"/>
      <c r="Q1195"/>
      <c r="R1195"/>
      <c r="S1195"/>
      <c r="T1195"/>
      <c r="U1195"/>
      <c r="V1195"/>
      <c r="W1195"/>
      <c r="X1195"/>
      <c r="Y1195"/>
    </row>
    <row r="1196" spans="1:25" s="104" customFormat="1" hidden="1" x14ac:dyDescent="0.25">
      <c r="A1196" s="97" t="str">
        <f t="shared" si="23"/>
        <v>mcasp_vddh1_dyn_8Ch_RX_48_ksps_24b_1p8v</v>
      </c>
      <c r="B1196" s="97" t="s">
        <v>874</v>
      </c>
      <c r="C1196" s="97" t="s">
        <v>501</v>
      </c>
      <c r="D1196" s="97" t="s">
        <v>861</v>
      </c>
      <c r="E1196" s="97" t="s">
        <v>1050</v>
      </c>
      <c r="F1196" s="97">
        <v>0.1884351112704</v>
      </c>
      <c r="G1196" s="97" t="s">
        <v>629</v>
      </c>
      <c r="H1196" s="5"/>
      <c r="I1196"/>
      <c r="J1196"/>
      <c r="K1196"/>
      <c r="L1196"/>
      <c r="M1196"/>
      <c r="N1196"/>
      <c r="O1196"/>
      <c r="P1196"/>
      <c r="Q1196"/>
      <c r="R1196"/>
      <c r="S1196"/>
      <c r="T1196"/>
      <c r="U1196"/>
      <c r="V1196"/>
      <c r="W1196"/>
      <c r="X1196"/>
      <c r="Y1196"/>
    </row>
    <row r="1197" spans="1:25" s="104" customFormat="1" hidden="1" x14ac:dyDescent="0.25">
      <c r="A1197" s="97" t="str">
        <f t="shared" si="23"/>
        <v>mcasp_vddh1_dyn_8Ch_RXTX_48_ksps_24b_1p8v</v>
      </c>
      <c r="B1197" s="97" t="s">
        <v>874</v>
      </c>
      <c r="C1197" s="97" t="s">
        <v>501</v>
      </c>
      <c r="D1197" s="97" t="s">
        <v>871</v>
      </c>
      <c r="E1197" s="97" t="s">
        <v>1050</v>
      </c>
      <c r="F1197" s="97">
        <v>0.37687022254079999</v>
      </c>
      <c r="G1197" s="97" t="s">
        <v>629</v>
      </c>
      <c r="H1197" s="5"/>
      <c r="I1197"/>
      <c r="J1197"/>
      <c r="K1197"/>
      <c r="L1197"/>
      <c r="M1197"/>
      <c r="N1197"/>
      <c r="O1197"/>
      <c r="P1197"/>
      <c r="Q1197"/>
      <c r="R1197"/>
      <c r="S1197"/>
      <c r="T1197"/>
      <c r="U1197"/>
      <c r="V1197"/>
      <c r="W1197"/>
      <c r="X1197"/>
      <c r="Y1197"/>
    </row>
    <row r="1198" spans="1:25" s="104" customFormat="1" hidden="1" x14ac:dyDescent="0.25">
      <c r="A1198" s="97" t="str">
        <f t="shared" si="23"/>
        <v>mcasp_vddh1_dyn_8Ch_TX_48_ksps_24b_1p8v</v>
      </c>
      <c r="B1198" s="97" t="s">
        <v>874</v>
      </c>
      <c r="C1198" s="97" t="s">
        <v>501</v>
      </c>
      <c r="D1198" s="97" t="s">
        <v>866</v>
      </c>
      <c r="E1198" s="97" t="s">
        <v>1050</v>
      </c>
      <c r="F1198" s="97">
        <v>0.56530533381119996</v>
      </c>
      <c r="G1198" s="97" t="s">
        <v>629</v>
      </c>
      <c r="H1198" s="5"/>
      <c r="I1198"/>
      <c r="J1198"/>
      <c r="K1198"/>
      <c r="L1198"/>
      <c r="M1198"/>
      <c r="N1198"/>
      <c r="O1198"/>
      <c r="P1198"/>
      <c r="Q1198"/>
      <c r="R1198"/>
      <c r="S1198"/>
      <c r="T1198"/>
      <c r="U1198"/>
      <c r="V1198"/>
      <c r="W1198"/>
      <c r="X1198"/>
      <c r="Y1198"/>
    </row>
    <row r="1199" spans="1:25" s="104" customFormat="1" hidden="1" x14ac:dyDescent="0.25">
      <c r="A1199" s="97" t="str">
        <f t="shared" si="23"/>
        <v>uart_vddh1_dyn_112k_1p8v</v>
      </c>
      <c r="B1199" s="97" t="s">
        <v>918</v>
      </c>
      <c r="C1199" s="97" t="s">
        <v>501</v>
      </c>
      <c r="D1199" s="97" t="s">
        <v>923</v>
      </c>
      <c r="E1199" s="97" t="s">
        <v>1050</v>
      </c>
      <c r="F1199" s="97">
        <v>4.6692858240000006E-3</v>
      </c>
      <c r="G1199" s="97"/>
      <c r="H1199" s="5"/>
      <c r="I1199"/>
      <c r="J1199"/>
      <c r="K1199"/>
      <c r="L1199"/>
      <c r="M1199"/>
      <c r="N1199"/>
      <c r="O1199"/>
      <c r="P1199"/>
      <c r="Q1199"/>
      <c r="R1199"/>
      <c r="S1199"/>
      <c r="T1199"/>
      <c r="U1199"/>
      <c r="V1199"/>
      <c r="W1199"/>
      <c r="X1199"/>
      <c r="Y1199"/>
    </row>
    <row r="1200" spans="1:25" s="104" customFormat="1" hidden="1" x14ac:dyDescent="0.25">
      <c r="A1200" s="97" t="str">
        <f t="shared" si="23"/>
        <v>uart_vddh1_dyn_1m_1p8v</v>
      </c>
      <c r="B1200" s="97" t="s">
        <v>918</v>
      </c>
      <c r="C1200" s="97" t="s">
        <v>501</v>
      </c>
      <c r="D1200" s="97" t="s">
        <v>922</v>
      </c>
      <c r="E1200" s="97" t="s">
        <v>1050</v>
      </c>
      <c r="F1200" s="97">
        <v>4.1690052000000005E-2</v>
      </c>
      <c r="G1200" s="97"/>
      <c r="H1200" s="5"/>
      <c r="I1200"/>
      <c r="J1200"/>
      <c r="K1200"/>
      <c r="L1200"/>
      <c r="M1200"/>
      <c r="N1200"/>
      <c r="O1200"/>
      <c r="P1200"/>
      <c r="Q1200"/>
      <c r="R1200"/>
      <c r="S1200"/>
      <c r="T1200"/>
      <c r="U1200"/>
      <c r="V1200"/>
      <c r="W1200"/>
      <c r="X1200"/>
      <c r="Y1200"/>
    </row>
    <row r="1201" spans="1:25" s="104" customFormat="1" hidden="1" x14ac:dyDescent="0.25">
      <c r="A1201" s="97" t="str">
        <f t="shared" si="23"/>
        <v>uart_vddh1_dyn_3p6m_1p8v</v>
      </c>
      <c r="B1201" s="97" t="s">
        <v>918</v>
      </c>
      <c r="C1201" s="97" t="s">
        <v>501</v>
      </c>
      <c r="D1201" s="97" t="s">
        <v>921</v>
      </c>
      <c r="E1201" s="97" t="s">
        <v>1050</v>
      </c>
      <c r="F1201" s="97">
        <v>0.1500841872</v>
      </c>
      <c r="G1201" s="97"/>
      <c r="H1201" s="5"/>
      <c r="I1201"/>
      <c r="J1201"/>
      <c r="K1201"/>
      <c r="L1201"/>
      <c r="M1201"/>
      <c r="N1201"/>
      <c r="O1201"/>
      <c r="P1201"/>
      <c r="Q1201"/>
      <c r="R1201"/>
      <c r="S1201"/>
      <c r="T1201"/>
      <c r="U1201"/>
      <c r="V1201"/>
      <c r="W1201"/>
      <c r="X1201"/>
      <c r="Y1201"/>
    </row>
    <row r="1202" spans="1:25" s="104" customFormat="1" hidden="1" x14ac:dyDescent="0.25">
      <c r="A1202" s="97" t="str">
        <f t="shared" si="23"/>
        <v>uart_vddh1_dyn_off</v>
      </c>
      <c r="B1202" s="97" t="s">
        <v>918</v>
      </c>
      <c r="C1202" s="97" t="s">
        <v>501</v>
      </c>
      <c r="D1202" s="97" t="s">
        <v>69</v>
      </c>
      <c r="E1202" s="97" t="s">
        <v>1050</v>
      </c>
      <c r="F1202" s="97">
        <v>0</v>
      </c>
      <c r="G1202" s="97"/>
      <c r="H1202" s="5"/>
      <c r="I1202"/>
      <c r="J1202"/>
      <c r="K1202"/>
      <c r="L1202"/>
      <c r="M1202"/>
      <c r="N1202"/>
      <c r="O1202"/>
      <c r="P1202"/>
      <c r="Q1202"/>
      <c r="R1202"/>
      <c r="S1202"/>
      <c r="T1202"/>
      <c r="U1202"/>
      <c r="V1202"/>
      <c r="W1202"/>
      <c r="X1202"/>
      <c r="Y1202"/>
    </row>
    <row r="1203" spans="1:25" s="104" customFormat="1" hidden="1" x14ac:dyDescent="0.25">
      <c r="A1203" s="97" t="str">
        <f t="shared" si="23"/>
        <v>uart_modem_vddh1_dyn_112k_1p8v</v>
      </c>
      <c r="B1203" s="97" t="s">
        <v>928</v>
      </c>
      <c r="C1203" s="97" t="s">
        <v>501</v>
      </c>
      <c r="D1203" s="97" t="s">
        <v>923</v>
      </c>
      <c r="E1203" s="97" t="s">
        <v>1050</v>
      </c>
      <c r="F1203" s="97">
        <v>4.6692858240000006E-3</v>
      </c>
      <c r="G1203" s="97"/>
      <c r="H1203" s="5"/>
      <c r="I1203"/>
      <c r="J1203"/>
      <c r="K1203"/>
      <c r="L1203"/>
      <c r="M1203"/>
      <c r="N1203"/>
      <c r="O1203"/>
      <c r="P1203"/>
      <c r="Q1203"/>
      <c r="R1203"/>
      <c r="S1203"/>
      <c r="T1203"/>
      <c r="U1203"/>
      <c r="V1203"/>
      <c r="W1203"/>
      <c r="X1203"/>
      <c r="Y1203"/>
    </row>
    <row r="1204" spans="1:25" s="104" customFormat="1" hidden="1" x14ac:dyDescent="0.25">
      <c r="A1204" s="97" t="str">
        <f t="shared" si="23"/>
        <v>uart_modem_vddh1_dyn_1m_1p8v</v>
      </c>
      <c r="B1204" s="97" t="s">
        <v>928</v>
      </c>
      <c r="C1204" s="97" t="s">
        <v>501</v>
      </c>
      <c r="D1204" s="97" t="s">
        <v>922</v>
      </c>
      <c r="E1204" s="97" t="s">
        <v>1050</v>
      </c>
      <c r="F1204" s="97">
        <v>4.1690052000000005E-2</v>
      </c>
      <c r="G1204" s="97"/>
      <c r="H1204" s="5"/>
      <c r="I1204"/>
      <c r="J1204"/>
      <c r="K1204"/>
      <c r="L1204"/>
      <c r="M1204"/>
      <c r="N1204"/>
      <c r="O1204"/>
      <c r="P1204"/>
      <c r="Q1204"/>
      <c r="R1204"/>
      <c r="S1204"/>
      <c r="T1204"/>
      <c r="U1204"/>
      <c r="V1204"/>
      <c r="W1204"/>
      <c r="X1204"/>
      <c r="Y1204"/>
    </row>
    <row r="1205" spans="1:25" s="104" customFormat="1" hidden="1" x14ac:dyDescent="0.25">
      <c r="A1205" s="97" t="str">
        <f t="shared" si="23"/>
        <v>uart_modem_vddh1_dyn_3p6m_1p8v</v>
      </c>
      <c r="B1205" s="97" t="s">
        <v>928</v>
      </c>
      <c r="C1205" s="97" t="s">
        <v>501</v>
      </c>
      <c r="D1205" s="97" t="s">
        <v>921</v>
      </c>
      <c r="E1205" s="97" t="s">
        <v>1050</v>
      </c>
      <c r="F1205" s="97">
        <v>0.1500841872</v>
      </c>
      <c r="G1205" s="97"/>
      <c r="H1205" s="5"/>
      <c r="I1205"/>
      <c r="J1205"/>
      <c r="K1205"/>
      <c r="L1205"/>
      <c r="M1205"/>
      <c r="N1205"/>
      <c r="O1205"/>
      <c r="P1205"/>
      <c r="Q1205"/>
      <c r="R1205"/>
      <c r="S1205"/>
      <c r="T1205"/>
      <c r="U1205"/>
      <c r="V1205"/>
      <c r="W1205"/>
      <c r="X1205"/>
      <c r="Y1205"/>
    </row>
    <row r="1206" spans="1:25" s="104" customFormat="1" hidden="1" x14ac:dyDescent="0.25">
      <c r="A1206" s="97" t="str">
        <f t="shared" si="23"/>
        <v>uart_modem_vddh1_dyn_off</v>
      </c>
      <c r="B1206" s="97" t="s">
        <v>928</v>
      </c>
      <c r="C1206" s="97" t="s">
        <v>501</v>
      </c>
      <c r="D1206" s="97" t="s">
        <v>69</v>
      </c>
      <c r="E1206" s="97" t="s">
        <v>1050</v>
      </c>
      <c r="F1206" s="97">
        <v>0</v>
      </c>
      <c r="G1206" s="97"/>
      <c r="H1206" s="5"/>
      <c r="I1206"/>
      <c r="J1206"/>
      <c r="K1206"/>
      <c r="L1206"/>
      <c r="M1206"/>
      <c r="N1206"/>
      <c r="O1206"/>
      <c r="P1206"/>
      <c r="Q1206"/>
      <c r="R1206"/>
      <c r="S1206"/>
      <c r="T1206"/>
      <c r="U1206"/>
      <c r="V1206"/>
      <c r="W1206"/>
      <c r="X1206"/>
      <c r="Y1206"/>
    </row>
    <row r="1207" spans="1:25" s="104" customFormat="1" hidden="1" x14ac:dyDescent="0.25">
      <c r="A1207" s="97" t="str">
        <f t="shared" si="23"/>
        <v>dpi_vddh1_dyn_2K_|_2048x1080x30_fps_18b_|_1p8V</v>
      </c>
      <c r="B1207" s="97" t="s">
        <v>699</v>
      </c>
      <c r="C1207" s="97" t="s">
        <v>501</v>
      </c>
      <c r="D1207" s="97" t="s">
        <v>843</v>
      </c>
      <c r="E1207" s="97" t="s">
        <v>1050</v>
      </c>
      <c r="F1207" s="97">
        <v>11.07785693952</v>
      </c>
      <c r="G1207" s="97" t="s">
        <v>629</v>
      </c>
      <c r="H1207" s="5"/>
      <c r="I1207"/>
      <c r="J1207"/>
      <c r="K1207"/>
      <c r="L1207"/>
      <c r="M1207"/>
      <c r="N1207"/>
      <c r="O1207"/>
      <c r="P1207"/>
      <c r="Q1207"/>
      <c r="R1207"/>
      <c r="S1207"/>
      <c r="T1207"/>
      <c r="U1207"/>
      <c r="V1207"/>
      <c r="W1207"/>
      <c r="X1207"/>
      <c r="Y1207"/>
    </row>
    <row r="1208" spans="1:25" s="104" customFormat="1" hidden="1" x14ac:dyDescent="0.25">
      <c r="A1208" s="97" t="str">
        <f t="shared" si="23"/>
        <v>dpi_vddh1_dyn_2K_|_2048x1080x30_fps_24b_|_1p8V</v>
      </c>
      <c r="B1208" s="97" t="s">
        <v>699</v>
      </c>
      <c r="C1208" s="97" t="s">
        <v>501</v>
      </c>
      <c r="D1208" s="97" t="s">
        <v>844</v>
      </c>
      <c r="E1208" s="97" t="s">
        <v>1050</v>
      </c>
      <c r="F1208" s="97">
        <v>11.07785693952</v>
      </c>
      <c r="G1208" s="97" t="s">
        <v>629</v>
      </c>
      <c r="H1208" s="5"/>
      <c r="I1208"/>
      <c r="J1208"/>
      <c r="K1208"/>
      <c r="L1208"/>
      <c r="M1208"/>
      <c r="N1208"/>
      <c r="O1208"/>
      <c r="P1208"/>
      <c r="Q1208"/>
      <c r="R1208"/>
      <c r="S1208"/>
      <c r="T1208"/>
      <c r="U1208"/>
      <c r="V1208"/>
      <c r="W1208"/>
      <c r="X1208"/>
      <c r="Y1208"/>
    </row>
    <row r="1209" spans="1:25" s="104" customFormat="1" hidden="1" x14ac:dyDescent="0.25">
      <c r="A1209" s="97" t="str">
        <f t="shared" si="23"/>
        <v>dpi_vddh1_dyn_2K_|_2048x1080x60_fps_18b_|_1p8V</v>
      </c>
      <c r="B1209" s="97" t="s">
        <v>699</v>
      </c>
      <c r="C1209" s="97" t="s">
        <v>501</v>
      </c>
      <c r="D1209" s="97" t="s">
        <v>845</v>
      </c>
      <c r="E1209" s="97" t="s">
        <v>1050</v>
      </c>
      <c r="F1209" s="97">
        <v>22.15571387904</v>
      </c>
      <c r="G1209" s="97" t="s">
        <v>629</v>
      </c>
      <c r="H1209" s="5"/>
      <c r="I1209"/>
      <c r="J1209"/>
      <c r="K1209"/>
      <c r="L1209"/>
      <c r="M1209"/>
      <c r="N1209"/>
      <c r="O1209"/>
      <c r="P1209"/>
      <c r="Q1209"/>
      <c r="R1209"/>
      <c r="S1209"/>
      <c r="T1209"/>
      <c r="U1209"/>
      <c r="V1209"/>
      <c r="W1209"/>
      <c r="X1209"/>
      <c r="Y1209"/>
    </row>
    <row r="1210" spans="1:25" s="104" customFormat="1" hidden="1" x14ac:dyDescent="0.25">
      <c r="A1210" s="97" t="str">
        <f t="shared" si="23"/>
        <v>dpi_vddh1_dyn_2K_|_2048x1080x60_fps_24b_|_1p8V</v>
      </c>
      <c r="B1210" s="97" t="s">
        <v>699</v>
      </c>
      <c r="C1210" s="97" t="s">
        <v>501</v>
      </c>
      <c r="D1210" s="97" t="s">
        <v>846</v>
      </c>
      <c r="E1210" s="97" t="s">
        <v>1050</v>
      </c>
      <c r="F1210" s="97">
        <v>22.15571387904</v>
      </c>
      <c r="G1210" s="97" t="s">
        <v>629</v>
      </c>
      <c r="H1210" s="5"/>
      <c r="I1210"/>
      <c r="J1210"/>
      <c r="K1210"/>
      <c r="L1210"/>
      <c r="M1210"/>
      <c r="N1210"/>
      <c r="O1210"/>
      <c r="P1210"/>
      <c r="Q1210"/>
      <c r="R1210"/>
      <c r="S1210"/>
      <c r="T1210"/>
      <c r="U1210"/>
      <c r="V1210"/>
      <c r="W1210"/>
      <c r="X1210"/>
      <c r="Y1210"/>
    </row>
    <row r="1211" spans="1:25" s="104" customFormat="1" hidden="1" x14ac:dyDescent="0.25">
      <c r="A1211" s="97" t="str">
        <f t="shared" si="23"/>
        <v>dpi_vddh1_dyn_Full_HD_|_1920x1080x30_fps_12b_|_1p8V</v>
      </c>
      <c r="B1211" s="97" t="s">
        <v>699</v>
      </c>
      <c r="C1211" s="97" t="s">
        <v>501</v>
      </c>
      <c r="D1211" s="97" t="s">
        <v>835</v>
      </c>
      <c r="E1211" s="97" t="s">
        <v>1050</v>
      </c>
      <c r="F1211" s="97">
        <v>10.430029048320002</v>
      </c>
      <c r="G1211" s="97" t="s">
        <v>629</v>
      </c>
      <c r="H1211" s="5"/>
      <c r="I1211"/>
      <c r="J1211"/>
      <c r="K1211"/>
      <c r="L1211"/>
      <c r="M1211"/>
      <c r="N1211"/>
      <c r="O1211"/>
      <c r="P1211"/>
      <c r="Q1211"/>
      <c r="R1211"/>
      <c r="S1211"/>
      <c r="T1211"/>
      <c r="U1211"/>
      <c r="V1211"/>
      <c r="W1211"/>
      <c r="X1211"/>
      <c r="Y1211"/>
    </row>
    <row r="1212" spans="1:25" s="104" customFormat="1" hidden="1" x14ac:dyDescent="0.25">
      <c r="A1212" s="97" t="str">
        <f t="shared" si="23"/>
        <v>dpi_vddh1_dyn_Full_HD_|_1920x1080x30_fps_16b_|_1p8V</v>
      </c>
      <c r="B1212" s="97" t="s">
        <v>699</v>
      </c>
      <c r="C1212" s="97" t="s">
        <v>501</v>
      </c>
      <c r="D1212" s="97" t="s">
        <v>836</v>
      </c>
      <c r="E1212" s="97" t="s">
        <v>1050</v>
      </c>
      <c r="F1212" s="97">
        <v>10.430029048320002</v>
      </c>
      <c r="G1212" s="97" t="s">
        <v>629</v>
      </c>
      <c r="H1212" s="5"/>
      <c r="I1212"/>
      <c r="J1212"/>
      <c r="K1212"/>
      <c r="L1212"/>
      <c r="M1212"/>
      <c r="N1212"/>
      <c r="O1212"/>
      <c r="P1212"/>
      <c r="Q1212"/>
      <c r="R1212"/>
      <c r="S1212"/>
      <c r="T1212"/>
      <c r="U1212"/>
      <c r="V1212"/>
      <c r="W1212"/>
      <c r="X1212"/>
      <c r="Y1212"/>
    </row>
    <row r="1213" spans="1:25" s="104" customFormat="1" hidden="1" x14ac:dyDescent="0.25">
      <c r="A1213" s="97" t="str">
        <f t="shared" si="23"/>
        <v>dpi_vddh1_dyn_Full_HD_|_1920x1080x30_fps_18b_|_1p8V</v>
      </c>
      <c r="B1213" s="97" t="s">
        <v>699</v>
      </c>
      <c r="C1213" s="97" t="s">
        <v>501</v>
      </c>
      <c r="D1213" s="97" t="s">
        <v>837</v>
      </c>
      <c r="E1213" s="97" t="s">
        <v>1050</v>
      </c>
      <c r="F1213" s="97">
        <v>11.176599548620802</v>
      </c>
      <c r="G1213" s="97" t="s">
        <v>629</v>
      </c>
      <c r="H1213" s="5"/>
      <c r="I1213"/>
      <c r="J1213"/>
      <c r="K1213"/>
      <c r="L1213"/>
      <c r="M1213"/>
      <c r="N1213"/>
      <c r="O1213"/>
      <c r="P1213"/>
      <c r="Q1213"/>
      <c r="R1213"/>
      <c r="S1213"/>
      <c r="T1213"/>
      <c r="U1213"/>
      <c r="V1213"/>
      <c r="W1213"/>
      <c r="X1213"/>
      <c r="Y1213"/>
    </row>
    <row r="1214" spans="1:25" s="104" customFormat="1" hidden="1" x14ac:dyDescent="0.25">
      <c r="A1214" s="97" t="str">
        <f t="shared" si="23"/>
        <v>dpi_vddh1_dyn_Full_HD_|_1920x1080x30_fps_24b_|_1p8V</v>
      </c>
      <c r="B1214" s="97" t="s">
        <v>699</v>
      </c>
      <c r="C1214" s="97" t="s">
        <v>501</v>
      </c>
      <c r="D1214" s="97" t="s">
        <v>838</v>
      </c>
      <c r="E1214" s="97" t="s">
        <v>1050</v>
      </c>
      <c r="F1214" s="97">
        <v>11.176599548620802</v>
      </c>
      <c r="G1214" s="97" t="s">
        <v>629</v>
      </c>
      <c r="H1214" s="5"/>
      <c r="I1214"/>
      <c r="J1214"/>
      <c r="K1214"/>
      <c r="L1214"/>
      <c r="M1214"/>
      <c r="N1214"/>
      <c r="O1214"/>
      <c r="P1214"/>
      <c r="Q1214"/>
      <c r="R1214"/>
      <c r="S1214"/>
      <c r="T1214"/>
      <c r="U1214"/>
      <c r="V1214"/>
      <c r="W1214"/>
      <c r="X1214"/>
      <c r="Y1214"/>
    </row>
    <row r="1215" spans="1:25" s="104" customFormat="1" hidden="1" x14ac:dyDescent="0.25">
      <c r="A1215" s="97" t="str">
        <f t="shared" si="23"/>
        <v>dpi_vddh1_dyn_Full_HD_|_1920x1080x60_fps_12b_|_1p8V</v>
      </c>
      <c r="B1215" s="97" t="s">
        <v>699</v>
      </c>
      <c r="C1215" s="97" t="s">
        <v>501</v>
      </c>
      <c r="D1215" s="97" t="s">
        <v>839</v>
      </c>
      <c r="E1215" s="97" t="s">
        <v>1050</v>
      </c>
      <c r="F1215" s="97">
        <v>20.860058096640003</v>
      </c>
      <c r="G1215" s="97" t="s">
        <v>629</v>
      </c>
      <c r="H1215" s="5"/>
      <c r="I1215"/>
      <c r="J1215"/>
      <c r="K1215"/>
      <c r="L1215"/>
      <c r="M1215"/>
      <c r="N1215"/>
      <c r="O1215"/>
      <c r="P1215"/>
      <c r="Q1215"/>
      <c r="R1215"/>
      <c r="S1215"/>
      <c r="T1215"/>
      <c r="U1215"/>
      <c r="V1215"/>
      <c r="W1215"/>
      <c r="X1215"/>
      <c r="Y1215"/>
    </row>
    <row r="1216" spans="1:25" s="104" customFormat="1" hidden="1" x14ac:dyDescent="0.25">
      <c r="A1216" s="97" t="str">
        <f t="shared" si="23"/>
        <v>dpi_vddh1_dyn_Full_HD_|_1920x1080x60_fps_16b_|_1p8V</v>
      </c>
      <c r="B1216" s="97" t="s">
        <v>699</v>
      </c>
      <c r="C1216" s="97" t="s">
        <v>501</v>
      </c>
      <c r="D1216" s="97" t="s">
        <v>840</v>
      </c>
      <c r="E1216" s="97" t="s">
        <v>1050</v>
      </c>
      <c r="F1216" s="97">
        <v>20.860058096640003</v>
      </c>
      <c r="G1216" s="97" t="s">
        <v>629</v>
      </c>
      <c r="H1216" s="5"/>
      <c r="I1216"/>
      <c r="J1216"/>
      <c r="K1216"/>
      <c r="L1216"/>
      <c r="M1216"/>
      <c r="N1216"/>
      <c r="O1216"/>
      <c r="P1216"/>
      <c r="Q1216"/>
      <c r="R1216"/>
      <c r="S1216"/>
      <c r="T1216"/>
      <c r="U1216"/>
      <c r="V1216"/>
      <c r="W1216"/>
      <c r="X1216"/>
      <c r="Y1216"/>
    </row>
    <row r="1217" spans="1:25" s="104" customFormat="1" hidden="1" x14ac:dyDescent="0.25">
      <c r="A1217" s="97" t="str">
        <f t="shared" si="23"/>
        <v>dpi_vddh1_dyn_Full_HD_|_1920x1080x60_fps_18b_|_1p8V</v>
      </c>
      <c r="B1217" s="97" t="s">
        <v>699</v>
      </c>
      <c r="C1217" s="97" t="s">
        <v>501</v>
      </c>
      <c r="D1217" s="97" t="s">
        <v>841</v>
      </c>
      <c r="E1217" s="97" t="s">
        <v>1050</v>
      </c>
      <c r="F1217" s="97">
        <v>22.353199097241603</v>
      </c>
      <c r="G1217" s="97" t="s">
        <v>629</v>
      </c>
      <c r="H1217" s="5"/>
      <c r="I1217"/>
      <c r="J1217"/>
      <c r="K1217"/>
      <c r="L1217"/>
      <c r="M1217"/>
      <c r="N1217"/>
      <c r="O1217"/>
      <c r="P1217"/>
      <c r="Q1217"/>
      <c r="R1217"/>
      <c r="S1217"/>
      <c r="T1217"/>
      <c r="U1217"/>
      <c r="V1217"/>
      <c r="W1217"/>
      <c r="X1217"/>
      <c r="Y1217"/>
    </row>
    <row r="1218" spans="1:25" s="104" customFormat="1" hidden="1" x14ac:dyDescent="0.25">
      <c r="A1218" s="97" t="str">
        <f t="shared" si="23"/>
        <v>dpi_vddh1_dyn_Full_HD_|_1920x1080x60_fps_24b_|_1p8V</v>
      </c>
      <c r="B1218" s="97" t="s">
        <v>699</v>
      </c>
      <c r="C1218" s="97" t="s">
        <v>501</v>
      </c>
      <c r="D1218" s="97" t="s">
        <v>842</v>
      </c>
      <c r="E1218" s="97" t="s">
        <v>1050</v>
      </c>
      <c r="F1218" s="97">
        <v>22.353199097241603</v>
      </c>
      <c r="G1218" s="97" t="s">
        <v>629</v>
      </c>
      <c r="H1218" s="5"/>
      <c r="I1218"/>
      <c r="J1218"/>
      <c r="K1218"/>
      <c r="L1218"/>
      <c r="M1218"/>
      <c r="N1218"/>
      <c r="O1218"/>
      <c r="P1218"/>
      <c r="Q1218"/>
      <c r="R1218"/>
      <c r="S1218"/>
      <c r="T1218"/>
      <c r="U1218"/>
      <c r="V1218"/>
      <c r="W1218"/>
      <c r="X1218"/>
      <c r="Y1218"/>
    </row>
    <row r="1219" spans="1:25" s="104" customFormat="1" hidden="1" x14ac:dyDescent="0.25">
      <c r="A1219" s="97" t="str">
        <f t="shared" si="23"/>
        <v>dpi_vddh1_dyn_Full_HD_|_1920x720x30_fps_12b_|_1p8V</v>
      </c>
      <c r="B1219" s="97" t="s">
        <v>699</v>
      </c>
      <c r="C1219" s="97" t="s">
        <v>501</v>
      </c>
      <c r="D1219" s="97" t="s">
        <v>827</v>
      </c>
      <c r="E1219" s="97" t="s">
        <v>1050</v>
      </c>
      <c r="F1219" s="97">
        <v>6.7494411578880023</v>
      </c>
      <c r="G1219" s="97" t="s">
        <v>629</v>
      </c>
      <c r="H1219" s="5"/>
      <c r="I1219"/>
      <c r="J1219"/>
      <c r="K1219"/>
      <c r="L1219"/>
      <c r="M1219"/>
      <c r="N1219"/>
      <c r="O1219"/>
      <c r="P1219"/>
      <c r="Q1219"/>
      <c r="R1219"/>
      <c r="S1219"/>
      <c r="T1219"/>
      <c r="U1219"/>
      <c r="V1219"/>
      <c r="W1219"/>
      <c r="X1219"/>
      <c r="Y1219"/>
    </row>
    <row r="1220" spans="1:25" s="104" customFormat="1" hidden="1" x14ac:dyDescent="0.25">
      <c r="A1220" s="97" t="str">
        <f t="shared" si="23"/>
        <v>dpi_vddh1_dyn_Full_HD_|_1920x720x30_fps_16b_|_1p8V</v>
      </c>
      <c r="B1220" s="97" t="s">
        <v>699</v>
      </c>
      <c r="C1220" s="97" t="s">
        <v>501</v>
      </c>
      <c r="D1220" s="97" t="s">
        <v>828</v>
      </c>
      <c r="E1220" s="97" t="s">
        <v>1050</v>
      </c>
      <c r="F1220" s="97">
        <v>6.7494411578880023</v>
      </c>
      <c r="G1220" s="97" t="s">
        <v>629</v>
      </c>
      <c r="H1220" s="5"/>
      <c r="I1220"/>
      <c r="J1220"/>
      <c r="K1220"/>
      <c r="L1220"/>
      <c r="M1220"/>
      <c r="N1220"/>
      <c r="O1220"/>
      <c r="P1220"/>
      <c r="Q1220"/>
      <c r="R1220"/>
      <c r="S1220"/>
      <c r="T1220"/>
      <c r="U1220"/>
      <c r="V1220"/>
      <c r="W1220"/>
      <c r="X1220"/>
      <c r="Y1220"/>
    </row>
    <row r="1221" spans="1:25" s="104" customFormat="1" hidden="1" x14ac:dyDescent="0.25">
      <c r="A1221" s="97" t="str">
        <f t="shared" si="23"/>
        <v>dpi_vddh1_dyn_Full_HD_|_1920x720x30_fps_18b_|_1p8V</v>
      </c>
      <c r="B1221" s="97" t="s">
        <v>699</v>
      </c>
      <c r="C1221" s="97" t="s">
        <v>501</v>
      </c>
      <c r="D1221" s="97" t="s">
        <v>829</v>
      </c>
      <c r="E1221" s="97" t="s">
        <v>1050</v>
      </c>
      <c r="F1221" s="97">
        <v>7.2325590512947224</v>
      </c>
      <c r="G1221" s="97" t="s">
        <v>629</v>
      </c>
      <c r="H1221" s="5"/>
      <c r="I1221"/>
      <c r="J1221"/>
      <c r="K1221"/>
      <c r="L1221"/>
      <c r="M1221"/>
      <c r="N1221"/>
      <c r="O1221"/>
      <c r="P1221"/>
      <c r="Q1221"/>
      <c r="R1221"/>
      <c r="S1221"/>
      <c r="T1221"/>
      <c r="U1221"/>
      <c r="V1221"/>
      <c r="W1221"/>
      <c r="X1221"/>
      <c r="Y1221"/>
    </row>
    <row r="1222" spans="1:25" s="104" customFormat="1" hidden="1" x14ac:dyDescent="0.25">
      <c r="A1222" s="97" t="str">
        <f t="shared" si="23"/>
        <v>dpi_vddh1_dyn_Full_HD_|_1920x720x30_fps_24b_|_1p8V</v>
      </c>
      <c r="B1222" s="97" t="s">
        <v>699</v>
      </c>
      <c r="C1222" s="97" t="s">
        <v>501</v>
      </c>
      <c r="D1222" s="97" t="s">
        <v>830</v>
      </c>
      <c r="E1222" s="97" t="s">
        <v>1050</v>
      </c>
      <c r="F1222" s="97">
        <v>7.2325590512947224</v>
      </c>
      <c r="G1222" s="97" t="s">
        <v>629</v>
      </c>
      <c r="H1222" s="5"/>
      <c r="I1222"/>
      <c r="J1222"/>
      <c r="K1222"/>
      <c r="L1222"/>
      <c r="M1222"/>
      <c r="N1222"/>
      <c r="O1222"/>
      <c r="P1222"/>
      <c r="Q1222"/>
      <c r="R1222"/>
      <c r="S1222"/>
      <c r="T1222"/>
      <c r="U1222"/>
      <c r="V1222"/>
      <c r="W1222"/>
      <c r="X1222"/>
      <c r="Y1222"/>
    </row>
    <row r="1223" spans="1:25" s="104" customFormat="1" hidden="1" x14ac:dyDescent="0.25">
      <c r="A1223" s="97" t="str">
        <f t="shared" si="23"/>
        <v>dpi_vddh1_dyn_Full_HD_|_1920x720x60_fps_12b_|_1p8V</v>
      </c>
      <c r="B1223" s="97" t="s">
        <v>699</v>
      </c>
      <c r="C1223" s="97" t="s">
        <v>501</v>
      </c>
      <c r="D1223" s="97" t="s">
        <v>831</v>
      </c>
      <c r="E1223" s="97" t="s">
        <v>1050</v>
      </c>
      <c r="F1223" s="97">
        <v>13.498882315776005</v>
      </c>
      <c r="G1223" s="97" t="s">
        <v>629</v>
      </c>
      <c r="H1223" s="5"/>
      <c r="I1223"/>
      <c r="J1223"/>
      <c r="K1223"/>
      <c r="L1223"/>
      <c r="M1223"/>
      <c r="N1223"/>
      <c r="O1223"/>
      <c r="P1223"/>
      <c r="Q1223"/>
      <c r="R1223"/>
      <c r="S1223"/>
      <c r="T1223"/>
      <c r="U1223"/>
      <c r="V1223"/>
      <c r="W1223"/>
      <c r="X1223"/>
      <c r="Y1223"/>
    </row>
    <row r="1224" spans="1:25" s="104" customFormat="1" hidden="1" x14ac:dyDescent="0.25">
      <c r="A1224" s="97" t="str">
        <f t="shared" si="23"/>
        <v>dpi_vddh1_dyn_Full_HD_|_1920x720x60_fps_16b_|_1p8V</v>
      </c>
      <c r="B1224" s="97" t="s">
        <v>699</v>
      </c>
      <c r="C1224" s="97" t="s">
        <v>501</v>
      </c>
      <c r="D1224" s="97" t="s">
        <v>832</v>
      </c>
      <c r="E1224" s="97" t="s">
        <v>1050</v>
      </c>
      <c r="F1224" s="97">
        <v>13.498882315776005</v>
      </c>
      <c r="G1224" s="97" t="s">
        <v>629</v>
      </c>
      <c r="H1224" s="5"/>
      <c r="I1224"/>
      <c r="J1224"/>
      <c r="K1224"/>
      <c r="L1224"/>
      <c r="M1224"/>
      <c r="N1224"/>
      <c r="O1224"/>
      <c r="P1224"/>
      <c r="Q1224"/>
      <c r="R1224"/>
      <c r="S1224"/>
      <c r="T1224"/>
      <c r="U1224"/>
      <c r="V1224"/>
      <c r="W1224"/>
      <c r="X1224"/>
      <c r="Y1224"/>
    </row>
    <row r="1225" spans="1:25" s="104" customFormat="1" hidden="1" x14ac:dyDescent="0.25">
      <c r="A1225" s="97" t="str">
        <f t="shared" si="23"/>
        <v>dpi_vddh1_dyn_Full_HD_|_1920x720x60_fps_18b_|_1p8V</v>
      </c>
      <c r="B1225" s="97" t="s">
        <v>699</v>
      </c>
      <c r="C1225" s="97" t="s">
        <v>501</v>
      </c>
      <c r="D1225" s="97" t="s">
        <v>833</v>
      </c>
      <c r="E1225" s="97" t="s">
        <v>1050</v>
      </c>
      <c r="F1225" s="97">
        <v>14.465118102589445</v>
      </c>
      <c r="G1225" s="97" t="s">
        <v>629</v>
      </c>
      <c r="H1225" s="5"/>
      <c r="I1225"/>
      <c r="J1225"/>
      <c r="K1225"/>
      <c r="L1225"/>
      <c r="M1225"/>
      <c r="N1225"/>
      <c r="O1225"/>
      <c r="P1225"/>
      <c r="Q1225"/>
      <c r="R1225"/>
      <c r="S1225"/>
      <c r="T1225"/>
      <c r="U1225"/>
      <c r="V1225"/>
      <c r="W1225"/>
      <c r="X1225"/>
      <c r="Y1225"/>
    </row>
    <row r="1226" spans="1:25" s="104" customFormat="1" hidden="1" x14ac:dyDescent="0.25">
      <c r="A1226" s="97" t="str">
        <f t="shared" si="23"/>
        <v>dpi_vddh1_dyn_Full_HD_|_1920x720x60_fps_24b_|_1p8V</v>
      </c>
      <c r="B1226" s="97" t="s">
        <v>699</v>
      </c>
      <c r="C1226" s="97" t="s">
        <v>501</v>
      </c>
      <c r="D1226" s="97" t="s">
        <v>834</v>
      </c>
      <c r="E1226" s="97" t="s">
        <v>1050</v>
      </c>
      <c r="F1226" s="97">
        <v>14.465118102589445</v>
      </c>
      <c r="G1226" s="97" t="s">
        <v>629</v>
      </c>
      <c r="H1226" s="5"/>
      <c r="I1226"/>
      <c r="J1226"/>
      <c r="K1226"/>
      <c r="L1226"/>
      <c r="M1226"/>
      <c r="N1226"/>
      <c r="O1226"/>
      <c r="P1226"/>
      <c r="Q1226"/>
      <c r="R1226"/>
      <c r="S1226"/>
      <c r="T1226"/>
      <c r="U1226"/>
      <c r="V1226"/>
      <c r="W1226"/>
      <c r="X1226"/>
      <c r="Y1226"/>
    </row>
    <row r="1227" spans="1:25" s="104" customFormat="1" hidden="1" x14ac:dyDescent="0.25">
      <c r="A1227" s="97" t="str">
        <f t="shared" si="23"/>
        <v>dpi_vddh1_dyn_HD_|_1280x720x30_fps_12b_|_1p8V</v>
      </c>
      <c r="B1227" s="97" t="s">
        <v>699</v>
      </c>
      <c r="C1227" s="97" t="s">
        <v>501</v>
      </c>
      <c r="D1227" s="97" t="s">
        <v>788</v>
      </c>
      <c r="E1227" s="97" t="s">
        <v>1050</v>
      </c>
      <c r="F1227" s="97">
        <v>4.4996274385920012</v>
      </c>
      <c r="G1227" s="97" t="s">
        <v>629</v>
      </c>
      <c r="H1227" s="5"/>
      <c r="I1227"/>
      <c r="J1227"/>
      <c r="K1227"/>
      <c r="L1227"/>
      <c r="M1227"/>
      <c r="N1227"/>
      <c r="O1227"/>
      <c r="P1227"/>
      <c r="Q1227"/>
      <c r="R1227"/>
      <c r="S1227"/>
      <c r="T1227"/>
      <c r="U1227"/>
      <c r="V1227"/>
      <c r="W1227"/>
      <c r="X1227"/>
      <c r="Y1227"/>
    </row>
    <row r="1228" spans="1:25" s="104" customFormat="1" hidden="1" x14ac:dyDescent="0.25">
      <c r="A1228" s="97" t="str">
        <f t="shared" si="23"/>
        <v>dpi_vddh1_dyn_HD_|_1280x720x30_fps_16b_|_1p8V</v>
      </c>
      <c r="B1228" s="97" t="s">
        <v>699</v>
      </c>
      <c r="C1228" s="97" t="s">
        <v>501</v>
      </c>
      <c r="D1228" s="97" t="s">
        <v>789</v>
      </c>
      <c r="E1228" s="97" t="s">
        <v>1050</v>
      </c>
      <c r="F1228" s="97">
        <v>4.4996274385920012</v>
      </c>
      <c r="G1228" s="97" t="s">
        <v>629</v>
      </c>
      <c r="H1228" s="5"/>
      <c r="I1228"/>
      <c r="J1228"/>
      <c r="K1228"/>
      <c r="L1228"/>
      <c r="M1228"/>
      <c r="N1228"/>
      <c r="O1228"/>
      <c r="P1228"/>
      <c r="Q1228"/>
      <c r="R1228"/>
      <c r="S1228"/>
      <c r="T1228"/>
      <c r="U1228"/>
      <c r="V1228"/>
      <c r="W1228"/>
      <c r="X1228"/>
      <c r="Y1228"/>
    </row>
    <row r="1229" spans="1:25" s="104" customFormat="1" hidden="1" x14ac:dyDescent="0.25">
      <c r="A1229" s="97" t="str">
        <f t="shared" si="23"/>
        <v>dpi_vddh1_dyn_HD_|_1280x720x30_fps_24b_|_1p8V</v>
      </c>
      <c r="B1229" s="97" t="s">
        <v>699</v>
      </c>
      <c r="C1229" s="97" t="s">
        <v>501</v>
      </c>
      <c r="D1229" s="97" t="s">
        <v>790</v>
      </c>
      <c r="E1229" s="97" t="s">
        <v>1050</v>
      </c>
      <c r="F1229" s="97">
        <v>5.7879418210099205</v>
      </c>
      <c r="G1229" s="97" t="s">
        <v>629</v>
      </c>
      <c r="H1229" s="5"/>
      <c r="I1229"/>
      <c r="J1229"/>
      <c r="K1229"/>
      <c r="L1229"/>
      <c r="M1229"/>
      <c r="N1229"/>
      <c r="O1229"/>
      <c r="P1229"/>
      <c r="Q1229"/>
      <c r="R1229"/>
      <c r="S1229"/>
      <c r="T1229"/>
      <c r="U1229"/>
      <c r="V1229"/>
      <c r="W1229"/>
      <c r="X1229"/>
      <c r="Y1229"/>
    </row>
    <row r="1230" spans="1:25" s="104" customFormat="1" hidden="1" x14ac:dyDescent="0.25">
      <c r="A1230" s="97" t="str">
        <f t="shared" si="23"/>
        <v>dpi_vddh1_dyn_HD_|_1280x720x30_fps_24b_|_1p8V</v>
      </c>
      <c r="B1230" s="97" t="s">
        <v>699</v>
      </c>
      <c r="C1230" s="97" t="s">
        <v>501</v>
      </c>
      <c r="D1230" s="97" t="s">
        <v>790</v>
      </c>
      <c r="E1230" s="97" t="s">
        <v>1050</v>
      </c>
      <c r="F1230" s="97">
        <v>5.7879418210099205</v>
      </c>
      <c r="G1230" s="97" t="s">
        <v>629</v>
      </c>
      <c r="H1230" s="5"/>
      <c r="I1230"/>
      <c r="J1230"/>
      <c r="K1230"/>
      <c r="L1230"/>
      <c r="M1230"/>
      <c r="N1230"/>
      <c r="O1230"/>
      <c r="P1230"/>
      <c r="Q1230"/>
      <c r="R1230"/>
      <c r="S1230"/>
      <c r="T1230"/>
      <c r="U1230"/>
      <c r="V1230"/>
      <c r="W1230"/>
      <c r="X1230"/>
      <c r="Y1230"/>
    </row>
    <row r="1231" spans="1:25" s="104" customFormat="1" hidden="1" x14ac:dyDescent="0.25">
      <c r="A1231" s="97" t="str">
        <f t="shared" si="23"/>
        <v>dpi_vddh1_dyn_HD_|_1280x720x60_fps_12b_|_1p8V</v>
      </c>
      <c r="B1231" s="97" t="s">
        <v>699</v>
      </c>
      <c r="C1231" s="97" t="s">
        <v>501</v>
      </c>
      <c r="D1231" s="97" t="s">
        <v>791</v>
      </c>
      <c r="E1231" s="97" t="s">
        <v>1050</v>
      </c>
      <c r="F1231" s="97">
        <v>8.9992548771840024</v>
      </c>
      <c r="G1231" s="97" t="s">
        <v>629</v>
      </c>
      <c r="H1231" s="5"/>
      <c r="I1231"/>
      <c r="J1231"/>
      <c r="K1231"/>
      <c r="L1231"/>
      <c r="M1231"/>
      <c r="N1231"/>
      <c r="O1231"/>
      <c r="P1231"/>
      <c r="Q1231"/>
      <c r="R1231"/>
      <c r="S1231"/>
      <c r="T1231"/>
      <c r="U1231"/>
      <c r="V1231"/>
      <c r="W1231"/>
      <c r="X1231"/>
      <c r="Y1231"/>
    </row>
    <row r="1232" spans="1:25" s="104" customFormat="1" hidden="1" x14ac:dyDescent="0.25">
      <c r="A1232" s="97" t="str">
        <f t="shared" si="23"/>
        <v>dpi_vddh1_dyn_HD_|_1280x720x60_fps_16b_|_1p8V</v>
      </c>
      <c r="B1232" s="97" t="s">
        <v>699</v>
      </c>
      <c r="C1232" s="97" t="s">
        <v>501</v>
      </c>
      <c r="D1232" s="97" t="s">
        <v>792</v>
      </c>
      <c r="E1232" s="97" t="s">
        <v>1050</v>
      </c>
      <c r="F1232" s="97">
        <v>8.9992548771840024</v>
      </c>
      <c r="G1232" s="97" t="s">
        <v>629</v>
      </c>
      <c r="H1232" s="5"/>
      <c r="I1232"/>
      <c r="J1232"/>
      <c r="K1232"/>
      <c r="L1232"/>
      <c r="M1232"/>
      <c r="N1232"/>
      <c r="O1232"/>
      <c r="P1232"/>
      <c r="Q1232"/>
      <c r="R1232"/>
      <c r="S1232"/>
      <c r="T1232"/>
      <c r="U1232"/>
      <c r="V1232"/>
      <c r="W1232"/>
      <c r="X1232"/>
      <c r="Y1232"/>
    </row>
    <row r="1233" spans="1:25" s="104" customFormat="1" hidden="1" x14ac:dyDescent="0.25">
      <c r="A1233" s="97" t="str">
        <f t="shared" si="23"/>
        <v>dpi_vddh1_dyn_HD_|_1280x720x60_fps_24b_|_1p8V</v>
      </c>
      <c r="B1233" s="97" t="s">
        <v>699</v>
      </c>
      <c r="C1233" s="97" t="s">
        <v>501</v>
      </c>
      <c r="D1233" s="97" t="s">
        <v>793</v>
      </c>
      <c r="E1233" s="97" t="s">
        <v>1050</v>
      </c>
      <c r="F1233" s="97">
        <v>11.575883642019841</v>
      </c>
      <c r="G1233" s="97" t="s">
        <v>629</v>
      </c>
      <c r="H1233" s="5"/>
      <c r="I1233"/>
      <c r="J1233"/>
      <c r="K1233"/>
      <c r="L1233"/>
      <c r="M1233"/>
      <c r="N1233"/>
      <c r="O1233"/>
      <c r="P1233"/>
      <c r="Q1233"/>
      <c r="R1233"/>
      <c r="S1233"/>
      <c r="T1233"/>
      <c r="U1233"/>
      <c r="V1233"/>
      <c r="W1233"/>
      <c r="X1233"/>
      <c r="Y1233"/>
    </row>
    <row r="1234" spans="1:25" s="104" customFormat="1" hidden="1" x14ac:dyDescent="0.25">
      <c r="A1234" s="97" t="str">
        <f t="shared" si="23"/>
        <v>dpi_vddh1_dyn_HD_|_1280x720x60_fps_24b_|_1p8V</v>
      </c>
      <c r="B1234" s="97" t="s">
        <v>699</v>
      </c>
      <c r="C1234" s="97" t="s">
        <v>501</v>
      </c>
      <c r="D1234" s="97" t="s">
        <v>793</v>
      </c>
      <c r="E1234" s="97" t="s">
        <v>1050</v>
      </c>
      <c r="F1234" s="97">
        <v>11.575883642019841</v>
      </c>
      <c r="G1234" s="97" t="s">
        <v>629</v>
      </c>
      <c r="H1234" s="5"/>
      <c r="I1234"/>
      <c r="J1234"/>
      <c r="K1234"/>
      <c r="L1234"/>
      <c r="M1234"/>
      <c r="N1234"/>
      <c r="O1234"/>
      <c r="P1234"/>
      <c r="Q1234"/>
      <c r="R1234"/>
      <c r="S1234"/>
      <c r="T1234"/>
      <c r="U1234"/>
      <c r="V1234"/>
      <c r="W1234"/>
      <c r="X1234"/>
      <c r="Y1234"/>
    </row>
    <row r="1235" spans="1:25" s="104" customFormat="1" hidden="1" x14ac:dyDescent="0.25">
      <c r="A1235" s="97" t="str">
        <f t="shared" si="23"/>
        <v>dpi_vddh1_dyn_HD+_|_1600x900x30_fps_12b_|_1p8V</v>
      </c>
      <c r="B1235" s="97" t="s">
        <v>699</v>
      </c>
      <c r="C1235" s="97" t="s">
        <v>501</v>
      </c>
      <c r="D1235" s="97" t="s">
        <v>813</v>
      </c>
      <c r="E1235" s="97" t="s">
        <v>1050</v>
      </c>
      <c r="F1235" s="97">
        <v>7.1311968794880016</v>
      </c>
      <c r="G1235" s="97" t="s">
        <v>629</v>
      </c>
      <c r="H1235" s="5"/>
      <c r="I1235"/>
      <c r="J1235"/>
      <c r="K1235"/>
      <c r="L1235"/>
      <c r="M1235"/>
      <c r="N1235"/>
      <c r="O1235"/>
      <c r="P1235"/>
      <c r="Q1235"/>
      <c r="R1235"/>
      <c r="S1235"/>
      <c r="T1235"/>
      <c r="U1235"/>
      <c r="V1235"/>
      <c r="W1235"/>
      <c r="X1235"/>
      <c r="Y1235"/>
    </row>
    <row r="1236" spans="1:25" s="104" customFormat="1" hidden="1" x14ac:dyDescent="0.25">
      <c r="A1236" s="97" t="str">
        <f t="shared" si="23"/>
        <v>dpi_vddh1_dyn_HD+_|_1600x900x30_fps_16b_|_1p8V</v>
      </c>
      <c r="B1236" s="97" t="s">
        <v>699</v>
      </c>
      <c r="C1236" s="97" t="s">
        <v>501</v>
      </c>
      <c r="D1236" s="97" t="s">
        <v>814</v>
      </c>
      <c r="E1236" s="97" t="s">
        <v>1050</v>
      </c>
      <c r="F1236" s="97">
        <v>7.1311968794880016</v>
      </c>
      <c r="G1236" s="97" t="s">
        <v>629</v>
      </c>
      <c r="H1236" s="5"/>
      <c r="I1236"/>
      <c r="J1236"/>
      <c r="K1236"/>
      <c r="L1236"/>
      <c r="M1236"/>
      <c r="N1236"/>
      <c r="O1236"/>
      <c r="P1236"/>
      <c r="Q1236"/>
      <c r="R1236"/>
      <c r="S1236"/>
      <c r="T1236"/>
      <c r="U1236"/>
      <c r="V1236"/>
      <c r="W1236"/>
      <c r="X1236"/>
      <c r="Y1236"/>
    </row>
    <row r="1237" spans="1:25" s="104" customFormat="1" hidden="1" x14ac:dyDescent="0.25">
      <c r="A1237" s="97" t="str">
        <f t="shared" si="23"/>
        <v>dpi_vddh1_dyn_HD+_|_1600x900x30_fps_18b_|_1p8V</v>
      </c>
      <c r="B1237" s="97" t="s">
        <v>699</v>
      </c>
      <c r="C1237" s="97" t="s">
        <v>501</v>
      </c>
      <c r="D1237" s="97" t="s">
        <v>815</v>
      </c>
      <c r="E1237" s="97" t="s">
        <v>1050</v>
      </c>
      <c r="F1237" s="97">
        <v>7.6416404455987212</v>
      </c>
      <c r="G1237" s="97" t="s">
        <v>629</v>
      </c>
      <c r="H1237" s="5"/>
      <c r="I1237"/>
      <c r="J1237"/>
      <c r="K1237"/>
      <c r="L1237"/>
      <c r="M1237"/>
      <c r="N1237"/>
      <c r="O1237"/>
      <c r="P1237"/>
      <c r="Q1237"/>
      <c r="R1237"/>
      <c r="S1237"/>
      <c r="T1237"/>
      <c r="U1237"/>
      <c r="V1237"/>
      <c r="W1237"/>
      <c r="X1237"/>
      <c r="Y1237"/>
    </row>
    <row r="1238" spans="1:25" s="104" customFormat="1" hidden="1" x14ac:dyDescent="0.25">
      <c r="A1238" s="97" t="str">
        <f t="shared" si="23"/>
        <v>dpi_vddh1_dyn_HD+_|_1600x900x30_fps_24b_|_1p8V</v>
      </c>
      <c r="B1238" s="97" t="s">
        <v>699</v>
      </c>
      <c r="C1238" s="97" t="s">
        <v>501</v>
      </c>
      <c r="D1238" s="97" t="s">
        <v>816</v>
      </c>
      <c r="E1238" s="97" t="s">
        <v>1050</v>
      </c>
      <c r="F1238" s="97">
        <v>7.6416404455987212</v>
      </c>
      <c r="G1238" s="97" t="s">
        <v>629</v>
      </c>
      <c r="H1238" s="5"/>
      <c r="I1238"/>
      <c r="J1238"/>
      <c r="K1238"/>
      <c r="L1238"/>
      <c r="M1238"/>
      <c r="N1238"/>
      <c r="O1238"/>
      <c r="P1238"/>
      <c r="Q1238"/>
      <c r="R1238"/>
      <c r="S1238"/>
      <c r="T1238"/>
      <c r="U1238"/>
      <c r="V1238"/>
      <c r="W1238"/>
      <c r="X1238"/>
      <c r="Y1238"/>
    </row>
    <row r="1239" spans="1:25" s="104" customFormat="1" hidden="1" x14ac:dyDescent="0.25">
      <c r="A1239" s="97" t="str">
        <f t="shared" si="23"/>
        <v>dpi_vddh1_dyn_HD+_|_1600x900x60_fps_12b_|_1p8V</v>
      </c>
      <c r="B1239" s="97" t="s">
        <v>699</v>
      </c>
      <c r="C1239" s="97" t="s">
        <v>501</v>
      </c>
      <c r="D1239" s="97" t="s">
        <v>817</v>
      </c>
      <c r="E1239" s="97" t="s">
        <v>1050</v>
      </c>
      <c r="F1239" s="97">
        <v>14.262393758976003</v>
      </c>
      <c r="G1239" s="97" t="s">
        <v>629</v>
      </c>
      <c r="H1239" s="5"/>
      <c r="I1239"/>
      <c r="J1239"/>
      <c r="K1239"/>
      <c r="L1239"/>
      <c r="M1239"/>
      <c r="N1239"/>
      <c r="O1239"/>
      <c r="P1239"/>
      <c r="Q1239"/>
      <c r="R1239"/>
      <c r="S1239"/>
      <c r="T1239"/>
      <c r="U1239"/>
      <c r="V1239"/>
      <c r="W1239"/>
      <c r="X1239"/>
      <c r="Y1239"/>
    </row>
    <row r="1240" spans="1:25" s="104" customFormat="1" hidden="1" x14ac:dyDescent="0.25">
      <c r="A1240" s="97" t="str">
        <f t="shared" si="23"/>
        <v>dpi_vddh1_dyn_HD+_|_1600x900x60_fps_16b_|_1p8V</v>
      </c>
      <c r="B1240" s="97" t="s">
        <v>699</v>
      </c>
      <c r="C1240" s="97" t="s">
        <v>501</v>
      </c>
      <c r="D1240" s="97" t="s">
        <v>818</v>
      </c>
      <c r="E1240" s="97" t="s">
        <v>1050</v>
      </c>
      <c r="F1240" s="97">
        <v>14.262393758976003</v>
      </c>
      <c r="G1240" s="97" t="s">
        <v>629</v>
      </c>
      <c r="H1240" s="5"/>
      <c r="I1240"/>
      <c r="J1240"/>
      <c r="K1240"/>
      <c r="L1240"/>
      <c r="M1240"/>
      <c r="N1240"/>
      <c r="O1240"/>
      <c r="P1240"/>
      <c r="Q1240"/>
      <c r="R1240"/>
      <c r="S1240"/>
      <c r="T1240"/>
      <c r="U1240"/>
      <c r="V1240"/>
      <c r="W1240"/>
      <c r="X1240"/>
      <c r="Y1240"/>
    </row>
    <row r="1241" spans="1:25" s="104" customFormat="1" hidden="1" x14ac:dyDescent="0.25">
      <c r="A1241" s="97" t="str">
        <f t="shared" si="23"/>
        <v>dpi_vddh1_dyn_HD+_|_1600x900x60_fps_18b_|_1p8V</v>
      </c>
      <c r="B1241" s="97" t="s">
        <v>699</v>
      </c>
      <c r="C1241" s="97" t="s">
        <v>501</v>
      </c>
      <c r="D1241" s="97" t="s">
        <v>702</v>
      </c>
      <c r="E1241" s="97" t="s">
        <v>1050</v>
      </c>
      <c r="F1241" s="97">
        <v>15.283280891197442</v>
      </c>
      <c r="G1241" s="97" t="s">
        <v>629</v>
      </c>
      <c r="H1241" s="5"/>
      <c r="I1241"/>
      <c r="J1241"/>
      <c r="K1241"/>
      <c r="L1241"/>
      <c r="M1241"/>
      <c r="N1241"/>
      <c r="O1241"/>
      <c r="P1241"/>
      <c r="Q1241"/>
      <c r="R1241"/>
      <c r="S1241"/>
      <c r="T1241"/>
      <c r="U1241"/>
      <c r="V1241"/>
      <c r="W1241"/>
      <c r="X1241"/>
      <c r="Y1241"/>
    </row>
    <row r="1242" spans="1:25" s="104" customFormat="1" hidden="1" x14ac:dyDescent="0.25">
      <c r="A1242" s="97" t="str">
        <f t="shared" si="23"/>
        <v>dpi_vddh1_dyn_HD+_|_1600x900x60_fps_18b_|_1p8V</v>
      </c>
      <c r="B1242" s="97" t="s">
        <v>699</v>
      </c>
      <c r="C1242" s="97" t="s">
        <v>501</v>
      </c>
      <c r="D1242" s="97" t="s">
        <v>702</v>
      </c>
      <c r="E1242" s="97" t="s">
        <v>1050</v>
      </c>
      <c r="F1242" s="97">
        <v>15.283280891197442</v>
      </c>
      <c r="G1242" s="97" t="s">
        <v>629</v>
      </c>
      <c r="H1242" s="5"/>
      <c r="I1242"/>
      <c r="J1242"/>
      <c r="K1242"/>
      <c r="L1242"/>
      <c r="M1242"/>
      <c r="N1242"/>
      <c r="O1242"/>
      <c r="P1242"/>
      <c r="Q1242"/>
      <c r="R1242"/>
      <c r="S1242"/>
      <c r="T1242"/>
      <c r="U1242"/>
      <c r="V1242"/>
      <c r="W1242"/>
      <c r="X1242"/>
      <c r="Y1242"/>
    </row>
    <row r="1243" spans="1:25" s="104" customFormat="1" hidden="1" x14ac:dyDescent="0.25">
      <c r="A1243" s="97" t="str">
        <f t="shared" si="23"/>
        <v>dpi_vddh1_dyn_SD_|_640x480x60_fps_12b_|_1p8V</v>
      </c>
      <c r="B1243" s="97" t="s">
        <v>699</v>
      </c>
      <c r="C1243" s="97" t="s">
        <v>501</v>
      </c>
      <c r="D1243" s="97" t="s">
        <v>776</v>
      </c>
      <c r="E1243" s="97" t="s">
        <v>1050</v>
      </c>
      <c r="F1243" s="97">
        <v>3.099101472000001</v>
      </c>
      <c r="G1243" s="97" t="s">
        <v>629</v>
      </c>
      <c r="H1243" s="5"/>
      <c r="I1243"/>
      <c r="J1243"/>
      <c r="K1243"/>
      <c r="L1243"/>
      <c r="M1243"/>
      <c r="N1243"/>
      <c r="O1243"/>
      <c r="P1243"/>
      <c r="Q1243"/>
      <c r="R1243"/>
      <c r="S1243"/>
      <c r="T1243"/>
      <c r="U1243"/>
      <c r="V1243"/>
      <c r="W1243"/>
      <c r="X1243"/>
      <c r="Y1243"/>
    </row>
    <row r="1244" spans="1:25" s="104" customFormat="1" hidden="1" x14ac:dyDescent="0.25">
      <c r="A1244" s="97" t="str">
        <f t="shared" si="23"/>
        <v>dpi_vddh1_dyn_SD_|_640x480x60_fps_16b_|_1p8V</v>
      </c>
      <c r="B1244" s="97" t="s">
        <v>699</v>
      </c>
      <c r="C1244" s="97" t="s">
        <v>501</v>
      </c>
      <c r="D1244" s="97" t="s">
        <v>777</v>
      </c>
      <c r="E1244" s="97" t="s">
        <v>1050</v>
      </c>
      <c r="F1244" s="97">
        <v>3.099101472000001</v>
      </c>
      <c r="G1244" s="97" t="s">
        <v>629</v>
      </c>
      <c r="H1244" s="5"/>
      <c r="I1244"/>
      <c r="J1244"/>
      <c r="K1244"/>
      <c r="L1244"/>
      <c r="M1244"/>
      <c r="N1244"/>
      <c r="O1244"/>
      <c r="P1244"/>
      <c r="Q1244"/>
      <c r="R1244"/>
      <c r="S1244"/>
      <c r="T1244"/>
      <c r="U1244"/>
      <c r="V1244"/>
      <c r="W1244"/>
      <c r="X1244"/>
      <c r="Y1244"/>
    </row>
    <row r="1245" spans="1:25" s="104" customFormat="1" hidden="1" x14ac:dyDescent="0.25">
      <c r="A1245" s="97" t="str">
        <f t="shared" si="23"/>
        <v>dpi_vddh1_dyn_SD_|_640x480x60_fps_24b_|_1p8V</v>
      </c>
      <c r="B1245" s="97" t="s">
        <v>699</v>
      </c>
      <c r="C1245" s="97" t="s">
        <v>501</v>
      </c>
      <c r="D1245" s="97" t="s">
        <v>778</v>
      </c>
      <c r="E1245" s="97" t="s">
        <v>1050</v>
      </c>
      <c r="F1245" s="97">
        <v>3.7201394880000009</v>
      </c>
      <c r="G1245" s="97" t="s">
        <v>629</v>
      </c>
      <c r="H1245" s="5"/>
      <c r="I1245"/>
      <c r="J1245"/>
      <c r="K1245"/>
      <c r="L1245"/>
      <c r="M1245"/>
      <c r="N1245"/>
      <c r="O1245"/>
      <c r="P1245"/>
      <c r="Q1245"/>
      <c r="R1245"/>
      <c r="S1245"/>
      <c r="T1245"/>
      <c r="U1245"/>
      <c r="V1245"/>
      <c r="W1245"/>
      <c r="X1245"/>
      <c r="Y1245"/>
    </row>
    <row r="1246" spans="1:25" s="104" customFormat="1" hidden="1" x14ac:dyDescent="0.25">
      <c r="A1246" s="97" t="str">
        <f t="shared" si="23"/>
        <v>dpi_vddh1_dyn_SD_|_640x480x60_fps_24b_|_1p8V</v>
      </c>
      <c r="B1246" s="97" t="s">
        <v>699</v>
      </c>
      <c r="C1246" s="97" t="s">
        <v>501</v>
      </c>
      <c r="D1246" s="97" t="s">
        <v>778</v>
      </c>
      <c r="E1246" s="97" t="s">
        <v>1050</v>
      </c>
      <c r="F1246" s="97">
        <v>3.7201394880000009</v>
      </c>
      <c r="G1246" s="97" t="s">
        <v>629</v>
      </c>
      <c r="H1246" s="5"/>
      <c r="I1246"/>
      <c r="J1246"/>
      <c r="K1246"/>
      <c r="L1246"/>
      <c r="M1246"/>
      <c r="N1246"/>
      <c r="O1246"/>
      <c r="P1246"/>
      <c r="Q1246"/>
      <c r="R1246"/>
      <c r="S1246"/>
      <c r="T1246"/>
      <c r="U1246"/>
      <c r="V1246"/>
      <c r="W1246"/>
      <c r="X1246"/>
      <c r="Y1246"/>
    </row>
    <row r="1247" spans="1:25" s="104" customFormat="1" hidden="1" x14ac:dyDescent="0.25">
      <c r="A1247" s="97" t="str">
        <f t="shared" si="23"/>
        <v>dpi_vddh1_dyn_SVGA_|_800x600x60_fps_12b_|_1p8V</v>
      </c>
      <c r="B1247" s="97" t="s">
        <v>699</v>
      </c>
      <c r="C1247" s="97" t="s">
        <v>501</v>
      </c>
      <c r="D1247" s="97" t="s">
        <v>779</v>
      </c>
      <c r="E1247" s="97" t="s">
        <v>1050</v>
      </c>
      <c r="F1247" s="97">
        <v>4.9506286554316805</v>
      </c>
      <c r="G1247" s="97" t="s">
        <v>629</v>
      </c>
      <c r="H1247" s="5"/>
      <c r="I1247"/>
      <c r="J1247"/>
      <c r="K1247"/>
      <c r="L1247"/>
      <c r="M1247"/>
      <c r="N1247"/>
      <c r="O1247"/>
      <c r="P1247"/>
      <c r="Q1247"/>
      <c r="R1247"/>
      <c r="S1247"/>
      <c r="T1247"/>
      <c r="U1247"/>
      <c r="V1247"/>
      <c r="W1247"/>
      <c r="X1247"/>
      <c r="Y1247"/>
    </row>
    <row r="1248" spans="1:25" s="104" customFormat="1" hidden="1" x14ac:dyDescent="0.25">
      <c r="A1248" s="97" t="str">
        <f t="shared" si="23"/>
        <v>dpi_vddh1_dyn_SVGA_|_800x600x60_fps_16b_|_1p8V</v>
      </c>
      <c r="B1248" s="97" t="s">
        <v>699</v>
      </c>
      <c r="C1248" s="97" t="s">
        <v>501</v>
      </c>
      <c r="D1248" s="97" t="s">
        <v>780</v>
      </c>
      <c r="E1248" s="97" t="s">
        <v>1050</v>
      </c>
      <c r="F1248" s="97">
        <v>4.9506286554316805</v>
      </c>
      <c r="G1248" s="97" t="s">
        <v>629</v>
      </c>
      <c r="H1248" s="5"/>
      <c r="I1248"/>
      <c r="J1248"/>
      <c r="K1248"/>
      <c r="L1248"/>
      <c r="M1248"/>
      <c r="N1248"/>
      <c r="O1248"/>
      <c r="P1248"/>
      <c r="Q1248"/>
      <c r="R1248"/>
      <c r="S1248"/>
      <c r="T1248"/>
      <c r="U1248"/>
      <c r="V1248"/>
      <c r="W1248"/>
      <c r="X1248"/>
      <c r="Y1248"/>
    </row>
    <row r="1249" spans="1:25" s="104" customFormat="1" hidden="1" x14ac:dyDescent="0.25">
      <c r="A1249" s="97" t="str">
        <f t="shared" si="23"/>
        <v>dpi_vddh1_dyn_SVGA_|_800x600x60_fps_24b_|_1p8V</v>
      </c>
      <c r="B1249" s="97" t="s">
        <v>699</v>
      </c>
      <c r="C1249" s="97" t="s">
        <v>501</v>
      </c>
      <c r="D1249" s="97" t="s">
        <v>781</v>
      </c>
      <c r="E1249" s="97" t="s">
        <v>1050</v>
      </c>
      <c r="F1249" s="97">
        <v>5.9426996237107206</v>
      </c>
      <c r="G1249" s="97" t="s">
        <v>629</v>
      </c>
      <c r="H1249" s="5"/>
      <c r="I1249"/>
      <c r="J1249"/>
      <c r="K1249"/>
      <c r="L1249"/>
      <c r="M1249"/>
      <c r="N1249"/>
      <c r="O1249"/>
      <c r="P1249"/>
      <c r="Q1249"/>
      <c r="R1249"/>
      <c r="S1249"/>
      <c r="T1249"/>
      <c r="U1249"/>
      <c r="V1249"/>
      <c r="W1249"/>
      <c r="X1249"/>
      <c r="Y1249"/>
    </row>
    <row r="1250" spans="1:25" s="104" customFormat="1" hidden="1" x14ac:dyDescent="0.25">
      <c r="A1250" s="97" t="str">
        <f t="shared" si="23"/>
        <v>dpi_vddh1_dyn_SVGA_|_800x600x60_fps_24b_|_1p8V</v>
      </c>
      <c r="B1250" s="97" t="s">
        <v>699</v>
      </c>
      <c r="C1250" s="97" t="s">
        <v>501</v>
      </c>
      <c r="D1250" s="97" t="s">
        <v>781</v>
      </c>
      <c r="E1250" s="97" t="s">
        <v>1050</v>
      </c>
      <c r="F1250" s="97">
        <v>5.9426996237107206</v>
      </c>
      <c r="G1250" s="97" t="s">
        <v>629</v>
      </c>
      <c r="H1250" s="5"/>
      <c r="I1250"/>
      <c r="J1250"/>
      <c r="K1250"/>
      <c r="L1250"/>
      <c r="M1250"/>
      <c r="N1250"/>
      <c r="O1250"/>
      <c r="P1250"/>
      <c r="Q1250"/>
      <c r="R1250"/>
      <c r="S1250"/>
      <c r="T1250"/>
      <c r="U1250"/>
      <c r="V1250"/>
      <c r="W1250"/>
      <c r="X1250"/>
      <c r="Y1250"/>
    </row>
    <row r="1251" spans="1:25" s="104" customFormat="1" hidden="1" x14ac:dyDescent="0.25">
      <c r="A1251" s="97" t="str">
        <f t="shared" si="23"/>
        <v>dpi_vddh1_dyn_SXGA_|_1280x1024x30_fps_12b_|_1p8V</v>
      </c>
      <c r="B1251" s="97" t="s">
        <v>699</v>
      </c>
      <c r="C1251" s="97" t="s">
        <v>501</v>
      </c>
      <c r="D1251" s="97" t="s">
        <v>801</v>
      </c>
      <c r="E1251" s="97" t="s">
        <v>1050</v>
      </c>
      <c r="F1251" s="97">
        <v>6.5789814440160024</v>
      </c>
      <c r="G1251" s="97" t="s">
        <v>629</v>
      </c>
      <c r="H1251" s="5"/>
      <c r="I1251"/>
      <c r="J1251"/>
      <c r="K1251"/>
      <c r="L1251"/>
      <c r="M1251"/>
      <c r="N1251"/>
      <c r="O1251"/>
      <c r="P1251"/>
      <c r="Q1251"/>
      <c r="R1251"/>
      <c r="S1251"/>
      <c r="T1251"/>
      <c r="U1251"/>
      <c r="V1251"/>
      <c r="W1251"/>
      <c r="X1251"/>
      <c r="Y1251"/>
    </row>
    <row r="1252" spans="1:25" s="104" customFormat="1" hidden="1" x14ac:dyDescent="0.25">
      <c r="A1252" s="97" t="str">
        <f t="shared" si="23"/>
        <v>dpi_vddh1_dyn_SXGA_|_1280x1024x30_fps_16b_|_1p8V</v>
      </c>
      <c r="B1252" s="97" t="s">
        <v>699</v>
      </c>
      <c r="C1252" s="97" t="s">
        <v>501</v>
      </c>
      <c r="D1252" s="97" t="s">
        <v>802</v>
      </c>
      <c r="E1252" s="97" t="s">
        <v>1050</v>
      </c>
      <c r="F1252" s="97">
        <v>6.5789814440160024</v>
      </c>
      <c r="G1252" s="97" t="s">
        <v>629</v>
      </c>
      <c r="H1252" s="5"/>
      <c r="I1252"/>
      <c r="J1252"/>
      <c r="K1252"/>
      <c r="L1252"/>
      <c r="M1252"/>
      <c r="N1252"/>
      <c r="O1252"/>
      <c r="P1252"/>
      <c r="Q1252"/>
      <c r="R1252"/>
      <c r="S1252"/>
      <c r="T1252"/>
      <c r="U1252"/>
      <c r="V1252"/>
      <c r="W1252"/>
      <c r="X1252"/>
      <c r="Y1252"/>
    </row>
    <row r="1253" spans="1:25" s="104" customFormat="1" hidden="1" x14ac:dyDescent="0.25">
      <c r="A1253" s="97" t="str">
        <f t="shared" si="23"/>
        <v>dpi_vddh1_dyn_SXGA_|_1280x1024x30_fps_18b_|_1p8V</v>
      </c>
      <c r="B1253" s="97" t="s">
        <v>699</v>
      </c>
      <c r="C1253" s="97" t="s">
        <v>501</v>
      </c>
      <c r="D1253" s="97" t="s">
        <v>803</v>
      </c>
      <c r="E1253" s="97" t="s">
        <v>1050</v>
      </c>
      <c r="F1253" s="97">
        <v>8.4626477100921615</v>
      </c>
      <c r="G1253" s="97" t="s">
        <v>629</v>
      </c>
      <c r="H1253" s="5"/>
      <c r="I1253"/>
      <c r="J1253"/>
      <c r="K1253"/>
      <c r="L1253"/>
      <c r="M1253"/>
      <c r="N1253"/>
      <c r="O1253"/>
      <c r="P1253"/>
      <c r="Q1253"/>
      <c r="R1253"/>
      <c r="S1253"/>
      <c r="T1253"/>
      <c r="U1253"/>
      <c r="V1253"/>
      <c r="W1253"/>
      <c r="X1253"/>
      <c r="Y1253"/>
    </row>
    <row r="1254" spans="1:25" s="104" customFormat="1" hidden="1" x14ac:dyDescent="0.25">
      <c r="A1254" s="97" t="str">
        <f t="shared" ref="A1254:A1317" si="24">B1254&amp;"_"&amp;C1254&amp;"_"&amp;D1254</f>
        <v>dpi_vddh1_dyn_SXGA_|_1280x1024x30_fps_24b_|_1p8V</v>
      </c>
      <c r="B1254" s="97" t="s">
        <v>699</v>
      </c>
      <c r="C1254" s="97" t="s">
        <v>501</v>
      </c>
      <c r="D1254" s="97" t="s">
        <v>804</v>
      </c>
      <c r="E1254" s="97" t="s">
        <v>1050</v>
      </c>
      <c r="F1254" s="97">
        <v>8.4626477100921615</v>
      </c>
      <c r="G1254" s="97" t="s">
        <v>629</v>
      </c>
      <c r="H1254" s="5"/>
      <c r="I1254"/>
      <c r="J1254"/>
      <c r="K1254"/>
      <c r="L1254"/>
      <c r="M1254"/>
      <c r="N1254"/>
      <c r="O1254"/>
      <c r="P1254"/>
      <c r="Q1254"/>
      <c r="R1254"/>
      <c r="S1254"/>
      <c r="T1254"/>
      <c r="U1254"/>
      <c r="V1254"/>
      <c r="W1254"/>
      <c r="X1254"/>
      <c r="Y1254"/>
    </row>
    <row r="1255" spans="1:25" s="104" customFormat="1" hidden="1" x14ac:dyDescent="0.25">
      <c r="A1255" s="97" t="str">
        <f t="shared" si="24"/>
        <v>dpi_vddh1_dyn_SXGA_|_1280x1024x60_fps_12b_|_1p8V</v>
      </c>
      <c r="B1255" s="97" t="s">
        <v>699</v>
      </c>
      <c r="C1255" s="97" t="s">
        <v>501</v>
      </c>
      <c r="D1255" s="97" t="s">
        <v>805</v>
      </c>
      <c r="E1255" s="97" t="s">
        <v>1050</v>
      </c>
      <c r="F1255" s="97">
        <v>13.157962888032005</v>
      </c>
      <c r="G1255" s="97" t="s">
        <v>629</v>
      </c>
      <c r="H1255" s="5"/>
      <c r="I1255"/>
      <c r="J1255"/>
      <c r="K1255"/>
      <c r="L1255"/>
      <c r="M1255"/>
      <c r="N1255"/>
      <c r="O1255"/>
      <c r="P1255"/>
      <c r="Q1255"/>
      <c r="R1255"/>
      <c r="S1255"/>
      <c r="T1255"/>
      <c r="U1255"/>
      <c r="V1255"/>
      <c r="W1255"/>
      <c r="X1255"/>
      <c r="Y1255"/>
    </row>
    <row r="1256" spans="1:25" s="104" customFormat="1" hidden="1" x14ac:dyDescent="0.25">
      <c r="A1256" s="97" t="str">
        <f t="shared" si="24"/>
        <v>dpi_vddh1_dyn_SXGA_|_1280x1024x60_fps_16b_|_1p8V</v>
      </c>
      <c r="B1256" s="97" t="s">
        <v>699</v>
      </c>
      <c r="C1256" s="97" t="s">
        <v>501</v>
      </c>
      <c r="D1256" s="97" t="s">
        <v>806</v>
      </c>
      <c r="E1256" s="97" t="s">
        <v>1050</v>
      </c>
      <c r="F1256" s="97">
        <v>13.157962888032005</v>
      </c>
      <c r="G1256" s="97" t="s">
        <v>629</v>
      </c>
      <c r="H1256" s="5"/>
      <c r="I1256"/>
      <c r="J1256"/>
      <c r="K1256"/>
      <c r="L1256"/>
      <c r="M1256"/>
      <c r="N1256"/>
      <c r="O1256"/>
      <c r="P1256"/>
      <c r="Q1256"/>
      <c r="R1256"/>
      <c r="S1256"/>
      <c r="T1256"/>
      <c r="U1256"/>
      <c r="V1256"/>
      <c r="W1256"/>
      <c r="X1256"/>
      <c r="Y1256"/>
    </row>
    <row r="1257" spans="1:25" s="104" customFormat="1" hidden="1" x14ac:dyDescent="0.25">
      <c r="A1257" s="97" t="str">
        <f t="shared" si="24"/>
        <v>dpi_vddh1_dyn_SXGA_|_1280x1024x60_fps_18b_|_1p8V</v>
      </c>
      <c r="B1257" s="97" t="s">
        <v>699</v>
      </c>
      <c r="C1257" s="97" t="s">
        <v>501</v>
      </c>
      <c r="D1257" s="97" t="s">
        <v>807</v>
      </c>
      <c r="E1257" s="97" t="s">
        <v>1050</v>
      </c>
      <c r="F1257" s="97">
        <v>16.925295420184323</v>
      </c>
      <c r="G1257" s="97" t="s">
        <v>629</v>
      </c>
      <c r="H1257" s="5"/>
      <c r="I1257"/>
      <c r="J1257"/>
      <c r="K1257"/>
      <c r="L1257"/>
      <c r="M1257"/>
      <c r="N1257"/>
      <c r="O1257"/>
      <c r="P1257"/>
      <c r="Q1257"/>
      <c r="R1257"/>
      <c r="S1257"/>
      <c r="T1257"/>
      <c r="U1257"/>
      <c r="V1257"/>
      <c r="W1257"/>
      <c r="X1257"/>
      <c r="Y1257"/>
    </row>
    <row r="1258" spans="1:25" s="104" customFormat="1" hidden="1" x14ac:dyDescent="0.25">
      <c r="A1258" s="97" t="str">
        <f t="shared" si="24"/>
        <v>dpi_vddh1_dyn_SXGA_|_1280x1024x60_fps_24b_|_1p8V</v>
      </c>
      <c r="B1258" s="97" t="s">
        <v>699</v>
      </c>
      <c r="C1258" s="97" t="s">
        <v>501</v>
      </c>
      <c r="D1258" s="97" t="s">
        <v>808</v>
      </c>
      <c r="E1258" s="97" t="s">
        <v>1050</v>
      </c>
      <c r="F1258" s="97">
        <v>16.925295420184323</v>
      </c>
      <c r="G1258" s="97" t="s">
        <v>629</v>
      </c>
      <c r="H1258" s="5"/>
      <c r="I1258"/>
      <c r="J1258"/>
      <c r="K1258"/>
      <c r="L1258"/>
      <c r="M1258"/>
      <c r="N1258"/>
      <c r="O1258"/>
      <c r="P1258"/>
      <c r="Q1258"/>
      <c r="R1258"/>
      <c r="S1258"/>
      <c r="T1258"/>
      <c r="U1258"/>
      <c r="V1258"/>
      <c r="W1258"/>
      <c r="X1258"/>
      <c r="Y1258"/>
    </row>
    <row r="1259" spans="1:25" s="104" customFormat="1" hidden="1" x14ac:dyDescent="0.25">
      <c r="A1259" s="97" t="str">
        <f t="shared" si="24"/>
        <v>dpi_vddh1_dyn_SXGA+_|_1400x1050x60_fps_12b_|_1p8V</v>
      </c>
      <c r="B1259" s="97" t="s">
        <v>699</v>
      </c>
      <c r="C1259" s="97" t="s">
        <v>501</v>
      </c>
      <c r="D1259" s="97" t="s">
        <v>809</v>
      </c>
      <c r="E1259" s="97" t="s">
        <v>1050</v>
      </c>
      <c r="F1259" s="97">
        <v>14.676598716912006</v>
      </c>
      <c r="G1259" s="97" t="s">
        <v>629</v>
      </c>
      <c r="H1259" s="5"/>
      <c r="I1259"/>
      <c r="J1259"/>
      <c r="K1259"/>
      <c r="L1259"/>
      <c r="M1259"/>
      <c r="N1259"/>
      <c r="O1259"/>
      <c r="P1259"/>
      <c r="Q1259"/>
      <c r="R1259"/>
      <c r="S1259"/>
      <c r="T1259"/>
      <c r="U1259"/>
      <c r="V1259"/>
      <c r="W1259"/>
      <c r="X1259"/>
      <c r="Y1259"/>
    </row>
    <row r="1260" spans="1:25" s="104" customFormat="1" hidden="1" x14ac:dyDescent="0.25">
      <c r="A1260" s="97" t="str">
        <f t="shared" si="24"/>
        <v>dpi_vddh1_dyn_SXGA+_|_1400x1050x60_fps_16b_|_1p8V</v>
      </c>
      <c r="B1260" s="97" t="s">
        <v>699</v>
      </c>
      <c r="C1260" s="97" t="s">
        <v>501</v>
      </c>
      <c r="D1260" s="97" t="s">
        <v>810</v>
      </c>
      <c r="E1260" s="97" t="s">
        <v>1050</v>
      </c>
      <c r="F1260" s="97">
        <v>14.676598716912006</v>
      </c>
      <c r="G1260" s="97" t="s">
        <v>629</v>
      </c>
      <c r="H1260" s="5"/>
      <c r="I1260"/>
      <c r="J1260"/>
      <c r="K1260"/>
      <c r="L1260"/>
      <c r="M1260"/>
      <c r="N1260"/>
      <c r="O1260"/>
      <c r="P1260"/>
      <c r="Q1260"/>
      <c r="R1260"/>
      <c r="S1260"/>
      <c r="T1260"/>
      <c r="U1260"/>
      <c r="V1260"/>
      <c r="W1260"/>
      <c r="X1260"/>
      <c r="Y1260"/>
    </row>
    <row r="1261" spans="1:25" s="104" customFormat="1" hidden="1" x14ac:dyDescent="0.25">
      <c r="A1261" s="97" t="str">
        <f t="shared" si="24"/>
        <v>dpi_vddh1_dyn_SXGA+_|_1400x1050x60_fps_18b_|_1p8V</v>
      </c>
      <c r="B1261" s="97" t="s">
        <v>699</v>
      </c>
      <c r="C1261" s="97" t="s">
        <v>501</v>
      </c>
      <c r="D1261" s="97" t="s">
        <v>811</v>
      </c>
      <c r="E1261" s="97" t="s">
        <v>1050</v>
      </c>
      <c r="F1261" s="97">
        <v>18.878740665333122</v>
      </c>
      <c r="G1261" s="97" t="s">
        <v>629</v>
      </c>
      <c r="H1261" s="5"/>
      <c r="I1261"/>
      <c r="J1261"/>
      <c r="K1261"/>
      <c r="L1261"/>
      <c r="M1261"/>
      <c r="N1261"/>
      <c r="O1261"/>
      <c r="P1261"/>
      <c r="Q1261"/>
      <c r="R1261"/>
      <c r="S1261"/>
      <c r="T1261"/>
      <c r="U1261"/>
      <c r="V1261"/>
      <c r="W1261"/>
      <c r="X1261"/>
      <c r="Y1261"/>
    </row>
    <row r="1262" spans="1:25" s="104" customFormat="1" hidden="1" x14ac:dyDescent="0.25">
      <c r="A1262" s="97" t="str">
        <f t="shared" si="24"/>
        <v>dpi_vddh1_dyn_SXGA+_|_1400x1050x60_fps_24b_|_1p8V</v>
      </c>
      <c r="B1262" s="97" t="s">
        <v>699</v>
      </c>
      <c r="C1262" s="97" t="s">
        <v>501</v>
      </c>
      <c r="D1262" s="97" t="s">
        <v>812</v>
      </c>
      <c r="E1262" s="97" t="s">
        <v>1050</v>
      </c>
      <c r="F1262" s="97">
        <v>15.727134204017284</v>
      </c>
      <c r="G1262" s="97" t="s">
        <v>629</v>
      </c>
      <c r="H1262" s="5"/>
      <c r="I1262"/>
      <c r="J1262"/>
      <c r="K1262"/>
      <c r="L1262"/>
      <c r="M1262"/>
      <c r="N1262"/>
      <c r="O1262"/>
      <c r="P1262"/>
      <c r="Q1262"/>
      <c r="R1262"/>
      <c r="S1262"/>
      <c r="T1262"/>
      <c r="U1262"/>
      <c r="V1262"/>
      <c r="W1262"/>
      <c r="X1262"/>
      <c r="Y1262"/>
    </row>
    <row r="1263" spans="1:25" s="104" customFormat="1" hidden="1" x14ac:dyDescent="0.25">
      <c r="A1263" s="97" t="str">
        <f t="shared" si="24"/>
        <v>dpi_vddh1_dyn_UXGA_|_1600x1200x30_fps_12b_|_1p8V</v>
      </c>
      <c r="B1263" s="97" t="s">
        <v>699</v>
      </c>
      <c r="C1263" s="97" t="s">
        <v>501</v>
      </c>
      <c r="D1263" s="97" t="s">
        <v>819</v>
      </c>
      <c r="E1263" s="97" t="s">
        <v>1050</v>
      </c>
      <c r="F1263" s="97">
        <v>9.7217565012000016</v>
      </c>
      <c r="G1263" s="97" t="s">
        <v>629</v>
      </c>
      <c r="H1263" s="5"/>
      <c r="I1263"/>
      <c r="J1263"/>
      <c r="K1263"/>
      <c r="L1263"/>
      <c r="M1263"/>
      <c r="N1263"/>
      <c r="O1263"/>
      <c r="P1263"/>
      <c r="Q1263"/>
      <c r="R1263"/>
      <c r="S1263"/>
      <c r="T1263"/>
      <c r="U1263"/>
      <c r="V1263"/>
      <c r="W1263"/>
      <c r="X1263"/>
      <c r="Y1263"/>
    </row>
    <row r="1264" spans="1:25" s="104" customFormat="1" hidden="1" x14ac:dyDescent="0.25">
      <c r="A1264" s="97" t="str">
        <f t="shared" si="24"/>
        <v>dpi_vddh1_dyn_UXGA_|_1600x1200x30_fps_16b_|_1p8V</v>
      </c>
      <c r="B1264" s="97" t="s">
        <v>699</v>
      </c>
      <c r="C1264" s="97" t="s">
        <v>501</v>
      </c>
      <c r="D1264" s="97" t="s">
        <v>820</v>
      </c>
      <c r="E1264" s="97" t="s">
        <v>1050</v>
      </c>
      <c r="F1264" s="97">
        <v>9.7217565012000016</v>
      </c>
      <c r="G1264" s="97" t="s">
        <v>629</v>
      </c>
      <c r="H1264" s="5"/>
      <c r="I1264"/>
      <c r="J1264"/>
      <c r="K1264"/>
      <c r="L1264"/>
      <c r="M1264"/>
      <c r="N1264"/>
      <c r="O1264"/>
      <c r="P1264"/>
      <c r="Q1264"/>
      <c r="R1264"/>
      <c r="S1264"/>
      <c r="T1264"/>
      <c r="U1264"/>
      <c r="V1264"/>
      <c r="W1264"/>
      <c r="X1264"/>
      <c r="Y1264"/>
    </row>
    <row r="1265" spans="1:25" s="104" customFormat="1" hidden="1" x14ac:dyDescent="0.25">
      <c r="A1265" s="97" t="str">
        <f t="shared" si="24"/>
        <v>dpi_vddh1_dyn_UXGA_|_1600x1200x30_fps_18b_|_1p8V</v>
      </c>
      <c r="B1265" s="97" t="s">
        <v>699</v>
      </c>
      <c r="C1265" s="97" t="s">
        <v>501</v>
      </c>
      <c r="D1265" s="97" t="s">
        <v>821</v>
      </c>
      <c r="E1265" s="97" t="s">
        <v>1050</v>
      </c>
      <c r="F1265" s="97">
        <v>10.417629598128002</v>
      </c>
      <c r="G1265" s="97" t="s">
        <v>629</v>
      </c>
      <c r="H1265" s="5"/>
      <c r="I1265"/>
      <c r="J1265"/>
      <c r="K1265"/>
      <c r="L1265"/>
      <c r="M1265"/>
      <c r="N1265"/>
      <c r="O1265"/>
      <c r="P1265"/>
      <c r="Q1265"/>
      <c r="R1265"/>
      <c r="S1265"/>
      <c r="T1265"/>
      <c r="U1265"/>
      <c r="V1265"/>
      <c r="W1265"/>
      <c r="X1265"/>
      <c r="Y1265"/>
    </row>
    <row r="1266" spans="1:25" s="104" customFormat="1" hidden="1" x14ac:dyDescent="0.25">
      <c r="A1266" s="97" t="str">
        <f t="shared" si="24"/>
        <v>dpi_vddh1_dyn_UXGA_|_1600x1200x30_fps_24b_|_1p8V</v>
      </c>
      <c r="B1266" s="97" t="s">
        <v>699</v>
      </c>
      <c r="C1266" s="97" t="s">
        <v>501</v>
      </c>
      <c r="D1266" s="97" t="s">
        <v>822</v>
      </c>
      <c r="E1266" s="97" t="s">
        <v>1050</v>
      </c>
      <c r="F1266" s="97">
        <v>10.417629598128002</v>
      </c>
      <c r="G1266" s="97" t="s">
        <v>629</v>
      </c>
      <c r="H1266" s="5"/>
      <c r="I1266"/>
      <c r="J1266"/>
      <c r="K1266"/>
      <c r="L1266"/>
      <c r="M1266"/>
      <c r="N1266"/>
      <c r="O1266"/>
      <c r="P1266"/>
      <c r="Q1266"/>
      <c r="R1266"/>
      <c r="S1266"/>
      <c r="T1266"/>
      <c r="U1266"/>
      <c r="V1266"/>
      <c r="W1266"/>
      <c r="X1266"/>
      <c r="Y1266"/>
    </row>
    <row r="1267" spans="1:25" s="104" customFormat="1" hidden="1" x14ac:dyDescent="0.25">
      <c r="A1267" s="97" t="str">
        <f t="shared" si="24"/>
        <v>dpi_vddh1_dyn_UXGA_|_1600x1200x60_fps_12b_|_1p8V</v>
      </c>
      <c r="B1267" s="97" t="s">
        <v>699</v>
      </c>
      <c r="C1267" s="97" t="s">
        <v>501</v>
      </c>
      <c r="D1267" s="97" t="s">
        <v>823</v>
      </c>
      <c r="E1267" s="97" t="s">
        <v>1050</v>
      </c>
      <c r="F1267" s="97">
        <v>19.443513002400003</v>
      </c>
      <c r="G1267" s="97" t="s">
        <v>629</v>
      </c>
      <c r="H1267" s="5"/>
      <c r="I1267"/>
      <c r="J1267"/>
      <c r="K1267"/>
      <c r="L1267"/>
      <c r="M1267"/>
      <c r="N1267"/>
      <c r="O1267"/>
      <c r="P1267"/>
      <c r="Q1267"/>
      <c r="R1267"/>
      <c r="S1267"/>
      <c r="T1267"/>
      <c r="U1267"/>
      <c r="V1267"/>
      <c r="W1267"/>
      <c r="X1267"/>
      <c r="Y1267"/>
    </row>
    <row r="1268" spans="1:25" s="104" customFormat="1" hidden="1" x14ac:dyDescent="0.25">
      <c r="A1268" s="97" t="str">
        <f t="shared" si="24"/>
        <v>dpi_vddh1_dyn_UXGA_|_1600x1200x60_fps_16b_|_1p8V</v>
      </c>
      <c r="B1268" s="97" t="s">
        <v>699</v>
      </c>
      <c r="C1268" s="97" t="s">
        <v>501</v>
      </c>
      <c r="D1268" s="97" t="s">
        <v>824</v>
      </c>
      <c r="E1268" s="97" t="s">
        <v>1050</v>
      </c>
      <c r="F1268" s="97">
        <v>19.443513002400003</v>
      </c>
      <c r="G1268" s="97" t="s">
        <v>629</v>
      </c>
      <c r="H1268" s="5"/>
      <c r="I1268"/>
      <c r="J1268"/>
      <c r="K1268"/>
      <c r="L1268"/>
      <c r="M1268"/>
      <c r="N1268"/>
      <c r="O1268"/>
      <c r="P1268"/>
      <c r="Q1268"/>
      <c r="R1268"/>
      <c r="S1268"/>
      <c r="T1268"/>
      <c r="U1268"/>
      <c r="V1268"/>
      <c r="W1268"/>
      <c r="X1268"/>
      <c r="Y1268"/>
    </row>
    <row r="1269" spans="1:25" s="104" customFormat="1" hidden="1" x14ac:dyDescent="0.25">
      <c r="A1269" s="97" t="str">
        <f t="shared" si="24"/>
        <v>dpi_vddh1_dyn_UXGA_|_1600x1200x60_fps_18b_|_1p8V</v>
      </c>
      <c r="B1269" s="97" t="s">
        <v>699</v>
      </c>
      <c r="C1269" s="97" t="s">
        <v>501</v>
      </c>
      <c r="D1269" s="97" t="s">
        <v>825</v>
      </c>
      <c r="E1269" s="97" t="s">
        <v>1050</v>
      </c>
      <c r="F1269" s="97">
        <v>20.835259196256004</v>
      </c>
      <c r="G1269" s="97" t="s">
        <v>629</v>
      </c>
      <c r="H1269" s="5"/>
      <c r="I1269"/>
      <c r="J1269"/>
      <c r="K1269"/>
      <c r="L1269"/>
      <c r="M1269"/>
      <c r="N1269"/>
      <c r="O1269"/>
      <c r="P1269"/>
      <c r="Q1269"/>
      <c r="R1269"/>
      <c r="S1269"/>
      <c r="T1269"/>
      <c r="U1269"/>
      <c r="V1269"/>
      <c r="W1269"/>
      <c r="X1269"/>
      <c r="Y1269"/>
    </row>
    <row r="1270" spans="1:25" s="104" customFormat="1" hidden="1" x14ac:dyDescent="0.25">
      <c r="A1270" s="97" t="str">
        <f t="shared" si="24"/>
        <v>dpi_vddh1_dyn_UXGA_|_1600x1200x60_fps_24b_|_1p8V</v>
      </c>
      <c r="B1270" s="97" t="s">
        <v>699</v>
      </c>
      <c r="C1270" s="97" t="s">
        <v>501</v>
      </c>
      <c r="D1270" s="97" t="s">
        <v>826</v>
      </c>
      <c r="E1270" s="97" t="s">
        <v>1050</v>
      </c>
      <c r="F1270" s="97">
        <v>20.835259196256004</v>
      </c>
      <c r="G1270" s="97" t="s">
        <v>629</v>
      </c>
      <c r="H1270" s="5"/>
      <c r="I1270"/>
      <c r="J1270"/>
      <c r="K1270"/>
      <c r="L1270"/>
      <c r="M1270"/>
      <c r="N1270"/>
      <c r="O1270"/>
      <c r="P1270"/>
      <c r="Q1270"/>
      <c r="R1270"/>
      <c r="S1270"/>
      <c r="T1270"/>
      <c r="U1270"/>
      <c r="V1270"/>
      <c r="W1270"/>
      <c r="X1270"/>
      <c r="Y1270"/>
    </row>
    <row r="1271" spans="1:25" s="104" customFormat="1" hidden="1" x14ac:dyDescent="0.25">
      <c r="A1271" s="97" t="str">
        <f t="shared" si="24"/>
        <v>dpi_vddh1_dyn_WVGA_|_854x480x60_fps_12b_|_1p8V</v>
      </c>
      <c r="B1271" s="97" t="s">
        <v>699</v>
      </c>
      <c r="C1271" s="97" t="s">
        <v>501</v>
      </c>
      <c r="D1271" s="97" t="s">
        <v>782</v>
      </c>
      <c r="E1271" s="97" t="s">
        <v>1050</v>
      </c>
      <c r="F1271" s="97">
        <v>4.0908139430400006</v>
      </c>
      <c r="G1271" s="97" t="s">
        <v>629</v>
      </c>
      <c r="H1271" s="5"/>
      <c r="I1271"/>
      <c r="J1271"/>
      <c r="K1271"/>
      <c r="L1271"/>
      <c r="M1271"/>
      <c r="N1271"/>
      <c r="O1271"/>
      <c r="P1271"/>
      <c r="Q1271"/>
      <c r="R1271"/>
      <c r="S1271"/>
      <c r="T1271"/>
      <c r="U1271"/>
      <c r="V1271"/>
      <c r="W1271"/>
      <c r="X1271"/>
      <c r="Y1271"/>
    </row>
    <row r="1272" spans="1:25" s="104" customFormat="1" hidden="1" x14ac:dyDescent="0.25">
      <c r="A1272" s="97" t="str">
        <f t="shared" si="24"/>
        <v>dpi_vddh1_dyn_WVGA_|_854x480x60_fps_16b_|_1p8V</v>
      </c>
      <c r="B1272" s="97" t="s">
        <v>699</v>
      </c>
      <c r="C1272" s="97" t="s">
        <v>501</v>
      </c>
      <c r="D1272" s="97" t="s">
        <v>783</v>
      </c>
      <c r="E1272" s="97" t="s">
        <v>1050</v>
      </c>
      <c r="F1272" s="97">
        <v>3.8175572160000009</v>
      </c>
      <c r="G1272" s="97" t="s">
        <v>629</v>
      </c>
      <c r="H1272" s="5"/>
      <c r="I1272"/>
      <c r="J1272"/>
      <c r="K1272"/>
      <c r="L1272"/>
      <c r="M1272"/>
      <c r="N1272"/>
      <c r="O1272"/>
      <c r="P1272"/>
      <c r="Q1272"/>
      <c r="R1272"/>
      <c r="S1272"/>
      <c r="T1272"/>
      <c r="U1272"/>
      <c r="V1272"/>
      <c r="W1272"/>
      <c r="X1272"/>
      <c r="Y1272"/>
    </row>
    <row r="1273" spans="1:25" s="104" customFormat="1" hidden="1" x14ac:dyDescent="0.25">
      <c r="A1273" s="97" t="str">
        <f t="shared" si="24"/>
        <v>dpi_vddh1_dyn_WVGA_|_854x480x60_fps_24b_|_1p8V</v>
      </c>
      <c r="B1273" s="97" t="s">
        <v>699</v>
      </c>
      <c r="C1273" s="97" t="s">
        <v>501</v>
      </c>
      <c r="D1273" s="97" t="s">
        <v>784</v>
      </c>
      <c r="E1273" s="97" t="s">
        <v>1050</v>
      </c>
      <c r="F1273" s="97">
        <v>4.9105841241600006</v>
      </c>
      <c r="G1273" s="97" t="s">
        <v>629</v>
      </c>
      <c r="H1273" s="5"/>
      <c r="I1273"/>
      <c r="J1273"/>
      <c r="K1273"/>
      <c r="L1273"/>
      <c r="M1273"/>
      <c r="N1273"/>
      <c r="O1273"/>
      <c r="P1273"/>
      <c r="Q1273"/>
      <c r="R1273"/>
      <c r="S1273"/>
      <c r="T1273"/>
      <c r="U1273"/>
      <c r="V1273"/>
      <c r="W1273"/>
      <c r="X1273"/>
      <c r="Y1273"/>
    </row>
    <row r="1274" spans="1:25" s="104" customFormat="1" hidden="1" x14ac:dyDescent="0.25">
      <c r="A1274" s="97" t="str">
        <f t="shared" si="24"/>
        <v>dpi_vddh1_dyn_WVGA_|_854x480x60_fps_24b_|_1p8V</v>
      </c>
      <c r="B1274" s="97" t="s">
        <v>699</v>
      </c>
      <c r="C1274" s="97" t="s">
        <v>501</v>
      </c>
      <c r="D1274" s="97" t="s">
        <v>784</v>
      </c>
      <c r="E1274" s="97" t="s">
        <v>1050</v>
      </c>
      <c r="F1274" s="97">
        <v>4.9105841241600006</v>
      </c>
      <c r="G1274" s="97" t="s">
        <v>629</v>
      </c>
      <c r="H1274" s="5"/>
      <c r="I1274"/>
      <c r="J1274"/>
      <c r="K1274"/>
      <c r="L1274"/>
      <c r="M1274"/>
      <c r="N1274"/>
      <c r="O1274"/>
      <c r="P1274"/>
      <c r="Q1274"/>
      <c r="R1274"/>
      <c r="S1274"/>
      <c r="T1274"/>
      <c r="U1274"/>
      <c r="V1274"/>
      <c r="W1274"/>
      <c r="X1274"/>
      <c r="Y1274"/>
    </row>
    <row r="1275" spans="1:25" s="104" customFormat="1" hidden="1" x14ac:dyDescent="0.25">
      <c r="A1275" s="97" t="str">
        <f t="shared" si="24"/>
        <v>dpi_vddh1_dyn_WXGA_|_1280x800x30_fps_12b_|_1p8V</v>
      </c>
      <c r="B1275" s="97" t="s">
        <v>699</v>
      </c>
      <c r="C1275" s="97" t="s">
        <v>501</v>
      </c>
      <c r="D1275" s="97" t="s">
        <v>794</v>
      </c>
      <c r="E1275" s="97" t="s">
        <v>1050</v>
      </c>
      <c r="F1275" s="97">
        <v>5.0469841648800005</v>
      </c>
      <c r="G1275" s="97" t="s">
        <v>629</v>
      </c>
      <c r="H1275" s="5"/>
      <c r="I1275"/>
      <c r="J1275"/>
      <c r="K1275"/>
      <c r="L1275"/>
      <c r="M1275"/>
      <c r="N1275"/>
      <c r="O1275"/>
      <c r="P1275"/>
      <c r="Q1275"/>
      <c r="R1275"/>
      <c r="S1275"/>
      <c r="T1275"/>
      <c r="U1275"/>
      <c r="V1275"/>
      <c r="W1275"/>
      <c r="X1275"/>
      <c r="Y1275"/>
    </row>
    <row r="1276" spans="1:25" s="104" customFormat="1" hidden="1" x14ac:dyDescent="0.25">
      <c r="A1276" s="97" t="str">
        <f t="shared" si="24"/>
        <v>dpi_vddh1_dyn_WXGA_|_1280x800x30_fps_16b_|_1p8V</v>
      </c>
      <c r="B1276" s="97" t="s">
        <v>699</v>
      </c>
      <c r="C1276" s="97" t="s">
        <v>501</v>
      </c>
      <c r="D1276" s="97" t="s">
        <v>795</v>
      </c>
      <c r="E1276" s="97" t="s">
        <v>1050</v>
      </c>
      <c r="F1276" s="97">
        <v>5.0469841648800005</v>
      </c>
      <c r="G1276" s="97" t="s">
        <v>629</v>
      </c>
      <c r="H1276" s="5"/>
      <c r="I1276"/>
      <c r="J1276"/>
      <c r="K1276"/>
      <c r="L1276"/>
      <c r="M1276"/>
      <c r="N1276"/>
      <c r="O1276"/>
      <c r="P1276"/>
      <c r="Q1276"/>
      <c r="R1276"/>
      <c r="S1276"/>
      <c r="T1276"/>
      <c r="U1276"/>
      <c r="V1276"/>
      <c r="W1276"/>
      <c r="X1276"/>
      <c r="Y1276"/>
    </row>
    <row r="1277" spans="1:25" s="104" customFormat="1" hidden="1" x14ac:dyDescent="0.25">
      <c r="A1277" s="97" t="str">
        <f t="shared" si="24"/>
        <v>dpi_vddh1_dyn_WXGA_|_1280x800x30_fps_24b_|_1p8V</v>
      </c>
      <c r="B1277" s="97" t="s">
        <v>699</v>
      </c>
      <c r="C1277" s="97" t="s">
        <v>501</v>
      </c>
      <c r="D1277" s="97" t="s">
        <v>796</v>
      </c>
      <c r="E1277" s="97" t="s">
        <v>1050</v>
      </c>
      <c r="F1277" s="97">
        <v>6.4920154205087997</v>
      </c>
      <c r="G1277" s="97" t="s">
        <v>629</v>
      </c>
      <c r="H1277" s="5"/>
      <c r="I1277"/>
      <c r="J1277"/>
      <c r="K1277"/>
      <c r="L1277"/>
      <c r="M1277"/>
      <c r="N1277"/>
      <c r="O1277"/>
      <c r="P1277"/>
      <c r="Q1277"/>
      <c r="R1277"/>
      <c r="S1277"/>
      <c r="T1277"/>
      <c r="U1277"/>
      <c r="V1277"/>
      <c r="W1277"/>
      <c r="X1277"/>
      <c r="Y1277"/>
    </row>
    <row r="1278" spans="1:25" s="104" customFormat="1" hidden="1" x14ac:dyDescent="0.25">
      <c r="A1278" s="97" t="str">
        <f t="shared" si="24"/>
        <v>dpi_vddh1_dyn_WXGA_|_1280x800x30_fps_24b_|_1p8V</v>
      </c>
      <c r="B1278" s="97" t="s">
        <v>699</v>
      </c>
      <c r="C1278" s="97" t="s">
        <v>501</v>
      </c>
      <c r="D1278" s="97" t="s">
        <v>796</v>
      </c>
      <c r="E1278" s="97" t="s">
        <v>1050</v>
      </c>
      <c r="F1278" s="97">
        <v>6.4920154205087997</v>
      </c>
      <c r="G1278" s="97" t="s">
        <v>629</v>
      </c>
      <c r="H1278" s="5"/>
      <c r="I1278"/>
      <c r="J1278"/>
      <c r="K1278"/>
      <c r="L1278"/>
      <c r="M1278"/>
      <c r="N1278"/>
      <c r="O1278"/>
      <c r="P1278"/>
      <c r="Q1278"/>
      <c r="R1278"/>
      <c r="S1278"/>
      <c r="T1278"/>
      <c r="U1278"/>
      <c r="V1278"/>
      <c r="W1278"/>
      <c r="X1278"/>
      <c r="Y1278"/>
    </row>
    <row r="1279" spans="1:25" s="104" customFormat="1" hidden="1" x14ac:dyDescent="0.25">
      <c r="A1279" s="97" t="str">
        <f t="shared" si="24"/>
        <v>dpi_vddh1_dyn_WXGA_|_1280x800x60_fps_12b_|_1p8V</v>
      </c>
      <c r="B1279" s="97" t="s">
        <v>699</v>
      </c>
      <c r="C1279" s="97" t="s">
        <v>501</v>
      </c>
      <c r="D1279" s="97" t="s">
        <v>797</v>
      </c>
      <c r="E1279" s="97" t="s">
        <v>1050</v>
      </c>
      <c r="F1279" s="97">
        <v>10.093968329760001</v>
      </c>
      <c r="G1279" s="97" t="s">
        <v>629</v>
      </c>
      <c r="H1279" s="5"/>
      <c r="I1279"/>
      <c r="J1279"/>
      <c r="K1279"/>
      <c r="L1279"/>
      <c r="M1279"/>
      <c r="N1279"/>
      <c r="O1279"/>
      <c r="P1279"/>
      <c r="Q1279"/>
      <c r="R1279"/>
      <c r="S1279"/>
      <c r="T1279"/>
      <c r="U1279"/>
      <c r="V1279"/>
      <c r="W1279"/>
      <c r="X1279"/>
      <c r="Y1279"/>
    </row>
    <row r="1280" spans="1:25" s="104" customFormat="1" hidden="1" x14ac:dyDescent="0.25">
      <c r="A1280" s="97" t="str">
        <f t="shared" si="24"/>
        <v>dpi_vddh1_dyn_WXGA_|_1280x800x60_fps_16b_|_1p8V</v>
      </c>
      <c r="B1280" s="97" t="s">
        <v>699</v>
      </c>
      <c r="C1280" s="97" t="s">
        <v>501</v>
      </c>
      <c r="D1280" s="97" t="s">
        <v>798</v>
      </c>
      <c r="E1280" s="97" t="s">
        <v>1050</v>
      </c>
      <c r="F1280" s="97">
        <v>10.093968329760001</v>
      </c>
      <c r="G1280" s="97" t="s">
        <v>629</v>
      </c>
      <c r="H1280" s="5"/>
      <c r="I1280"/>
      <c r="J1280"/>
      <c r="K1280"/>
      <c r="L1280"/>
      <c r="M1280"/>
      <c r="N1280"/>
      <c r="O1280"/>
      <c r="P1280"/>
      <c r="Q1280"/>
      <c r="R1280"/>
      <c r="S1280"/>
      <c r="T1280"/>
      <c r="U1280"/>
      <c r="V1280"/>
      <c r="W1280"/>
      <c r="X1280"/>
      <c r="Y1280"/>
    </row>
    <row r="1281" spans="1:25" s="104" customFormat="1" hidden="1" x14ac:dyDescent="0.25">
      <c r="A1281" s="97" t="str">
        <f t="shared" si="24"/>
        <v>dpi_vddh1_dyn_WXGA_|_1280x800x60_fps_18b_|_1p8V</v>
      </c>
      <c r="B1281" s="97" t="s">
        <v>699</v>
      </c>
      <c r="C1281" s="97" t="s">
        <v>501</v>
      </c>
      <c r="D1281" s="97" t="s">
        <v>799</v>
      </c>
      <c r="E1281" s="97" t="s">
        <v>1050</v>
      </c>
      <c r="F1281" s="97">
        <v>12.984030841017599</v>
      </c>
      <c r="G1281" s="97" t="s">
        <v>629</v>
      </c>
      <c r="H1281" s="5"/>
      <c r="I1281"/>
      <c r="J1281"/>
      <c r="K1281"/>
      <c r="L1281"/>
      <c r="M1281"/>
      <c r="N1281"/>
      <c r="O1281"/>
      <c r="P1281"/>
      <c r="Q1281"/>
      <c r="R1281"/>
      <c r="S1281"/>
      <c r="T1281"/>
      <c r="U1281"/>
      <c r="V1281"/>
      <c r="W1281"/>
      <c r="X1281"/>
      <c r="Y1281"/>
    </row>
    <row r="1282" spans="1:25" s="104" customFormat="1" hidden="1" x14ac:dyDescent="0.25">
      <c r="A1282" s="97" t="str">
        <f t="shared" si="24"/>
        <v>dpi_vddh1_dyn_WXGA_|_1280x800x60_fps_24b_|_1p8V</v>
      </c>
      <c r="B1282" s="97" t="s">
        <v>699</v>
      </c>
      <c r="C1282" s="97" t="s">
        <v>501</v>
      </c>
      <c r="D1282" s="97" t="s">
        <v>800</v>
      </c>
      <c r="E1282" s="97" t="s">
        <v>1050</v>
      </c>
      <c r="F1282" s="97">
        <v>12.984030841017599</v>
      </c>
      <c r="G1282" s="97" t="s">
        <v>629</v>
      </c>
      <c r="H1282" s="5"/>
      <c r="I1282"/>
      <c r="J1282"/>
      <c r="K1282"/>
      <c r="L1282"/>
      <c r="M1282"/>
      <c r="N1282"/>
      <c r="O1282"/>
      <c r="P1282"/>
      <c r="Q1282"/>
      <c r="R1282"/>
      <c r="S1282"/>
      <c r="T1282"/>
      <c r="U1282"/>
      <c r="V1282"/>
      <c r="W1282"/>
      <c r="X1282"/>
      <c r="Y1282"/>
    </row>
    <row r="1283" spans="1:25" s="104" customFormat="1" hidden="1" x14ac:dyDescent="0.25">
      <c r="A1283" s="97" t="str">
        <f t="shared" si="24"/>
        <v>dpi_vddh1_dyn_XGA_|_1024x768x60_fps_12b_|_1p8V</v>
      </c>
      <c r="B1283" s="97" t="s">
        <v>699</v>
      </c>
      <c r="C1283" s="97" t="s">
        <v>501</v>
      </c>
      <c r="D1283" s="97" t="s">
        <v>785</v>
      </c>
      <c r="E1283" s="97" t="s">
        <v>1050</v>
      </c>
      <c r="F1283" s="97">
        <v>7.6621843831680012</v>
      </c>
      <c r="G1283" s="97" t="s">
        <v>629</v>
      </c>
      <c r="H1283" s="5"/>
      <c r="I1283"/>
      <c r="J1283"/>
      <c r="K1283"/>
      <c r="L1283"/>
      <c r="M1283"/>
      <c r="N1283"/>
      <c r="O1283"/>
      <c r="P1283"/>
      <c r="Q1283"/>
      <c r="R1283"/>
      <c r="S1283"/>
      <c r="T1283"/>
      <c r="U1283"/>
      <c r="V1283"/>
      <c r="W1283"/>
      <c r="X1283"/>
      <c r="Y1283"/>
    </row>
    <row r="1284" spans="1:25" s="104" customFormat="1" hidden="1" x14ac:dyDescent="0.25">
      <c r="A1284" s="97" t="str">
        <f t="shared" si="24"/>
        <v>dpi_vddh1_dyn_XGA_|_1024x768x60_fps_16b_|_1p8V</v>
      </c>
      <c r="B1284" s="97" t="s">
        <v>699</v>
      </c>
      <c r="C1284" s="97" t="s">
        <v>501</v>
      </c>
      <c r="D1284" s="97" t="s">
        <v>786</v>
      </c>
      <c r="E1284" s="97" t="s">
        <v>1050</v>
      </c>
      <c r="F1284" s="97">
        <v>7.6621843831680012</v>
      </c>
      <c r="G1284" s="97" t="s">
        <v>629</v>
      </c>
      <c r="H1284" s="5"/>
      <c r="I1284"/>
      <c r="J1284"/>
      <c r="K1284"/>
      <c r="L1284"/>
      <c r="M1284"/>
      <c r="N1284"/>
      <c r="O1284"/>
      <c r="P1284"/>
      <c r="Q1284"/>
      <c r="R1284"/>
      <c r="S1284"/>
      <c r="T1284"/>
      <c r="U1284"/>
      <c r="V1284"/>
      <c r="W1284"/>
      <c r="X1284"/>
      <c r="Y1284"/>
    </row>
    <row r="1285" spans="1:25" s="104" customFormat="1" hidden="1" x14ac:dyDescent="0.25">
      <c r="A1285" s="97" t="str">
        <f t="shared" si="24"/>
        <v>dpi_vddh1_dyn_XGA_|_1024x768x60_fps_24b_|_1p8V</v>
      </c>
      <c r="B1285" s="97" t="s">
        <v>699</v>
      </c>
      <c r="C1285" s="97" t="s">
        <v>501</v>
      </c>
      <c r="D1285" s="97" t="s">
        <v>787</v>
      </c>
      <c r="E1285" s="97" t="s">
        <v>1050</v>
      </c>
      <c r="F1285" s="97">
        <v>9.8559887539276794</v>
      </c>
      <c r="G1285" s="97" t="s">
        <v>629</v>
      </c>
      <c r="H1285" s="5"/>
      <c r="I1285"/>
      <c r="J1285"/>
      <c r="K1285"/>
      <c r="L1285"/>
      <c r="M1285"/>
      <c r="N1285"/>
      <c r="O1285"/>
      <c r="P1285"/>
      <c r="Q1285"/>
      <c r="R1285"/>
      <c r="S1285"/>
      <c r="T1285"/>
      <c r="U1285"/>
      <c r="V1285"/>
      <c r="W1285"/>
      <c r="X1285"/>
      <c r="Y1285"/>
    </row>
    <row r="1286" spans="1:25" s="104" customFormat="1" hidden="1" x14ac:dyDescent="0.25">
      <c r="A1286" s="97" t="str">
        <f t="shared" si="24"/>
        <v>dpi_vddh1_dyn_XGA_|_1024x768x60_fps_24b_|_1p8V</v>
      </c>
      <c r="B1286" s="97" t="s">
        <v>699</v>
      </c>
      <c r="C1286" s="97" t="s">
        <v>501</v>
      </c>
      <c r="D1286" s="97" t="s">
        <v>787</v>
      </c>
      <c r="E1286" s="97" t="s">
        <v>1050</v>
      </c>
      <c r="F1286" s="97">
        <v>9.8559887539276794</v>
      </c>
      <c r="G1286" s="97" t="s">
        <v>629</v>
      </c>
      <c r="H1286" s="5"/>
      <c r="I1286"/>
      <c r="J1286"/>
      <c r="K1286"/>
      <c r="L1286"/>
      <c r="M1286"/>
      <c r="N1286"/>
      <c r="O1286"/>
      <c r="P1286"/>
      <c r="Q1286"/>
      <c r="R1286"/>
      <c r="S1286"/>
      <c r="T1286"/>
      <c r="U1286"/>
      <c r="V1286"/>
      <c r="W1286"/>
      <c r="X1286"/>
      <c r="Y1286"/>
    </row>
    <row r="1287" spans="1:25" s="104" customFormat="1" hidden="1" x14ac:dyDescent="0.25">
      <c r="A1287" s="97" t="str">
        <f t="shared" si="24"/>
        <v>i2c_od_vddh1_dyn_i2c_100k_1p8v</v>
      </c>
      <c r="B1287" s="97" t="s">
        <v>907</v>
      </c>
      <c r="C1287" s="97" t="s">
        <v>501</v>
      </c>
      <c r="D1287" s="97" t="s">
        <v>904</v>
      </c>
      <c r="E1287" s="97" t="s">
        <v>1050</v>
      </c>
      <c r="F1287" s="97">
        <v>2.0436300000000008E-2</v>
      </c>
      <c r="G1287" s="97" t="s">
        <v>913</v>
      </c>
      <c r="H1287" s="5"/>
      <c r="I1287"/>
      <c r="J1287"/>
      <c r="K1287"/>
      <c r="L1287"/>
      <c r="M1287"/>
      <c r="N1287"/>
      <c r="O1287"/>
      <c r="P1287"/>
      <c r="Q1287"/>
      <c r="R1287"/>
      <c r="S1287"/>
      <c r="T1287"/>
      <c r="U1287"/>
      <c r="V1287"/>
      <c r="W1287"/>
      <c r="X1287"/>
      <c r="Y1287"/>
    </row>
    <row r="1288" spans="1:25" s="104" customFormat="1" hidden="1" x14ac:dyDescent="0.25">
      <c r="A1288" s="97" t="str">
        <f t="shared" si="24"/>
        <v>i2c_od_vddh1_dyn_i2c_1m_1p8v</v>
      </c>
      <c r="B1288" s="97" t="s">
        <v>907</v>
      </c>
      <c r="C1288" s="97" t="s">
        <v>501</v>
      </c>
      <c r="D1288" s="97" t="s">
        <v>912</v>
      </c>
      <c r="E1288" s="97" t="s">
        <v>1050</v>
      </c>
      <c r="F1288" s="97">
        <v>0.10218150000000001</v>
      </c>
      <c r="G1288" s="97" t="s">
        <v>913</v>
      </c>
      <c r="H1288" s="5"/>
      <c r="I1288"/>
      <c r="J1288"/>
      <c r="K1288"/>
      <c r="L1288"/>
      <c r="M1288"/>
      <c r="N1288"/>
      <c r="O1288"/>
      <c r="P1288"/>
      <c r="Q1288"/>
      <c r="R1288"/>
      <c r="S1288"/>
      <c r="T1288"/>
      <c r="U1288"/>
      <c r="V1288"/>
      <c r="W1288"/>
      <c r="X1288"/>
      <c r="Y1288"/>
    </row>
    <row r="1289" spans="1:25" s="104" customFormat="1" hidden="1" x14ac:dyDescent="0.25">
      <c r="A1289" s="97" t="str">
        <f t="shared" si="24"/>
        <v>i2c_od_vddh1_dyn_i2c_3p4m_1p8v</v>
      </c>
      <c r="B1289" s="97" t="s">
        <v>907</v>
      </c>
      <c r="C1289" s="97" t="s">
        <v>501</v>
      </c>
      <c r="D1289" s="97" t="s">
        <v>911</v>
      </c>
      <c r="E1289" s="97" t="s">
        <v>1050</v>
      </c>
      <c r="F1289" s="97">
        <v>0.34741710000000003</v>
      </c>
      <c r="G1289" s="97" t="s">
        <v>913</v>
      </c>
      <c r="H1289" s="5"/>
      <c r="I1289"/>
      <c r="J1289"/>
      <c r="K1289"/>
      <c r="L1289"/>
      <c r="M1289"/>
      <c r="N1289"/>
      <c r="O1289"/>
      <c r="P1289"/>
      <c r="Q1289"/>
      <c r="R1289"/>
      <c r="S1289"/>
      <c r="T1289"/>
      <c r="U1289"/>
      <c r="V1289"/>
      <c r="W1289"/>
      <c r="X1289"/>
      <c r="Y1289"/>
    </row>
    <row r="1290" spans="1:25" s="104" customFormat="1" hidden="1" x14ac:dyDescent="0.25">
      <c r="A1290" s="97" t="str">
        <f t="shared" si="24"/>
        <v>i2c_od_vddh1_dyn_i2c_400k_1p8v</v>
      </c>
      <c r="B1290" s="97" t="s">
        <v>907</v>
      </c>
      <c r="C1290" s="97" t="s">
        <v>501</v>
      </c>
      <c r="D1290" s="97" t="s">
        <v>903</v>
      </c>
      <c r="E1290" s="97" t="s">
        <v>1050</v>
      </c>
      <c r="F1290" s="97">
        <v>4.0872600000000016E-2</v>
      </c>
      <c r="G1290" s="97" t="s">
        <v>913</v>
      </c>
      <c r="H1290" s="5"/>
      <c r="I1290"/>
      <c r="J1290"/>
      <c r="K1290"/>
      <c r="L1290"/>
      <c r="M1290"/>
      <c r="N1290"/>
      <c r="O1290"/>
      <c r="P1290"/>
      <c r="Q1290"/>
      <c r="R1290"/>
      <c r="S1290"/>
      <c r="T1290"/>
      <c r="U1290"/>
      <c r="V1290"/>
      <c r="W1290"/>
      <c r="X1290"/>
      <c r="Y1290"/>
    </row>
    <row r="1291" spans="1:25" s="104" customFormat="1" hidden="1" x14ac:dyDescent="0.25">
      <c r="A1291" s="97" t="str">
        <f t="shared" si="24"/>
        <v>i2c_vddh1_dyn_i2c_100k_1p8v</v>
      </c>
      <c r="B1291" s="97" t="s">
        <v>906</v>
      </c>
      <c r="C1291" s="97" t="s">
        <v>501</v>
      </c>
      <c r="D1291" s="97" t="s">
        <v>904</v>
      </c>
      <c r="E1291" s="97" t="s">
        <v>1050</v>
      </c>
      <c r="F1291" s="97">
        <v>2.0518045200000005E-2</v>
      </c>
      <c r="G1291" s="97" t="s">
        <v>910</v>
      </c>
      <c r="H1291" s="5"/>
      <c r="I1291"/>
      <c r="J1291"/>
      <c r="K1291"/>
      <c r="L1291"/>
      <c r="M1291"/>
      <c r="N1291"/>
      <c r="O1291"/>
      <c r="P1291"/>
      <c r="Q1291"/>
      <c r="R1291"/>
      <c r="S1291"/>
      <c r="T1291"/>
      <c r="U1291"/>
      <c r="V1291"/>
      <c r="W1291"/>
      <c r="X1291"/>
      <c r="Y1291"/>
    </row>
    <row r="1292" spans="1:25" s="104" customFormat="1" hidden="1" x14ac:dyDescent="0.25">
      <c r="A1292" s="97" t="str">
        <f t="shared" si="24"/>
        <v>i2c_vddh1_dyn_i2c_400k_1p8v</v>
      </c>
      <c r="B1292" s="97" t="s">
        <v>906</v>
      </c>
      <c r="C1292" s="97" t="s">
        <v>501</v>
      </c>
      <c r="D1292" s="97" t="s">
        <v>903</v>
      </c>
      <c r="E1292" s="97" t="s">
        <v>1050</v>
      </c>
      <c r="F1292" s="97">
        <v>8.2072180800000019E-2</v>
      </c>
      <c r="G1292" s="97" t="s">
        <v>910</v>
      </c>
      <c r="H1292" s="5"/>
      <c r="I1292"/>
      <c r="J1292"/>
      <c r="K1292"/>
      <c r="L1292"/>
      <c r="M1292"/>
      <c r="N1292"/>
      <c r="O1292"/>
      <c r="P1292"/>
      <c r="Q1292"/>
      <c r="R1292"/>
      <c r="S1292"/>
      <c r="T1292"/>
      <c r="U1292"/>
      <c r="V1292"/>
      <c r="W1292"/>
      <c r="X1292"/>
      <c r="Y1292"/>
    </row>
    <row r="1293" spans="1:25" s="104" customFormat="1" hidden="1" x14ac:dyDescent="0.25">
      <c r="A1293" s="97" t="str">
        <f t="shared" si="24"/>
        <v>epwm_vddh1_dyn_on_1p8v</v>
      </c>
      <c r="B1293" s="97" t="s">
        <v>967</v>
      </c>
      <c r="C1293" s="97" t="s">
        <v>501</v>
      </c>
      <c r="D1293" s="97" t="s">
        <v>957</v>
      </c>
      <c r="E1293" s="97" t="s">
        <v>1050</v>
      </c>
      <c r="F1293" s="97">
        <v>0.50738399999999995</v>
      </c>
      <c r="G1293" s="97"/>
      <c r="H1293" s="5"/>
      <c r="I1293"/>
      <c r="J1293"/>
      <c r="K1293"/>
      <c r="L1293"/>
      <c r="M1293"/>
      <c r="N1293"/>
      <c r="O1293"/>
      <c r="P1293"/>
      <c r="Q1293"/>
      <c r="R1293"/>
      <c r="S1293"/>
      <c r="T1293"/>
      <c r="U1293"/>
      <c r="V1293"/>
      <c r="W1293"/>
      <c r="X1293"/>
      <c r="Y1293"/>
    </row>
    <row r="1294" spans="1:25" s="104" customFormat="1" hidden="1" x14ac:dyDescent="0.25">
      <c r="A1294" s="97" t="str">
        <f t="shared" si="24"/>
        <v>fssul_vddh1_dyn_ospi_ddr_master_133_1p8v</v>
      </c>
      <c r="B1294" s="97" t="s">
        <v>689</v>
      </c>
      <c r="C1294" s="97" t="s">
        <v>501</v>
      </c>
      <c r="D1294" s="97" t="s">
        <v>695</v>
      </c>
      <c r="E1294" s="97" t="s">
        <v>1050</v>
      </c>
      <c r="F1294" s="97">
        <v>10.124166556979999</v>
      </c>
      <c r="G1294" s="97" t="s">
        <v>629</v>
      </c>
      <c r="H1294" s="5"/>
      <c r="I1294"/>
      <c r="J1294"/>
      <c r="K1294"/>
      <c r="L1294"/>
      <c r="M1294"/>
      <c r="N1294"/>
      <c r="O1294"/>
      <c r="P1294"/>
      <c r="Q1294"/>
      <c r="R1294"/>
      <c r="S1294"/>
      <c r="T1294"/>
      <c r="U1294"/>
      <c r="V1294"/>
      <c r="W1294"/>
      <c r="X1294"/>
      <c r="Y1294"/>
    </row>
    <row r="1295" spans="1:25" s="104" customFormat="1" hidden="1" x14ac:dyDescent="0.25">
      <c r="A1295" s="97" t="str">
        <f t="shared" si="24"/>
        <v>fssul_vddh1_dyn_ospi_ddr_master_160_1p8v</v>
      </c>
      <c r="B1295" s="97" t="s">
        <v>689</v>
      </c>
      <c r="C1295" s="97" t="s">
        <v>501</v>
      </c>
      <c r="D1295" s="97" t="s">
        <v>694</v>
      </c>
      <c r="E1295" s="97" t="s">
        <v>1050</v>
      </c>
      <c r="F1295" s="97">
        <v>8.7962683535999986</v>
      </c>
      <c r="G1295" s="97" t="s">
        <v>629</v>
      </c>
      <c r="H1295" s="5"/>
      <c r="I1295"/>
      <c r="J1295"/>
      <c r="K1295"/>
      <c r="L1295"/>
      <c r="M1295"/>
      <c r="N1295"/>
      <c r="O1295"/>
      <c r="P1295"/>
      <c r="Q1295"/>
      <c r="R1295"/>
      <c r="S1295"/>
      <c r="T1295"/>
      <c r="U1295"/>
      <c r="V1295"/>
      <c r="W1295"/>
      <c r="X1295"/>
      <c r="Y1295"/>
    </row>
    <row r="1296" spans="1:25" s="104" customFormat="1" hidden="1" x14ac:dyDescent="0.25">
      <c r="A1296" s="97" t="str">
        <f t="shared" si="24"/>
        <v>fssul_vddh1_dyn_ospi_sdr_master_108_1p8v</v>
      </c>
      <c r="B1296" s="97" t="s">
        <v>689</v>
      </c>
      <c r="C1296" s="97" t="s">
        <v>501</v>
      </c>
      <c r="D1296" s="97" t="s">
        <v>697</v>
      </c>
      <c r="E1296" s="97" t="s">
        <v>1050</v>
      </c>
      <c r="F1296" s="97">
        <v>10.961001330480002</v>
      </c>
      <c r="G1296" s="97" t="s">
        <v>629</v>
      </c>
      <c r="H1296" s="5"/>
      <c r="I1296"/>
      <c r="J1296"/>
      <c r="K1296"/>
      <c r="L1296"/>
      <c r="M1296"/>
      <c r="N1296"/>
      <c r="O1296"/>
      <c r="P1296"/>
      <c r="Q1296"/>
      <c r="R1296"/>
      <c r="S1296"/>
      <c r="T1296"/>
      <c r="U1296"/>
      <c r="V1296"/>
      <c r="W1296"/>
      <c r="X1296"/>
      <c r="Y1296"/>
    </row>
    <row r="1297" spans="1:25" s="104" customFormat="1" hidden="1" x14ac:dyDescent="0.25">
      <c r="A1297" s="97" t="str">
        <f t="shared" si="24"/>
        <v>fssul_vddh1_dyn_ospi_sdr_master_133_1p8v</v>
      </c>
      <c r="B1297" s="97" t="s">
        <v>689</v>
      </c>
      <c r="C1297" s="97" t="s">
        <v>501</v>
      </c>
      <c r="D1297" s="97" t="s">
        <v>696</v>
      </c>
      <c r="E1297" s="97" t="s">
        <v>1050</v>
      </c>
      <c r="F1297" s="97">
        <v>13.49827015698</v>
      </c>
      <c r="G1297" s="97" t="s">
        <v>629</v>
      </c>
      <c r="H1297" s="5"/>
      <c r="I1297"/>
      <c r="J1297"/>
      <c r="K1297"/>
      <c r="L1297"/>
      <c r="M1297"/>
      <c r="N1297"/>
      <c r="O1297"/>
      <c r="P1297"/>
      <c r="Q1297"/>
      <c r="R1297"/>
      <c r="S1297"/>
      <c r="T1297"/>
      <c r="U1297"/>
      <c r="V1297"/>
      <c r="W1297"/>
      <c r="X1297"/>
      <c r="Y1297"/>
    </row>
    <row r="1298" spans="1:25" s="104" customFormat="1" hidden="1" x14ac:dyDescent="0.25">
      <c r="A1298" s="97" t="str">
        <f t="shared" si="24"/>
        <v>fssul_vddh1_dyn_qspi_ddr_master_133_1p8v</v>
      </c>
      <c r="B1298" s="97" t="s">
        <v>689</v>
      </c>
      <c r="C1298" s="97" t="s">
        <v>501</v>
      </c>
      <c r="D1298" s="97" t="s">
        <v>691</v>
      </c>
      <c r="E1298" s="97" t="s">
        <v>1050</v>
      </c>
      <c r="F1298" s="97">
        <v>6.7500629569800008</v>
      </c>
      <c r="G1298" s="97" t="s">
        <v>629</v>
      </c>
      <c r="H1298" s="5"/>
      <c r="I1298"/>
      <c r="J1298"/>
      <c r="K1298"/>
      <c r="L1298"/>
      <c r="M1298"/>
      <c r="N1298"/>
      <c r="O1298"/>
      <c r="P1298"/>
      <c r="Q1298"/>
      <c r="R1298"/>
      <c r="S1298"/>
      <c r="T1298"/>
      <c r="U1298"/>
      <c r="V1298"/>
      <c r="W1298"/>
      <c r="X1298"/>
      <c r="Y1298"/>
    </row>
    <row r="1299" spans="1:25" s="104" customFormat="1" hidden="1" x14ac:dyDescent="0.25">
      <c r="A1299" s="97" t="str">
        <f t="shared" si="24"/>
        <v>fssul_vddh1_dyn_qspi_ddr_master_160_1p8v</v>
      </c>
      <c r="B1299" s="97" t="s">
        <v>689</v>
      </c>
      <c r="C1299" s="97" t="s">
        <v>501</v>
      </c>
      <c r="D1299" s="97" t="s">
        <v>690</v>
      </c>
      <c r="E1299" s="97" t="s">
        <v>1050</v>
      </c>
      <c r="F1299" s="97">
        <v>5.8647163536000004</v>
      </c>
      <c r="G1299" s="97" t="s">
        <v>629</v>
      </c>
      <c r="H1299" s="5"/>
      <c r="I1299"/>
      <c r="J1299"/>
      <c r="K1299"/>
      <c r="L1299"/>
      <c r="M1299"/>
      <c r="N1299"/>
      <c r="O1299"/>
      <c r="P1299"/>
      <c r="Q1299"/>
      <c r="R1299"/>
      <c r="S1299"/>
      <c r="T1299"/>
      <c r="U1299"/>
      <c r="V1299"/>
      <c r="W1299"/>
      <c r="X1299"/>
      <c r="Y1299"/>
    </row>
    <row r="1300" spans="1:25" s="104" customFormat="1" hidden="1" x14ac:dyDescent="0.25">
      <c r="A1300" s="97" t="str">
        <f t="shared" si="24"/>
        <v>fssul_vddh1_dyn_qspi_sdr_master_108_1p8v</v>
      </c>
      <c r="B1300" s="97" t="s">
        <v>689</v>
      </c>
      <c r="C1300" s="97" t="s">
        <v>501</v>
      </c>
      <c r="D1300" s="97" t="s">
        <v>693</v>
      </c>
      <c r="E1300" s="97" t="s">
        <v>1050</v>
      </c>
      <c r="F1300" s="97">
        <v>8.221127730480001</v>
      </c>
      <c r="G1300" s="97" t="s">
        <v>629</v>
      </c>
      <c r="H1300" s="5"/>
      <c r="I1300"/>
      <c r="J1300"/>
      <c r="K1300"/>
      <c r="L1300"/>
      <c r="M1300"/>
      <c r="N1300"/>
      <c r="O1300"/>
      <c r="P1300"/>
      <c r="Q1300"/>
      <c r="R1300"/>
      <c r="S1300"/>
      <c r="T1300"/>
      <c r="U1300"/>
      <c r="V1300"/>
      <c r="W1300"/>
      <c r="X1300"/>
      <c r="Y1300"/>
    </row>
    <row r="1301" spans="1:25" s="104" customFormat="1" hidden="1" x14ac:dyDescent="0.25">
      <c r="A1301" s="97" t="str">
        <f t="shared" si="24"/>
        <v>fssul_vddh1_dyn_qspi_sdr_master_133_1p8v</v>
      </c>
      <c r="B1301" s="97" t="s">
        <v>689</v>
      </c>
      <c r="C1301" s="97" t="s">
        <v>501</v>
      </c>
      <c r="D1301" s="97" t="s">
        <v>692</v>
      </c>
      <c r="E1301" s="97" t="s">
        <v>1050</v>
      </c>
      <c r="F1301" s="97">
        <v>10.124166556979999</v>
      </c>
      <c r="G1301" s="97" t="s">
        <v>629</v>
      </c>
      <c r="H1301" s="5"/>
      <c r="I1301"/>
      <c r="J1301"/>
      <c r="K1301"/>
      <c r="L1301"/>
      <c r="M1301"/>
      <c r="N1301"/>
      <c r="O1301"/>
      <c r="P1301"/>
      <c r="Q1301"/>
      <c r="R1301"/>
      <c r="S1301"/>
      <c r="T1301"/>
      <c r="U1301"/>
      <c r="V1301"/>
      <c r="W1301"/>
      <c r="X1301"/>
      <c r="Y1301"/>
    </row>
    <row r="1302" spans="1:25" s="104" customFormat="1" hidden="1" x14ac:dyDescent="0.25">
      <c r="A1302" s="97" t="str">
        <f t="shared" si="24"/>
        <v>ecap_vddh1_dyn_capture_in_5m_1p8v</v>
      </c>
      <c r="B1302" s="97" t="s">
        <v>938</v>
      </c>
      <c r="C1302" s="97" t="s">
        <v>501</v>
      </c>
      <c r="D1302" s="97" t="s">
        <v>948</v>
      </c>
      <c r="E1302" s="97" t="s">
        <v>1050</v>
      </c>
      <c r="F1302" s="97">
        <v>0</v>
      </c>
      <c r="G1302" s="97"/>
      <c r="H1302" s="5"/>
      <c r="I1302"/>
      <c r="J1302"/>
      <c r="K1302"/>
      <c r="L1302"/>
      <c r="M1302"/>
      <c r="N1302"/>
      <c r="O1302"/>
      <c r="P1302"/>
      <c r="Q1302"/>
      <c r="R1302"/>
      <c r="S1302"/>
      <c r="T1302"/>
      <c r="U1302"/>
      <c r="V1302"/>
      <c r="W1302"/>
      <c r="X1302"/>
      <c r="Y1302"/>
    </row>
    <row r="1303" spans="1:25" s="104" customFormat="1" hidden="1" x14ac:dyDescent="0.25">
      <c r="A1303" s="97" t="str">
        <f t="shared" si="24"/>
        <v>ecap_vddh1_dyn_pwm_out_1m_1p8v</v>
      </c>
      <c r="B1303" s="97" t="s">
        <v>938</v>
      </c>
      <c r="C1303" s="97" t="s">
        <v>501</v>
      </c>
      <c r="D1303" s="97" t="s">
        <v>945</v>
      </c>
      <c r="E1303" s="97" t="s">
        <v>1050</v>
      </c>
      <c r="F1303" s="97">
        <v>5.0738400000000003E-2</v>
      </c>
      <c r="G1303" s="97"/>
      <c r="H1303" s="5"/>
      <c r="I1303"/>
      <c r="J1303"/>
      <c r="K1303"/>
      <c r="L1303"/>
      <c r="M1303"/>
      <c r="N1303"/>
      <c r="O1303"/>
      <c r="P1303"/>
      <c r="Q1303"/>
      <c r="R1303"/>
      <c r="S1303"/>
      <c r="T1303"/>
      <c r="U1303"/>
      <c r="V1303"/>
      <c r="W1303"/>
      <c r="X1303"/>
      <c r="Y1303"/>
    </row>
    <row r="1304" spans="1:25" s="104" customFormat="1" hidden="1" x14ac:dyDescent="0.25">
      <c r="A1304" s="97" t="str">
        <f t="shared" si="24"/>
        <v>ecap_vddh1_dyn_pwm_out_5m_1p8v</v>
      </c>
      <c r="B1304" s="97" t="s">
        <v>938</v>
      </c>
      <c r="C1304" s="97" t="s">
        <v>501</v>
      </c>
      <c r="D1304" s="97" t="s">
        <v>944</v>
      </c>
      <c r="E1304" s="97" t="s">
        <v>1050</v>
      </c>
      <c r="F1304" s="97">
        <v>0.25369199999999997</v>
      </c>
      <c r="G1304" s="97"/>
      <c r="H1304" s="5"/>
      <c r="I1304"/>
      <c r="J1304"/>
      <c r="K1304"/>
      <c r="L1304"/>
      <c r="M1304"/>
      <c r="N1304"/>
      <c r="O1304"/>
      <c r="P1304"/>
      <c r="Q1304"/>
      <c r="R1304"/>
      <c r="S1304"/>
      <c r="T1304"/>
      <c r="U1304"/>
      <c r="V1304"/>
      <c r="W1304"/>
      <c r="X1304"/>
      <c r="Y1304"/>
    </row>
    <row r="1305" spans="1:25" s="104" customFormat="1" hidden="1" x14ac:dyDescent="0.25">
      <c r="A1305" s="97" t="str">
        <f t="shared" si="24"/>
        <v>eqep_vddh1_dyn_on_1p8v</v>
      </c>
      <c r="B1305" s="97" t="s">
        <v>937</v>
      </c>
      <c r="C1305" s="97" t="s">
        <v>501</v>
      </c>
      <c r="D1305" s="97" t="s">
        <v>957</v>
      </c>
      <c r="E1305" s="97" t="s">
        <v>1050</v>
      </c>
      <c r="F1305" s="97">
        <v>4.6510200000000001E-4</v>
      </c>
      <c r="G1305" s="97" t="s">
        <v>959</v>
      </c>
      <c r="H1305" s="5"/>
      <c r="I1305"/>
      <c r="J1305"/>
      <c r="K1305"/>
      <c r="L1305"/>
      <c r="M1305"/>
      <c r="N1305"/>
      <c r="O1305"/>
      <c r="P1305"/>
      <c r="Q1305"/>
      <c r="R1305"/>
      <c r="S1305"/>
      <c r="T1305"/>
      <c r="U1305"/>
      <c r="V1305"/>
      <c r="W1305"/>
      <c r="X1305"/>
      <c r="Y1305"/>
    </row>
    <row r="1306" spans="1:25" s="104" customFormat="1" hidden="1" x14ac:dyDescent="0.25">
      <c r="A1306" s="97" t="str">
        <f t="shared" si="24"/>
        <v>ethernet_vddh1_dyn_off</v>
      </c>
      <c r="B1306" s="97" t="s">
        <v>649</v>
      </c>
      <c r="C1306" s="97" t="s">
        <v>501</v>
      </c>
      <c r="D1306" s="97" t="s">
        <v>69</v>
      </c>
      <c r="E1306" s="97" t="s">
        <v>1050</v>
      </c>
      <c r="F1306" s="105">
        <v>0</v>
      </c>
      <c r="G1306" s="97"/>
      <c r="H1306" s="5"/>
      <c r="I1306"/>
      <c r="J1306"/>
      <c r="K1306"/>
      <c r="L1306"/>
      <c r="M1306"/>
      <c r="N1306"/>
      <c r="O1306"/>
      <c r="P1306"/>
      <c r="Q1306"/>
      <c r="R1306"/>
      <c r="S1306"/>
      <c r="T1306"/>
      <c r="U1306"/>
      <c r="V1306"/>
      <c r="W1306"/>
      <c r="X1306"/>
      <c r="Y1306"/>
    </row>
    <row r="1307" spans="1:25" s="104" customFormat="1" hidden="1" x14ac:dyDescent="0.25">
      <c r="A1307" s="97" t="str">
        <f t="shared" si="24"/>
        <v>ethernet_vddh1_dyn_rgmii_10_1p8v</v>
      </c>
      <c r="B1307" s="97" t="s">
        <v>649</v>
      </c>
      <c r="C1307" s="97" t="s">
        <v>501</v>
      </c>
      <c r="D1307" s="97" t="s">
        <v>667</v>
      </c>
      <c r="E1307" s="97" t="s">
        <v>1050</v>
      </c>
      <c r="F1307" s="105">
        <v>0.58511241000000003</v>
      </c>
      <c r="G1307" s="97"/>
      <c r="H1307" s="5"/>
      <c r="I1307"/>
      <c r="J1307"/>
      <c r="K1307"/>
      <c r="L1307"/>
      <c r="M1307"/>
      <c r="N1307"/>
      <c r="O1307"/>
      <c r="P1307"/>
      <c r="Q1307"/>
      <c r="R1307"/>
      <c r="S1307"/>
      <c r="T1307"/>
      <c r="U1307"/>
      <c r="V1307"/>
      <c r="W1307"/>
      <c r="X1307"/>
      <c r="Y1307"/>
    </row>
    <row r="1308" spans="1:25" s="104" customFormat="1" hidden="1" x14ac:dyDescent="0.25">
      <c r="A1308" s="97" t="str">
        <f t="shared" si="24"/>
        <v>ethernet_vddh1_dyn_rgmii_10_3p3v</v>
      </c>
      <c r="B1308" s="97" t="s">
        <v>649</v>
      </c>
      <c r="C1308" s="97" t="s">
        <v>501</v>
      </c>
      <c r="D1308" s="97" t="s">
        <v>675</v>
      </c>
      <c r="E1308" s="97" t="s">
        <v>1050</v>
      </c>
      <c r="F1308" s="105">
        <v>0</v>
      </c>
      <c r="G1308" s="97"/>
      <c r="H1308" s="5"/>
      <c r="I1308"/>
      <c r="J1308"/>
      <c r="K1308"/>
      <c r="L1308"/>
      <c r="M1308"/>
      <c r="N1308"/>
      <c r="O1308"/>
      <c r="P1308"/>
      <c r="Q1308"/>
      <c r="R1308"/>
      <c r="S1308"/>
      <c r="T1308"/>
      <c r="U1308"/>
      <c r="V1308"/>
      <c r="W1308"/>
      <c r="X1308"/>
      <c r="Y1308"/>
    </row>
    <row r="1309" spans="1:25" s="104" customFormat="1" hidden="1" x14ac:dyDescent="0.25">
      <c r="A1309" s="97" t="str">
        <f t="shared" si="24"/>
        <v>ethernet_vddh1_dyn_rgmii_100_1p8v</v>
      </c>
      <c r="B1309" s="97" t="s">
        <v>649</v>
      </c>
      <c r="C1309" s="97" t="s">
        <v>501</v>
      </c>
      <c r="D1309" s="97" t="s">
        <v>666</v>
      </c>
      <c r="E1309" s="97" t="s">
        <v>1050</v>
      </c>
      <c r="F1309" s="105">
        <v>5.1217595999999999</v>
      </c>
      <c r="G1309" s="97"/>
      <c r="H1309" s="5"/>
      <c r="I1309"/>
      <c r="J1309"/>
      <c r="K1309"/>
      <c r="L1309"/>
      <c r="M1309"/>
      <c r="N1309"/>
      <c r="O1309"/>
      <c r="P1309"/>
      <c r="Q1309"/>
      <c r="R1309"/>
      <c r="S1309"/>
      <c r="T1309"/>
      <c r="U1309"/>
      <c r="V1309"/>
      <c r="W1309"/>
      <c r="X1309"/>
      <c r="Y1309"/>
    </row>
    <row r="1310" spans="1:25" s="104" customFormat="1" hidden="1" x14ac:dyDescent="0.25">
      <c r="A1310" s="97" t="str">
        <f t="shared" si="24"/>
        <v>ethernet_vddh1_dyn_rgmii_100_3p3v</v>
      </c>
      <c r="B1310" s="97" t="s">
        <v>649</v>
      </c>
      <c r="C1310" s="97" t="s">
        <v>501</v>
      </c>
      <c r="D1310" s="97" t="s">
        <v>674</v>
      </c>
      <c r="E1310" s="97" t="s">
        <v>1050</v>
      </c>
      <c r="F1310" s="105">
        <v>0</v>
      </c>
      <c r="G1310" s="97"/>
      <c r="H1310" s="5"/>
      <c r="I1310"/>
      <c r="J1310"/>
      <c r="K1310"/>
      <c r="L1310"/>
      <c r="M1310"/>
      <c r="N1310"/>
      <c r="O1310"/>
      <c r="P1310"/>
      <c r="Q1310"/>
      <c r="R1310"/>
      <c r="S1310"/>
      <c r="T1310"/>
      <c r="U1310"/>
      <c r="V1310"/>
      <c r="W1310"/>
      <c r="X1310"/>
      <c r="Y1310"/>
    </row>
    <row r="1311" spans="1:25" s="104" customFormat="1" hidden="1" x14ac:dyDescent="0.25">
      <c r="A1311" s="97" t="str">
        <f t="shared" si="24"/>
        <v>ethernet_vddh1_dyn_rgmii_1000_1p8v</v>
      </c>
      <c r="B1311" s="97" t="s">
        <v>649</v>
      </c>
      <c r="C1311" s="97" t="s">
        <v>501</v>
      </c>
      <c r="D1311" s="97" t="s">
        <v>665</v>
      </c>
      <c r="E1311" s="97" t="s">
        <v>1050</v>
      </c>
      <c r="F1311" s="105">
        <v>25.365676500000003</v>
      </c>
      <c r="G1311" s="97"/>
      <c r="H1311" s="5"/>
      <c r="I1311"/>
      <c r="J1311"/>
      <c r="K1311"/>
      <c r="L1311"/>
      <c r="M1311"/>
      <c r="N1311"/>
      <c r="O1311"/>
      <c r="P1311"/>
      <c r="Q1311"/>
      <c r="R1311"/>
      <c r="S1311"/>
      <c r="T1311"/>
      <c r="U1311"/>
      <c r="V1311"/>
      <c r="W1311"/>
      <c r="X1311"/>
      <c r="Y1311"/>
    </row>
    <row r="1312" spans="1:25" s="104" customFormat="1" hidden="1" x14ac:dyDescent="0.25">
      <c r="A1312" s="97" t="str">
        <f t="shared" si="24"/>
        <v>ethernet_vddh1_dyn_rgmii_1000_3p3v</v>
      </c>
      <c r="B1312" s="97" t="s">
        <v>649</v>
      </c>
      <c r="C1312" s="97" t="s">
        <v>501</v>
      </c>
      <c r="D1312" s="97" t="s">
        <v>673</v>
      </c>
      <c r="E1312" s="97" t="s">
        <v>1050</v>
      </c>
      <c r="F1312" s="105">
        <v>0</v>
      </c>
      <c r="G1312" s="97"/>
      <c r="H1312" s="5"/>
      <c r="I1312"/>
      <c r="J1312"/>
      <c r="K1312"/>
      <c r="L1312"/>
      <c r="M1312"/>
      <c r="N1312"/>
      <c r="O1312"/>
      <c r="P1312"/>
      <c r="Q1312"/>
      <c r="R1312"/>
      <c r="S1312"/>
      <c r="T1312"/>
      <c r="U1312"/>
      <c r="V1312"/>
      <c r="W1312"/>
      <c r="X1312"/>
      <c r="Y1312"/>
    </row>
    <row r="1313" spans="1:25" s="104" customFormat="1" hidden="1" x14ac:dyDescent="0.25">
      <c r="A1313" s="97" t="str">
        <f t="shared" si="24"/>
        <v>ethernet_vddh1_dyn_rmii_10_1p8v</v>
      </c>
      <c r="B1313" s="97" t="s">
        <v>649</v>
      </c>
      <c r="C1313" s="97" t="s">
        <v>501</v>
      </c>
      <c r="D1313" s="97" t="s">
        <v>669</v>
      </c>
      <c r="E1313" s="97" t="s">
        <v>1050</v>
      </c>
      <c r="F1313" s="105">
        <v>0.65156561999999996</v>
      </c>
      <c r="G1313" s="97"/>
      <c r="H1313" s="5"/>
      <c r="I1313"/>
      <c r="J1313"/>
      <c r="K1313"/>
      <c r="L1313"/>
      <c r="M1313"/>
      <c r="N1313"/>
      <c r="O1313"/>
      <c r="P1313"/>
      <c r="Q1313"/>
      <c r="R1313"/>
      <c r="S1313"/>
      <c r="T1313"/>
      <c r="U1313"/>
      <c r="V1313"/>
      <c r="W1313"/>
      <c r="X1313"/>
      <c r="Y1313"/>
    </row>
    <row r="1314" spans="1:25" s="104" customFormat="1" hidden="1" x14ac:dyDescent="0.25">
      <c r="A1314" s="97" t="str">
        <f t="shared" si="24"/>
        <v>ethernet_vddh1_dyn_rmii_10_3p3v</v>
      </c>
      <c r="B1314" s="97" t="s">
        <v>649</v>
      </c>
      <c r="C1314" s="97" t="s">
        <v>501</v>
      </c>
      <c r="D1314" s="97" t="s">
        <v>677</v>
      </c>
      <c r="E1314" s="97" t="s">
        <v>1050</v>
      </c>
      <c r="F1314" s="105">
        <v>0</v>
      </c>
      <c r="G1314" s="97"/>
      <c r="H1314" s="5"/>
      <c r="I1314"/>
      <c r="J1314"/>
      <c r="K1314"/>
      <c r="L1314"/>
      <c r="M1314"/>
      <c r="N1314"/>
      <c r="O1314"/>
      <c r="P1314"/>
      <c r="Q1314"/>
      <c r="R1314"/>
      <c r="S1314"/>
      <c r="T1314"/>
      <c r="U1314"/>
      <c r="V1314"/>
      <c r="W1314"/>
      <c r="X1314"/>
      <c r="Y1314"/>
    </row>
    <row r="1315" spans="1:25" s="104" customFormat="1" hidden="1" x14ac:dyDescent="0.25">
      <c r="A1315" s="97" t="str">
        <f t="shared" si="24"/>
        <v>ethernet_vddh1_dyn_rmii_100_1p8v</v>
      </c>
      <c r="B1315" s="97" t="s">
        <v>649</v>
      </c>
      <c r="C1315" s="97" t="s">
        <v>501</v>
      </c>
      <c r="D1315" s="97" t="s">
        <v>668</v>
      </c>
      <c r="E1315" s="97" t="s">
        <v>1050</v>
      </c>
      <c r="F1315" s="105">
        <v>5.0569272000000005</v>
      </c>
      <c r="G1315" s="97"/>
      <c r="H1315" s="5"/>
      <c r="I1315"/>
      <c r="J1315"/>
      <c r="K1315"/>
      <c r="L1315"/>
      <c r="M1315"/>
      <c r="N1315"/>
      <c r="O1315"/>
      <c r="P1315"/>
      <c r="Q1315"/>
      <c r="R1315"/>
      <c r="S1315"/>
      <c r="T1315"/>
      <c r="U1315"/>
      <c r="V1315"/>
      <c r="W1315"/>
      <c r="X1315"/>
      <c r="Y1315"/>
    </row>
    <row r="1316" spans="1:25" s="104" customFormat="1" hidden="1" x14ac:dyDescent="0.25">
      <c r="A1316" s="97" t="str">
        <f t="shared" si="24"/>
        <v>ethernet_vddh1_dyn_rmii_100_3p3v</v>
      </c>
      <c r="B1316" s="97" t="s">
        <v>649</v>
      </c>
      <c r="C1316" s="97" t="s">
        <v>501</v>
      </c>
      <c r="D1316" s="97" t="s">
        <v>676</v>
      </c>
      <c r="E1316" s="97" t="s">
        <v>1050</v>
      </c>
      <c r="F1316" s="105">
        <v>0</v>
      </c>
      <c r="G1316" s="97"/>
      <c r="H1316" s="5"/>
      <c r="I1316"/>
      <c r="J1316"/>
      <c r="K1316"/>
      <c r="L1316"/>
      <c r="M1316"/>
      <c r="N1316"/>
      <c r="O1316"/>
      <c r="P1316"/>
      <c r="Q1316"/>
      <c r="R1316"/>
      <c r="S1316"/>
      <c r="T1316"/>
      <c r="U1316"/>
      <c r="V1316"/>
      <c r="W1316"/>
      <c r="X1316"/>
      <c r="Y1316"/>
    </row>
    <row r="1317" spans="1:25" s="104" customFormat="1" hidden="1" x14ac:dyDescent="0.25">
      <c r="A1317" s="97" t="str">
        <f t="shared" si="24"/>
        <v>icssm_vddh1_dyn_ethercat_1p8v</v>
      </c>
      <c r="B1317" s="97" t="s">
        <v>643</v>
      </c>
      <c r="C1317" s="97" t="s">
        <v>501</v>
      </c>
      <c r="D1317" s="97" t="s">
        <v>640</v>
      </c>
      <c r="E1317" s="97" t="s">
        <v>1050</v>
      </c>
      <c r="F1317" s="105">
        <v>6.3220046399999994</v>
      </c>
      <c r="G1317" s="97" t="s">
        <v>629</v>
      </c>
      <c r="H1317" s="5"/>
      <c r="I1317"/>
      <c r="J1317"/>
      <c r="K1317"/>
      <c r="L1317"/>
      <c r="M1317"/>
      <c r="N1317"/>
      <c r="O1317"/>
      <c r="P1317"/>
      <c r="Q1317"/>
      <c r="R1317"/>
      <c r="S1317"/>
      <c r="T1317"/>
      <c r="U1317"/>
      <c r="V1317"/>
      <c r="W1317"/>
      <c r="X1317"/>
      <c r="Y1317"/>
    </row>
    <row r="1318" spans="1:25" s="104" customFormat="1" hidden="1" x14ac:dyDescent="0.25">
      <c r="A1318" s="97" t="str">
        <f t="shared" ref="A1318:A1381" si="25">B1318&amp;"_"&amp;C1318&amp;"_"&amp;D1318</f>
        <v>icssm_vddh1_dyn_ethercat_3p3v</v>
      </c>
      <c r="B1318" s="97" t="s">
        <v>643</v>
      </c>
      <c r="C1318" s="97" t="s">
        <v>501</v>
      </c>
      <c r="D1318" s="97" t="s">
        <v>633</v>
      </c>
      <c r="E1318" s="97" t="s">
        <v>1050</v>
      </c>
      <c r="F1318" s="105">
        <v>0</v>
      </c>
      <c r="G1318" s="97" t="s">
        <v>629</v>
      </c>
      <c r="H1318" s="5"/>
      <c r="I1318"/>
      <c r="J1318"/>
      <c r="K1318"/>
      <c r="L1318"/>
      <c r="M1318"/>
      <c r="N1318"/>
      <c r="O1318"/>
      <c r="P1318"/>
      <c r="Q1318"/>
      <c r="R1318"/>
      <c r="S1318"/>
      <c r="T1318"/>
      <c r="U1318"/>
      <c r="V1318"/>
      <c r="W1318"/>
      <c r="X1318"/>
      <c r="Y1318"/>
    </row>
    <row r="1319" spans="1:25" s="104" customFormat="1" hidden="1" x14ac:dyDescent="0.25">
      <c r="A1319" s="97" t="str">
        <f t="shared" si="25"/>
        <v>icssm_vddh1_dyn_mii_1p8v</v>
      </c>
      <c r="B1319" s="97" t="s">
        <v>643</v>
      </c>
      <c r="C1319" s="97" t="s">
        <v>501</v>
      </c>
      <c r="D1319" s="97" t="s">
        <v>638</v>
      </c>
      <c r="E1319" s="97" t="s">
        <v>1050</v>
      </c>
      <c r="F1319" s="105">
        <v>6.3220046399999994</v>
      </c>
      <c r="G1319" s="97" t="s">
        <v>629</v>
      </c>
      <c r="H1319" s="5"/>
      <c r="I1319"/>
      <c r="J1319"/>
      <c r="K1319"/>
      <c r="L1319"/>
      <c r="M1319"/>
      <c r="N1319"/>
      <c r="O1319"/>
      <c r="P1319"/>
      <c r="Q1319"/>
      <c r="R1319"/>
      <c r="S1319"/>
      <c r="T1319"/>
      <c r="U1319"/>
      <c r="V1319"/>
      <c r="W1319"/>
      <c r="X1319"/>
      <c r="Y1319"/>
    </row>
    <row r="1320" spans="1:25" s="104" customFormat="1" hidden="1" x14ac:dyDescent="0.25">
      <c r="A1320" s="97" t="str">
        <f t="shared" si="25"/>
        <v>icssm_vddh1_dyn_mii_3p3v</v>
      </c>
      <c r="B1320" s="97" t="s">
        <v>643</v>
      </c>
      <c r="C1320" s="97" t="s">
        <v>501</v>
      </c>
      <c r="D1320" s="97" t="s">
        <v>635</v>
      </c>
      <c r="E1320" s="97" t="s">
        <v>1050</v>
      </c>
      <c r="F1320" s="105">
        <v>0</v>
      </c>
      <c r="G1320" s="97" t="s">
        <v>629</v>
      </c>
      <c r="H1320" s="5"/>
      <c r="I1320"/>
      <c r="J1320"/>
      <c r="K1320"/>
      <c r="L1320"/>
      <c r="M1320"/>
      <c r="N1320"/>
      <c r="O1320"/>
      <c r="P1320"/>
      <c r="Q1320"/>
      <c r="R1320"/>
      <c r="S1320"/>
      <c r="T1320"/>
      <c r="U1320"/>
      <c r="V1320"/>
      <c r="W1320"/>
      <c r="X1320"/>
      <c r="Y1320"/>
    </row>
    <row r="1321" spans="1:25" s="104" customFormat="1" hidden="1" x14ac:dyDescent="0.25">
      <c r="A1321" s="97" t="str">
        <f t="shared" si="25"/>
        <v>icssm_vddh1_dyn_mii_mii_1p8v</v>
      </c>
      <c r="B1321" s="97" t="s">
        <v>643</v>
      </c>
      <c r="C1321" s="97" t="s">
        <v>501</v>
      </c>
      <c r="D1321" s="97" t="s">
        <v>642</v>
      </c>
      <c r="E1321" s="97" t="s">
        <v>1050</v>
      </c>
      <c r="F1321" s="105">
        <v>6.3220046399999994</v>
      </c>
      <c r="G1321" s="97" t="s">
        <v>629</v>
      </c>
      <c r="H1321" s="5"/>
      <c r="I1321"/>
      <c r="J1321"/>
      <c r="K1321"/>
      <c r="L1321"/>
      <c r="M1321"/>
      <c r="N1321"/>
      <c r="O1321"/>
      <c r="P1321"/>
      <c r="Q1321"/>
      <c r="R1321"/>
      <c r="S1321"/>
      <c r="T1321"/>
      <c r="U1321"/>
      <c r="V1321"/>
      <c r="W1321"/>
      <c r="X1321"/>
      <c r="Y1321"/>
    </row>
    <row r="1322" spans="1:25" s="104" customFormat="1" hidden="1" x14ac:dyDescent="0.25">
      <c r="A1322" s="97" t="str">
        <f t="shared" si="25"/>
        <v>icssm_vddh1_dyn_mii_mii_3p3v</v>
      </c>
      <c r="B1322" s="97" t="s">
        <v>643</v>
      </c>
      <c r="C1322" s="97" t="s">
        <v>501</v>
      </c>
      <c r="D1322" s="97" t="s">
        <v>641</v>
      </c>
      <c r="E1322" s="97" t="s">
        <v>1050</v>
      </c>
      <c r="F1322" s="105">
        <v>0</v>
      </c>
      <c r="G1322" s="97" t="s">
        <v>629</v>
      </c>
      <c r="H1322" s="5"/>
      <c r="I1322"/>
      <c r="J1322"/>
      <c r="K1322"/>
      <c r="L1322"/>
      <c r="M1322"/>
      <c r="N1322"/>
      <c r="O1322"/>
      <c r="P1322"/>
      <c r="Q1322"/>
      <c r="R1322"/>
      <c r="S1322"/>
      <c r="T1322"/>
      <c r="U1322"/>
      <c r="V1322"/>
      <c r="W1322"/>
      <c r="X1322"/>
      <c r="Y1322"/>
    </row>
    <row r="1323" spans="1:25" s="104" customFormat="1" hidden="1" x14ac:dyDescent="0.25">
      <c r="A1323" s="97" t="str">
        <f t="shared" si="25"/>
        <v>icssm_vddh1_dyn_off</v>
      </c>
      <c r="B1323" s="97" t="s">
        <v>643</v>
      </c>
      <c r="C1323" s="97" t="s">
        <v>501</v>
      </c>
      <c r="D1323" s="97" t="s">
        <v>69</v>
      </c>
      <c r="E1323" s="97" t="s">
        <v>1050</v>
      </c>
      <c r="F1323" s="105">
        <v>0</v>
      </c>
      <c r="G1323" s="97" t="s">
        <v>629</v>
      </c>
      <c r="H1323" s="5"/>
      <c r="I1323"/>
      <c r="J1323"/>
      <c r="K1323"/>
      <c r="L1323"/>
      <c r="M1323"/>
      <c r="N1323"/>
      <c r="O1323"/>
      <c r="P1323"/>
      <c r="Q1323"/>
      <c r="R1323"/>
      <c r="S1323"/>
      <c r="T1323"/>
      <c r="U1323"/>
      <c r="V1323"/>
      <c r="W1323"/>
      <c r="X1323"/>
      <c r="Y1323"/>
    </row>
    <row r="1324" spans="1:25" s="104" customFormat="1" hidden="1" x14ac:dyDescent="0.25">
      <c r="A1324" s="97" t="str">
        <f t="shared" si="25"/>
        <v>icssm_vddh1_dyn_profinet_1p8v</v>
      </c>
      <c r="B1324" s="97" t="s">
        <v>643</v>
      </c>
      <c r="C1324" s="97" t="s">
        <v>501</v>
      </c>
      <c r="D1324" s="97" t="s">
        <v>639</v>
      </c>
      <c r="E1324" s="97" t="s">
        <v>1050</v>
      </c>
      <c r="F1324" s="105">
        <v>6.3220046399999994</v>
      </c>
      <c r="G1324" s="97" t="s">
        <v>629</v>
      </c>
      <c r="H1324" s="5"/>
      <c r="I1324"/>
      <c r="J1324"/>
      <c r="K1324"/>
      <c r="L1324"/>
      <c r="M1324"/>
      <c r="N1324"/>
      <c r="O1324"/>
      <c r="P1324"/>
      <c r="Q1324"/>
      <c r="R1324"/>
      <c r="S1324"/>
      <c r="T1324"/>
      <c r="U1324"/>
      <c r="V1324"/>
      <c r="W1324"/>
      <c r="X1324"/>
      <c r="Y1324"/>
    </row>
    <row r="1325" spans="1:25" s="104" customFormat="1" hidden="1" x14ac:dyDescent="0.25">
      <c r="A1325" s="97" t="str">
        <f t="shared" si="25"/>
        <v>icssm_vddh1_dyn_profinet_3p3v</v>
      </c>
      <c r="B1325" s="97" t="s">
        <v>643</v>
      </c>
      <c r="C1325" s="97" t="s">
        <v>501</v>
      </c>
      <c r="D1325" s="97" t="s">
        <v>632</v>
      </c>
      <c r="E1325" s="97" t="s">
        <v>1050</v>
      </c>
      <c r="F1325" s="105">
        <v>0</v>
      </c>
      <c r="G1325" s="97" t="s">
        <v>629</v>
      </c>
      <c r="H1325" s="5"/>
      <c r="I1325"/>
      <c r="J1325"/>
      <c r="K1325"/>
      <c r="L1325"/>
      <c r="M1325"/>
      <c r="N1325"/>
      <c r="O1325"/>
      <c r="P1325"/>
      <c r="Q1325"/>
      <c r="R1325"/>
      <c r="S1325"/>
      <c r="T1325"/>
      <c r="U1325"/>
      <c r="V1325"/>
      <c r="W1325"/>
      <c r="X1325"/>
      <c r="Y1325"/>
    </row>
    <row r="1326" spans="1:25" s="104" customFormat="1" hidden="1" x14ac:dyDescent="0.25">
      <c r="A1326" s="97" t="str">
        <f t="shared" si="25"/>
        <v>icssm_vddh1_dyn_rmii_1p8v</v>
      </c>
      <c r="B1326" s="97" t="s">
        <v>643</v>
      </c>
      <c r="C1326" s="97" t="s">
        <v>501</v>
      </c>
      <c r="D1326" s="97" t="s">
        <v>637</v>
      </c>
      <c r="E1326" s="97" t="s">
        <v>1050</v>
      </c>
      <c r="F1326" s="105">
        <v>3.9575952000000001</v>
      </c>
      <c r="G1326" s="97" t="s">
        <v>629</v>
      </c>
      <c r="H1326" s="5"/>
      <c r="I1326"/>
      <c r="J1326"/>
      <c r="K1326"/>
      <c r="L1326"/>
      <c r="M1326"/>
      <c r="N1326"/>
      <c r="O1326"/>
      <c r="P1326"/>
      <c r="Q1326"/>
      <c r="R1326"/>
      <c r="S1326"/>
      <c r="T1326"/>
      <c r="U1326"/>
      <c r="V1326"/>
      <c r="W1326"/>
      <c r="X1326"/>
      <c r="Y1326"/>
    </row>
    <row r="1327" spans="1:25" s="104" customFormat="1" hidden="1" x14ac:dyDescent="0.25">
      <c r="A1327" s="97" t="str">
        <f t="shared" si="25"/>
        <v>icssm_vddh1_dyn_rmii_3p3v</v>
      </c>
      <c r="B1327" s="97" t="s">
        <v>643</v>
      </c>
      <c r="C1327" s="97" t="s">
        <v>501</v>
      </c>
      <c r="D1327" s="97" t="s">
        <v>634</v>
      </c>
      <c r="E1327" s="97" t="s">
        <v>1050</v>
      </c>
      <c r="F1327" s="105">
        <v>0</v>
      </c>
      <c r="G1327" s="97" t="s">
        <v>629</v>
      </c>
      <c r="H1327" s="5"/>
      <c r="I1327"/>
      <c r="J1327"/>
      <c r="K1327"/>
      <c r="L1327"/>
      <c r="M1327"/>
      <c r="N1327"/>
      <c r="O1327"/>
      <c r="P1327"/>
      <c r="Q1327"/>
      <c r="R1327"/>
      <c r="S1327"/>
      <c r="T1327"/>
      <c r="U1327"/>
      <c r="V1327"/>
      <c r="W1327"/>
      <c r="X1327"/>
      <c r="Y1327"/>
    </row>
    <row r="1328" spans="1:25" s="104" customFormat="1" hidden="1" x14ac:dyDescent="0.25">
      <c r="A1328" s="97" t="str">
        <f t="shared" si="25"/>
        <v>icssm_vddh1_dyn_rmii_rmii_1p8v</v>
      </c>
      <c r="B1328" s="97" t="s">
        <v>643</v>
      </c>
      <c r="C1328" s="97" t="s">
        <v>501</v>
      </c>
      <c r="D1328" s="97" t="s">
        <v>636</v>
      </c>
      <c r="E1328" s="97" t="s">
        <v>1050</v>
      </c>
      <c r="F1328" s="105">
        <v>7.9151904000000002</v>
      </c>
      <c r="G1328" s="97" t="s">
        <v>629</v>
      </c>
      <c r="H1328" s="5"/>
      <c r="I1328"/>
      <c r="J1328"/>
      <c r="K1328"/>
      <c r="L1328"/>
      <c r="M1328"/>
      <c r="N1328"/>
      <c r="O1328"/>
      <c r="P1328"/>
      <c r="Q1328"/>
      <c r="R1328"/>
      <c r="S1328"/>
      <c r="T1328"/>
      <c r="U1328"/>
      <c r="V1328"/>
      <c r="W1328"/>
      <c r="X1328"/>
      <c r="Y1328"/>
    </row>
    <row r="1329" spans="1:25" s="104" customFormat="1" hidden="1" x14ac:dyDescent="0.25">
      <c r="A1329" s="97" t="str">
        <f t="shared" si="25"/>
        <v>icssm_vddh1_dyn_rmii_rmii_3p3v</v>
      </c>
      <c r="B1329" s="97" t="s">
        <v>643</v>
      </c>
      <c r="C1329" s="97" t="s">
        <v>501</v>
      </c>
      <c r="D1329" s="97" t="s">
        <v>631</v>
      </c>
      <c r="E1329" s="97" t="s">
        <v>1050</v>
      </c>
      <c r="F1329" s="105">
        <v>0</v>
      </c>
      <c r="G1329" s="97" t="s">
        <v>629</v>
      </c>
      <c r="H1329" s="5"/>
      <c r="I1329"/>
      <c r="J1329"/>
      <c r="K1329"/>
      <c r="L1329"/>
      <c r="M1329"/>
      <c r="N1329"/>
      <c r="O1329"/>
      <c r="P1329"/>
      <c r="Q1329"/>
      <c r="R1329"/>
      <c r="S1329"/>
      <c r="T1329"/>
      <c r="U1329"/>
      <c r="V1329"/>
      <c r="W1329"/>
      <c r="X1329"/>
      <c r="Y1329"/>
    </row>
    <row r="1330" spans="1:25" s="104" customFormat="1" hidden="1" x14ac:dyDescent="0.25">
      <c r="A1330" s="97" t="str">
        <f t="shared" si="25"/>
        <v>spi_vddh1_dyn_Master_1.563_Mbaud_1p8v</v>
      </c>
      <c r="B1330" s="97" t="s">
        <v>898</v>
      </c>
      <c r="C1330" s="97" t="s">
        <v>501</v>
      </c>
      <c r="D1330" s="97" t="s">
        <v>881</v>
      </c>
      <c r="E1330" s="97" t="s">
        <v>1050</v>
      </c>
      <c r="F1330" s="97">
        <v>0.31943214577475998</v>
      </c>
      <c r="G1330" s="97" t="s">
        <v>629</v>
      </c>
      <c r="H1330" s="5"/>
      <c r="I1330"/>
      <c r="J1330"/>
      <c r="K1330"/>
      <c r="L1330"/>
      <c r="M1330"/>
      <c r="N1330"/>
      <c r="O1330"/>
      <c r="P1330"/>
      <c r="Q1330"/>
      <c r="R1330"/>
      <c r="S1330"/>
      <c r="T1330"/>
      <c r="U1330"/>
      <c r="V1330"/>
      <c r="W1330"/>
      <c r="X1330"/>
      <c r="Y1330"/>
    </row>
    <row r="1331" spans="1:25" s="104" customFormat="1" hidden="1" x14ac:dyDescent="0.25">
      <c r="A1331" s="97" t="str">
        <f t="shared" si="25"/>
        <v>spi_vddh1_dyn_Master_12.5_Mbaud_1p8v</v>
      </c>
      <c r="B1331" s="97" t="s">
        <v>898</v>
      </c>
      <c r="C1331" s="97" t="s">
        <v>501</v>
      </c>
      <c r="D1331" s="97" t="s">
        <v>877</v>
      </c>
      <c r="E1331" s="97" t="s">
        <v>1050</v>
      </c>
      <c r="F1331" s="97">
        <v>2.5546396814999999</v>
      </c>
      <c r="G1331" s="97" t="s">
        <v>629</v>
      </c>
      <c r="H1331" s="5"/>
      <c r="I1331"/>
      <c r="J1331"/>
      <c r="K1331"/>
      <c r="L1331"/>
      <c r="M1331"/>
      <c r="N1331"/>
      <c r="O1331"/>
      <c r="P1331"/>
      <c r="Q1331"/>
      <c r="R1331"/>
      <c r="S1331"/>
      <c r="T1331"/>
      <c r="U1331"/>
      <c r="V1331"/>
      <c r="W1331"/>
      <c r="X1331"/>
      <c r="Y1331"/>
    </row>
    <row r="1332" spans="1:25" s="104" customFormat="1" hidden="1" x14ac:dyDescent="0.25">
      <c r="A1332" s="97" t="str">
        <f t="shared" si="25"/>
        <v>spi_vddh1_dyn_Master_2.083_Mbaud_1p8v</v>
      </c>
      <c r="B1332" s="97" t="s">
        <v>898</v>
      </c>
      <c r="C1332" s="97" t="s">
        <v>501</v>
      </c>
      <c r="D1332" s="97" t="s">
        <v>880</v>
      </c>
      <c r="E1332" s="97" t="s">
        <v>1050</v>
      </c>
      <c r="F1332" s="97">
        <v>0.42570515652516011</v>
      </c>
      <c r="G1332" s="97" t="s">
        <v>629</v>
      </c>
      <c r="H1332" s="5"/>
      <c r="I1332"/>
      <c r="J1332"/>
      <c r="K1332"/>
      <c r="L1332"/>
      <c r="M1332"/>
      <c r="N1332"/>
      <c r="O1332"/>
      <c r="P1332"/>
      <c r="Q1332"/>
      <c r="R1332"/>
      <c r="S1332"/>
      <c r="T1332"/>
      <c r="U1332"/>
      <c r="V1332"/>
      <c r="W1332"/>
      <c r="X1332"/>
      <c r="Y1332"/>
    </row>
    <row r="1333" spans="1:25" s="104" customFormat="1" hidden="1" x14ac:dyDescent="0.25">
      <c r="A1333" s="97" t="str">
        <f t="shared" si="25"/>
        <v>spi_vddh1_dyn_Master_25_Mbaud_1p8v</v>
      </c>
      <c r="B1333" s="97" t="s">
        <v>898</v>
      </c>
      <c r="C1333" s="97" t="s">
        <v>501</v>
      </c>
      <c r="D1333" s="97" t="s">
        <v>876</v>
      </c>
      <c r="E1333" s="97" t="s">
        <v>1050</v>
      </c>
      <c r="F1333" s="97">
        <v>5.1092793629999997</v>
      </c>
      <c r="G1333" s="97" t="s">
        <v>629</v>
      </c>
      <c r="H1333" s="5"/>
      <c r="I1333"/>
      <c r="J1333"/>
      <c r="K1333"/>
      <c r="L1333"/>
      <c r="M1333"/>
      <c r="N1333"/>
      <c r="O1333"/>
      <c r="P1333"/>
      <c r="Q1333"/>
      <c r="R1333"/>
      <c r="S1333"/>
      <c r="T1333"/>
      <c r="U1333"/>
      <c r="V1333"/>
      <c r="W1333"/>
      <c r="X1333"/>
      <c r="Y1333"/>
    </row>
    <row r="1334" spans="1:25" s="104" customFormat="1" hidden="1" x14ac:dyDescent="0.25">
      <c r="A1334" s="97" t="str">
        <f t="shared" si="25"/>
        <v>spi_vddh1_dyn_Master_3.125_Mbaud_1p8v</v>
      </c>
      <c r="B1334" s="97" t="s">
        <v>898</v>
      </c>
      <c r="C1334" s="97" t="s">
        <v>501</v>
      </c>
      <c r="D1334" s="97" t="s">
        <v>879</v>
      </c>
      <c r="E1334" s="97" t="s">
        <v>1050</v>
      </c>
      <c r="F1334" s="97">
        <v>0.63865992037499997</v>
      </c>
      <c r="G1334" s="97" t="s">
        <v>629</v>
      </c>
      <c r="H1334" s="5"/>
      <c r="I1334"/>
      <c r="J1334"/>
      <c r="K1334"/>
      <c r="L1334"/>
      <c r="M1334"/>
      <c r="N1334"/>
      <c r="O1334"/>
      <c r="P1334"/>
      <c r="Q1334"/>
      <c r="R1334"/>
      <c r="S1334"/>
      <c r="T1334"/>
      <c r="U1334"/>
      <c r="V1334"/>
      <c r="W1334"/>
      <c r="X1334"/>
      <c r="Y1334"/>
    </row>
    <row r="1335" spans="1:25" s="104" customFormat="1" hidden="1" x14ac:dyDescent="0.25">
      <c r="A1335" s="97" t="str">
        <f t="shared" si="25"/>
        <v>spi_vddh1_dyn_Master_6.25_Mbaud_1p8v</v>
      </c>
      <c r="B1335" s="97" t="s">
        <v>898</v>
      </c>
      <c r="C1335" s="97" t="s">
        <v>501</v>
      </c>
      <c r="D1335" s="97" t="s">
        <v>878</v>
      </c>
      <c r="E1335" s="97" t="s">
        <v>1050</v>
      </c>
      <c r="F1335" s="97">
        <v>1.2773198407499999</v>
      </c>
      <c r="G1335" s="97" t="s">
        <v>629</v>
      </c>
      <c r="H1335" s="5"/>
      <c r="I1335"/>
      <c r="J1335"/>
      <c r="K1335"/>
      <c r="L1335"/>
      <c r="M1335"/>
      <c r="N1335"/>
      <c r="O1335"/>
      <c r="P1335"/>
      <c r="Q1335"/>
      <c r="R1335"/>
      <c r="S1335"/>
      <c r="T1335"/>
      <c r="U1335"/>
      <c r="V1335"/>
      <c r="W1335"/>
      <c r="X1335"/>
      <c r="Y1335"/>
    </row>
    <row r="1336" spans="1:25" s="104" customFormat="1" hidden="1" x14ac:dyDescent="0.25">
      <c r="A1336" s="97" t="str">
        <f t="shared" si="25"/>
        <v>spi_vddh1_dyn_Slave_12.5_Mbaud_1p8v</v>
      </c>
      <c r="B1336" s="97" t="s">
        <v>898</v>
      </c>
      <c r="C1336" s="97" t="s">
        <v>501</v>
      </c>
      <c r="D1336" s="97" t="s">
        <v>883</v>
      </c>
      <c r="E1336" s="97" t="s">
        <v>1050</v>
      </c>
      <c r="F1336" s="97">
        <v>0.51090749999999996</v>
      </c>
      <c r="G1336" s="97" t="s">
        <v>629</v>
      </c>
      <c r="H1336" s="5"/>
      <c r="I1336"/>
      <c r="J1336"/>
      <c r="K1336"/>
      <c r="L1336"/>
      <c r="M1336"/>
      <c r="N1336"/>
      <c r="O1336"/>
      <c r="P1336"/>
      <c r="Q1336"/>
      <c r="R1336"/>
      <c r="S1336"/>
      <c r="T1336"/>
      <c r="U1336"/>
      <c r="V1336"/>
      <c r="W1336"/>
      <c r="X1336"/>
      <c r="Y1336"/>
    </row>
    <row r="1337" spans="1:25" s="104" customFormat="1" hidden="1" x14ac:dyDescent="0.25">
      <c r="A1337" s="97" t="str">
        <f t="shared" si="25"/>
        <v>spi_vddh1_dyn_Slave_2.083_Mbaud_1p8v</v>
      </c>
      <c r="B1337" s="97" t="s">
        <v>898</v>
      </c>
      <c r="C1337" s="97" t="s">
        <v>501</v>
      </c>
      <c r="D1337" s="97" t="s">
        <v>886</v>
      </c>
      <c r="E1337" s="97" t="s">
        <v>1050</v>
      </c>
      <c r="F1337" s="97">
        <v>8.5137625800000019E-2</v>
      </c>
      <c r="G1337" s="97" t="s">
        <v>629</v>
      </c>
      <c r="H1337" s="5"/>
      <c r="I1337"/>
      <c r="J1337"/>
      <c r="K1337"/>
      <c r="L1337"/>
      <c r="M1337"/>
      <c r="N1337"/>
      <c r="O1337"/>
      <c r="P1337"/>
      <c r="Q1337"/>
      <c r="R1337"/>
      <c r="S1337"/>
      <c r="T1337"/>
      <c r="U1337"/>
      <c r="V1337"/>
      <c r="W1337"/>
      <c r="X1337"/>
      <c r="Y1337"/>
    </row>
    <row r="1338" spans="1:25" s="104" customFormat="1" hidden="1" x14ac:dyDescent="0.25">
      <c r="A1338" s="97" t="str">
        <f t="shared" si="25"/>
        <v>spi_vddh1_dyn_Slave_2.083_Mbaud_1p8v</v>
      </c>
      <c r="B1338" s="97" t="s">
        <v>898</v>
      </c>
      <c r="C1338" s="97" t="s">
        <v>501</v>
      </c>
      <c r="D1338" s="97" t="s">
        <v>886</v>
      </c>
      <c r="E1338" s="97" t="s">
        <v>1050</v>
      </c>
      <c r="F1338" s="97">
        <v>6.3883873799999991E-2</v>
      </c>
      <c r="G1338" s="97" t="s">
        <v>629</v>
      </c>
      <c r="H1338" s="5"/>
      <c r="I1338"/>
      <c r="J1338"/>
      <c r="K1338"/>
      <c r="L1338"/>
      <c r="M1338"/>
      <c r="N1338"/>
      <c r="O1338"/>
      <c r="P1338"/>
      <c r="Q1338"/>
      <c r="R1338"/>
      <c r="S1338"/>
      <c r="T1338"/>
      <c r="U1338"/>
      <c r="V1338"/>
      <c r="W1338"/>
      <c r="X1338"/>
      <c r="Y1338"/>
    </row>
    <row r="1339" spans="1:25" s="104" customFormat="1" hidden="1" x14ac:dyDescent="0.25">
      <c r="A1339" s="97" t="str">
        <f t="shared" si="25"/>
        <v>spi_vddh1_dyn_Slave_25_Mbaud_1p8v</v>
      </c>
      <c r="B1339" s="97" t="s">
        <v>898</v>
      </c>
      <c r="C1339" s="97" t="s">
        <v>501</v>
      </c>
      <c r="D1339" s="97" t="s">
        <v>882</v>
      </c>
      <c r="E1339" s="97" t="s">
        <v>1050</v>
      </c>
      <c r="F1339" s="97">
        <v>1.0218149999999999</v>
      </c>
      <c r="G1339" s="97" t="s">
        <v>629</v>
      </c>
      <c r="H1339" s="5"/>
      <c r="I1339"/>
      <c r="J1339"/>
      <c r="K1339"/>
      <c r="L1339"/>
      <c r="M1339"/>
      <c r="N1339"/>
      <c r="O1339"/>
      <c r="P1339"/>
      <c r="Q1339"/>
      <c r="R1339"/>
      <c r="S1339"/>
      <c r="T1339"/>
      <c r="U1339"/>
      <c r="V1339"/>
      <c r="W1339"/>
      <c r="X1339"/>
      <c r="Y1339"/>
    </row>
    <row r="1340" spans="1:25" s="104" customFormat="1" hidden="1" x14ac:dyDescent="0.25">
      <c r="A1340" s="97" t="str">
        <f t="shared" si="25"/>
        <v>spi_vddh1_dyn_Slave_3.125_Mbaud_1p8v</v>
      </c>
      <c r="B1340" s="97" t="s">
        <v>898</v>
      </c>
      <c r="C1340" s="97" t="s">
        <v>501</v>
      </c>
      <c r="D1340" s="97" t="s">
        <v>885</v>
      </c>
      <c r="E1340" s="97" t="s">
        <v>1050</v>
      </c>
      <c r="F1340" s="97">
        <v>0.12772687499999999</v>
      </c>
      <c r="G1340" s="97" t="s">
        <v>629</v>
      </c>
      <c r="H1340" s="5"/>
      <c r="I1340"/>
      <c r="J1340"/>
      <c r="K1340"/>
      <c r="L1340"/>
      <c r="M1340"/>
      <c r="N1340"/>
      <c r="O1340"/>
      <c r="P1340"/>
      <c r="Q1340"/>
      <c r="R1340"/>
      <c r="S1340"/>
      <c r="T1340"/>
      <c r="U1340"/>
      <c r="V1340"/>
      <c r="W1340"/>
      <c r="X1340"/>
      <c r="Y1340"/>
    </row>
    <row r="1341" spans="1:25" s="104" customFormat="1" hidden="1" x14ac:dyDescent="0.25">
      <c r="A1341" s="97" t="str">
        <f t="shared" si="25"/>
        <v>spi_vddh1_dyn_Slave_6.25_Mbaud_1p8v</v>
      </c>
      <c r="B1341" s="97" t="s">
        <v>898</v>
      </c>
      <c r="C1341" s="97" t="s">
        <v>501</v>
      </c>
      <c r="D1341" s="97" t="s">
        <v>884</v>
      </c>
      <c r="E1341" s="97" t="s">
        <v>1050</v>
      </c>
      <c r="F1341" s="97">
        <v>0.25545374999999998</v>
      </c>
      <c r="G1341" s="97" t="s">
        <v>629</v>
      </c>
      <c r="H1341" s="5"/>
      <c r="I1341"/>
      <c r="J1341"/>
      <c r="K1341"/>
      <c r="L1341"/>
      <c r="M1341"/>
      <c r="N1341"/>
      <c r="O1341"/>
      <c r="P1341"/>
      <c r="Q1341"/>
      <c r="R1341"/>
      <c r="S1341"/>
      <c r="T1341"/>
      <c r="U1341"/>
      <c r="V1341"/>
      <c r="W1341"/>
      <c r="X1341"/>
      <c r="Y1341"/>
    </row>
    <row r="1342" spans="1:25" s="104" customFormat="1" hidden="1" x14ac:dyDescent="0.25">
      <c r="A1342" s="97" t="str">
        <f t="shared" si="25"/>
        <v>gpio_vddh1_dyn_1mbs_1p8v_20pf</v>
      </c>
      <c r="B1342" s="97" t="s">
        <v>969</v>
      </c>
      <c r="C1342" s="97" t="s">
        <v>501</v>
      </c>
      <c r="D1342" s="97" t="s">
        <v>972</v>
      </c>
      <c r="E1342" s="97" t="s">
        <v>1050</v>
      </c>
      <c r="F1342" s="97">
        <v>5.0738400000000003E-2</v>
      </c>
      <c r="G1342" s="97"/>
      <c r="H1342" s="5"/>
      <c r="I1342"/>
      <c r="J1342"/>
      <c r="K1342"/>
      <c r="L1342"/>
      <c r="M1342"/>
      <c r="N1342"/>
      <c r="O1342"/>
      <c r="P1342"/>
      <c r="Q1342"/>
      <c r="R1342"/>
      <c r="S1342"/>
      <c r="T1342"/>
      <c r="U1342"/>
      <c r="V1342"/>
      <c r="W1342"/>
      <c r="X1342"/>
      <c r="Y1342"/>
    </row>
    <row r="1343" spans="1:25" s="104" customFormat="1" hidden="1" x14ac:dyDescent="0.25">
      <c r="A1343" s="97" t="str">
        <f t="shared" si="25"/>
        <v>PRWDWUWSWEWCDGSDIO_vddh1_dyn_ddr_100mbs</v>
      </c>
      <c r="B1343" s="97" t="s">
        <v>396</v>
      </c>
      <c r="C1343" s="97" t="s">
        <v>501</v>
      </c>
      <c r="D1343" s="97" t="s">
        <v>1014</v>
      </c>
      <c r="E1343" s="97" t="s">
        <v>1051</v>
      </c>
      <c r="F1343" s="97">
        <v>0.8</v>
      </c>
      <c r="G1343" s="97" t="s">
        <v>1167</v>
      </c>
      <c r="H1343" s="5"/>
      <c r="I1343"/>
      <c r="J1343"/>
      <c r="K1343"/>
      <c r="L1343"/>
      <c r="M1343"/>
      <c r="N1343"/>
      <c r="O1343"/>
      <c r="P1343"/>
      <c r="Q1343"/>
      <c r="R1343"/>
      <c r="S1343"/>
      <c r="T1343"/>
      <c r="U1343"/>
      <c r="V1343"/>
      <c r="W1343"/>
      <c r="X1343"/>
      <c r="Y1343"/>
    </row>
    <row r="1344" spans="1:25" s="104" customFormat="1" hidden="1" x14ac:dyDescent="0.25">
      <c r="A1344" s="97" t="str">
        <f t="shared" si="25"/>
        <v>PRWDWUWSWEWCDGSDIO_vddh1_dyn_ddr_200mbs</v>
      </c>
      <c r="B1344" s="97" t="s">
        <v>396</v>
      </c>
      <c r="C1344" s="97" t="s">
        <v>501</v>
      </c>
      <c r="D1344" s="97" t="s">
        <v>1015</v>
      </c>
      <c r="E1344" s="97" t="s">
        <v>1051</v>
      </c>
      <c r="F1344" s="97">
        <v>1.6</v>
      </c>
      <c r="G1344" s="97" t="s">
        <v>1167</v>
      </c>
      <c r="H1344" s="5"/>
      <c r="I1344"/>
      <c r="J1344"/>
      <c r="K1344"/>
      <c r="L1344"/>
      <c r="M1344"/>
      <c r="N1344"/>
      <c r="O1344"/>
      <c r="P1344"/>
      <c r="Q1344"/>
      <c r="R1344"/>
      <c r="S1344"/>
      <c r="T1344"/>
      <c r="U1344"/>
      <c r="V1344"/>
      <c r="W1344"/>
      <c r="X1344"/>
      <c r="Y1344"/>
    </row>
    <row r="1345" spans="1:25" s="104" customFormat="1" hidden="1" x14ac:dyDescent="0.25">
      <c r="A1345" s="97" t="str">
        <f t="shared" si="25"/>
        <v>PRWDWUWSWEWCDGSDIO_vddh1_dyn_off</v>
      </c>
      <c r="B1345" s="97" t="s">
        <v>396</v>
      </c>
      <c r="C1345" s="97" t="s">
        <v>501</v>
      </c>
      <c r="D1345" s="97" t="s">
        <v>69</v>
      </c>
      <c r="E1345" s="97" t="s">
        <v>1051</v>
      </c>
      <c r="F1345" s="97">
        <v>0</v>
      </c>
      <c r="G1345" s="97" t="s">
        <v>1167</v>
      </c>
      <c r="H1345" s="5"/>
      <c r="I1345"/>
      <c r="J1345"/>
      <c r="K1345"/>
      <c r="L1345"/>
      <c r="M1345"/>
      <c r="N1345"/>
      <c r="O1345"/>
      <c r="P1345"/>
      <c r="Q1345"/>
      <c r="R1345"/>
      <c r="S1345"/>
      <c r="T1345"/>
      <c r="U1345"/>
      <c r="V1345"/>
      <c r="W1345"/>
      <c r="X1345"/>
      <c r="Y1345"/>
    </row>
    <row r="1346" spans="1:25" s="104" customFormat="1" hidden="1" x14ac:dyDescent="0.25">
      <c r="A1346" s="97" t="str">
        <f t="shared" si="25"/>
        <v>PRWDWUWSWEWCDGSDIO_vddh1_dyn_sdr_100mbs</v>
      </c>
      <c r="B1346" s="97" t="s">
        <v>396</v>
      </c>
      <c r="C1346" s="97" t="s">
        <v>501</v>
      </c>
      <c r="D1346" s="97" t="s">
        <v>1016</v>
      </c>
      <c r="E1346" s="97" t="s">
        <v>1051</v>
      </c>
      <c r="F1346" s="97">
        <v>1</v>
      </c>
      <c r="G1346" s="97" t="s">
        <v>1167</v>
      </c>
      <c r="H1346" s="5"/>
      <c r="I1346"/>
      <c r="J1346"/>
      <c r="K1346"/>
      <c r="L1346"/>
      <c r="M1346"/>
      <c r="N1346"/>
      <c r="O1346"/>
      <c r="P1346"/>
      <c r="Q1346"/>
      <c r="R1346"/>
      <c r="S1346"/>
      <c r="T1346"/>
      <c r="U1346"/>
      <c r="V1346"/>
      <c r="W1346"/>
      <c r="X1346"/>
      <c r="Y1346"/>
    </row>
    <row r="1347" spans="1:25" s="104" customFormat="1" hidden="1" x14ac:dyDescent="0.25">
      <c r="A1347" s="97" t="str">
        <f t="shared" si="25"/>
        <v>PRWDWUWSWEWCDGSDIO_vddh1_dyn_sdr_25mbs</v>
      </c>
      <c r="B1347" s="97" t="s">
        <v>396</v>
      </c>
      <c r="C1347" s="97" t="s">
        <v>501</v>
      </c>
      <c r="D1347" s="97" t="s">
        <v>1017</v>
      </c>
      <c r="E1347" s="97" t="s">
        <v>1051</v>
      </c>
      <c r="F1347" s="97">
        <v>0.3</v>
      </c>
      <c r="G1347" s="97" t="s">
        <v>1167</v>
      </c>
      <c r="H1347" s="5"/>
      <c r="I1347"/>
      <c r="J1347"/>
      <c r="K1347"/>
      <c r="L1347"/>
      <c r="M1347"/>
      <c r="N1347"/>
      <c r="O1347"/>
      <c r="P1347"/>
      <c r="Q1347"/>
      <c r="R1347"/>
      <c r="S1347"/>
      <c r="T1347"/>
      <c r="U1347"/>
      <c r="V1347"/>
      <c r="W1347"/>
      <c r="X1347"/>
      <c r="Y1347"/>
    </row>
    <row r="1348" spans="1:25" s="104" customFormat="1" hidden="1" x14ac:dyDescent="0.25">
      <c r="A1348" s="97" t="str">
        <f t="shared" si="25"/>
        <v>PRWDWUWSWEWCDGSDIO_vddh1_dyn_sdr_50mbs</v>
      </c>
      <c r="B1348" s="97" t="s">
        <v>396</v>
      </c>
      <c r="C1348" s="97" t="s">
        <v>501</v>
      </c>
      <c r="D1348" s="97" t="s">
        <v>1018</v>
      </c>
      <c r="E1348" s="97" t="s">
        <v>1051</v>
      </c>
      <c r="F1348" s="97">
        <v>0.5</v>
      </c>
      <c r="G1348" s="97" t="s">
        <v>1167</v>
      </c>
      <c r="H1348" s="5"/>
      <c r="I1348"/>
      <c r="J1348"/>
      <c r="K1348"/>
      <c r="L1348"/>
      <c r="M1348"/>
      <c r="N1348"/>
      <c r="O1348"/>
      <c r="P1348"/>
      <c r="Q1348"/>
      <c r="R1348"/>
      <c r="S1348"/>
      <c r="T1348"/>
      <c r="U1348"/>
      <c r="V1348"/>
      <c r="W1348"/>
      <c r="X1348"/>
      <c r="Y1348"/>
    </row>
    <row r="1349" spans="1:25" s="104" customFormat="1" x14ac:dyDescent="0.25">
      <c r="A1349" s="97" t="str">
        <f t="shared" si="25"/>
        <v>ddr16_1600_ios_vddh1_dyn_ddr4_1067_16_idle</v>
      </c>
      <c r="B1349" s="97" t="s">
        <v>620</v>
      </c>
      <c r="C1349" s="98" t="s">
        <v>501</v>
      </c>
      <c r="D1349" s="97" t="s">
        <v>527</v>
      </c>
      <c r="E1349" s="97" t="s">
        <v>1166</v>
      </c>
      <c r="F1349" s="97">
        <v>93</v>
      </c>
      <c r="G1349" s="97" t="s">
        <v>573</v>
      </c>
      <c r="H1349" s="5"/>
      <c r="I1349"/>
      <c r="J1349"/>
      <c r="K1349"/>
      <c r="L1349"/>
      <c r="M1349"/>
      <c r="N1349"/>
      <c r="O1349"/>
      <c r="P1349"/>
      <c r="Q1349"/>
      <c r="R1349"/>
      <c r="S1349"/>
      <c r="T1349"/>
      <c r="U1349"/>
      <c r="V1349"/>
      <c r="W1349"/>
      <c r="X1349"/>
      <c r="Y1349"/>
    </row>
    <row r="1350" spans="1:25" s="104" customFormat="1" x14ac:dyDescent="0.25">
      <c r="A1350" s="97" t="str">
        <f t="shared" si="25"/>
        <v>ddr16_1600_ios_vddh1_dyn_ddr4_1067_16_read</v>
      </c>
      <c r="B1350" s="97" t="s">
        <v>620</v>
      </c>
      <c r="C1350" s="98" t="s">
        <v>501</v>
      </c>
      <c r="D1350" s="97" t="s">
        <v>540</v>
      </c>
      <c r="E1350" s="97" t="s">
        <v>1166</v>
      </c>
      <c r="F1350" s="97">
        <v>240.99343955014058</v>
      </c>
      <c r="G1350" s="97" t="s">
        <v>573</v>
      </c>
      <c r="H1350" s="5"/>
      <c r="I1350"/>
      <c r="J1350"/>
      <c r="K1350"/>
      <c r="L1350"/>
      <c r="M1350"/>
      <c r="N1350"/>
      <c r="O1350"/>
      <c r="P1350"/>
      <c r="Q1350"/>
      <c r="R1350"/>
      <c r="S1350"/>
      <c r="T1350"/>
      <c r="U1350"/>
      <c r="V1350"/>
      <c r="W1350"/>
      <c r="X1350"/>
      <c r="Y1350"/>
    </row>
    <row r="1351" spans="1:25" s="104" customFormat="1" x14ac:dyDescent="0.25">
      <c r="A1351" s="97" t="str">
        <f t="shared" si="25"/>
        <v>ddr16_1600_ios_vddh1_dyn_ddr4_1067_16_write</v>
      </c>
      <c r="B1351" s="97" t="s">
        <v>620</v>
      </c>
      <c r="C1351" s="98" t="s">
        <v>501</v>
      </c>
      <c r="D1351" s="97" t="s">
        <v>553</v>
      </c>
      <c r="E1351" s="97" t="s">
        <v>1166</v>
      </c>
      <c r="F1351" s="97">
        <v>137.31</v>
      </c>
      <c r="G1351" s="97" t="s">
        <v>573</v>
      </c>
      <c r="H1351" s="5"/>
      <c r="I1351"/>
      <c r="J1351"/>
      <c r="K1351"/>
      <c r="L1351"/>
      <c r="M1351"/>
      <c r="N1351"/>
      <c r="O1351"/>
      <c r="P1351"/>
      <c r="Q1351"/>
      <c r="R1351"/>
      <c r="S1351"/>
      <c r="T1351"/>
      <c r="U1351"/>
      <c r="V1351"/>
      <c r="W1351"/>
      <c r="X1351"/>
      <c r="Y1351"/>
    </row>
    <row r="1352" spans="1:25" s="104" customFormat="1" x14ac:dyDescent="0.25">
      <c r="A1352" s="97" t="str">
        <f t="shared" si="25"/>
        <v>ddr16_1600_ios_vddh1_dyn_ddr4_1333_16_idle</v>
      </c>
      <c r="B1352" s="97" t="s">
        <v>620</v>
      </c>
      <c r="C1352" s="98" t="s">
        <v>501</v>
      </c>
      <c r="D1352" s="97" t="s">
        <v>526</v>
      </c>
      <c r="E1352" s="97" t="s">
        <v>1166</v>
      </c>
      <c r="F1352" s="97">
        <v>93</v>
      </c>
      <c r="G1352" s="97" t="s">
        <v>573</v>
      </c>
      <c r="H1352" s="5"/>
      <c r="I1352"/>
      <c r="J1352"/>
      <c r="K1352"/>
      <c r="L1352"/>
      <c r="M1352"/>
      <c r="N1352"/>
      <c r="O1352"/>
      <c r="P1352"/>
      <c r="Q1352"/>
      <c r="R1352"/>
      <c r="S1352"/>
      <c r="T1352"/>
      <c r="U1352"/>
      <c r="V1352"/>
      <c r="W1352"/>
      <c r="X1352"/>
      <c r="Y1352"/>
    </row>
    <row r="1353" spans="1:25" s="104" customFormat="1" x14ac:dyDescent="0.25">
      <c r="A1353" s="97" t="str">
        <f t="shared" si="25"/>
        <v>ddr16_1600_ios_vddh1_dyn_ddr4_1333_16_read</v>
      </c>
      <c r="B1353" s="97" t="s">
        <v>620</v>
      </c>
      <c r="C1353" s="98" t="s">
        <v>501</v>
      </c>
      <c r="D1353" s="97" t="s">
        <v>539</v>
      </c>
      <c r="E1353" s="97" t="s">
        <v>1166</v>
      </c>
      <c r="F1353" s="97">
        <v>242.74507966260543</v>
      </c>
      <c r="G1353" s="97" t="s">
        <v>573</v>
      </c>
      <c r="H1353" s="5"/>
      <c r="I1353"/>
      <c r="J1353"/>
      <c r="K1353"/>
      <c r="L1353"/>
      <c r="M1353"/>
      <c r="N1353"/>
      <c r="O1353"/>
      <c r="P1353"/>
      <c r="Q1353"/>
      <c r="R1353"/>
      <c r="S1353"/>
      <c r="T1353"/>
      <c r="U1353"/>
      <c r="V1353"/>
      <c r="W1353"/>
      <c r="X1353"/>
      <c r="Y1353"/>
    </row>
    <row r="1354" spans="1:25" s="104" customFormat="1" x14ac:dyDescent="0.25">
      <c r="A1354" s="97" t="str">
        <f t="shared" si="25"/>
        <v>ddr16_1600_ios_vddh1_dyn_ddr4_1333_16_write</v>
      </c>
      <c r="B1354" s="97" t="s">
        <v>620</v>
      </c>
      <c r="C1354" s="98" t="s">
        <v>501</v>
      </c>
      <c r="D1354" s="97" t="s">
        <v>552</v>
      </c>
      <c r="E1354" s="97" t="s">
        <v>1166</v>
      </c>
      <c r="F1354" s="97">
        <v>146.655</v>
      </c>
      <c r="G1354" s="97" t="s">
        <v>573</v>
      </c>
      <c r="H1354" s="5"/>
      <c r="I1354"/>
      <c r="J1354"/>
      <c r="K1354"/>
      <c r="L1354"/>
      <c r="M1354"/>
      <c r="N1354"/>
      <c r="O1354"/>
      <c r="P1354"/>
      <c r="Q1354"/>
      <c r="R1354"/>
      <c r="S1354"/>
      <c r="T1354"/>
      <c r="U1354"/>
      <c r="V1354"/>
      <c r="W1354"/>
      <c r="X1354"/>
      <c r="Y1354"/>
    </row>
    <row r="1355" spans="1:25" s="104" customFormat="1" x14ac:dyDescent="0.25">
      <c r="A1355" s="97" t="str">
        <f t="shared" si="25"/>
        <v>ddr16_1600_ios_vddh1_dyn_ddr4_1600_16_idle</v>
      </c>
      <c r="B1355" s="97" t="s">
        <v>620</v>
      </c>
      <c r="C1355" s="98" t="s">
        <v>501</v>
      </c>
      <c r="D1355" s="97" t="s">
        <v>525</v>
      </c>
      <c r="E1355" s="97" t="s">
        <v>1166</v>
      </c>
      <c r="F1355" s="188">
        <v>93</v>
      </c>
      <c r="G1355" s="97" t="s">
        <v>573</v>
      </c>
      <c r="H1355" s="5"/>
      <c r="I1355"/>
      <c r="J1355"/>
      <c r="K1355"/>
      <c r="L1355"/>
      <c r="M1355"/>
      <c r="N1355"/>
      <c r="O1355"/>
      <c r="P1355"/>
      <c r="Q1355"/>
      <c r="R1355"/>
      <c r="S1355"/>
      <c r="T1355"/>
      <c r="U1355"/>
      <c r="V1355"/>
      <c r="W1355"/>
      <c r="X1355"/>
      <c r="Y1355"/>
    </row>
    <row r="1356" spans="1:25" s="104" customFormat="1" x14ac:dyDescent="0.25">
      <c r="A1356" s="97" t="str">
        <f t="shared" si="25"/>
        <v>ddr16_1600_ios_vddh1_dyn_ddr4_1600_16_read</v>
      </c>
      <c r="B1356" s="97" t="s">
        <v>620</v>
      </c>
      <c r="C1356" s="98" t="s">
        <v>501</v>
      </c>
      <c r="D1356" s="97" t="s">
        <v>538</v>
      </c>
      <c r="E1356" s="97" t="s">
        <v>1166</v>
      </c>
      <c r="F1356" s="188">
        <v>244.49671000750701</v>
      </c>
      <c r="G1356" s="97" t="s">
        <v>573</v>
      </c>
      <c r="H1356" s="5"/>
      <c r="I1356"/>
      <c r="J1356"/>
      <c r="K1356"/>
      <c r="L1356"/>
      <c r="M1356"/>
      <c r="N1356"/>
      <c r="O1356"/>
      <c r="P1356"/>
      <c r="Q1356"/>
      <c r="R1356"/>
      <c r="S1356"/>
      <c r="T1356"/>
      <c r="U1356"/>
      <c r="V1356"/>
      <c r="W1356"/>
      <c r="X1356"/>
      <c r="Y1356"/>
    </row>
    <row r="1357" spans="1:25" s="104" customFormat="1" x14ac:dyDescent="0.25">
      <c r="A1357" s="97" t="str">
        <f t="shared" si="25"/>
        <v>ddr16_1600_ios_vddh1_dyn_ddr4_1600_16_write</v>
      </c>
      <c r="B1357" s="97" t="s">
        <v>620</v>
      </c>
      <c r="C1357" s="98" t="s">
        <v>501</v>
      </c>
      <c r="D1357" s="97" t="s">
        <v>551</v>
      </c>
      <c r="E1357" s="97" t="s">
        <v>1166</v>
      </c>
      <c r="F1357" s="188">
        <v>156</v>
      </c>
      <c r="G1357" s="97" t="s">
        <v>573</v>
      </c>
      <c r="H1357" s="5"/>
      <c r="I1357"/>
      <c r="J1357"/>
      <c r="K1357"/>
      <c r="L1357"/>
      <c r="M1357"/>
      <c r="N1357"/>
      <c r="O1357"/>
      <c r="P1357"/>
      <c r="Q1357"/>
      <c r="R1357"/>
      <c r="S1357"/>
      <c r="T1357"/>
      <c r="U1357"/>
      <c r="V1357"/>
      <c r="W1357"/>
      <c r="X1357"/>
      <c r="Y1357"/>
    </row>
    <row r="1358" spans="1:25" s="104" customFormat="1" x14ac:dyDescent="0.25">
      <c r="A1358" s="97" t="str">
        <f t="shared" si="25"/>
        <v>ddr16_1600_ios_vddh1_dyn_ddr4_533_16_idle</v>
      </c>
      <c r="B1358" s="97" t="s">
        <v>620</v>
      </c>
      <c r="C1358" s="98" t="s">
        <v>501</v>
      </c>
      <c r="D1358" s="97" t="s">
        <v>529</v>
      </c>
      <c r="E1358" s="97" t="s">
        <v>1166</v>
      </c>
      <c r="F1358" s="97">
        <v>93</v>
      </c>
      <c r="G1358" s="97" t="s">
        <v>573</v>
      </c>
      <c r="H1358" s="5"/>
      <c r="I1358"/>
      <c r="J1358"/>
      <c r="K1358"/>
      <c r="L1358"/>
      <c r="M1358"/>
      <c r="N1358"/>
      <c r="O1358"/>
      <c r="P1358"/>
      <c r="Q1358"/>
      <c r="R1358"/>
      <c r="S1358"/>
      <c r="T1358"/>
      <c r="U1358"/>
      <c r="V1358"/>
      <c r="W1358"/>
      <c r="X1358"/>
      <c r="Y1358"/>
    </row>
    <row r="1359" spans="1:25" s="104" customFormat="1" x14ac:dyDescent="0.25">
      <c r="A1359" s="97" t="str">
        <f t="shared" si="25"/>
        <v>ddr16_1600_ios_vddh1_dyn_ddr4_533_16_read</v>
      </c>
      <c r="B1359" s="97" t="s">
        <v>620</v>
      </c>
      <c r="C1359" s="98" t="s">
        <v>501</v>
      </c>
      <c r="D1359" s="97" t="s">
        <v>542</v>
      </c>
      <c r="E1359" s="97" t="s">
        <v>1166</v>
      </c>
      <c r="F1359" s="97">
        <v>237.49671000750701</v>
      </c>
      <c r="G1359" s="97" t="s">
        <v>573</v>
      </c>
      <c r="H1359" s="5"/>
      <c r="I1359"/>
      <c r="J1359"/>
      <c r="K1359"/>
      <c r="L1359"/>
      <c r="M1359"/>
      <c r="N1359"/>
      <c r="O1359"/>
      <c r="P1359"/>
      <c r="Q1359"/>
      <c r="R1359"/>
      <c r="S1359"/>
      <c r="T1359"/>
      <c r="U1359"/>
      <c r="V1359"/>
      <c r="W1359"/>
      <c r="X1359"/>
      <c r="Y1359"/>
    </row>
    <row r="1360" spans="1:25" s="104" customFormat="1" x14ac:dyDescent="0.25">
      <c r="A1360" s="97" t="str">
        <f t="shared" si="25"/>
        <v>ddr16_1600_ios_vddh1_dyn_ddr4_533_16_write</v>
      </c>
      <c r="B1360" s="97" t="s">
        <v>620</v>
      </c>
      <c r="C1360" s="98" t="s">
        <v>501</v>
      </c>
      <c r="D1360" s="97" t="s">
        <v>555</v>
      </c>
      <c r="E1360" s="97" t="s">
        <v>1166</v>
      </c>
      <c r="F1360" s="97">
        <v>118.655</v>
      </c>
      <c r="G1360" s="97" t="s">
        <v>573</v>
      </c>
      <c r="H1360" s="5"/>
      <c r="I1360"/>
      <c r="J1360"/>
      <c r="K1360"/>
      <c r="L1360"/>
      <c r="M1360"/>
      <c r="N1360"/>
      <c r="O1360"/>
      <c r="P1360"/>
      <c r="Q1360"/>
      <c r="R1360"/>
      <c r="S1360"/>
      <c r="T1360"/>
      <c r="U1360"/>
      <c r="V1360"/>
      <c r="W1360"/>
      <c r="X1360"/>
      <c r="Y1360"/>
    </row>
    <row r="1361" spans="1:25" s="104" customFormat="1" x14ac:dyDescent="0.25">
      <c r="A1361" s="97" t="str">
        <f t="shared" si="25"/>
        <v>ddr16_1600_ios_vddh1_dyn_ddr4_800_16_idle</v>
      </c>
      <c r="B1361" s="97" t="s">
        <v>620</v>
      </c>
      <c r="C1361" s="98" t="s">
        <v>501</v>
      </c>
      <c r="D1361" s="97" t="s">
        <v>528</v>
      </c>
      <c r="E1361" s="97" t="s">
        <v>1166</v>
      </c>
      <c r="F1361" s="97">
        <v>93</v>
      </c>
      <c r="G1361" s="97" t="s">
        <v>573</v>
      </c>
      <c r="H1361" s="5"/>
      <c r="I1361"/>
      <c r="J1361"/>
      <c r="K1361"/>
      <c r="L1361"/>
      <c r="M1361"/>
      <c r="N1361"/>
      <c r="O1361"/>
      <c r="P1361"/>
      <c r="Q1361"/>
      <c r="R1361"/>
      <c r="S1361"/>
      <c r="T1361"/>
      <c r="U1361"/>
      <c r="V1361"/>
      <c r="W1361"/>
      <c r="X1361"/>
      <c r="Y1361"/>
    </row>
    <row r="1362" spans="1:25" s="104" customFormat="1" x14ac:dyDescent="0.25">
      <c r="A1362" s="97" t="str">
        <f t="shared" si="25"/>
        <v>ddr16_1600_ios_vddh1_dyn_ddr4_800_16_read</v>
      </c>
      <c r="B1362" s="97" t="s">
        <v>620</v>
      </c>
      <c r="C1362" s="98" t="s">
        <v>501</v>
      </c>
      <c r="D1362" s="97" t="s">
        <v>541</v>
      </c>
      <c r="E1362" s="97" t="s">
        <v>1166</v>
      </c>
      <c r="F1362" s="97">
        <v>239.24835988753514</v>
      </c>
      <c r="G1362" s="97" t="s">
        <v>573</v>
      </c>
      <c r="H1362" s="5"/>
      <c r="I1362"/>
      <c r="J1362"/>
      <c r="K1362"/>
      <c r="L1362"/>
      <c r="M1362"/>
      <c r="N1362"/>
      <c r="O1362"/>
      <c r="P1362"/>
      <c r="Q1362"/>
      <c r="R1362"/>
      <c r="S1362"/>
      <c r="T1362"/>
      <c r="U1362"/>
      <c r="V1362"/>
      <c r="W1362"/>
      <c r="X1362"/>
      <c r="Y1362"/>
    </row>
    <row r="1363" spans="1:25" s="104" customFormat="1" x14ac:dyDescent="0.25">
      <c r="A1363" s="97" t="str">
        <f t="shared" si="25"/>
        <v>ddr16_1600_ios_vddh1_dyn_ddr4_800_16_write</v>
      </c>
      <c r="B1363" s="97" t="s">
        <v>620</v>
      </c>
      <c r="C1363" s="98" t="s">
        <v>501</v>
      </c>
      <c r="D1363" s="97" t="s">
        <v>554</v>
      </c>
      <c r="E1363" s="97" t="s">
        <v>1166</v>
      </c>
      <c r="F1363" s="97">
        <v>128</v>
      </c>
      <c r="G1363" s="97" t="s">
        <v>573</v>
      </c>
      <c r="H1363" s="5"/>
      <c r="I1363"/>
      <c r="J1363"/>
      <c r="K1363"/>
      <c r="L1363"/>
      <c r="M1363"/>
      <c r="N1363"/>
      <c r="O1363"/>
      <c r="P1363"/>
      <c r="Q1363"/>
      <c r="R1363"/>
      <c r="S1363"/>
      <c r="T1363"/>
      <c r="U1363"/>
      <c r="V1363"/>
      <c r="W1363"/>
      <c r="X1363"/>
      <c r="Y1363"/>
    </row>
    <row r="1364" spans="1:25" s="104" customFormat="1" x14ac:dyDescent="0.25">
      <c r="A1364" s="97" t="str">
        <f t="shared" si="25"/>
        <v>ddr16_1600_ios_vddh1_dyn_lpddr4_100_16_idle</v>
      </c>
      <c r="B1364" s="97" t="s">
        <v>620</v>
      </c>
      <c r="C1364" s="98" t="s">
        <v>501</v>
      </c>
      <c r="D1364" s="97" t="s">
        <v>523</v>
      </c>
      <c r="E1364" s="97" t="s">
        <v>1166</v>
      </c>
      <c r="F1364" s="97">
        <v>20</v>
      </c>
      <c r="G1364" s="97" t="s">
        <v>573</v>
      </c>
      <c r="H1364" s="5"/>
      <c r="I1364"/>
      <c r="J1364"/>
      <c r="K1364"/>
      <c r="L1364"/>
      <c r="M1364"/>
      <c r="N1364"/>
      <c r="O1364"/>
      <c r="P1364"/>
      <c r="Q1364"/>
      <c r="R1364"/>
      <c r="S1364"/>
      <c r="T1364"/>
      <c r="U1364"/>
      <c r="V1364"/>
      <c r="W1364"/>
      <c r="X1364"/>
      <c r="Y1364"/>
    </row>
    <row r="1365" spans="1:25" s="104" customFormat="1" x14ac:dyDescent="0.25">
      <c r="A1365" s="97" t="str">
        <f t="shared" si="25"/>
        <v>ddr16_1600_ios_vddh1_dyn_lpddr4_100_16_read</v>
      </c>
      <c r="B1365" s="97" t="s">
        <v>620</v>
      </c>
      <c r="C1365" s="98" t="s">
        <v>501</v>
      </c>
      <c r="D1365" s="97" t="s">
        <v>536</v>
      </c>
      <c r="E1365" s="97" t="s">
        <v>1166</v>
      </c>
      <c r="F1365" s="97">
        <v>65.150000000000006</v>
      </c>
      <c r="G1365" s="97" t="s">
        <v>573</v>
      </c>
      <c r="H1365" s="5"/>
      <c r="I1365"/>
      <c r="J1365"/>
      <c r="K1365"/>
      <c r="L1365"/>
      <c r="M1365"/>
      <c r="N1365"/>
      <c r="O1365"/>
      <c r="P1365"/>
      <c r="Q1365"/>
      <c r="R1365"/>
      <c r="S1365"/>
      <c r="T1365"/>
      <c r="U1365"/>
      <c r="V1365"/>
      <c r="W1365"/>
      <c r="X1365"/>
      <c r="Y1365"/>
    </row>
    <row r="1366" spans="1:25" s="104" customFormat="1" x14ac:dyDescent="0.25">
      <c r="A1366" s="97" t="str">
        <f t="shared" si="25"/>
        <v>ddr16_1600_ios_vddh1_dyn_lpddr4_100_16_write</v>
      </c>
      <c r="B1366" s="97" t="s">
        <v>620</v>
      </c>
      <c r="C1366" s="98" t="s">
        <v>501</v>
      </c>
      <c r="D1366" s="97" t="s">
        <v>549</v>
      </c>
      <c r="E1366" s="97" t="s">
        <v>1166</v>
      </c>
      <c r="F1366" s="97">
        <v>171.52600000000001</v>
      </c>
      <c r="G1366" s="97" t="s">
        <v>573</v>
      </c>
      <c r="H1366" s="5"/>
      <c r="I1366"/>
      <c r="J1366"/>
      <c r="K1366"/>
      <c r="L1366"/>
      <c r="M1366"/>
      <c r="N1366"/>
      <c r="O1366"/>
      <c r="P1366"/>
      <c r="Q1366"/>
      <c r="R1366"/>
      <c r="S1366"/>
      <c r="T1366"/>
      <c r="U1366"/>
      <c r="V1366"/>
      <c r="W1366"/>
      <c r="X1366"/>
      <c r="Y1366"/>
    </row>
    <row r="1367" spans="1:25" s="104" customFormat="1" x14ac:dyDescent="0.25">
      <c r="A1367" s="97" t="str">
        <f t="shared" si="25"/>
        <v>ddr16_1600_ios_vddh1_dyn_lpddr4_1067_16_idle</v>
      </c>
      <c r="B1367" s="97" t="s">
        <v>620</v>
      </c>
      <c r="C1367" s="98" t="s">
        <v>501</v>
      </c>
      <c r="D1367" s="97" t="s">
        <v>520</v>
      </c>
      <c r="E1367" s="97" t="s">
        <v>1166</v>
      </c>
      <c r="F1367" s="97">
        <v>20</v>
      </c>
      <c r="G1367" s="97" t="s">
        <v>573</v>
      </c>
      <c r="H1367" s="5"/>
      <c r="I1367"/>
      <c r="J1367"/>
      <c r="K1367"/>
      <c r="L1367"/>
      <c r="M1367"/>
      <c r="N1367"/>
      <c r="O1367"/>
      <c r="P1367"/>
      <c r="Q1367"/>
      <c r="R1367"/>
      <c r="S1367"/>
      <c r="T1367"/>
      <c r="U1367"/>
      <c r="V1367"/>
      <c r="W1367"/>
      <c r="X1367"/>
      <c r="Y1367"/>
    </row>
    <row r="1368" spans="1:25" s="104" customFormat="1" x14ac:dyDescent="0.25">
      <c r="A1368" s="97" t="str">
        <f t="shared" si="25"/>
        <v>ddr16_1600_ios_vddh1_dyn_lpddr4_1067_16_read</v>
      </c>
      <c r="B1368" s="97" t="s">
        <v>620</v>
      </c>
      <c r="C1368" s="98" t="s">
        <v>501</v>
      </c>
      <c r="D1368" s="97" t="s">
        <v>533</v>
      </c>
      <c r="E1368" s="97" t="s">
        <v>1166</v>
      </c>
      <c r="F1368" s="97">
        <v>66.599000000000004</v>
      </c>
      <c r="G1368" s="97" t="s">
        <v>573</v>
      </c>
      <c r="H1368" s="5"/>
      <c r="I1368"/>
      <c r="J1368"/>
      <c r="K1368"/>
      <c r="L1368"/>
      <c r="M1368"/>
      <c r="N1368"/>
      <c r="O1368"/>
      <c r="P1368"/>
      <c r="Q1368"/>
      <c r="R1368"/>
      <c r="S1368"/>
      <c r="T1368"/>
      <c r="U1368"/>
      <c r="V1368"/>
      <c r="W1368"/>
      <c r="X1368"/>
      <c r="Y1368"/>
    </row>
    <row r="1369" spans="1:25" s="104" customFormat="1" x14ac:dyDescent="0.25">
      <c r="A1369" s="97" t="str">
        <f t="shared" si="25"/>
        <v>ddr16_1600_ios_vddh1_dyn_lpddr4_1067_16_write</v>
      </c>
      <c r="B1369" s="97" t="s">
        <v>620</v>
      </c>
      <c r="C1369" s="98" t="s">
        <v>501</v>
      </c>
      <c r="D1369" s="97" t="s">
        <v>546</v>
      </c>
      <c r="E1369" s="97" t="s">
        <v>1166</v>
      </c>
      <c r="F1369" s="97">
        <v>186.01600000000002</v>
      </c>
      <c r="G1369" s="97" t="s">
        <v>573</v>
      </c>
      <c r="H1369" s="5"/>
      <c r="I1369"/>
      <c r="J1369"/>
      <c r="K1369"/>
      <c r="L1369"/>
      <c r="M1369"/>
      <c r="N1369"/>
      <c r="O1369"/>
      <c r="P1369"/>
      <c r="Q1369"/>
      <c r="R1369"/>
      <c r="S1369"/>
      <c r="T1369"/>
      <c r="U1369"/>
      <c r="V1369"/>
      <c r="W1369"/>
      <c r="X1369"/>
      <c r="Y1369"/>
    </row>
    <row r="1370" spans="1:25" s="104" customFormat="1" x14ac:dyDescent="0.25">
      <c r="A1370" s="97" t="str">
        <f t="shared" si="25"/>
        <v>ddr16_1600_ios_vddh1_dyn_lpddr4_1333_16_idle</v>
      </c>
      <c r="B1370" s="97" t="s">
        <v>620</v>
      </c>
      <c r="C1370" s="98" t="s">
        <v>501</v>
      </c>
      <c r="D1370" s="97" t="s">
        <v>519</v>
      </c>
      <c r="E1370" s="97" t="s">
        <v>1166</v>
      </c>
      <c r="F1370" s="97">
        <v>20</v>
      </c>
      <c r="G1370" s="97" t="s">
        <v>573</v>
      </c>
      <c r="H1370" s="5"/>
      <c r="I1370"/>
      <c r="J1370"/>
      <c r="K1370"/>
      <c r="L1370"/>
      <c r="M1370"/>
      <c r="N1370"/>
      <c r="O1370"/>
      <c r="P1370"/>
      <c r="Q1370"/>
      <c r="R1370"/>
      <c r="S1370"/>
      <c r="T1370"/>
      <c r="U1370"/>
      <c r="V1370"/>
      <c r="W1370"/>
      <c r="X1370"/>
      <c r="Y1370"/>
    </row>
    <row r="1371" spans="1:25" s="104" customFormat="1" x14ac:dyDescent="0.25">
      <c r="A1371" s="97" t="str">
        <f t="shared" si="25"/>
        <v>ddr16_1600_ios_vddh1_dyn_lpddr4_1333_16_read</v>
      </c>
      <c r="B1371" s="97" t="s">
        <v>620</v>
      </c>
      <c r="C1371" s="98" t="s">
        <v>501</v>
      </c>
      <c r="D1371" s="97" t="s">
        <v>532</v>
      </c>
      <c r="E1371" s="97" t="s">
        <v>1166</v>
      </c>
      <c r="F1371" s="97">
        <v>66.999499999999998</v>
      </c>
      <c r="G1371" s="97" t="s">
        <v>573</v>
      </c>
      <c r="H1371" s="5"/>
      <c r="I1371"/>
      <c r="J1371"/>
      <c r="K1371"/>
      <c r="L1371"/>
      <c r="M1371"/>
      <c r="N1371"/>
      <c r="O1371"/>
      <c r="P1371"/>
      <c r="Q1371"/>
      <c r="R1371"/>
      <c r="S1371"/>
      <c r="T1371"/>
      <c r="U1371"/>
      <c r="V1371"/>
      <c r="W1371"/>
      <c r="X1371"/>
      <c r="Y1371"/>
    </row>
    <row r="1372" spans="1:25" s="104" customFormat="1" x14ac:dyDescent="0.25">
      <c r="A1372" s="97" t="str">
        <f t="shared" si="25"/>
        <v>ddr16_1600_ios_vddh1_dyn_lpddr4_1333_16_write</v>
      </c>
      <c r="B1372" s="97" t="s">
        <v>620</v>
      </c>
      <c r="C1372" s="98" t="s">
        <v>501</v>
      </c>
      <c r="D1372" s="97" t="s">
        <v>545</v>
      </c>
      <c r="E1372" s="97" t="s">
        <v>1166</v>
      </c>
      <c r="F1372" s="97">
        <v>190.02100000000002</v>
      </c>
      <c r="G1372" s="97" t="s">
        <v>573</v>
      </c>
      <c r="H1372" s="5"/>
      <c r="I1372"/>
      <c r="J1372"/>
      <c r="K1372"/>
      <c r="L1372"/>
      <c r="M1372"/>
      <c r="N1372"/>
      <c r="O1372"/>
      <c r="P1372"/>
      <c r="Q1372"/>
      <c r="R1372"/>
      <c r="S1372"/>
      <c r="T1372"/>
      <c r="U1372"/>
      <c r="V1372"/>
      <c r="W1372"/>
      <c r="X1372"/>
      <c r="Y1372"/>
    </row>
    <row r="1373" spans="1:25" s="104" customFormat="1" x14ac:dyDescent="0.25">
      <c r="A1373" s="97" t="str">
        <f t="shared" si="25"/>
        <v>ddr16_1600_ios_vddh1_dyn_lpddr4_1600_16_idle</v>
      </c>
      <c r="B1373" s="97" t="s">
        <v>620</v>
      </c>
      <c r="C1373" s="98" t="s">
        <v>501</v>
      </c>
      <c r="D1373" s="97" t="s">
        <v>518</v>
      </c>
      <c r="E1373" s="97" t="s">
        <v>1166</v>
      </c>
      <c r="F1373" s="97">
        <v>20</v>
      </c>
      <c r="G1373" s="97" t="s">
        <v>573</v>
      </c>
      <c r="H1373" s="5"/>
      <c r="I1373"/>
      <c r="J1373"/>
      <c r="K1373"/>
      <c r="L1373"/>
      <c r="M1373"/>
      <c r="N1373"/>
      <c r="O1373"/>
      <c r="P1373"/>
      <c r="Q1373"/>
      <c r="R1373"/>
      <c r="S1373"/>
      <c r="T1373"/>
      <c r="U1373"/>
      <c r="V1373"/>
      <c r="W1373"/>
      <c r="X1373"/>
      <c r="Y1373"/>
    </row>
    <row r="1374" spans="1:25" s="104" customFormat="1" x14ac:dyDescent="0.25">
      <c r="A1374" s="97" t="str">
        <f t="shared" si="25"/>
        <v>ddr16_1600_ios_vddh1_dyn_lpddr4_1600_16_read</v>
      </c>
      <c r="B1374" s="97" t="s">
        <v>620</v>
      </c>
      <c r="C1374" s="98" t="s">
        <v>501</v>
      </c>
      <c r="D1374" s="97" t="s">
        <v>531</v>
      </c>
      <c r="E1374" s="97" t="s">
        <v>1166</v>
      </c>
      <c r="F1374" s="97">
        <v>67.400000000000006</v>
      </c>
      <c r="G1374" s="97" t="s">
        <v>573</v>
      </c>
      <c r="H1374" s="5"/>
      <c r="I1374"/>
      <c r="J1374"/>
      <c r="K1374"/>
      <c r="L1374"/>
      <c r="M1374"/>
      <c r="N1374"/>
      <c r="O1374"/>
      <c r="P1374"/>
      <c r="Q1374"/>
      <c r="R1374"/>
      <c r="S1374"/>
      <c r="T1374"/>
      <c r="U1374"/>
      <c r="V1374"/>
      <c r="W1374"/>
      <c r="X1374"/>
      <c r="Y1374"/>
    </row>
    <row r="1375" spans="1:25" s="104" customFormat="1" x14ac:dyDescent="0.25">
      <c r="A1375" s="97" t="str">
        <f t="shared" si="25"/>
        <v>ddr16_1600_ios_vddh1_dyn_lpddr4_1600_16_write</v>
      </c>
      <c r="B1375" s="97" t="s">
        <v>620</v>
      </c>
      <c r="C1375" s="98" t="s">
        <v>501</v>
      </c>
      <c r="D1375" s="97" t="s">
        <v>544</v>
      </c>
      <c r="E1375" s="97" t="s">
        <v>1166</v>
      </c>
      <c r="F1375" s="97">
        <v>194</v>
      </c>
      <c r="G1375" s="97" t="s">
        <v>573</v>
      </c>
      <c r="H1375" s="5"/>
      <c r="I1375"/>
      <c r="J1375"/>
      <c r="K1375"/>
      <c r="L1375"/>
      <c r="M1375"/>
      <c r="N1375"/>
      <c r="O1375"/>
      <c r="P1375"/>
      <c r="Q1375"/>
      <c r="R1375"/>
      <c r="S1375"/>
      <c r="T1375"/>
      <c r="U1375"/>
      <c r="V1375"/>
      <c r="W1375"/>
      <c r="X1375"/>
      <c r="Y1375"/>
    </row>
    <row r="1376" spans="1:25" s="104" customFormat="1" x14ac:dyDescent="0.25">
      <c r="A1376" s="97" t="str">
        <f t="shared" si="25"/>
        <v>ddr16_1600_ios_vddh1_dyn_lpddr4_50_16_idle</v>
      </c>
      <c r="B1376" s="97" t="s">
        <v>620</v>
      </c>
      <c r="C1376" s="98" t="s">
        <v>501</v>
      </c>
      <c r="D1376" s="97" t="s">
        <v>524</v>
      </c>
      <c r="E1376" s="97" t="s">
        <v>1166</v>
      </c>
      <c r="F1376" s="97">
        <v>20</v>
      </c>
      <c r="G1376" s="97" t="s">
        <v>573</v>
      </c>
      <c r="H1376" s="5"/>
      <c r="I1376"/>
      <c r="J1376"/>
      <c r="K1376"/>
      <c r="L1376"/>
      <c r="M1376"/>
      <c r="N1376"/>
      <c r="O1376"/>
      <c r="P1376"/>
      <c r="Q1376"/>
      <c r="R1376"/>
      <c r="S1376"/>
      <c r="T1376"/>
      <c r="U1376"/>
      <c r="V1376"/>
      <c r="W1376"/>
      <c r="X1376"/>
      <c r="Y1376"/>
    </row>
    <row r="1377" spans="1:25" s="104" customFormat="1" x14ac:dyDescent="0.25">
      <c r="A1377" s="97" t="str">
        <f t="shared" si="25"/>
        <v>ddr16_1600_ios_vddh1_dyn_lpddr4_50_16_read</v>
      </c>
      <c r="B1377" s="97" t="s">
        <v>620</v>
      </c>
      <c r="C1377" s="98" t="s">
        <v>501</v>
      </c>
      <c r="D1377" s="97" t="s">
        <v>537</v>
      </c>
      <c r="E1377" s="97" t="s">
        <v>1166</v>
      </c>
      <c r="F1377" s="97">
        <v>65.075000000000003</v>
      </c>
      <c r="G1377" s="97" t="s">
        <v>573</v>
      </c>
      <c r="H1377" s="5"/>
      <c r="I1377"/>
      <c r="J1377"/>
      <c r="K1377"/>
      <c r="L1377"/>
      <c r="M1377"/>
      <c r="N1377"/>
      <c r="O1377"/>
      <c r="P1377"/>
      <c r="Q1377"/>
      <c r="R1377"/>
      <c r="S1377"/>
      <c r="T1377"/>
      <c r="U1377"/>
      <c r="V1377"/>
      <c r="W1377"/>
      <c r="X1377"/>
      <c r="Y1377"/>
    </row>
    <row r="1378" spans="1:25" s="104" customFormat="1" x14ac:dyDescent="0.25">
      <c r="A1378" s="97" t="str">
        <f t="shared" si="25"/>
        <v>ddr16_1600_ios_vddh1_dyn_lpddr4_50_16_write</v>
      </c>
      <c r="B1378" s="97" t="s">
        <v>620</v>
      </c>
      <c r="C1378" s="98" t="s">
        <v>501</v>
      </c>
      <c r="D1378" s="97" t="s">
        <v>550</v>
      </c>
      <c r="E1378" s="97" t="s">
        <v>1166</v>
      </c>
      <c r="F1378" s="97">
        <v>170.77600000000001</v>
      </c>
      <c r="G1378" s="97" t="s">
        <v>573</v>
      </c>
      <c r="H1378" s="5"/>
      <c r="I1378"/>
      <c r="J1378"/>
      <c r="K1378"/>
      <c r="L1378"/>
      <c r="M1378"/>
      <c r="N1378"/>
      <c r="O1378"/>
      <c r="P1378"/>
      <c r="Q1378"/>
      <c r="R1378"/>
      <c r="S1378"/>
      <c r="T1378"/>
      <c r="U1378"/>
      <c r="V1378"/>
      <c r="W1378"/>
      <c r="X1378"/>
      <c r="Y1378"/>
    </row>
    <row r="1379" spans="1:25" s="104" customFormat="1" x14ac:dyDescent="0.25">
      <c r="A1379" s="97" t="str">
        <f t="shared" si="25"/>
        <v>ddr16_1600_ios_vddh1_dyn_lpddr4_533_16_idle</v>
      </c>
      <c r="B1379" s="97" t="s">
        <v>620</v>
      </c>
      <c r="C1379" s="98" t="s">
        <v>501</v>
      </c>
      <c r="D1379" s="97" t="s">
        <v>522</v>
      </c>
      <c r="E1379" s="97" t="s">
        <v>1166</v>
      </c>
      <c r="F1379" s="97">
        <v>20</v>
      </c>
      <c r="G1379" s="97" t="s">
        <v>573</v>
      </c>
      <c r="H1379" s="5"/>
      <c r="I1379"/>
      <c r="J1379"/>
      <c r="K1379"/>
      <c r="L1379"/>
      <c r="M1379"/>
      <c r="N1379"/>
      <c r="O1379"/>
      <c r="P1379"/>
      <c r="Q1379"/>
      <c r="R1379"/>
      <c r="S1379"/>
      <c r="T1379"/>
      <c r="U1379"/>
      <c r="V1379"/>
      <c r="W1379"/>
      <c r="X1379"/>
      <c r="Y1379"/>
    </row>
    <row r="1380" spans="1:25" s="104" customFormat="1" x14ac:dyDescent="0.25">
      <c r="A1380" s="97" t="str">
        <f t="shared" si="25"/>
        <v>ddr16_1600_ios_vddh1_dyn_lpddr4_533_16_read</v>
      </c>
      <c r="B1380" s="97" t="s">
        <v>620</v>
      </c>
      <c r="C1380" s="98" t="s">
        <v>501</v>
      </c>
      <c r="D1380" s="97" t="s">
        <v>535</v>
      </c>
      <c r="E1380" s="97" t="s">
        <v>1166</v>
      </c>
      <c r="F1380" s="97">
        <v>65.799499999999995</v>
      </c>
      <c r="G1380" s="97" t="s">
        <v>573</v>
      </c>
      <c r="H1380" s="5"/>
      <c r="I1380"/>
      <c r="J1380"/>
      <c r="K1380"/>
      <c r="L1380"/>
      <c r="M1380"/>
      <c r="N1380"/>
      <c r="O1380"/>
      <c r="P1380"/>
      <c r="Q1380"/>
      <c r="R1380"/>
      <c r="S1380"/>
      <c r="T1380"/>
      <c r="U1380"/>
      <c r="V1380"/>
      <c r="W1380"/>
      <c r="X1380"/>
      <c r="Y1380"/>
    </row>
    <row r="1381" spans="1:25" s="104" customFormat="1" x14ac:dyDescent="0.25">
      <c r="A1381" s="97" t="str">
        <f t="shared" si="25"/>
        <v>ddr16_1600_ios_vddh1_dyn_lpddr4_533_16_write</v>
      </c>
      <c r="B1381" s="97" t="s">
        <v>620</v>
      </c>
      <c r="C1381" s="98" t="s">
        <v>501</v>
      </c>
      <c r="D1381" s="97" t="s">
        <v>548</v>
      </c>
      <c r="E1381" s="97" t="s">
        <v>1166</v>
      </c>
      <c r="F1381" s="97">
        <v>178.02100000000002</v>
      </c>
      <c r="G1381" s="97" t="s">
        <v>573</v>
      </c>
      <c r="H1381" s="5"/>
      <c r="I1381"/>
      <c r="J1381"/>
      <c r="K1381"/>
      <c r="L1381"/>
      <c r="M1381"/>
      <c r="N1381"/>
      <c r="O1381"/>
      <c r="P1381"/>
      <c r="Q1381"/>
      <c r="R1381"/>
      <c r="S1381"/>
      <c r="T1381"/>
      <c r="U1381"/>
      <c r="V1381"/>
      <c r="W1381"/>
      <c r="X1381"/>
      <c r="Y1381"/>
    </row>
    <row r="1382" spans="1:25" s="104" customFormat="1" x14ac:dyDescent="0.25">
      <c r="A1382" s="97" t="str">
        <f t="shared" ref="A1382:A1387" si="26">B1382&amp;"_"&amp;C1382&amp;"_"&amp;D1382</f>
        <v>ddr16_1600_ios_vddh1_dyn_lpddr4_800_16_idle</v>
      </c>
      <c r="B1382" s="97" t="s">
        <v>620</v>
      </c>
      <c r="C1382" s="98" t="s">
        <v>501</v>
      </c>
      <c r="D1382" s="97" t="s">
        <v>521</v>
      </c>
      <c r="E1382" s="97" t="s">
        <v>1166</v>
      </c>
      <c r="F1382" s="97">
        <v>20</v>
      </c>
      <c r="G1382" s="97" t="s">
        <v>573</v>
      </c>
      <c r="H1382" s="5"/>
      <c r="I1382"/>
      <c r="J1382"/>
      <c r="K1382"/>
      <c r="L1382"/>
      <c r="M1382"/>
      <c r="N1382"/>
      <c r="O1382"/>
      <c r="P1382"/>
      <c r="Q1382"/>
      <c r="R1382"/>
      <c r="S1382"/>
      <c r="T1382"/>
      <c r="U1382"/>
      <c r="V1382"/>
      <c r="W1382"/>
      <c r="X1382"/>
      <c r="Y1382"/>
    </row>
    <row r="1383" spans="1:25" s="104" customFormat="1" x14ac:dyDescent="0.25">
      <c r="A1383" s="97" t="str">
        <f t="shared" si="26"/>
        <v>ddr16_1600_ios_vddh1_dyn_lpddr4_800_16_read</v>
      </c>
      <c r="B1383" s="97" t="s">
        <v>620</v>
      </c>
      <c r="C1383" s="98" t="s">
        <v>501</v>
      </c>
      <c r="D1383" s="97" t="s">
        <v>534</v>
      </c>
      <c r="E1383" s="97" t="s">
        <v>1166</v>
      </c>
      <c r="F1383" s="97">
        <v>66.2</v>
      </c>
      <c r="G1383" s="97" t="s">
        <v>573</v>
      </c>
      <c r="H1383" s="5"/>
      <c r="I1383"/>
      <c r="J1383"/>
      <c r="K1383"/>
      <c r="L1383"/>
      <c r="M1383"/>
      <c r="N1383"/>
      <c r="O1383"/>
      <c r="P1383"/>
      <c r="Q1383"/>
      <c r="R1383"/>
      <c r="S1383"/>
      <c r="T1383"/>
      <c r="U1383"/>
      <c r="V1383"/>
      <c r="W1383"/>
      <c r="X1383"/>
      <c r="Y1383"/>
    </row>
    <row r="1384" spans="1:25" s="104" customFormat="1" x14ac:dyDescent="0.25">
      <c r="A1384" s="97" t="str">
        <f t="shared" si="26"/>
        <v>ddr16_1600_ios_vddh1_dyn_lpddr4_800_16_write</v>
      </c>
      <c r="B1384" s="97" t="s">
        <v>620</v>
      </c>
      <c r="C1384" s="98" t="s">
        <v>501</v>
      </c>
      <c r="D1384" s="97" t="s">
        <v>547</v>
      </c>
      <c r="E1384" s="97" t="s">
        <v>1166</v>
      </c>
      <c r="F1384" s="97">
        <v>182.02600000000001</v>
      </c>
      <c r="G1384" s="97" t="s">
        <v>573</v>
      </c>
      <c r="H1384" s="5"/>
      <c r="I1384"/>
      <c r="J1384"/>
      <c r="K1384"/>
      <c r="L1384"/>
      <c r="M1384"/>
      <c r="N1384"/>
      <c r="O1384"/>
      <c r="P1384"/>
      <c r="Q1384"/>
      <c r="R1384"/>
      <c r="S1384"/>
      <c r="T1384"/>
      <c r="U1384"/>
      <c r="V1384"/>
      <c r="W1384"/>
      <c r="X1384"/>
      <c r="Y1384"/>
    </row>
    <row r="1385" spans="1:25" s="104" customFormat="1" x14ac:dyDescent="0.25">
      <c r="A1385" s="97" t="str">
        <f t="shared" si="26"/>
        <v>ddr16_1600_ios_vddh1_dyn_Sleep_idle</v>
      </c>
      <c r="B1385" s="97" t="s">
        <v>620</v>
      </c>
      <c r="C1385" s="98" t="s">
        <v>501</v>
      </c>
      <c r="D1385" s="97" t="s">
        <v>530</v>
      </c>
      <c r="E1385" s="97" t="s">
        <v>1166</v>
      </c>
      <c r="F1385" s="97">
        <v>0</v>
      </c>
      <c r="G1385" s="97" t="s">
        <v>573</v>
      </c>
      <c r="H1385" s="5"/>
      <c r="I1385"/>
      <c r="J1385"/>
      <c r="K1385"/>
      <c r="L1385"/>
      <c r="M1385"/>
      <c r="N1385"/>
      <c r="O1385"/>
      <c r="P1385"/>
      <c r="Q1385"/>
      <c r="R1385"/>
      <c r="S1385"/>
      <c r="T1385"/>
      <c r="U1385"/>
      <c r="V1385"/>
      <c r="W1385"/>
      <c r="X1385"/>
      <c r="Y1385"/>
    </row>
    <row r="1386" spans="1:25" s="104" customFormat="1" x14ac:dyDescent="0.25">
      <c r="A1386" s="97" t="str">
        <f t="shared" si="26"/>
        <v>ddr16_1600_ios_vddh1_dyn_Sleep_read</v>
      </c>
      <c r="B1386" s="97" t="s">
        <v>620</v>
      </c>
      <c r="C1386" s="98" t="s">
        <v>501</v>
      </c>
      <c r="D1386" s="97" t="s">
        <v>543</v>
      </c>
      <c r="E1386" s="97" t="s">
        <v>1166</v>
      </c>
      <c r="F1386" s="97">
        <v>0</v>
      </c>
      <c r="G1386" s="97" t="s">
        <v>573</v>
      </c>
      <c r="H1386" s="5"/>
      <c r="I1386"/>
      <c r="J1386"/>
      <c r="K1386"/>
      <c r="L1386"/>
      <c r="M1386"/>
      <c r="N1386"/>
      <c r="O1386"/>
      <c r="P1386"/>
      <c r="Q1386"/>
      <c r="R1386"/>
      <c r="S1386"/>
      <c r="T1386"/>
      <c r="U1386"/>
      <c r="V1386"/>
      <c r="W1386"/>
      <c r="X1386"/>
      <c r="Y1386"/>
    </row>
    <row r="1387" spans="1:25" s="104" customFormat="1" x14ac:dyDescent="0.25">
      <c r="A1387" s="97" t="str">
        <f t="shared" si="26"/>
        <v>ddr16_1600_ios_vddh1_dyn_Sleep_write</v>
      </c>
      <c r="B1387" s="97" t="s">
        <v>620</v>
      </c>
      <c r="C1387" s="98" t="s">
        <v>501</v>
      </c>
      <c r="D1387" s="97" t="s">
        <v>556</v>
      </c>
      <c r="E1387" s="97" t="s">
        <v>1166</v>
      </c>
      <c r="F1387" s="97">
        <v>0</v>
      </c>
      <c r="G1387" s="97" t="s">
        <v>573</v>
      </c>
      <c r="H1387" s="5"/>
      <c r="I1387"/>
      <c r="J1387"/>
      <c r="K1387"/>
      <c r="L1387"/>
      <c r="M1387"/>
      <c r="N1387"/>
      <c r="O1387"/>
      <c r="P1387"/>
      <c r="Q1387"/>
      <c r="R1387"/>
      <c r="S1387"/>
      <c r="T1387"/>
      <c r="U1387"/>
      <c r="V1387"/>
      <c r="W1387"/>
      <c r="X1387"/>
      <c r="Y1387"/>
    </row>
    <row r="1388" spans="1:25" s="104" customFormat="1" hidden="1" x14ac:dyDescent="0.25">
      <c r="A1388" s="97" t="str">
        <f t="shared" ref="A1388:A1399" si="27">B1388&amp;"_"&amp;C1388</f>
        <v>PLLTS16FFCLAFRACF_vddh1_lkg</v>
      </c>
      <c r="B1388" s="97" t="s">
        <v>78</v>
      </c>
      <c r="C1388" s="97" t="s">
        <v>499</v>
      </c>
      <c r="D1388" s="97" t="s">
        <v>68</v>
      </c>
      <c r="E1388" s="97" t="s">
        <v>1038</v>
      </c>
      <c r="F1388" s="97">
        <v>4.54502057923171E-6</v>
      </c>
      <c r="G1388" s="97" t="s">
        <v>559</v>
      </c>
      <c r="H1388" s="5"/>
      <c r="I1388"/>
      <c r="J1388"/>
      <c r="K1388"/>
      <c r="L1388"/>
      <c r="M1388"/>
      <c r="N1388"/>
      <c r="O1388"/>
      <c r="P1388"/>
      <c r="Q1388"/>
      <c r="R1388"/>
      <c r="S1388"/>
      <c r="T1388"/>
      <c r="U1388"/>
      <c r="V1388"/>
      <c r="W1388"/>
      <c r="X1388"/>
      <c r="Y1388"/>
    </row>
    <row r="1389" spans="1:25" s="104" customFormat="1" hidden="1" x14ac:dyDescent="0.25">
      <c r="A1389" s="97" t="str">
        <f t="shared" si="27"/>
        <v>N16FFC_POK_vddh1_lkg</v>
      </c>
      <c r="B1389" s="97" t="s">
        <v>80</v>
      </c>
      <c r="C1389" s="97" t="s">
        <v>499</v>
      </c>
      <c r="D1389" s="97"/>
      <c r="E1389" s="97" t="s">
        <v>1038</v>
      </c>
      <c r="F1389" s="99">
        <f>0.0456*1.98</f>
        <v>9.0288000000000007E-2</v>
      </c>
      <c r="G1389" s="97" t="s">
        <v>605</v>
      </c>
      <c r="H1389" s="5"/>
      <c r="I1389"/>
      <c r="J1389"/>
      <c r="K1389"/>
      <c r="L1389"/>
      <c r="M1389"/>
      <c r="N1389"/>
      <c r="O1389"/>
      <c r="P1389"/>
      <c r="Q1389"/>
      <c r="R1389"/>
      <c r="S1389"/>
      <c r="T1389"/>
      <c r="U1389"/>
      <c r="V1389"/>
      <c r="W1389"/>
      <c r="X1389"/>
      <c r="Y1389"/>
    </row>
    <row r="1390" spans="1:25" s="104" customFormat="1" hidden="1" x14ac:dyDescent="0.25">
      <c r="A1390" s="97" t="str">
        <f t="shared" si="27"/>
        <v>N16FFC_POKSA_vddh1_lkg</v>
      </c>
      <c r="B1390" s="97" t="s">
        <v>83</v>
      </c>
      <c r="C1390" s="97" t="s">
        <v>499</v>
      </c>
      <c r="D1390" s="97" t="s">
        <v>68</v>
      </c>
      <c r="E1390" s="97" t="s">
        <v>1038</v>
      </c>
      <c r="F1390" s="97">
        <v>3.474E-2</v>
      </c>
      <c r="G1390" s="97" t="s">
        <v>567</v>
      </c>
      <c r="H1390" s="5"/>
      <c r="I1390"/>
      <c r="J1390"/>
      <c r="K1390"/>
      <c r="L1390"/>
      <c r="M1390"/>
      <c r="N1390"/>
      <c r="O1390"/>
      <c r="P1390"/>
      <c r="Q1390"/>
      <c r="R1390"/>
      <c r="S1390"/>
      <c r="T1390"/>
      <c r="U1390"/>
      <c r="V1390"/>
      <c r="W1390"/>
      <c r="X1390"/>
      <c r="Y1390"/>
    </row>
    <row r="1391" spans="1:25" s="104" customFormat="1" hidden="1" x14ac:dyDescent="0.25">
      <c r="A1391" s="97" t="str">
        <f t="shared" si="27"/>
        <v>sd1000_vddh1_lkg</v>
      </c>
      <c r="B1391" s="97" t="s">
        <v>608</v>
      </c>
      <c r="C1391" s="98" t="s">
        <v>499</v>
      </c>
      <c r="D1391" s="97"/>
      <c r="E1391" s="97" t="s">
        <v>1038</v>
      </c>
      <c r="F1391" s="97">
        <v>0</v>
      </c>
      <c r="G1391" s="97" t="s">
        <v>487</v>
      </c>
      <c r="H1391" s="5"/>
      <c r="I1391"/>
      <c r="J1391"/>
      <c r="K1391"/>
      <c r="L1391"/>
      <c r="M1391"/>
      <c r="N1391"/>
      <c r="O1391"/>
      <c r="P1391"/>
      <c r="Q1391"/>
      <c r="R1391"/>
      <c r="S1391"/>
      <c r="T1391"/>
      <c r="U1391"/>
      <c r="V1391"/>
      <c r="W1391"/>
      <c r="X1391"/>
      <c r="Y1391"/>
    </row>
    <row r="1392" spans="1:25" s="104" customFormat="1" hidden="1" x14ac:dyDescent="0.25">
      <c r="A1392" s="97" t="str">
        <f t="shared" si="27"/>
        <v>N16FFC_HFXOSC_vddh1_lkg</v>
      </c>
      <c r="B1392" s="97" t="s">
        <v>77</v>
      </c>
      <c r="C1392" s="97" t="s">
        <v>499</v>
      </c>
      <c r="D1392" s="97" t="s">
        <v>68</v>
      </c>
      <c r="E1392" s="97" t="s">
        <v>1038</v>
      </c>
      <c r="F1392" s="97">
        <v>1.7820080686888683E-2</v>
      </c>
      <c r="G1392" s="97" t="s">
        <v>569</v>
      </c>
      <c r="H1392" s="5"/>
      <c r="I1392"/>
      <c r="J1392"/>
      <c r="K1392"/>
      <c r="L1392"/>
      <c r="M1392"/>
      <c r="N1392"/>
      <c r="O1392"/>
      <c r="P1392"/>
      <c r="Q1392"/>
      <c r="R1392"/>
      <c r="S1392"/>
      <c r="T1392"/>
      <c r="U1392"/>
      <c r="V1392"/>
      <c r="W1392"/>
      <c r="X1392"/>
      <c r="Y1392"/>
    </row>
    <row r="1393" spans="1:25" s="104" customFormat="1" hidden="1" x14ac:dyDescent="0.25">
      <c r="A1393" s="97" t="str">
        <f t="shared" si="27"/>
        <v>N16FFC_LFXOSC_vddh1_lkg</v>
      </c>
      <c r="B1393" s="97" t="s">
        <v>76</v>
      </c>
      <c r="C1393" s="97" t="s">
        <v>499</v>
      </c>
      <c r="D1393" s="97" t="s">
        <v>68</v>
      </c>
      <c r="E1393" s="97" t="s">
        <v>1038</v>
      </c>
      <c r="F1393" s="97">
        <v>5.3460242060666052E-3</v>
      </c>
      <c r="G1393" s="97" t="s">
        <v>568</v>
      </c>
      <c r="H1393" s="5"/>
      <c r="I1393"/>
      <c r="J1393"/>
      <c r="K1393"/>
      <c r="L1393"/>
      <c r="M1393"/>
      <c r="N1393"/>
      <c r="O1393"/>
      <c r="P1393"/>
      <c r="Q1393"/>
      <c r="R1393"/>
      <c r="S1393"/>
      <c r="T1393"/>
      <c r="U1393"/>
      <c r="V1393"/>
      <c r="W1393"/>
      <c r="X1393"/>
      <c r="Y1393"/>
    </row>
    <row r="1394" spans="1:25" s="104" customFormat="1" hidden="1" x14ac:dyDescent="0.25">
      <c r="A1394" s="97" t="str">
        <f t="shared" si="27"/>
        <v>N16FFC_RCOSC_vddh1_lkg</v>
      </c>
      <c r="B1394" s="97" t="s">
        <v>84</v>
      </c>
      <c r="C1394" s="97" t="s">
        <v>499</v>
      </c>
      <c r="D1394" s="97" t="s">
        <v>68</v>
      </c>
      <c r="E1394" s="97" t="s">
        <v>1038</v>
      </c>
      <c r="F1394" s="97">
        <v>4.0140181749254315E-2</v>
      </c>
      <c r="G1394" s="97" t="s">
        <v>565</v>
      </c>
      <c r="H1394" s="5"/>
      <c r="I1394"/>
      <c r="J1394"/>
      <c r="K1394"/>
      <c r="L1394"/>
      <c r="M1394"/>
      <c r="N1394"/>
      <c r="O1394"/>
      <c r="P1394"/>
      <c r="Q1394"/>
      <c r="R1394"/>
      <c r="S1394"/>
      <c r="T1394"/>
      <c r="U1394"/>
      <c r="V1394"/>
      <c r="W1394"/>
      <c r="X1394"/>
      <c r="Y1394"/>
    </row>
    <row r="1395" spans="1:25" s="104" customFormat="1" hidden="1" x14ac:dyDescent="0.25">
      <c r="A1395" s="97" t="str">
        <f t="shared" si="27"/>
        <v>N16FFC_POR_vddh1_lkg</v>
      </c>
      <c r="B1395" s="97" t="s">
        <v>73</v>
      </c>
      <c r="C1395" s="97" t="s">
        <v>499</v>
      </c>
      <c r="D1395" s="97" t="s">
        <v>68</v>
      </c>
      <c r="E1395" s="97" t="s">
        <v>1038</v>
      </c>
      <c r="F1395" s="97">
        <v>0.24300110027575481</v>
      </c>
      <c r="G1395" s="97" t="s">
        <v>566</v>
      </c>
      <c r="H1395" s="5"/>
      <c r="I1395"/>
      <c r="J1395"/>
      <c r="K1395"/>
      <c r="L1395"/>
      <c r="M1395"/>
      <c r="N1395"/>
      <c r="O1395"/>
      <c r="P1395"/>
      <c r="Q1395"/>
      <c r="R1395"/>
      <c r="S1395"/>
      <c r="T1395"/>
      <c r="U1395"/>
      <c r="V1395"/>
      <c r="W1395"/>
      <c r="X1395"/>
      <c r="Y1395"/>
    </row>
    <row r="1396" spans="1:25" s="104" customFormat="1" hidden="1" x14ac:dyDescent="0.25">
      <c r="A1396" s="97" t="str">
        <f t="shared" si="27"/>
        <v>N16FFC_TEMP_DIODE_TOP_vddh1_lkg</v>
      </c>
      <c r="B1396" s="97" t="s">
        <v>82</v>
      </c>
      <c r="C1396" s="97" t="s">
        <v>499</v>
      </c>
      <c r="D1396" s="97" t="s">
        <v>68</v>
      </c>
      <c r="E1396" s="97" t="s">
        <v>1038</v>
      </c>
      <c r="F1396" s="97">
        <v>0.18000081501907764</v>
      </c>
      <c r="G1396" s="97" t="s">
        <v>564</v>
      </c>
      <c r="H1396" s="5"/>
      <c r="I1396"/>
      <c r="J1396"/>
      <c r="K1396"/>
      <c r="L1396"/>
      <c r="M1396"/>
      <c r="N1396"/>
      <c r="O1396"/>
      <c r="P1396"/>
      <c r="Q1396"/>
      <c r="R1396"/>
      <c r="S1396"/>
      <c r="T1396"/>
      <c r="U1396"/>
      <c r="V1396"/>
      <c r="W1396"/>
      <c r="X1396"/>
      <c r="Y1396"/>
    </row>
    <row r="1397" spans="1:25" s="104" customFormat="1" hidden="1" x14ac:dyDescent="0.25">
      <c r="A1397" s="97" t="str">
        <f t="shared" si="27"/>
        <v>ABJSTBL5_vddh1_lkg</v>
      </c>
      <c r="B1397" s="98" t="s">
        <v>269</v>
      </c>
      <c r="C1397" s="97" t="s">
        <v>499</v>
      </c>
      <c r="D1397" s="97" t="s">
        <v>68</v>
      </c>
      <c r="E1397" s="97" t="s">
        <v>1038</v>
      </c>
      <c r="F1397" s="97">
        <v>0.12000054334605174</v>
      </c>
      <c r="G1397" s="97" t="s">
        <v>267</v>
      </c>
      <c r="H1397" s="5"/>
      <c r="I1397"/>
      <c r="J1397"/>
      <c r="K1397"/>
      <c r="L1397"/>
      <c r="M1397"/>
      <c r="N1397"/>
      <c r="O1397"/>
      <c r="P1397"/>
      <c r="Q1397"/>
      <c r="R1397"/>
      <c r="S1397"/>
      <c r="T1397"/>
      <c r="U1397"/>
      <c r="V1397"/>
      <c r="W1397"/>
      <c r="X1397"/>
      <c r="Y1397"/>
    </row>
    <row r="1398" spans="1:25" s="104" customFormat="1" hidden="1" x14ac:dyDescent="0.25">
      <c r="A1398" s="97" t="str">
        <f t="shared" si="27"/>
        <v>LVDSTS16LLBI1E_vddh1_lkg</v>
      </c>
      <c r="B1398" s="97" t="s">
        <v>81</v>
      </c>
      <c r="C1398" s="98" t="s">
        <v>499</v>
      </c>
      <c r="D1398" s="97"/>
      <c r="E1398" s="97" t="s">
        <v>1038</v>
      </c>
      <c r="F1398" s="97">
        <f>0.02*1.98</f>
        <v>3.9600000000000003E-2</v>
      </c>
      <c r="G1398" s="97" t="s">
        <v>453</v>
      </c>
      <c r="H1398" s="5"/>
      <c r="I1398"/>
      <c r="J1398"/>
      <c r="K1398"/>
      <c r="L1398"/>
      <c r="M1398"/>
      <c r="N1398"/>
      <c r="O1398"/>
      <c r="P1398"/>
      <c r="Q1398"/>
      <c r="R1398"/>
      <c r="S1398"/>
      <c r="T1398"/>
      <c r="U1398"/>
      <c r="V1398"/>
      <c r="W1398"/>
      <c r="X1398"/>
      <c r="Y1398"/>
    </row>
    <row r="1399" spans="1:25" s="104" customFormat="1" x14ac:dyDescent="0.25">
      <c r="A1399" s="97" t="str">
        <f t="shared" si="27"/>
        <v>ddr16_1600_ios_vddh1_lkg</v>
      </c>
      <c r="B1399" s="97" t="s">
        <v>620</v>
      </c>
      <c r="C1399" s="98" t="s">
        <v>499</v>
      </c>
      <c r="D1399" s="97"/>
      <c r="E1399" s="97" t="s">
        <v>1038</v>
      </c>
      <c r="F1399" s="97">
        <v>0.10106</v>
      </c>
      <c r="G1399" s="97" t="s">
        <v>574</v>
      </c>
      <c r="H1399" s="5"/>
      <c r="I1399"/>
      <c r="J1399"/>
      <c r="K1399"/>
      <c r="L1399"/>
      <c r="M1399"/>
      <c r="N1399"/>
      <c r="O1399"/>
      <c r="P1399"/>
      <c r="Q1399"/>
      <c r="R1399"/>
      <c r="S1399"/>
      <c r="T1399"/>
      <c r="U1399"/>
      <c r="V1399"/>
      <c r="W1399"/>
      <c r="X1399"/>
      <c r="Y1399"/>
    </row>
    <row r="1400" spans="1:25" s="104" customFormat="1" hidden="1" x14ac:dyDescent="0.25">
      <c r="A1400" s="97" t="str">
        <f t="shared" ref="A1400:A1463" si="28">B1400&amp;"_"&amp;C1400&amp;"_"&amp;D1400</f>
        <v>sd1000_vddh2_dyn_device_fs</v>
      </c>
      <c r="B1400" s="97" t="s">
        <v>608</v>
      </c>
      <c r="C1400" s="98" t="s">
        <v>504</v>
      </c>
      <c r="D1400" s="97" t="s">
        <v>468</v>
      </c>
      <c r="E1400" s="97" t="s">
        <v>1038</v>
      </c>
      <c r="F1400" s="105">
        <f>(17.993+5.414)/2</f>
        <v>11.703499999999998</v>
      </c>
      <c r="G1400" s="97" t="s">
        <v>473</v>
      </c>
      <c r="H1400" s="5"/>
      <c r="I1400"/>
      <c r="J1400"/>
      <c r="K1400"/>
      <c r="L1400"/>
      <c r="M1400"/>
      <c r="N1400"/>
      <c r="O1400"/>
      <c r="P1400"/>
      <c r="Q1400"/>
      <c r="R1400"/>
      <c r="S1400"/>
      <c r="T1400"/>
      <c r="U1400"/>
      <c r="V1400"/>
      <c r="W1400"/>
      <c r="X1400"/>
      <c r="Y1400"/>
    </row>
    <row r="1401" spans="1:25" s="104" customFormat="1" hidden="1" x14ac:dyDescent="0.25">
      <c r="A1401" s="97" t="str">
        <f t="shared" si="28"/>
        <v>sd1000_vddh2_dyn_device_fs_idle</v>
      </c>
      <c r="B1401" s="97" t="s">
        <v>608</v>
      </c>
      <c r="C1401" s="98" t="s">
        <v>504</v>
      </c>
      <c r="D1401" s="97" t="s">
        <v>478</v>
      </c>
      <c r="E1401" s="97" t="s">
        <v>1038</v>
      </c>
      <c r="F1401" s="105">
        <v>3.4550000000000001</v>
      </c>
      <c r="G1401" s="97" t="s">
        <v>480</v>
      </c>
      <c r="H1401" s="5"/>
      <c r="I1401"/>
      <c r="J1401"/>
      <c r="K1401"/>
      <c r="L1401"/>
      <c r="M1401"/>
      <c r="N1401"/>
      <c r="O1401"/>
      <c r="P1401"/>
      <c r="Q1401"/>
      <c r="R1401"/>
      <c r="S1401"/>
      <c r="T1401"/>
      <c r="U1401"/>
      <c r="V1401"/>
      <c r="W1401"/>
      <c r="X1401"/>
      <c r="Y1401"/>
    </row>
    <row r="1402" spans="1:25" s="104" customFormat="1" hidden="1" x14ac:dyDescent="0.25">
      <c r="A1402" s="97" t="str">
        <f t="shared" si="28"/>
        <v>sd1000_vddh2_dyn_device_hs</v>
      </c>
      <c r="B1402" s="97" t="s">
        <v>608</v>
      </c>
      <c r="C1402" s="98" t="s">
        <v>504</v>
      </c>
      <c r="D1402" s="97" t="s">
        <v>467</v>
      </c>
      <c r="E1402" s="97" t="s">
        <v>1038</v>
      </c>
      <c r="F1402" s="105">
        <f>(1.089+2.727)/2</f>
        <v>1.9079999999999999</v>
      </c>
      <c r="G1402" s="97" t="s">
        <v>473</v>
      </c>
      <c r="H1402" s="5"/>
      <c r="I1402"/>
      <c r="J1402"/>
      <c r="K1402"/>
      <c r="L1402"/>
      <c r="M1402"/>
      <c r="N1402"/>
      <c r="O1402"/>
      <c r="P1402"/>
      <c r="Q1402"/>
      <c r="R1402"/>
      <c r="S1402"/>
      <c r="T1402"/>
      <c r="U1402"/>
      <c r="V1402"/>
      <c r="W1402"/>
      <c r="X1402"/>
      <c r="Y1402"/>
    </row>
    <row r="1403" spans="1:25" s="104" customFormat="1" hidden="1" x14ac:dyDescent="0.25">
      <c r="A1403" s="97" t="str">
        <f t="shared" si="28"/>
        <v>sd1000_vddh2_dyn_device_hs_idle</v>
      </c>
      <c r="B1403" s="97" t="s">
        <v>608</v>
      </c>
      <c r="C1403" s="98" t="s">
        <v>504</v>
      </c>
      <c r="D1403" s="97" t="s">
        <v>477</v>
      </c>
      <c r="E1403" s="97" t="s">
        <v>1038</v>
      </c>
      <c r="F1403" s="105">
        <v>2.722</v>
      </c>
      <c r="G1403" s="97" t="s">
        <v>480</v>
      </c>
      <c r="H1403" s="5"/>
      <c r="I1403"/>
      <c r="J1403"/>
      <c r="K1403"/>
      <c r="L1403"/>
      <c r="M1403"/>
      <c r="N1403"/>
      <c r="O1403"/>
      <c r="P1403"/>
      <c r="Q1403"/>
      <c r="R1403"/>
      <c r="S1403"/>
      <c r="T1403"/>
      <c r="U1403"/>
      <c r="V1403"/>
      <c r="W1403"/>
      <c r="X1403"/>
      <c r="Y1403"/>
    </row>
    <row r="1404" spans="1:25" s="104" customFormat="1" hidden="1" x14ac:dyDescent="0.25">
      <c r="A1404" s="97" t="str">
        <f t="shared" si="28"/>
        <v>sd1000_vddh2_dyn_device_ls</v>
      </c>
      <c r="B1404" s="97" t="s">
        <v>608</v>
      </c>
      <c r="C1404" s="98" t="s">
        <v>504</v>
      </c>
      <c r="D1404" s="97" t="s">
        <v>469</v>
      </c>
      <c r="E1404" s="97" t="s">
        <v>1038</v>
      </c>
      <c r="F1404" s="105">
        <f>(9.351+5.327)/2</f>
        <v>7.3390000000000004</v>
      </c>
      <c r="G1404" s="97" t="s">
        <v>473</v>
      </c>
      <c r="H1404" s="5"/>
      <c r="I1404"/>
      <c r="J1404"/>
      <c r="K1404"/>
      <c r="L1404"/>
      <c r="M1404"/>
      <c r="N1404"/>
      <c r="O1404"/>
      <c r="P1404"/>
      <c r="Q1404"/>
      <c r="R1404"/>
      <c r="S1404"/>
      <c r="T1404"/>
      <c r="U1404"/>
      <c r="V1404"/>
      <c r="W1404"/>
      <c r="X1404"/>
      <c r="Y1404"/>
    </row>
    <row r="1405" spans="1:25" s="104" customFormat="1" hidden="1" x14ac:dyDescent="0.25">
      <c r="A1405" s="97" t="str">
        <f t="shared" si="28"/>
        <v>sd1000_vddh2_dyn_device_ls_idle</v>
      </c>
      <c r="B1405" s="97" t="s">
        <v>608</v>
      </c>
      <c r="C1405" s="98" t="s">
        <v>504</v>
      </c>
      <c r="D1405" s="97" t="s">
        <v>479</v>
      </c>
      <c r="E1405" s="97" t="s">
        <v>1038</v>
      </c>
      <c r="F1405" s="105">
        <v>3.2989999999999999</v>
      </c>
      <c r="G1405" s="97" t="s">
        <v>480</v>
      </c>
      <c r="H1405" s="5"/>
      <c r="I1405"/>
      <c r="J1405"/>
      <c r="K1405"/>
      <c r="L1405"/>
      <c r="M1405"/>
      <c r="N1405"/>
      <c r="O1405"/>
      <c r="P1405"/>
      <c r="Q1405"/>
      <c r="R1405"/>
      <c r="S1405"/>
      <c r="T1405"/>
      <c r="U1405"/>
      <c r="V1405"/>
      <c r="W1405"/>
      <c r="X1405"/>
      <c r="Y1405"/>
    </row>
    <row r="1406" spans="1:25" s="104" customFormat="1" hidden="1" x14ac:dyDescent="0.25">
      <c r="A1406" s="97" t="str">
        <f t="shared" si="28"/>
        <v>sd1000_vddh2_dyn_host_fs</v>
      </c>
      <c r="B1406" s="97" t="s">
        <v>608</v>
      </c>
      <c r="C1406" s="98" t="s">
        <v>504</v>
      </c>
      <c r="D1406" s="97" t="s">
        <v>465</v>
      </c>
      <c r="E1406" s="97" t="s">
        <v>1038</v>
      </c>
      <c r="F1406" s="105">
        <f>(15.971+2.467)/2</f>
        <v>9.2189999999999994</v>
      </c>
      <c r="G1406" s="97" t="s">
        <v>473</v>
      </c>
      <c r="H1406" s="5"/>
      <c r="I1406"/>
      <c r="J1406"/>
      <c r="K1406"/>
      <c r="L1406"/>
      <c r="M1406"/>
      <c r="N1406"/>
      <c r="O1406"/>
      <c r="P1406"/>
      <c r="Q1406"/>
      <c r="R1406"/>
      <c r="S1406"/>
      <c r="T1406"/>
      <c r="U1406"/>
      <c r="V1406"/>
      <c r="W1406"/>
      <c r="X1406"/>
      <c r="Y1406"/>
    </row>
    <row r="1407" spans="1:25" s="104" customFormat="1" hidden="1" x14ac:dyDescent="0.25">
      <c r="A1407" s="97" t="str">
        <f t="shared" si="28"/>
        <v>sd1000_vddh2_dyn_host_fs_idle</v>
      </c>
      <c r="B1407" s="97" t="s">
        <v>608</v>
      </c>
      <c r="C1407" s="98" t="s">
        <v>504</v>
      </c>
      <c r="D1407" s="97" t="s">
        <v>475</v>
      </c>
      <c r="E1407" s="97" t="s">
        <v>1038</v>
      </c>
      <c r="F1407" s="105">
        <v>2.4569999999999999</v>
      </c>
      <c r="G1407" s="97" t="s">
        <v>149</v>
      </c>
      <c r="H1407" s="5"/>
      <c r="I1407"/>
      <c r="J1407"/>
      <c r="K1407"/>
      <c r="L1407"/>
      <c r="M1407"/>
      <c r="N1407"/>
      <c r="O1407"/>
      <c r="P1407"/>
      <c r="Q1407"/>
      <c r="R1407"/>
      <c r="S1407"/>
      <c r="T1407"/>
      <c r="U1407"/>
      <c r="V1407"/>
      <c r="W1407"/>
      <c r="X1407"/>
      <c r="Y1407"/>
    </row>
    <row r="1408" spans="1:25" s="104" customFormat="1" hidden="1" x14ac:dyDescent="0.25">
      <c r="A1408" s="97" t="str">
        <f t="shared" si="28"/>
        <v>sd1000_vddh2_dyn_host_hs</v>
      </c>
      <c r="B1408" s="97" t="s">
        <v>608</v>
      </c>
      <c r="C1408" s="98" t="s">
        <v>504</v>
      </c>
      <c r="D1408" s="97" t="s">
        <v>464</v>
      </c>
      <c r="E1408" s="97" t="s">
        <v>1038</v>
      </c>
      <c r="F1408" s="105">
        <f>(1.089+2.727)/2</f>
        <v>1.9079999999999999</v>
      </c>
      <c r="G1408" s="97" t="s">
        <v>473</v>
      </c>
      <c r="H1408" s="5"/>
      <c r="I1408"/>
      <c r="J1408"/>
      <c r="K1408"/>
      <c r="L1408"/>
      <c r="M1408"/>
      <c r="N1408"/>
      <c r="O1408"/>
      <c r="P1408"/>
      <c r="Q1408"/>
      <c r="R1408"/>
      <c r="S1408"/>
      <c r="T1408"/>
      <c r="U1408"/>
      <c r="V1408"/>
      <c r="W1408"/>
      <c r="X1408"/>
      <c r="Y1408"/>
    </row>
    <row r="1409" spans="1:25" s="104" customFormat="1" hidden="1" x14ac:dyDescent="0.25">
      <c r="A1409" s="97" t="str">
        <f t="shared" si="28"/>
        <v>sd1000_vddh2_dyn_host_hs_idle</v>
      </c>
      <c r="B1409" s="97" t="s">
        <v>608</v>
      </c>
      <c r="C1409" s="98" t="s">
        <v>504</v>
      </c>
      <c r="D1409" s="97" t="s">
        <v>474</v>
      </c>
      <c r="E1409" s="97" t="s">
        <v>1038</v>
      </c>
      <c r="F1409" s="105">
        <v>2.722</v>
      </c>
      <c r="G1409" s="97" t="s">
        <v>149</v>
      </c>
      <c r="H1409" s="5"/>
      <c r="I1409"/>
      <c r="J1409"/>
      <c r="K1409"/>
      <c r="L1409"/>
      <c r="M1409"/>
      <c r="N1409"/>
      <c r="O1409"/>
      <c r="P1409"/>
      <c r="Q1409"/>
      <c r="R1409"/>
      <c r="S1409"/>
      <c r="T1409"/>
      <c r="U1409"/>
      <c r="V1409"/>
      <c r="W1409"/>
      <c r="X1409"/>
      <c r="Y1409"/>
    </row>
    <row r="1410" spans="1:25" s="104" customFormat="1" hidden="1" x14ac:dyDescent="0.25">
      <c r="A1410" s="97" t="str">
        <f t="shared" si="28"/>
        <v>sd1000_vddh2_dyn_host_ls</v>
      </c>
      <c r="B1410" s="97" t="s">
        <v>608</v>
      </c>
      <c r="C1410" s="98" t="s">
        <v>504</v>
      </c>
      <c r="D1410" s="97" t="s">
        <v>466</v>
      </c>
      <c r="E1410" s="97" t="s">
        <v>1038</v>
      </c>
      <c r="F1410" s="105">
        <f>(7.407+2.39)/2</f>
        <v>4.8985000000000003</v>
      </c>
      <c r="G1410" s="97" t="s">
        <v>149</v>
      </c>
      <c r="H1410" s="5"/>
      <c r="I1410"/>
      <c r="J1410"/>
      <c r="K1410"/>
      <c r="L1410"/>
      <c r="M1410"/>
      <c r="N1410"/>
      <c r="O1410"/>
      <c r="P1410"/>
      <c r="Q1410"/>
      <c r="R1410"/>
      <c r="S1410"/>
      <c r="T1410"/>
      <c r="U1410"/>
      <c r="V1410"/>
      <c r="W1410"/>
      <c r="X1410"/>
      <c r="Y1410"/>
    </row>
    <row r="1411" spans="1:25" s="104" customFormat="1" hidden="1" x14ac:dyDescent="0.25">
      <c r="A1411" s="97" t="str">
        <f t="shared" si="28"/>
        <v>sd1000_vddh2_dyn_host_ls_idle</v>
      </c>
      <c r="B1411" s="97" t="s">
        <v>608</v>
      </c>
      <c r="C1411" s="98" t="s">
        <v>504</v>
      </c>
      <c r="D1411" s="97" t="s">
        <v>476</v>
      </c>
      <c r="E1411" s="97" t="s">
        <v>1038</v>
      </c>
      <c r="F1411" s="105">
        <v>2.3879999999999999</v>
      </c>
      <c r="G1411" s="97" t="s">
        <v>149</v>
      </c>
      <c r="H1411" s="5"/>
      <c r="I1411"/>
      <c r="J1411"/>
      <c r="K1411"/>
      <c r="L1411"/>
      <c r="M1411"/>
      <c r="N1411"/>
      <c r="O1411"/>
      <c r="P1411"/>
      <c r="Q1411"/>
      <c r="R1411"/>
      <c r="S1411"/>
      <c r="T1411"/>
      <c r="U1411"/>
      <c r="V1411"/>
      <c r="W1411"/>
      <c r="X1411"/>
      <c r="Y1411"/>
    </row>
    <row r="1412" spans="1:25" s="104" customFormat="1" hidden="1" x14ac:dyDescent="0.25">
      <c r="A1412" s="97" t="str">
        <f t="shared" si="28"/>
        <v>sd1000_vddh2_dyn_Power_down</v>
      </c>
      <c r="B1412" s="97" t="s">
        <v>608</v>
      </c>
      <c r="C1412" s="98" t="s">
        <v>504</v>
      </c>
      <c r="D1412" s="97" t="s">
        <v>470</v>
      </c>
      <c r="E1412" s="97" t="s">
        <v>1038</v>
      </c>
      <c r="F1412" s="105">
        <v>0.155</v>
      </c>
      <c r="G1412" s="97" t="s">
        <v>472</v>
      </c>
      <c r="H1412" s="5"/>
      <c r="I1412"/>
      <c r="J1412"/>
      <c r="K1412"/>
      <c r="L1412"/>
      <c r="M1412"/>
      <c r="N1412"/>
      <c r="O1412"/>
      <c r="P1412"/>
      <c r="Q1412"/>
      <c r="R1412"/>
      <c r="S1412"/>
      <c r="T1412"/>
      <c r="U1412"/>
      <c r="V1412"/>
      <c r="W1412"/>
      <c r="X1412"/>
      <c r="Y1412"/>
    </row>
    <row r="1413" spans="1:25" s="104" customFormat="1" hidden="1" x14ac:dyDescent="0.25">
      <c r="A1413" s="97" t="str">
        <f t="shared" si="28"/>
        <v>sd1000_vddh2_dyn_sleep</v>
      </c>
      <c r="B1413" s="97" t="s">
        <v>608</v>
      </c>
      <c r="C1413" s="98" t="s">
        <v>504</v>
      </c>
      <c r="D1413" s="97" t="s">
        <v>463</v>
      </c>
      <c r="E1413" s="97" t="s">
        <v>1038</v>
      </c>
      <c r="F1413" s="105">
        <v>1.024</v>
      </c>
      <c r="G1413" s="97" t="s">
        <v>471</v>
      </c>
      <c r="H1413" s="5"/>
      <c r="I1413"/>
      <c r="J1413"/>
      <c r="K1413"/>
      <c r="L1413"/>
      <c r="M1413"/>
      <c r="N1413"/>
      <c r="O1413"/>
      <c r="P1413"/>
      <c r="Q1413"/>
      <c r="R1413"/>
      <c r="S1413"/>
      <c r="T1413"/>
      <c r="U1413"/>
      <c r="V1413"/>
      <c r="W1413"/>
      <c r="X1413"/>
      <c r="Y1413"/>
    </row>
    <row r="1414" spans="1:25" s="104" customFormat="1" hidden="1" x14ac:dyDescent="0.25">
      <c r="A1414" s="97" t="str">
        <f t="shared" si="28"/>
        <v>canfd_vddh2_dyn_12mbs_3p3v</v>
      </c>
      <c r="B1414" s="97" t="s">
        <v>655</v>
      </c>
      <c r="C1414" s="97" t="s">
        <v>504</v>
      </c>
      <c r="D1414" s="97" t="s">
        <v>656</v>
      </c>
      <c r="E1414" s="97" t="s">
        <v>1050</v>
      </c>
      <c r="F1414" s="97">
        <v>0.78407999999999989</v>
      </c>
      <c r="G1414" s="97" t="s">
        <v>629</v>
      </c>
      <c r="H1414" s="5"/>
      <c r="I1414"/>
      <c r="J1414"/>
      <c r="K1414"/>
      <c r="L1414"/>
      <c r="M1414"/>
      <c r="N1414"/>
      <c r="O1414"/>
      <c r="P1414"/>
      <c r="Q1414"/>
      <c r="R1414"/>
      <c r="S1414"/>
      <c r="T1414"/>
      <c r="U1414"/>
      <c r="V1414"/>
      <c r="W1414"/>
      <c r="X1414"/>
      <c r="Y1414"/>
    </row>
    <row r="1415" spans="1:25" s="104" customFormat="1" hidden="1" x14ac:dyDescent="0.25">
      <c r="A1415" s="97" t="str">
        <f t="shared" si="28"/>
        <v>canfd_vddh2_dyn_1mbs_3p3v</v>
      </c>
      <c r="B1415" s="97" t="s">
        <v>655</v>
      </c>
      <c r="C1415" s="97" t="s">
        <v>504</v>
      </c>
      <c r="D1415" s="97" t="s">
        <v>658</v>
      </c>
      <c r="E1415" s="97" t="s">
        <v>1050</v>
      </c>
      <c r="F1415" s="97">
        <v>6.5339999999999995E-2</v>
      </c>
      <c r="G1415" s="97" t="s">
        <v>629</v>
      </c>
      <c r="H1415" s="5"/>
      <c r="I1415"/>
      <c r="J1415"/>
      <c r="K1415"/>
      <c r="L1415"/>
      <c r="M1415"/>
      <c r="N1415"/>
      <c r="O1415"/>
      <c r="P1415"/>
      <c r="Q1415"/>
      <c r="R1415"/>
      <c r="S1415"/>
      <c r="T1415"/>
      <c r="U1415"/>
      <c r="V1415"/>
      <c r="W1415"/>
      <c r="X1415"/>
      <c r="Y1415"/>
    </row>
    <row r="1416" spans="1:25" s="104" customFormat="1" hidden="1" x14ac:dyDescent="0.25">
      <c r="A1416" s="97" t="str">
        <f t="shared" si="28"/>
        <v>canfd_vddh2_dyn_250kbs_3p3v</v>
      </c>
      <c r="B1416" s="97" t="s">
        <v>655</v>
      </c>
      <c r="C1416" s="97" t="s">
        <v>504</v>
      </c>
      <c r="D1416" s="97" t="s">
        <v>659</v>
      </c>
      <c r="E1416" s="97" t="s">
        <v>1050</v>
      </c>
      <c r="F1416" s="97">
        <v>1.6334999999999999E-2</v>
      </c>
      <c r="G1416" s="97" t="s">
        <v>629</v>
      </c>
      <c r="H1416" s="5"/>
      <c r="I1416"/>
      <c r="J1416"/>
      <c r="K1416"/>
      <c r="L1416"/>
      <c r="M1416"/>
      <c r="N1416"/>
      <c r="O1416"/>
      <c r="P1416"/>
      <c r="Q1416"/>
      <c r="R1416"/>
      <c r="S1416"/>
      <c r="T1416"/>
      <c r="U1416"/>
      <c r="V1416"/>
      <c r="W1416"/>
      <c r="X1416"/>
      <c r="Y1416"/>
    </row>
    <row r="1417" spans="1:25" s="104" customFormat="1" hidden="1" x14ac:dyDescent="0.25">
      <c r="A1417" s="97" t="str">
        <f t="shared" si="28"/>
        <v>canfd_vddh2_dyn_5mbs_3p3v</v>
      </c>
      <c r="B1417" s="97" t="s">
        <v>655</v>
      </c>
      <c r="C1417" s="97" t="s">
        <v>504</v>
      </c>
      <c r="D1417" s="97" t="s">
        <v>657</v>
      </c>
      <c r="E1417" s="97" t="s">
        <v>1050</v>
      </c>
      <c r="F1417" s="97">
        <v>0.32669999999999993</v>
      </c>
      <c r="G1417" s="97" t="s">
        <v>629</v>
      </c>
      <c r="H1417" s="5"/>
      <c r="I1417"/>
      <c r="J1417"/>
      <c r="K1417"/>
      <c r="L1417"/>
      <c r="M1417"/>
      <c r="N1417"/>
      <c r="O1417"/>
      <c r="P1417"/>
      <c r="Q1417"/>
      <c r="R1417"/>
      <c r="S1417"/>
      <c r="T1417"/>
      <c r="U1417"/>
      <c r="V1417"/>
      <c r="W1417"/>
      <c r="X1417"/>
      <c r="Y1417"/>
    </row>
    <row r="1418" spans="1:25" s="104" customFormat="1" hidden="1" x14ac:dyDescent="0.25">
      <c r="A1418" s="97" t="str">
        <f t="shared" si="28"/>
        <v>canfd_vddh2_dyn_8mbs_3p3v</v>
      </c>
      <c r="B1418" s="97" t="s">
        <v>655</v>
      </c>
      <c r="C1418" s="97" t="s">
        <v>504</v>
      </c>
      <c r="D1418" s="97" t="s">
        <v>1202</v>
      </c>
      <c r="E1418" s="97" t="s">
        <v>1050</v>
      </c>
      <c r="F1418" s="97">
        <v>0.52271999999999996</v>
      </c>
      <c r="G1418" s="97" t="s">
        <v>629</v>
      </c>
      <c r="H1418" s="5"/>
      <c r="I1418"/>
      <c r="J1418"/>
      <c r="K1418"/>
      <c r="L1418"/>
      <c r="M1418"/>
      <c r="N1418"/>
      <c r="O1418"/>
      <c r="P1418"/>
      <c r="Q1418"/>
      <c r="R1418"/>
      <c r="S1418"/>
      <c r="T1418"/>
      <c r="U1418"/>
      <c r="V1418"/>
      <c r="W1418"/>
      <c r="X1418"/>
      <c r="Y1418"/>
    </row>
    <row r="1419" spans="1:25" s="104" customFormat="1" hidden="1" x14ac:dyDescent="0.25">
      <c r="A1419" s="97" t="str">
        <f t="shared" si="28"/>
        <v>canfd_vddh2_dyn_off</v>
      </c>
      <c r="B1419" s="97" t="s">
        <v>655</v>
      </c>
      <c r="C1419" s="97" t="s">
        <v>504</v>
      </c>
      <c r="D1419" s="97" t="s">
        <v>69</v>
      </c>
      <c r="E1419" s="97" t="s">
        <v>1050</v>
      </c>
      <c r="F1419" s="97">
        <v>0</v>
      </c>
      <c r="G1419" s="97" t="s">
        <v>629</v>
      </c>
      <c r="H1419" s="5"/>
      <c r="I1419"/>
      <c r="J1419"/>
      <c r="K1419"/>
      <c r="L1419"/>
      <c r="M1419"/>
      <c r="N1419"/>
      <c r="O1419"/>
      <c r="P1419"/>
      <c r="Q1419"/>
      <c r="R1419"/>
      <c r="S1419"/>
      <c r="T1419"/>
      <c r="U1419"/>
      <c r="V1419"/>
      <c r="W1419"/>
      <c r="X1419"/>
      <c r="Y1419"/>
    </row>
    <row r="1420" spans="1:25" s="104" customFormat="1" hidden="1" x14ac:dyDescent="0.25">
      <c r="A1420" s="97" t="str">
        <f t="shared" si="28"/>
        <v>gpmc_vddh2_dyn_16b_100_MHz_3p3V</v>
      </c>
      <c r="B1420" s="97" t="s">
        <v>653</v>
      </c>
      <c r="C1420" s="97" t="s">
        <v>504</v>
      </c>
      <c r="D1420" s="107" t="s">
        <v>679</v>
      </c>
      <c r="E1420" s="97" t="s">
        <v>1050</v>
      </c>
      <c r="F1420" s="105">
        <v>104.56665120000001</v>
      </c>
      <c r="G1420" s="97" t="s">
        <v>629</v>
      </c>
      <c r="H1420" s="5"/>
      <c r="I1420"/>
      <c r="J1420"/>
      <c r="K1420"/>
      <c r="L1420"/>
      <c r="M1420"/>
      <c r="N1420"/>
      <c r="O1420"/>
      <c r="P1420"/>
      <c r="Q1420"/>
      <c r="R1420"/>
      <c r="S1420"/>
      <c r="T1420"/>
      <c r="U1420"/>
      <c r="V1420"/>
      <c r="W1420"/>
      <c r="X1420"/>
      <c r="Y1420"/>
    </row>
    <row r="1421" spans="1:25" s="104" customFormat="1" hidden="1" x14ac:dyDescent="0.25">
      <c r="A1421" s="97" t="str">
        <f t="shared" si="28"/>
        <v>gpmc_vddh2_dyn_16b_133_MHz_3p3V</v>
      </c>
      <c r="B1421" s="97" t="s">
        <v>653</v>
      </c>
      <c r="C1421" s="97" t="s">
        <v>504</v>
      </c>
      <c r="D1421" s="107" t="s">
        <v>678</v>
      </c>
      <c r="E1421" s="97" t="s">
        <v>1050</v>
      </c>
      <c r="F1421" s="105">
        <v>104.30523457199999</v>
      </c>
      <c r="G1421" s="97" t="s">
        <v>629</v>
      </c>
      <c r="H1421" s="5"/>
      <c r="I1421"/>
      <c r="J1421"/>
      <c r="K1421"/>
      <c r="L1421"/>
      <c r="M1421"/>
      <c r="N1421"/>
      <c r="O1421"/>
      <c r="P1421"/>
      <c r="Q1421"/>
      <c r="R1421"/>
      <c r="S1421"/>
      <c r="T1421"/>
      <c r="U1421"/>
      <c r="V1421"/>
      <c r="W1421"/>
      <c r="X1421"/>
      <c r="Y1421"/>
    </row>
    <row r="1422" spans="1:25" s="104" customFormat="1" hidden="1" x14ac:dyDescent="0.25">
      <c r="A1422" s="97" t="str">
        <f t="shared" si="28"/>
        <v>gpmc_vddh2_dyn_16b_80_MHz_3p3V</v>
      </c>
      <c r="B1422" s="97" t="s">
        <v>653</v>
      </c>
      <c r="C1422" s="97" t="s">
        <v>504</v>
      </c>
      <c r="D1422" s="107" t="s">
        <v>680</v>
      </c>
      <c r="E1422" s="97" t="s">
        <v>1050</v>
      </c>
      <c r="F1422" s="105">
        <v>83.653320960000002</v>
      </c>
      <c r="G1422" s="97" t="s">
        <v>629</v>
      </c>
      <c r="H1422" s="5"/>
      <c r="I1422"/>
      <c r="J1422"/>
      <c r="K1422"/>
      <c r="L1422"/>
      <c r="M1422"/>
      <c r="N1422"/>
      <c r="O1422"/>
      <c r="P1422"/>
      <c r="Q1422"/>
      <c r="R1422"/>
      <c r="S1422"/>
      <c r="T1422"/>
      <c r="U1422"/>
      <c r="V1422"/>
      <c r="W1422"/>
      <c r="X1422"/>
      <c r="Y1422"/>
    </row>
    <row r="1423" spans="1:25" s="104" customFormat="1" hidden="1" x14ac:dyDescent="0.25">
      <c r="A1423" s="97" t="str">
        <f t="shared" si="28"/>
        <v>mcasp_vddh2_dyn_12Ch_RXTX_48_ksps_24b_3p3v</v>
      </c>
      <c r="B1423" s="97" t="s">
        <v>874</v>
      </c>
      <c r="C1423" s="97" t="s">
        <v>504</v>
      </c>
      <c r="D1423" s="97" t="s">
        <v>857</v>
      </c>
      <c r="E1423" s="97" t="s">
        <v>1050</v>
      </c>
      <c r="F1423" s="97">
        <v>2.2090732646399993</v>
      </c>
      <c r="G1423" s="97" t="s">
        <v>629</v>
      </c>
      <c r="H1423" s="5"/>
      <c r="I1423"/>
      <c r="J1423"/>
      <c r="K1423"/>
      <c r="L1423"/>
      <c r="M1423"/>
      <c r="N1423"/>
      <c r="O1423"/>
      <c r="P1423"/>
      <c r="Q1423"/>
      <c r="R1423"/>
      <c r="S1423"/>
      <c r="T1423"/>
      <c r="U1423"/>
      <c r="V1423"/>
      <c r="W1423"/>
      <c r="X1423"/>
      <c r="Y1423"/>
    </row>
    <row r="1424" spans="1:25" s="104" customFormat="1" hidden="1" x14ac:dyDescent="0.25">
      <c r="A1424" s="97" t="str">
        <f t="shared" si="28"/>
        <v>mcasp_vddh2_dyn_12Ch_TX_48_ksps_24b_3p3v</v>
      </c>
      <c r="B1424" s="97" t="s">
        <v>874</v>
      </c>
      <c r="C1424" s="97" t="s">
        <v>504</v>
      </c>
      <c r="D1424" s="97" t="s">
        <v>852</v>
      </c>
      <c r="E1424" s="97" t="s">
        <v>1050</v>
      </c>
      <c r="F1424" s="97">
        <v>4.4181465292799986</v>
      </c>
      <c r="G1424" s="97" t="s">
        <v>629</v>
      </c>
      <c r="H1424" s="5"/>
      <c r="I1424"/>
      <c r="J1424"/>
      <c r="K1424"/>
      <c r="L1424"/>
      <c r="M1424"/>
      <c r="N1424"/>
      <c r="O1424"/>
      <c r="P1424"/>
      <c r="Q1424"/>
      <c r="R1424"/>
      <c r="S1424"/>
      <c r="T1424"/>
      <c r="U1424"/>
      <c r="V1424"/>
      <c r="W1424"/>
      <c r="X1424"/>
      <c r="Y1424"/>
    </row>
    <row r="1425" spans="1:25" s="104" customFormat="1" hidden="1" x14ac:dyDescent="0.25">
      <c r="A1425" s="97" t="str">
        <f t="shared" si="28"/>
        <v>mcasp_vddh2_dyn_16Ch_RXTX_48ksps_24b_3p3v</v>
      </c>
      <c r="B1425" s="97" t="s">
        <v>874</v>
      </c>
      <c r="C1425" s="97" t="s">
        <v>504</v>
      </c>
      <c r="D1425" s="97" t="s">
        <v>856</v>
      </c>
      <c r="E1425" s="97" t="s">
        <v>1050</v>
      </c>
      <c r="F1425" s="97">
        <v>2.2090732646399993</v>
      </c>
      <c r="G1425" s="97" t="s">
        <v>629</v>
      </c>
      <c r="H1425" s="5"/>
      <c r="I1425"/>
      <c r="J1425"/>
      <c r="K1425"/>
      <c r="L1425"/>
      <c r="M1425"/>
      <c r="N1425"/>
      <c r="O1425"/>
      <c r="P1425"/>
      <c r="Q1425"/>
      <c r="R1425"/>
      <c r="S1425"/>
      <c r="T1425"/>
      <c r="U1425"/>
      <c r="V1425"/>
      <c r="W1425"/>
      <c r="X1425"/>
      <c r="Y1425"/>
    </row>
    <row r="1426" spans="1:25" s="104" customFormat="1" hidden="1" x14ac:dyDescent="0.25">
      <c r="A1426" s="97" t="str">
        <f t="shared" si="28"/>
        <v>mcasp_vddh2_dyn_16Ch_TX_48_ksps_24b_3p3v</v>
      </c>
      <c r="B1426" s="97" t="s">
        <v>874</v>
      </c>
      <c r="C1426" s="97" t="s">
        <v>504</v>
      </c>
      <c r="D1426" s="97" t="s">
        <v>851</v>
      </c>
      <c r="E1426" s="97" t="s">
        <v>1050</v>
      </c>
      <c r="F1426" s="97">
        <v>5.5226831615999981</v>
      </c>
      <c r="G1426" s="97" t="s">
        <v>629</v>
      </c>
      <c r="H1426" s="5"/>
      <c r="I1426"/>
      <c r="J1426"/>
      <c r="K1426"/>
      <c r="L1426"/>
      <c r="M1426"/>
      <c r="N1426"/>
      <c r="O1426"/>
      <c r="P1426"/>
      <c r="Q1426"/>
      <c r="R1426"/>
      <c r="S1426"/>
      <c r="T1426"/>
      <c r="U1426"/>
      <c r="V1426"/>
      <c r="W1426"/>
      <c r="X1426"/>
      <c r="Y1426"/>
    </row>
    <row r="1427" spans="1:25" s="104" customFormat="1" hidden="1" x14ac:dyDescent="0.25">
      <c r="A1427" s="97" t="str">
        <f t="shared" si="28"/>
        <v>mcasp_vddh2_dyn_2Ch_RX_48_ksps_24b_3p3v</v>
      </c>
      <c r="B1427" s="97" t="s">
        <v>874</v>
      </c>
      <c r="C1427" s="97" t="s">
        <v>504</v>
      </c>
      <c r="D1427" s="97" t="s">
        <v>850</v>
      </c>
      <c r="E1427" s="97" t="s">
        <v>1050</v>
      </c>
      <c r="F1427" s="97">
        <v>1.1045366323199997</v>
      </c>
      <c r="G1427" s="97" t="s">
        <v>629</v>
      </c>
      <c r="H1427" s="5"/>
      <c r="I1427"/>
      <c r="J1427"/>
      <c r="K1427"/>
      <c r="L1427"/>
      <c r="M1427"/>
      <c r="N1427"/>
      <c r="O1427"/>
      <c r="P1427"/>
      <c r="Q1427"/>
      <c r="R1427"/>
      <c r="S1427"/>
      <c r="T1427"/>
      <c r="U1427"/>
      <c r="V1427"/>
      <c r="W1427"/>
      <c r="X1427"/>
      <c r="Y1427"/>
    </row>
    <row r="1428" spans="1:25" s="104" customFormat="1" hidden="1" x14ac:dyDescent="0.25">
      <c r="A1428" s="97" t="str">
        <f t="shared" si="28"/>
        <v>mcasp_vddh2_dyn_2Ch_RXTX_48_ksps_24b_3p3v</v>
      </c>
      <c r="B1428" s="97" t="s">
        <v>874</v>
      </c>
      <c r="C1428" s="97" t="s">
        <v>504</v>
      </c>
      <c r="D1428" s="97" t="s">
        <v>860</v>
      </c>
      <c r="E1428" s="97" t="s">
        <v>1050</v>
      </c>
      <c r="F1428" s="97">
        <v>2.2090732646399993</v>
      </c>
      <c r="G1428" s="97" t="s">
        <v>629</v>
      </c>
      <c r="H1428" s="5"/>
      <c r="I1428"/>
      <c r="J1428"/>
      <c r="K1428"/>
      <c r="L1428"/>
      <c r="M1428"/>
      <c r="N1428"/>
      <c r="O1428"/>
      <c r="P1428"/>
      <c r="Q1428"/>
      <c r="R1428"/>
      <c r="S1428"/>
      <c r="T1428"/>
      <c r="U1428"/>
      <c r="V1428"/>
      <c r="W1428"/>
      <c r="X1428"/>
      <c r="Y1428"/>
    </row>
    <row r="1429" spans="1:25" s="104" customFormat="1" hidden="1" x14ac:dyDescent="0.25">
      <c r="A1429" s="97" t="str">
        <f t="shared" si="28"/>
        <v>mcasp_vddh2_dyn_2Ch_TX_48_ksps_24b_3p3v</v>
      </c>
      <c r="B1429" s="97" t="s">
        <v>874</v>
      </c>
      <c r="C1429" s="97" t="s">
        <v>504</v>
      </c>
      <c r="D1429" s="97" t="s">
        <v>855</v>
      </c>
      <c r="E1429" s="97" t="s">
        <v>1050</v>
      </c>
      <c r="F1429" s="97">
        <v>3.3136098969599992</v>
      </c>
      <c r="G1429" s="97" t="s">
        <v>629</v>
      </c>
      <c r="H1429" s="5"/>
      <c r="I1429"/>
      <c r="J1429"/>
      <c r="K1429"/>
      <c r="L1429"/>
      <c r="M1429"/>
      <c r="N1429"/>
      <c r="O1429"/>
      <c r="P1429"/>
      <c r="Q1429"/>
      <c r="R1429"/>
      <c r="S1429"/>
      <c r="T1429"/>
      <c r="U1429"/>
      <c r="V1429"/>
      <c r="W1429"/>
      <c r="X1429"/>
      <c r="Y1429"/>
    </row>
    <row r="1430" spans="1:25" s="104" customFormat="1" hidden="1" x14ac:dyDescent="0.25">
      <c r="A1430" s="97" t="str">
        <f t="shared" si="28"/>
        <v>mcasp_vddh2_dyn_4Ch_RX_48_ksps_24b_3p3v</v>
      </c>
      <c r="B1430" s="97" t="s">
        <v>874</v>
      </c>
      <c r="C1430" s="97" t="s">
        <v>504</v>
      </c>
      <c r="D1430" s="97" t="s">
        <v>849</v>
      </c>
      <c r="E1430" s="97" t="s">
        <v>1050</v>
      </c>
      <c r="F1430" s="97">
        <v>1.1045366323199997</v>
      </c>
      <c r="G1430" s="97" t="s">
        <v>629</v>
      </c>
      <c r="H1430" s="5"/>
      <c r="I1430"/>
      <c r="J1430"/>
      <c r="K1430"/>
      <c r="L1430"/>
      <c r="M1430"/>
      <c r="N1430"/>
      <c r="O1430"/>
      <c r="P1430"/>
      <c r="Q1430"/>
      <c r="R1430"/>
      <c r="S1430"/>
      <c r="T1430"/>
      <c r="U1430"/>
      <c r="V1430"/>
      <c r="W1430"/>
      <c r="X1430"/>
      <c r="Y1430"/>
    </row>
    <row r="1431" spans="1:25" s="104" customFormat="1" hidden="1" x14ac:dyDescent="0.25">
      <c r="A1431" s="97" t="str">
        <f t="shared" si="28"/>
        <v>mcasp_vddh2_dyn_4Ch_RXTX_48_ksps_24b_3p3v</v>
      </c>
      <c r="B1431" s="97" t="s">
        <v>874</v>
      </c>
      <c r="C1431" s="97" t="s">
        <v>504</v>
      </c>
      <c r="D1431" s="97" t="s">
        <v>859</v>
      </c>
      <c r="E1431" s="97" t="s">
        <v>1050</v>
      </c>
      <c r="F1431" s="97">
        <v>2.2090732646399993</v>
      </c>
      <c r="G1431" s="97" t="s">
        <v>629</v>
      </c>
      <c r="H1431" s="5"/>
      <c r="I1431"/>
      <c r="J1431"/>
      <c r="K1431"/>
      <c r="L1431"/>
      <c r="M1431"/>
      <c r="N1431"/>
      <c r="O1431"/>
      <c r="P1431"/>
      <c r="Q1431"/>
      <c r="R1431"/>
      <c r="S1431"/>
      <c r="T1431"/>
      <c r="U1431"/>
      <c r="V1431"/>
      <c r="W1431"/>
      <c r="X1431"/>
      <c r="Y1431"/>
    </row>
    <row r="1432" spans="1:25" s="104" customFormat="1" hidden="1" x14ac:dyDescent="0.25">
      <c r="A1432" s="97" t="str">
        <f t="shared" si="28"/>
        <v>mcasp_vddh2_dyn_4Ch_TX_48_ksps_24b_3p3v</v>
      </c>
      <c r="B1432" s="97" t="s">
        <v>874</v>
      </c>
      <c r="C1432" s="97" t="s">
        <v>504</v>
      </c>
      <c r="D1432" s="97" t="s">
        <v>854</v>
      </c>
      <c r="E1432" s="97" t="s">
        <v>1050</v>
      </c>
      <c r="F1432" s="97">
        <v>4.4181465292799986</v>
      </c>
      <c r="G1432" s="97" t="s">
        <v>629</v>
      </c>
      <c r="H1432" s="5"/>
      <c r="I1432"/>
      <c r="J1432"/>
      <c r="K1432"/>
      <c r="L1432"/>
      <c r="M1432"/>
      <c r="N1432"/>
      <c r="O1432"/>
      <c r="P1432"/>
      <c r="Q1432"/>
      <c r="R1432"/>
      <c r="S1432"/>
      <c r="T1432"/>
      <c r="U1432"/>
      <c r="V1432"/>
      <c r="W1432"/>
      <c r="X1432"/>
      <c r="Y1432"/>
    </row>
    <row r="1433" spans="1:25" s="104" customFormat="1" hidden="1" x14ac:dyDescent="0.25">
      <c r="A1433" s="97" t="str">
        <f t="shared" si="28"/>
        <v>mcasp_vddh2_dyn_8Ch_RX_48_ksps_24b_3p3v</v>
      </c>
      <c r="B1433" s="97" t="s">
        <v>874</v>
      </c>
      <c r="C1433" s="97" t="s">
        <v>504</v>
      </c>
      <c r="D1433" s="97" t="s">
        <v>848</v>
      </c>
      <c r="E1433" s="97" t="s">
        <v>1050</v>
      </c>
      <c r="F1433" s="97">
        <v>1.1045366323199997</v>
      </c>
      <c r="G1433" s="97" t="s">
        <v>629</v>
      </c>
      <c r="H1433" s="5"/>
      <c r="I1433"/>
      <c r="J1433"/>
      <c r="K1433"/>
      <c r="L1433"/>
      <c r="M1433"/>
      <c r="N1433"/>
      <c r="O1433"/>
      <c r="P1433"/>
      <c r="Q1433"/>
      <c r="R1433"/>
      <c r="S1433"/>
      <c r="T1433"/>
      <c r="U1433"/>
      <c r="V1433"/>
      <c r="W1433"/>
      <c r="X1433"/>
      <c r="Y1433"/>
    </row>
    <row r="1434" spans="1:25" s="104" customFormat="1" hidden="1" x14ac:dyDescent="0.25">
      <c r="A1434" s="97" t="str">
        <f t="shared" si="28"/>
        <v>mcasp_vddh2_dyn_8Ch_RXTX_48_ksps_24b_3p3v</v>
      </c>
      <c r="B1434" s="97" t="s">
        <v>874</v>
      </c>
      <c r="C1434" s="97" t="s">
        <v>504</v>
      </c>
      <c r="D1434" s="97" t="s">
        <v>858</v>
      </c>
      <c r="E1434" s="97" t="s">
        <v>1050</v>
      </c>
      <c r="F1434" s="97">
        <v>2.2090732646399993</v>
      </c>
      <c r="G1434" s="97" t="s">
        <v>629</v>
      </c>
      <c r="H1434" s="5"/>
      <c r="I1434"/>
      <c r="J1434"/>
      <c r="K1434"/>
      <c r="L1434"/>
      <c r="M1434"/>
      <c r="N1434"/>
      <c r="O1434"/>
      <c r="P1434"/>
      <c r="Q1434"/>
      <c r="R1434"/>
      <c r="S1434"/>
      <c r="T1434"/>
      <c r="U1434"/>
      <c r="V1434"/>
      <c r="W1434"/>
      <c r="X1434"/>
      <c r="Y1434"/>
    </row>
    <row r="1435" spans="1:25" s="104" customFormat="1" hidden="1" x14ac:dyDescent="0.25">
      <c r="A1435" s="97" t="str">
        <f t="shared" si="28"/>
        <v>mcasp_vddh2_dyn_8Ch_TX_48_ksps_24b_3p3v</v>
      </c>
      <c r="B1435" s="97" t="s">
        <v>874</v>
      </c>
      <c r="C1435" s="97" t="s">
        <v>504</v>
      </c>
      <c r="D1435" s="97" t="s">
        <v>853</v>
      </c>
      <c r="E1435" s="97" t="s">
        <v>1050</v>
      </c>
      <c r="F1435" s="97">
        <v>3.3136098969599992</v>
      </c>
      <c r="G1435" s="97" t="s">
        <v>629</v>
      </c>
      <c r="H1435" s="5"/>
      <c r="I1435"/>
      <c r="J1435"/>
      <c r="K1435"/>
      <c r="L1435"/>
      <c r="M1435"/>
      <c r="N1435"/>
      <c r="O1435"/>
      <c r="P1435"/>
      <c r="Q1435"/>
      <c r="R1435"/>
      <c r="S1435"/>
      <c r="T1435"/>
      <c r="U1435"/>
      <c r="V1435"/>
      <c r="W1435"/>
      <c r="X1435"/>
      <c r="Y1435"/>
    </row>
    <row r="1436" spans="1:25" s="104" customFormat="1" hidden="1" x14ac:dyDescent="0.25">
      <c r="A1436" s="97" t="str">
        <f t="shared" si="28"/>
        <v>uart_vddh2_dyn_112k_3p3v</v>
      </c>
      <c r="B1436" s="97" t="s">
        <v>918</v>
      </c>
      <c r="C1436" s="97" t="s">
        <v>504</v>
      </c>
      <c r="D1436" s="97" t="s">
        <v>926</v>
      </c>
      <c r="E1436" s="97" t="s">
        <v>1050</v>
      </c>
      <c r="F1436" s="97">
        <v>2.7369619199999997E-2</v>
      </c>
      <c r="G1436" s="97"/>
      <c r="H1436" s="5"/>
      <c r="I1436"/>
      <c r="J1436"/>
      <c r="K1436"/>
      <c r="L1436"/>
      <c r="M1436"/>
      <c r="N1436"/>
      <c r="O1436"/>
      <c r="P1436"/>
      <c r="Q1436"/>
      <c r="R1436"/>
      <c r="S1436"/>
      <c r="T1436"/>
      <c r="U1436"/>
      <c r="V1436"/>
      <c r="W1436"/>
      <c r="X1436"/>
      <c r="Y1436"/>
    </row>
    <row r="1437" spans="1:25" s="104" customFormat="1" hidden="1" x14ac:dyDescent="0.25">
      <c r="A1437" s="97" t="str">
        <f t="shared" si="28"/>
        <v>uart_vddh2_dyn_1m_3p3v</v>
      </c>
      <c r="B1437" s="97" t="s">
        <v>918</v>
      </c>
      <c r="C1437" s="97" t="s">
        <v>504</v>
      </c>
      <c r="D1437" s="97" t="s">
        <v>925</v>
      </c>
      <c r="E1437" s="97" t="s">
        <v>1050</v>
      </c>
      <c r="F1437" s="97">
        <v>0.24437159999999999</v>
      </c>
      <c r="G1437" s="97"/>
      <c r="H1437" s="5"/>
      <c r="I1437"/>
      <c r="J1437"/>
      <c r="K1437"/>
      <c r="L1437"/>
      <c r="M1437"/>
      <c r="N1437"/>
      <c r="O1437"/>
      <c r="P1437"/>
      <c r="Q1437"/>
      <c r="R1437"/>
      <c r="S1437"/>
      <c r="T1437"/>
      <c r="U1437"/>
      <c r="V1437"/>
      <c r="W1437"/>
      <c r="X1437"/>
      <c r="Y1437"/>
    </row>
    <row r="1438" spans="1:25" s="104" customFormat="1" hidden="1" x14ac:dyDescent="0.25">
      <c r="A1438" s="97" t="str">
        <f t="shared" si="28"/>
        <v>uart_vddh2_dyn_3p6m_3p3v</v>
      </c>
      <c r="B1438" s="97" t="s">
        <v>918</v>
      </c>
      <c r="C1438" s="97" t="s">
        <v>504</v>
      </c>
      <c r="D1438" s="97" t="s">
        <v>924</v>
      </c>
      <c r="E1438" s="97" t="s">
        <v>1050</v>
      </c>
      <c r="F1438" s="97">
        <v>0.87973775999999992</v>
      </c>
      <c r="G1438" s="97"/>
      <c r="H1438" s="5"/>
      <c r="I1438"/>
      <c r="J1438"/>
      <c r="K1438"/>
      <c r="L1438"/>
      <c r="M1438"/>
      <c r="N1438"/>
      <c r="O1438"/>
      <c r="P1438"/>
      <c r="Q1438"/>
      <c r="R1438"/>
      <c r="S1438"/>
      <c r="T1438"/>
      <c r="U1438"/>
      <c r="V1438"/>
      <c r="W1438"/>
      <c r="X1438"/>
      <c r="Y1438"/>
    </row>
    <row r="1439" spans="1:25" s="104" customFormat="1" hidden="1" x14ac:dyDescent="0.25">
      <c r="A1439" s="97" t="str">
        <f t="shared" si="28"/>
        <v>uart_vddh2_dyn_off</v>
      </c>
      <c r="B1439" s="97" t="s">
        <v>918</v>
      </c>
      <c r="C1439" s="97" t="s">
        <v>504</v>
      </c>
      <c r="D1439" s="97" t="s">
        <v>69</v>
      </c>
      <c r="E1439" s="97" t="s">
        <v>1050</v>
      </c>
      <c r="F1439" s="97">
        <v>0</v>
      </c>
      <c r="G1439" s="97"/>
      <c r="H1439" s="5"/>
      <c r="I1439"/>
      <c r="J1439"/>
      <c r="K1439"/>
      <c r="L1439"/>
      <c r="M1439"/>
      <c r="N1439"/>
      <c r="O1439"/>
      <c r="P1439"/>
      <c r="Q1439"/>
      <c r="R1439"/>
      <c r="S1439"/>
      <c r="T1439"/>
      <c r="U1439"/>
      <c r="V1439"/>
      <c r="W1439"/>
      <c r="X1439"/>
      <c r="Y1439"/>
    </row>
    <row r="1440" spans="1:25" s="104" customFormat="1" hidden="1" x14ac:dyDescent="0.25">
      <c r="A1440" s="97" t="str">
        <f t="shared" si="28"/>
        <v>uart_modem_vddh2_dyn_112k_3p3v</v>
      </c>
      <c r="B1440" s="97" t="s">
        <v>928</v>
      </c>
      <c r="C1440" s="97" t="s">
        <v>504</v>
      </c>
      <c r="D1440" s="97" t="s">
        <v>926</v>
      </c>
      <c r="E1440" s="97" t="s">
        <v>1050</v>
      </c>
      <c r="F1440" s="97">
        <v>2.7369619199999997E-2</v>
      </c>
      <c r="G1440" s="97"/>
      <c r="H1440" s="5"/>
      <c r="I1440"/>
      <c r="J1440"/>
      <c r="K1440"/>
      <c r="L1440"/>
      <c r="M1440"/>
      <c r="N1440"/>
      <c r="O1440"/>
      <c r="P1440"/>
      <c r="Q1440"/>
      <c r="R1440"/>
      <c r="S1440"/>
      <c r="T1440"/>
      <c r="U1440"/>
      <c r="V1440"/>
      <c r="W1440"/>
      <c r="X1440"/>
      <c r="Y1440"/>
    </row>
    <row r="1441" spans="1:25" s="104" customFormat="1" hidden="1" x14ac:dyDescent="0.25">
      <c r="A1441" s="97" t="str">
        <f t="shared" si="28"/>
        <v>uart_modem_vddh2_dyn_1m_3p3v</v>
      </c>
      <c r="B1441" s="97" t="s">
        <v>928</v>
      </c>
      <c r="C1441" s="97" t="s">
        <v>504</v>
      </c>
      <c r="D1441" s="97" t="s">
        <v>925</v>
      </c>
      <c r="E1441" s="97" t="s">
        <v>1050</v>
      </c>
      <c r="F1441" s="97">
        <v>0.24437159999999999</v>
      </c>
      <c r="G1441" s="97"/>
      <c r="H1441" s="5"/>
      <c r="I1441"/>
      <c r="J1441"/>
      <c r="K1441"/>
      <c r="L1441"/>
      <c r="M1441"/>
      <c r="N1441"/>
      <c r="O1441"/>
      <c r="P1441"/>
      <c r="Q1441"/>
      <c r="R1441"/>
      <c r="S1441"/>
      <c r="T1441"/>
      <c r="U1441"/>
      <c r="V1441"/>
      <c r="W1441"/>
      <c r="X1441"/>
      <c r="Y1441"/>
    </row>
    <row r="1442" spans="1:25" s="104" customFormat="1" hidden="1" x14ac:dyDescent="0.25">
      <c r="A1442" s="97" t="str">
        <f t="shared" si="28"/>
        <v>uart_modem_vddh2_dyn_3p6m_3p3v</v>
      </c>
      <c r="B1442" s="97" t="s">
        <v>928</v>
      </c>
      <c r="C1442" s="97" t="s">
        <v>504</v>
      </c>
      <c r="D1442" s="97" t="s">
        <v>924</v>
      </c>
      <c r="E1442" s="97" t="s">
        <v>1050</v>
      </c>
      <c r="F1442" s="97">
        <v>0.87973775999999992</v>
      </c>
      <c r="G1442" s="97"/>
      <c r="H1442" s="5"/>
      <c r="I1442"/>
      <c r="J1442"/>
      <c r="K1442"/>
      <c r="L1442"/>
      <c r="M1442"/>
      <c r="N1442"/>
      <c r="O1442"/>
      <c r="P1442"/>
      <c r="Q1442"/>
      <c r="R1442"/>
      <c r="S1442"/>
      <c r="T1442"/>
      <c r="U1442"/>
      <c r="V1442"/>
      <c r="W1442"/>
      <c r="X1442"/>
      <c r="Y1442"/>
    </row>
    <row r="1443" spans="1:25" s="104" customFormat="1" hidden="1" x14ac:dyDescent="0.25">
      <c r="A1443" s="97" t="str">
        <f t="shared" si="28"/>
        <v>uart_modem_vddh2_dyn_off</v>
      </c>
      <c r="B1443" s="97" t="s">
        <v>928</v>
      </c>
      <c r="C1443" s="97" t="s">
        <v>504</v>
      </c>
      <c r="D1443" s="97" t="s">
        <v>69</v>
      </c>
      <c r="E1443" s="97" t="s">
        <v>1050</v>
      </c>
      <c r="F1443" s="97">
        <v>0</v>
      </c>
      <c r="G1443" s="97"/>
      <c r="H1443" s="5"/>
      <c r="I1443"/>
      <c r="J1443"/>
      <c r="K1443"/>
      <c r="L1443"/>
      <c r="M1443"/>
      <c r="N1443"/>
      <c r="O1443"/>
      <c r="P1443"/>
      <c r="Q1443"/>
      <c r="R1443"/>
      <c r="S1443"/>
      <c r="T1443"/>
      <c r="U1443"/>
      <c r="V1443"/>
      <c r="W1443"/>
      <c r="X1443"/>
      <c r="Y1443"/>
    </row>
    <row r="1444" spans="1:25" s="104" customFormat="1" hidden="1" x14ac:dyDescent="0.25">
      <c r="A1444" s="97" t="str">
        <f t="shared" si="28"/>
        <v>dpi_vddh2_dyn_2K_|_2048x1080x30_fps_18b_|_3p3V</v>
      </c>
      <c r="B1444" s="97" t="s">
        <v>699</v>
      </c>
      <c r="C1444" s="97" t="s">
        <v>504</v>
      </c>
      <c r="D1444" s="97" t="s">
        <v>772</v>
      </c>
      <c r="E1444" s="97" t="s">
        <v>1050</v>
      </c>
      <c r="F1444" s="97">
        <v>57.063460608000007</v>
      </c>
      <c r="G1444" s="97" t="s">
        <v>629</v>
      </c>
      <c r="H1444" s="5"/>
      <c r="I1444"/>
      <c r="J1444"/>
      <c r="K1444"/>
      <c r="L1444"/>
      <c r="M1444"/>
      <c r="N1444"/>
      <c r="O1444"/>
      <c r="P1444"/>
      <c r="Q1444"/>
      <c r="R1444"/>
      <c r="S1444"/>
      <c r="T1444"/>
      <c r="U1444"/>
      <c r="V1444"/>
      <c r="W1444"/>
      <c r="X1444"/>
      <c r="Y1444"/>
    </row>
    <row r="1445" spans="1:25" s="104" customFormat="1" hidden="1" x14ac:dyDescent="0.25">
      <c r="A1445" s="97" t="str">
        <f t="shared" si="28"/>
        <v>dpi_vddh2_dyn_2K_|_2048x1080x30_fps_24b_|_3p3V</v>
      </c>
      <c r="B1445" s="97" t="s">
        <v>699</v>
      </c>
      <c r="C1445" s="97" t="s">
        <v>504</v>
      </c>
      <c r="D1445" s="97" t="s">
        <v>773</v>
      </c>
      <c r="E1445" s="97" t="s">
        <v>1050</v>
      </c>
      <c r="F1445" s="97">
        <v>57.063460608000007</v>
      </c>
      <c r="G1445" s="97" t="s">
        <v>629</v>
      </c>
      <c r="H1445" s="5"/>
      <c r="I1445"/>
      <c r="J1445"/>
      <c r="K1445"/>
      <c r="L1445"/>
      <c r="M1445"/>
      <c r="N1445"/>
      <c r="O1445"/>
      <c r="P1445"/>
      <c r="Q1445"/>
      <c r="R1445"/>
      <c r="S1445"/>
      <c r="T1445"/>
      <c r="U1445"/>
      <c r="V1445"/>
      <c r="W1445"/>
      <c r="X1445"/>
      <c r="Y1445"/>
    </row>
    <row r="1446" spans="1:25" s="104" customFormat="1" hidden="1" x14ac:dyDescent="0.25">
      <c r="A1446" s="97" t="str">
        <f t="shared" si="28"/>
        <v>dpi_vddh2_dyn_2K_|_2048x1080x60_fps_18b_|_3p3V</v>
      </c>
      <c r="B1446" s="97" t="s">
        <v>699</v>
      </c>
      <c r="C1446" s="97" t="s">
        <v>504</v>
      </c>
      <c r="D1446" s="97" t="s">
        <v>774</v>
      </c>
      <c r="E1446" s="97" t="s">
        <v>1050</v>
      </c>
      <c r="F1446" s="97">
        <v>114.12692121600001</v>
      </c>
      <c r="G1446" s="97" t="s">
        <v>629</v>
      </c>
      <c r="H1446" s="5"/>
      <c r="I1446"/>
      <c r="J1446"/>
      <c r="K1446"/>
      <c r="L1446"/>
      <c r="M1446"/>
      <c r="N1446"/>
      <c r="O1446"/>
      <c r="P1446"/>
      <c r="Q1446"/>
      <c r="R1446"/>
      <c r="S1446"/>
      <c r="T1446"/>
      <c r="U1446"/>
      <c r="V1446"/>
      <c r="W1446"/>
      <c r="X1446"/>
      <c r="Y1446"/>
    </row>
    <row r="1447" spans="1:25" s="104" customFormat="1" hidden="1" x14ac:dyDescent="0.25">
      <c r="A1447" s="97" t="str">
        <f t="shared" si="28"/>
        <v>dpi_vddh2_dyn_2K_|_2048x1080x60_fps_24b_|_3p3V</v>
      </c>
      <c r="B1447" s="97" t="s">
        <v>699</v>
      </c>
      <c r="C1447" s="97" t="s">
        <v>504</v>
      </c>
      <c r="D1447" s="97" t="s">
        <v>775</v>
      </c>
      <c r="E1447" s="97" t="s">
        <v>1050</v>
      </c>
      <c r="F1447" s="97">
        <v>114.12692121600001</v>
      </c>
      <c r="G1447" s="97" t="s">
        <v>629</v>
      </c>
      <c r="H1447" s="5"/>
      <c r="I1447"/>
      <c r="J1447"/>
      <c r="K1447"/>
      <c r="L1447"/>
      <c r="M1447"/>
      <c r="N1447"/>
      <c r="O1447"/>
      <c r="P1447"/>
      <c r="Q1447"/>
      <c r="R1447"/>
      <c r="S1447"/>
      <c r="T1447"/>
      <c r="U1447"/>
      <c r="V1447"/>
      <c r="W1447"/>
      <c r="X1447"/>
      <c r="Y1447"/>
    </row>
    <row r="1448" spans="1:25" s="104" customFormat="1" hidden="1" x14ac:dyDescent="0.25">
      <c r="A1448" s="97" t="str">
        <f t="shared" si="28"/>
        <v>dpi_vddh2_dyn_Full_HD_|_1920x1080x30_fps_12b_|_3p3V</v>
      </c>
      <c r="B1448" s="97" t="s">
        <v>699</v>
      </c>
      <c r="C1448" s="97" t="s">
        <v>504</v>
      </c>
      <c r="D1448" s="97" t="s">
        <v>764</v>
      </c>
      <c r="E1448" s="97" t="s">
        <v>1050</v>
      </c>
      <c r="F1448" s="97">
        <v>53.726416128000011</v>
      </c>
      <c r="G1448" s="97" t="s">
        <v>629</v>
      </c>
      <c r="H1448" s="5"/>
      <c r="I1448"/>
      <c r="J1448"/>
      <c r="K1448"/>
      <c r="L1448"/>
      <c r="M1448"/>
      <c r="N1448"/>
      <c r="O1448"/>
      <c r="P1448"/>
      <c r="Q1448"/>
      <c r="R1448"/>
      <c r="S1448"/>
      <c r="T1448"/>
      <c r="U1448"/>
      <c r="V1448"/>
      <c r="W1448"/>
      <c r="X1448"/>
      <c r="Y1448"/>
    </row>
    <row r="1449" spans="1:25" s="104" customFormat="1" hidden="1" x14ac:dyDescent="0.25">
      <c r="A1449" s="97" t="str">
        <f t="shared" si="28"/>
        <v>dpi_vddh2_dyn_Full_HD_|_1920x1080x30_fps_16b_|_3p3V</v>
      </c>
      <c r="B1449" s="97" t="s">
        <v>699</v>
      </c>
      <c r="C1449" s="97" t="s">
        <v>504</v>
      </c>
      <c r="D1449" s="97" t="s">
        <v>765</v>
      </c>
      <c r="E1449" s="97" t="s">
        <v>1050</v>
      </c>
      <c r="F1449" s="97">
        <v>53.726416128000011</v>
      </c>
      <c r="G1449" s="97" t="s">
        <v>629</v>
      </c>
      <c r="H1449" s="5"/>
      <c r="I1449"/>
      <c r="J1449"/>
      <c r="K1449"/>
      <c r="L1449"/>
      <c r="M1449"/>
      <c r="N1449"/>
      <c r="O1449"/>
      <c r="P1449"/>
      <c r="Q1449"/>
      <c r="R1449"/>
      <c r="S1449"/>
      <c r="T1449"/>
      <c r="U1449"/>
      <c r="V1449"/>
      <c r="W1449"/>
      <c r="X1449"/>
      <c r="Y1449"/>
    </row>
    <row r="1450" spans="1:25" s="104" customFormat="1" hidden="1" x14ac:dyDescent="0.25">
      <c r="A1450" s="97" t="str">
        <f t="shared" si="28"/>
        <v>dpi_vddh2_dyn_Full_HD_|_1920x1080x30_fps_18b_|_3p3V</v>
      </c>
      <c r="B1450" s="97" t="s">
        <v>699</v>
      </c>
      <c r="C1450" s="97" t="s">
        <v>504</v>
      </c>
      <c r="D1450" s="97" t="s">
        <v>766</v>
      </c>
      <c r="E1450" s="97" t="s">
        <v>1050</v>
      </c>
      <c r="F1450" s="97">
        <v>57.57209644032001</v>
      </c>
      <c r="G1450" s="97" t="s">
        <v>629</v>
      </c>
      <c r="H1450" s="5"/>
      <c r="I1450"/>
      <c r="J1450"/>
      <c r="K1450"/>
      <c r="L1450"/>
      <c r="M1450"/>
      <c r="N1450"/>
      <c r="O1450"/>
      <c r="P1450"/>
      <c r="Q1450"/>
      <c r="R1450"/>
      <c r="S1450"/>
      <c r="T1450"/>
      <c r="U1450"/>
      <c r="V1450"/>
      <c r="W1450"/>
      <c r="X1450"/>
      <c r="Y1450"/>
    </row>
    <row r="1451" spans="1:25" s="104" customFormat="1" hidden="1" x14ac:dyDescent="0.25">
      <c r="A1451" s="97" t="str">
        <f t="shared" si="28"/>
        <v>dpi_vddh2_dyn_Full_HD_|_1920x1080x30_fps_24b_|_3p3V</v>
      </c>
      <c r="B1451" s="97" t="s">
        <v>699</v>
      </c>
      <c r="C1451" s="97" t="s">
        <v>504</v>
      </c>
      <c r="D1451" s="97" t="s">
        <v>767</v>
      </c>
      <c r="E1451" s="97" t="s">
        <v>1050</v>
      </c>
      <c r="F1451" s="97">
        <v>57.57209644032001</v>
      </c>
      <c r="G1451" s="97" t="s">
        <v>629</v>
      </c>
      <c r="H1451" s="5"/>
      <c r="I1451"/>
      <c r="J1451"/>
      <c r="K1451"/>
      <c r="L1451"/>
      <c r="M1451"/>
      <c r="N1451"/>
      <c r="O1451"/>
      <c r="P1451"/>
      <c r="Q1451"/>
      <c r="R1451"/>
      <c r="S1451"/>
      <c r="T1451"/>
      <c r="U1451"/>
      <c r="V1451"/>
      <c r="W1451"/>
      <c r="X1451"/>
      <c r="Y1451"/>
    </row>
    <row r="1452" spans="1:25" s="104" customFormat="1" hidden="1" x14ac:dyDescent="0.25">
      <c r="A1452" s="97" t="str">
        <f t="shared" si="28"/>
        <v>dpi_vddh2_dyn_Full_HD_|_1920x1080x60_fps_12b_|_3p3V</v>
      </c>
      <c r="B1452" s="97" t="s">
        <v>699</v>
      </c>
      <c r="C1452" s="97" t="s">
        <v>504</v>
      </c>
      <c r="D1452" s="97" t="s">
        <v>768</v>
      </c>
      <c r="E1452" s="97" t="s">
        <v>1050</v>
      </c>
      <c r="F1452" s="97">
        <v>107.45283225600002</v>
      </c>
      <c r="G1452" s="97" t="s">
        <v>629</v>
      </c>
      <c r="H1452" s="5"/>
      <c r="I1452"/>
      <c r="J1452"/>
      <c r="K1452"/>
      <c r="L1452"/>
      <c r="M1452"/>
      <c r="N1452"/>
      <c r="O1452"/>
      <c r="P1452"/>
      <c r="Q1452"/>
      <c r="R1452"/>
      <c r="S1452"/>
      <c r="T1452"/>
      <c r="U1452"/>
      <c r="V1452"/>
      <c r="W1452"/>
      <c r="X1452"/>
      <c r="Y1452"/>
    </row>
    <row r="1453" spans="1:25" s="104" customFormat="1" hidden="1" x14ac:dyDescent="0.25">
      <c r="A1453" s="97" t="str">
        <f t="shared" si="28"/>
        <v>dpi_vddh2_dyn_Full_HD_|_1920x1080x60_fps_16b_|_3p3V</v>
      </c>
      <c r="B1453" s="97" t="s">
        <v>699</v>
      </c>
      <c r="C1453" s="97" t="s">
        <v>504</v>
      </c>
      <c r="D1453" s="97" t="s">
        <v>769</v>
      </c>
      <c r="E1453" s="97" t="s">
        <v>1050</v>
      </c>
      <c r="F1453" s="97">
        <v>107.45283225600002</v>
      </c>
      <c r="G1453" s="97" t="s">
        <v>629</v>
      </c>
      <c r="H1453" s="5"/>
      <c r="I1453"/>
      <c r="J1453"/>
      <c r="K1453"/>
      <c r="L1453"/>
      <c r="M1453"/>
      <c r="N1453"/>
      <c r="O1453"/>
      <c r="P1453"/>
      <c r="Q1453"/>
      <c r="R1453"/>
      <c r="S1453"/>
      <c r="T1453"/>
      <c r="U1453"/>
      <c r="V1453"/>
      <c r="W1453"/>
      <c r="X1453"/>
      <c r="Y1453"/>
    </row>
    <row r="1454" spans="1:25" s="104" customFormat="1" hidden="1" x14ac:dyDescent="0.25">
      <c r="A1454" s="97" t="str">
        <f t="shared" si="28"/>
        <v>dpi_vddh2_dyn_Full_HD_|_1920x1080x60_fps_18b_|_3p3V</v>
      </c>
      <c r="B1454" s="97" t="s">
        <v>699</v>
      </c>
      <c r="C1454" s="97" t="s">
        <v>504</v>
      </c>
      <c r="D1454" s="97" t="s">
        <v>770</v>
      </c>
      <c r="E1454" s="97" t="s">
        <v>1050</v>
      </c>
      <c r="F1454" s="97">
        <v>115.14419288064002</v>
      </c>
      <c r="G1454" s="97" t="s">
        <v>629</v>
      </c>
      <c r="H1454" s="5"/>
      <c r="I1454"/>
      <c r="J1454"/>
      <c r="K1454"/>
      <c r="L1454"/>
      <c r="M1454"/>
      <c r="N1454"/>
      <c r="O1454"/>
      <c r="P1454"/>
      <c r="Q1454"/>
      <c r="R1454"/>
      <c r="S1454"/>
      <c r="T1454"/>
      <c r="U1454"/>
      <c r="V1454"/>
      <c r="W1454"/>
      <c r="X1454"/>
      <c r="Y1454"/>
    </row>
    <row r="1455" spans="1:25" s="104" customFormat="1" hidden="1" x14ac:dyDescent="0.25">
      <c r="A1455" s="97" t="str">
        <f t="shared" si="28"/>
        <v>dpi_vddh2_dyn_Full_HD_|_1920x1080x60_fps_24b_|_3p3V</v>
      </c>
      <c r="B1455" s="97" t="s">
        <v>699</v>
      </c>
      <c r="C1455" s="97" t="s">
        <v>504</v>
      </c>
      <c r="D1455" s="97" t="s">
        <v>771</v>
      </c>
      <c r="E1455" s="97" t="s">
        <v>1050</v>
      </c>
      <c r="F1455" s="97">
        <v>115.14419288064002</v>
      </c>
      <c r="G1455" s="97" t="s">
        <v>629</v>
      </c>
      <c r="H1455" s="5"/>
      <c r="I1455"/>
      <c r="J1455"/>
      <c r="K1455"/>
      <c r="L1455"/>
      <c r="M1455"/>
      <c r="N1455"/>
      <c r="O1455"/>
      <c r="P1455"/>
      <c r="Q1455"/>
      <c r="R1455"/>
      <c r="S1455"/>
      <c r="T1455"/>
      <c r="U1455"/>
      <c r="V1455"/>
      <c r="W1455"/>
      <c r="X1455"/>
      <c r="Y1455"/>
    </row>
    <row r="1456" spans="1:25" s="104" customFormat="1" hidden="1" x14ac:dyDescent="0.25">
      <c r="A1456" s="97" t="str">
        <f t="shared" si="28"/>
        <v>dpi_vddh2_dyn_Full_HD_|_1920x720x30_fps_12b_|_3p3V</v>
      </c>
      <c r="B1456" s="97" t="s">
        <v>699</v>
      </c>
      <c r="C1456" s="97" t="s">
        <v>504</v>
      </c>
      <c r="D1456" s="97" t="s">
        <v>756</v>
      </c>
      <c r="E1456" s="97" t="s">
        <v>1050</v>
      </c>
      <c r="F1456" s="97">
        <v>34.767236275200005</v>
      </c>
      <c r="G1456" s="97" t="s">
        <v>629</v>
      </c>
      <c r="H1456" s="5"/>
      <c r="I1456"/>
      <c r="J1456"/>
      <c r="K1456"/>
      <c r="L1456"/>
      <c r="M1456"/>
      <c r="N1456"/>
      <c r="O1456"/>
      <c r="P1456"/>
      <c r="Q1456"/>
      <c r="R1456"/>
      <c r="S1456"/>
      <c r="T1456"/>
      <c r="U1456"/>
      <c r="V1456"/>
      <c r="W1456"/>
      <c r="X1456"/>
      <c r="Y1456"/>
    </row>
    <row r="1457" spans="1:25" s="104" customFormat="1" hidden="1" x14ac:dyDescent="0.25">
      <c r="A1457" s="97" t="str">
        <f t="shared" si="28"/>
        <v>dpi_vddh2_dyn_Full_HD_|_1920x720x30_fps_16b_|_3p3V</v>
      </c>
      <c r="B1457" s="97" t="s">
        <v>699</v>
      </c>
      <c r="C1457" s="97" t="s">
        <v>504</v>
      </c>
      <c r="D1457" s="97" t="s">
        <v>757</v>
      </c>
      <c r="E1457" s="97" t="s">
        <v>1050</v>
      </c>
      <c r="F1457" s="97">
        <v>34.767236275200005</v>
      </c>
      <c r="G1457" s="97" t="s">
        <v>629</v>
      </c>
      <c r="H1457" s="5"/>
      <c r="I1457"/>
      <c r="J1457"/>
      <c r="K1457"/>
      <c r="L1457"/>
      <c r="M1457"/>
      <c r="N1457"/>
      <c r="O1457"/>
      <c r="P1457"/>
      <c r="Q1457"/>
      <c r="R1457"/>
      <c r="S1457"/>
      <c r="T1457"/>
      <c r="U1457"/>
      <c r="V1457"/>
      <c r="W1457"/>
      <c r="X1457"/>
      <c r="Y1457"/>
    </row>
    <row r="1458" spans="1:25" s="104" customFormat="1" hidden="1" x14ac:dyDescent="0.25">
      <c r="A1458" s="97" t="str">
        <f t="shared" si="28"/>
        <v>dpi_vddh2_dyn_Full_HD_|_1920x720x30_fps_18b_|_3p3V</v>
      </c>
      <c r="B1458" s="97" t="s">
        <v>699</v>
      </c>
      <c r="C1458" s="97" t="s">
        <v>504</v>
      </c>
      <c r="D1458" s="97" t="s">
        <v>758</v>
      </c>
      <c r="E1458" s="97" t="s">
        <v>1050</v>
      </c>
      <c r="F1458" s="97">
        <v>37.255838450688003</v>
      </c>
      <c r="G1458" s="97" t="s">
        <v>629</v>
      </c>
      <c r="H1458" s="5"/>
      <c r="I1458"/>
      <c r="J1458"/>
      <c r="K1458"/>
      <c r="L1458"/>
      <c r="M1458"/>
      <c r="N1458"/>
      <c r="O1458"/>
      <c r="P1458"/>
      <c r="Q1458"/>
      <c r="R1458"/>
      <c r="S1458"/>
      <c r="T1458"/>
      <c r="U1458"/>
      <c r="V1458"/>
      <c r="W1458"/>
      <c r="X1458"/>
      <c r="Y1458"/>
    </row>
    <row r="1459" spans="1:25" s="104" customFormat="1" hidden="1" x14ac:dyDescent="0.25">
      <c r="A1459" s="97" t="str">
        <f t="shared" si="28"/>
        <v>dpi_vddh2_dyn_Full_HD_|_1920x720x30_fps_24b_|_3p3V</v>
      </c>
      <c r="B1459" s="97" t="s">
        <v>699</v>
      </c>
      <c r="C1459" s="97" t="s">
        <v>504</v>
      </c>
      <c r="D1459" s="97" t="s">
        <v>759</v>
      </c>
      <c r="E1459" s="97" t="s">
        <v>1050</v>
      </c>
      <c r="F1459" s="97">
        <v>37.255838450688003</v>
      </c>
      <c r="G1459" s="97" t="s">
        <v>629</v>
      </c>
      <c r="H1459" s="5"/>
      <c r="I1459"/>
      <c r="J1459"/>
      <c r="K1459"/>
      <c r="L1459"/>
      <c r="M1459"/>
      <c r="N1459"/>
      <c r="O1459"/>
      <c r="P1459"/>
      <c r="Q1459"/>
      <c r="R1459"/>
      <c r="S1459"/>
      <c r="T1459"/>
      <c r="U1459"/>
      <c r="V1459"/>
      <c r="W1459"/>
      <c r="X1459"/>
      <c r="Y1459"/>
    </row>
    <row r="1460" spans="1:25" s="104" customFormat="1" hidden="1" x14ac:dyDescent="0.25">
      <c r="A1460" s="97" t="str">
        <f t="shared" si="28"/>
        <v>dpi_vddh2_dyn_Full_HD_|_1920x720x60_fps_12b_|_3p3V</v>
      </c>
      <c r="B1460" s="97" t="s">
        <v>699</v>
      </c>
      <c r="C1460" s="97" t="s">
        <v>504</v>
      </c>
      <c r="D1460" s="97" t="s">
        <v>760</v>
      </c>
      <c r="E1460" s="97" t="s">
        <v>1050</v>
      </c>
      <c r="F1460" s="97">
        <v>69.534472550400011</v>
      </c>
      <c r="G1460" s="97" t="s">
        <v>629</v>
      </c>
      <c r="H1460" s="5"/>
      <c r="I1460"/>
      <c r="J1460"/>
      <c r="K1460"/>
      <c r="L1460"/>
      <c r="M1460"/>
      <c r="N1460"/>
      <c r="O1460"/>
      <c r="P1460"/>
      <c r="Q1460"/>
      <c r="R1460"/>
      <c r="S1460"/>
      <c r="T1460"/>
      <c r="U1460"/>
      <c r="V1460"/>
      <c r="W1460"/>
      <c r="X1460"/>
      <c r="Y1460"/>
    </row>
    <row r="1461" spans="1:25" s="104" customFormat="1" hidden="1" x14ac:dyDescent="0.25">
      <c r="A1461" s="97" t="str">
        <f t="shared" si="28"/>
        <v>dpi_vddh2_dyn_Full_HD_|_1920x720x60_fps_16b_|_3p3V</v>
      </c>
      <c r="B1461" s="97" t="s">
        <v>699</v>
      </c>
      <c r="C1461" s="97" t="s">
        <v>504</v>
      </c>
      <c r="D1461" s="97" t="s">
        <v>761</v>
      </c>
      <c r="E1461" s="97" t="s">
        <v>1050</v>
      </c>
      <c r="F1461" s="97">
        <v>69.534472550400011</v>
      </c>
      <c r="G1461" s="97" t="s">
        <v>629</v>
      </c>
      <c r="H1461" s="5"/>
      <c r="I1461"/>
      <c r="J1461"/>
      <c r="K1461"/>
      <c r="L1461"/>
      <c r="M1461"/>
      <c r="N1461"/>
      <c r="O1461"/>
      <c r="P1461"/>
      <c r="Q1461"/>
      <c r="R1461"/>
      <c r="S1461"/>
      <c r="T1461"/>
      <c r="U1461"/>
      <c r="V1461"/>
      <c r="W1461"/>
      <c r="X1461"/>
      <c r="Y1461"/>
    </row>
    <row r="1462" spans="1:25" s="104" customFormat="1" hidden="1" x14ac:dyDescent="0.25">
      <c r="A1462" s="97" t="str">
        <f t="shared" si="28"/>
        <v>dpi_vddh2_dyn_Full_HD_|_1920x720x60_fps_18b_|_3p3V</v>
      </c>
      <c r="B1462" s="97" t="s">
        <v>699</v>
      </c>
      <c r="C1462" s="97" t="s">
        <v>504</v>
      </c>
      <c r="D1462" s="97" t="s">
        <v>762</v>
      </c>
      <c r="E1462" s="97" t="s">
        <v>1050</v>
      </c>
      <c r="F1462" s="97">
        <v>74.511676901376006</v>
      </c>
      <c r="G1462" s="97" t="s">
        <v>629</v>
      </c>
      <c r="H1462" s="5"/>
      <c r="I1462"/>
      <c r="J1462"/>
      <c r="K1462"/>
      <c r="L1462"/>
      <c r="M1462"/>
      <c r="N1462"/>
      <c r="O1462"/>
      <c r="P1462"/>
      <c r="Q1462"/>
      <c r="R1462"/>
      <c r="S1462"/>
      <c r="T1462"/>
      <c r="U1462"/>
      <c r="V1462"/>
      <c r="W1462"/>
      <c r="X1462"/>
      <c r="Y1462"/>
    </row>
    <row r="1463" spans="1:25" s="104" customFormat="1" hidden="1" x14ac:dyDescent="0.25">
      <c r="A1463" s="97" t="str">
        <f t="shared" si="28"/>
        <v>dpi_vddh2_dyn_Full_HD_|_1920x720x60_fps_24b_|_3p3V</v>
      </c>
      <c r="B1463" s="97" t="s">
        <v>699</v>
      </c>
      <c r="C1463" s="97" t="s">
        <v>504</v>
      </c>
      <c r="D1463" s="97" t="s">
        <v>763</v>
      </c>
      <c r="E1463" s="97" t="s">
        <v>1050</v>
      </c>
      <c r="F1463" s="97">
        <v>74.511676901376006</v>
      </c>
      <c r="G1463" s="97" t="s">
        <v>629</v>
      </c>
      <c r="H1463" s="5"/>
      <c r="I1463"/>
      <c r="J1463"/>
      <c r="K1463"/>
      <c r="L1463"/>
      <c r="M1463"/>
      <c r="N1463"/>
      <c r="O1463"/>
      <c r="P1463"/>
      <c r="Q1463"/>
      <c r="R1463"/>
      <c r="S1463"/>
      <c r="T1463"/>
      <c r="U1463"/>
      <c r="V1463"/>
      <c r="W1463"/>
      <c r="X1463"/>
      <c r="Y1463"/>
    </row>
    <row r="1464" spans="1:25" s="104" customFormat="1" hidden="1" x14ac:dyDescent="0.25">
      <c r="A1464" s="97" t="str">
        <f t="shared" ref="A1464:A1527" si="29">B1464&amp;"_"&amp;C1464&amp;"_"&amp;D1464</f>
        <v>dpi_vddh2_dyn_HD_|_1280x720x30_fps_12b_|_3p3V</v>
      </c>
      <c r="B1464" s="97" t="s">
        <v>699</v>
      </c>
      <c r="C1464" s="97" t="s">
        <v>504</v>
      </c>
      <c r="D1464" s="97" t="s">
        <v>715</v>
      </c>
      <c r="E1464" s="97" t="s">
        <v>1050</v>
      </c>
      <c r="F1464" s="97">
        <v>23.178157516799999</v>
      </c>
      <c r="G1464" s="97" t="s">
        <v>629</v>
      </c>
      <c r="H1464" s="5"/>
      <c r="I1464"/>
      <c r="J1464"/>
      <c r="K1464"/>
      <c r="L1464"/>
      <c r="M1464"/>
      <c r="N1464"/>
      <c r="O1464"/>
      <c r="P1464"/>
      <c r="Q1464"/>
      <c r="R1464"/>
      <c r="S1464"/>
      <c r="T1464"/>
      <c r="U1464"/>
      <c r="V1464"/>
      <c r="W1464"/>
      <c r="X1464"/>
      <c r="Y1464"/>
    </row>
    <row r="1465" spans="1:25" s="104" customFormat="1" hidden="1" x14ac:dyDescent="0.25">
      <c r="A1465" s="97" t="str">
        <f t="shared" si="29"/>
        <v>dpi_vddh2_dyn_HD_|_1280x720x30_fps_16b_|_3p3V</v>
      </c>
      <c r="B1465" s="97" t="s">
        <v>699</v>
      </c>
      <c r="C1465" s="97" t="s">
        <v>504</v>
      </c>
      <c r="D1465" s="97" t="s">
        <v>716</v>
      </c>
      <c r="E1465" s="97" t="s">
        <v>1050</v>
      </c>
      <c r="F1465" s="97">
        <v>23.178157516799999</v>
      </c>
      <c r="G1465" s="97" t="s">
        <v>629</v>
      </c>
      <c r="H1465" s="5"/>
      <c r="I1465"/>
      <c r="J1465"/>
      <c r="K1465"/>
      <c r="L1465"/>
      <c r="M1465"/>
      <c r="N1465"/>
      <c r="O1465"/>
      <c r="P1465"/>
      <c r="Q1465"/>
      <c r="R1465"/>
      <c r="S1465"/>
      <c r="T1465"/>
      <c r="U1465"/>
      <c r="V1465"/>
      <c r="W1465"/>
      <c r="X1465"/>
      <c r="Y1465"/>
    </row>
    <row r="1466" spans="1:25" s="104" customFormat="1" hidden="1" x14ac:dyDescent="0.25">
      <c r="A1466" s="97" t="str">
        <f t="shared" si="29"/>
        <v>dpi_vddh2_dyn_HD_|_1280x720x30_fps_24b_|_3p3V</v>
      </c>
      <c r="B1466" s="97" t="s">
        <v>699</v>
      </c>
      <c r="C1466" s="97" t="s">
        <v>504</v>
      </c>
      <c r="D1466" s="97" t="s">
        <v>717</v>
      </c>
      <c r="E1466" s="97" t="s">
        <v>1050</v>
      </c>
      <c r="F1466" s="97">
        <v>29.814429984767997</v>
      </c>
      <c r="G1466" s="97" t="s">
        <v>629</v>
      </c>
      <c r="H1466" s="5"/>
      <c r="I1466"/>
      <c r="J1466"/>
      <c r="K1466"/>
      <c r="L1466"/>
      <c r="M1466"/>
      <c r="N1466"/>
      <c r="O1466"/>
      <c r="P1466"/>
      <c r="Q1466"/>
      <c r="R1466"/>
      <c r="S1466"/>
      <c r="T1466"/>
      <c r="U1466"/>
      <c r="V1466"/>
      <c r="W1466"/>
      <c r="X1466"/>
      <c r="Y1466"/>
    </row>
    <row r="1467" spans="1:25" s="104" customFormat="1" hidden="1" x14ac:dyDescent="0.25">
      <c r="A1467" s="97" t="str">
        <f t="shared" si="29"/>
        <v>dpi_vddh2_dyn_HD_|_1280x720x30_fps_24b_|_3p3V</v>
      </c>
      <c r="B1467" s="97" t="s">
        <v>699</v>
      </c>
      <c r="C1467" s="97" t="s">
        <v>504</v>
      </c>
      <c r="D1467" s="97" t="s">
        <v>717</v>
      </c>
      <c r="E1467" s="97" t="s">
        <v>1050</v>
      </c>
      <c r="F1467" s="97">
        <v>29.814429984767997</v>
      </c>
      <c r="G1467" s="97" t="s">
        <v>629</v>
      </c>
      <c r="H1467" s="5"/>
      <c r="I1467"/>
      <c r="J1467"/>
      <c r="K1467"/>
      <c r="L1467"/>
      <c r="M1467"/>
      <c r="N1467"/>
      <c r="O1467"/>
      <c r="P1467"/>
      <c r="Q1467"/>
      <c r="R1467"/>
      <c r="S1467"/>
      <c r="T1467"/>
      <c r="U1467"/>
      <c r="V1467"/>
      <c r="W1467"/>
      <c r="X1467"/>
      <c r="Y1467"/>
    </row>
    <row r="1468" spans="1:25" s="104" customFormat="1" hidden="1" x14ac:dyDescent="0.25">
      <c r="A1468" s="97" t="str">
        <f t="shared" si="29"/>
        <v>dpi_vddh2_dyn_HD_|_1280x720x60_fps_12b_|_3p3V</v>
      </c>
      <c r="B1468" s="97" t="s">
        <v>699</v>
      </c>
      <c r="C1468" s="97" t="s">
        <v>504</v>
      </c>
      <c r="D1468" s="97" t="s">
        <v>718</v>
      </c>
      <c r="E1468" s="97" t="s">
        <v>1050</v>
      </c>
      <c r="F1468" s="97">
        <v>46.356315033599998</v>
      </c>
      <c r="G1468" s="97" t="s">
        <v>629</v>
      </c>
      <c r="H1468" s="5"/>
      <c r="I1468"/>
      <c r="J1468"/>
      <c r="K1468"/>
      <c r="L1468"/>
      <c r="M1468"/>
      <c r="N1468"/>
      <c r="O1468"/>
      <c r="P1468"/>
      <c r="Q1468"/>
      <c r="R1468"/>
      <c r="S1468"/>
      <c r="T1468"/>
      <c r="U1468"/>
      <c r="V1468"/>
      <c r="W1468"/>
      <c r="X1468"/>
      <c r="Y1468"/>
    </row>
    <row r="1469" spans="1:25" s="104" customFormat="1" hidden="1" x14ac:dyDescent="0.25">
      <c r="A1469" s="97" t="str">
        <f t="shared" si="29"/>
        <v>dpi_vddh2_dyn_HD_|_1280x720x60_fps_16b_|_3p3V</v>
      </c>
      <c r="B1469" s="97" t="s">
        <v>699</v>
      </c>
      <c r="C1469" s="97" t="s">
        <v>504</v>
      </c>
      <c r="D1469" s="97" t="s">
        <v>719</v>
      </c>
      <c r="E1469" s="97" t="s">
        <v>1050</v>
      </c>
      <c r="F1469" s="97">
        <v>46.356315033599998</v>
      </c>
      <c r="G1469" s="97" t="s">
        <v>629</v>
      </c>
      <c r="H1469" s="5"/>
      <c r="I1469"/>
      <c r="J1469"/>
      <c r="K1469"/>
      <c r="L1469"/>
      <c r="M1469"/>
      <c r="N1469"/>
      <c r="O1469"/>
      <c r="P1469"/>
      <c r="Q1469"/>
      <c r="R1469"/>
      <c r="S1469"/>
      <c r="T1469"/>
      <c r="U1469"/>
      <c r="V1469"/>
      <c r="W1469"/>
      <c r="X1469"/>
      <c r="Y1469"/>
    </row>
    <row r="1470" spans="1:25" s="104" customFormat="1" hidden="1" x14ac:dyDescent="0.25">
      <c r="A1470" s="97" t="str">
        <f t="shared" si="29"/>
        <v>dpi_vddh2_dyn_HD_|_1280x720x60_fps_24b_|_3p3V</v>
      </c>
      <c r="B1470" s="97" t="s">
        <v>699</v>
      </c>
      <c r="C1470" s="97" t="s">
        <v>504</v>
      </c>
      <c r="D1470" s="97" t="s">
        <v>720</v>
      </c>
      <c r="E1470" s="97" t="s">
        <v>1050</v>
      </c>
      <c r="F1470" s="97">
        <v>59.628859969535995</v>
      </c>
      <c r="G1470" s="97" t="s">
        <v>629</v>
      </c>
      <c r="H1470" s="5"/>
      <c r="I1470"/>
      <c r="J1470"/>
      <c r="K1470"/>
      <c r="L1470"/>
      <c r="M1470"/>
      <c r="N1470"/>
      <c r="O1470"/>
      <c r="P1470"/>
      <c r="Q1470"/>
      <c r="R1470"/>
      <c r="S1470"/>
      <c r="T1470"/>
      <c r="U1470"/>
      <c r="V1470"/>
      <c r="W1470"/>
      <c r="X1470"/>
      <c r="Y1470"/>
    </row>
    <row r="1471" spans="1:25" s="104" customFormat="1" hidden="1" x14ac:dyDescent="0.25">
      <c r="A1471" s="97" t="str">
        <f t="shared" si="29"/>
        <v>dpi_vddh2_dyn_HD_|_1280x720x60_fps_24b_|_3p3V</v>
      </c>
      <c r="B1471" s="97" t="s">
        <v>699</v>
      </c>
      <c r="C1471" s="97" t="s">
        <v>504</v>
      </c>
      <c r="D1471" s="97" t="s">
        <v>720</v>
      </c>
      <c r="E1471" s="97" t="s">
        <v>1050</v>
      </c>
      <c r="F1471" s="97">
        <v>59.628859969535995</v>
      </c>
      <c r="G1471" s="97" t="s">
        <v>629</v>
      </c>
      <c r="H1471" s="5"/>
      <c r="I1471"/>
      <c r="J1471"/>
      <c r="K1471"/>
      <c r="L1471"/>
      <c r="M1471"/>
      <c r="N1471"/>
      <c r="O1471"/>
      <c r="P1471"/>
      <c r="Q1471"/>
      <c r="R1471"/>
      <c r="S1471"/>
      <c r="T1471"/>
      <c r="U1471"/>
      <c r="V1471"/>
      <c r="W1471"/>
      <c r="X1471"/>
      <c r="Y1471"/>
    </row>
    <row r="1472" spans="1:25" s="104" customFormat="1" hidden="1" x14ac:dyDescent="0.25">
      <c r="A1472" s="97" t="str">
        <f t="shared" si="29"/>
        <v>dpi_vddh2_dyn_HD+_|_1600x900x30_fps_12b_|_3p3V</v>
      </c>
      <c r="B1472" s="97" t="s">
        <v>699</v>
      </c>
      <c r="C1472" s="97" t="s">
        <v>504</v>
      </c>
      <c r="D1472" s="97" t="s">
        <v>740</v>
      </c>
      <c r="E1472" s="97" t="s">
        <v>1050</v>
      </c>
      <c r="F1472" s="97">
        <v>36.733708915199998</v>
      </c>
      <c r="G1472" s="97" t="s">
        <v>629</v>
      </c>
      <c r="H1472" s="5"/>
      <c r="I1472"/>
      <c r="J1472"/>
      <c r="K1472"/>
      <c r="L1472"/>
      <c r="M1472"/>
      <c r="N1472"/>
      <c r="O1472"/>
      <c r="P1472"/>
      <c r="Q1472"/>
      <c r="R1472"/>
      <c r="S1472"/>
      <c r="T1472"/>
      <c r="U1472"/>
      <c r="V1472"/>
      <c r="W1472"/>
      <c r="X1472"/>
      <c r="Y1472"/>
    </row>
    <row r="1473" spans="1:25" s="104" customFormat="1" hidden="1" x14ac:dyDescent="0.25">
      <c r="A1473" s="97" t="str">
        <f t="shared" si="29"/>
        <v>dpi_vddh2_dyn_HD+_|_1600x900x30_fps_16b_|_3p3V</v>
      </c>
      <c r="B1473" s="97" t="s">
        <v>699</v>
      </c>
      <c r="C1473" s="97" t="s">
        <v>504</v>
      </c>
      <c r="D1473" s="97" t="s">
        <v>741</v>
      </c>
      <c r="E1473" s="97" t="s">
        <v>1050</v>
      </c>
      <c r="F1473" s="97">
        <v>36.733708915199998</v>
      </c>
      <c r="G1473" s="97" t="s">
        <v>629</v>
      </c>
      <c r="H1473" s="5"/>
      <c r="I1473"/>
      <c r="J1473"/>
      <c r="K1473"/>
      <c r="L1473"/>
      <c r="M1473"/>
      <c r="N1473"/>
      <c r="O1473"/>
      <c r="P1473"/>
      <c r="Q1473"/>
      <c r="R1473"/>
      <c r="S1473"/>
      <c r="T1473"/>
      <c r="U1473"/>
      <c r="V1473"/>
      <c r="W1473"/>
      <c r="X1473"/>
      <c r="Y1473"/>
    </row>
    <row r="1474" spans="1:25" s="104" customFormat="1" hidden="1" x14ac:dyDescent="0.25">
      <c r="A1474" s="97" t="str">
        <f t="shared" si="29"/>
        <v>dpi_vddh2_dyn_HD+_|_1600x900x30_fps_18b_|_3p3V</v>
      </c>
      <c r="B1474" s="97" t="s">
        <v>699</v>
      </c>
      <c r="C1474" s="97" t="s">
        <v>504</v>
      </c>
      <c r="D1474" s="97" t="s">
        <v>742</v>
      </c>
      <c r="E1474" s="97" t="s">
        <v>1050</v>
      </c>
      <c r="F1474" s="97">
        <v>39.363069132287997</v>
      </c>
      <c r="G1474" s="97" t="s">
        <v>629</v>
      </c>
      <c r="H1474" s="5"/>
      <c r="I1474"/>
      <c r="J1474"/>
      <c r="K1474"/>
      <c r="L1474"/>
      <c r="M1474"/>
      <c r="N1474"/>
      <c r="O1474"/>
      <c r="P1474"/>
      <c r="Q1474"/>
      <c r="R1474"/>
      <c r="S1474"/>
      <c r="T1474"/>
      <c r="U1474"/>
      <c r="V1474"/>
      <c r="W1474"/>
      <c r="X1474"/>
      <c r="Y1474"/>
    </row>
    <row r="1475" spans="1:25" s="104" customFormat="1" hidden="1" x14ac:dyDescent="0.25">
      <c r="A1475" s="97" t="str">
        <f t="shared" si="29"/>
        <v>dpi_vddh2_dyn_HD+_|_1600x900x30_fps_24b_|_3p3V</v>
      </c>
      <c r="B1475" s="97" t="s">
        <v>699</v>
      </c>
      <c r="C1475" s="97" t="s">
        <v>504</v>
      </c>
      <c r="D1475" s="97" t="s">
        <v>743</v>
      </c>
      <c r="E1475" s="97" t="s">
        <v>1050</v>
      </c>
      <c r="F1475" s="97">
        <v>39.363069132287997</v>
      </c>
      <c r="G1475" s="97" t="s">
        <v>629</v>
      </c>
      <c r="H1475" s="5"/>
      <c r="I1475"/>
      <c r="J1475"/>
      <c r="K1475"/>
      <c r="L1475"/>
      <c r="M1475"/>
      <c r="N1475"/>
      <c r="O1475"/>
      <c r="P1475"/>
      <c r="Q1475"/>
      <c r="R1475"/>
      <c r="S1475"/>
      <c r="T1475"/>
      <c r="U1475"/>
      <c r="V1475"/>
      <c r="W1475"/>
      <c r="X1475"/>
      <c r="Y1475"/>
    </row>
    <row r="1476" spans="1:25" s="104" customFormat="1" hidden="1" x14ac:dyDescent="0.25">
      <c r="A1476" s="97" t="str">
        <f t="shared" si="29"/>
        <v>dpi_vddh2_dyn_HD+_|_1600x900x60_fps_12b_|_3p3V</v>
      </c>
      <c r="B1476" s="97" t="s">
        <v>699</v>
      </c>
      <c r="C1476" s="97" t="s">
        <v>504</v>
      </c>
      <c r="D1476" s="97" t="s">
        <v>744</v>
      </c>
      <c r="E1476" s="97" t="s">
        <v>1050</v>
      </c>
      <c r="F1476" s="97">
        <v>73.467417830399995</v>
      </c>
      <c r="G1476" s="97" t="s">
        <v>629</v>
      </c>
      <c r="H1476" s="5"/>
      <c r="I1476"/>
      <c r="J1476"/>
      <c r="K1476"/>
      <c r="L1476"/>
      <c r="M1476"/>
      <c r="N1476"/>
      <c r="O1476"/>
      <c r="P1476"/>
      <c r="Q1476"/>
      <c r="R1476"/>
      <c r="S1476"/>
      <c r="T1476"/>
      <c r="U1476"/>
      <c r="V1476"/>
      <c r="W1476"/>
      <c r="X1476"/>
      <c r="Y1476"/>
    </row>
    <row r="1477" spans="1:25" s="104" customFormat="1" hidden="1" x14ac:dyDescent="0.25">
      <c r="A1477" s="97" t="str">
        <f t="shared" si="29"/>
        <v>dpi_vddh2_dyn_HD+_|_1600x900x60_fps_16b_|_3p3V</v>
      </c>
      <c r="B1477" s="97" t="s">
        <v>699</v>
      </c>
      <c r="C1477" s="97" t="s">
        <v>504</v>
      </c>
      <c r="D1477" s="97" t="s">
        <v>745</v>
      </c>
      <c r="E1477" s="97" t="s">
        <v>1050</v>
      </c>
      <c r="F1477" s="97">
        <v>73.467417830399995</v>
      </c>
      <c r="G1477" s="97" t="s">
        <v>629</v>
      </c>
      <c r="H1477" s="5"/>
      <c r="I1477"/>
      <c r="J1477"/>
      <c r="K1477"/>
      <c r="L1477"/>
      <c r="M1477"/>
      <c r="N1477"/>
      <c r="O1477"/>
      <c r="P1477"/>
      <c r="Q1477"/>
      <c r="R1477"/>
      <c r="S1477"/>
      <c r="T1477"/>
      <c r="U1477"/>
      <c r="V1477"/>
      <c r="W1477"/>
      <c r="X1477"/>
      <c r="Y1477"/>
    </row>
    <row r="1478" spans="1:25" s="104" customFormat="1" hidden="1" x14ac:dyDescent="0.25">
      <c r="A1478" s="97" t="str">
        <f t="shared" si="29"/>
        <v>dpi_vddh2_dyn_HD+_|_1600x900x60_fps_18b_|_3p3V</v>
      </c>
      <c r="B1478" s="97" t="s">
        <v>699</v>
      </c>
      <c r="C1478" s="97" t="s">
        <v>504</v>
      </c>
      <c r="D1478" s="97" t="s">
        <v>746</v>
      </c>
      <c r="E1478" s="97" t="s">
        <v>1050</v>
      </c>
      <c r="F1478" s="97">
        <v>78.726138264575994</v>
      </c>
      <c r="G1478" s="97" t="s">
        <v>629</v>
      </c>
      <c r="H1478" s="5"/>
      <c r="I1478"/>
      <c r="J1478"/>
      <c r="K1478"/>
      <c r="L1478"/>
      <c r="M1478"/>
      <c r="N1478"/>
      <c r="O1478"/>
      <c r="P1478"/>
      <c r="Q1478"/>
      <c r="R1478"/>
      <c r="S1478"/>
      <c r="T1478"/>
      <c r="U1478"/>
      <c r="V1478"/>
      <c r="W1478"/>
      <c r="X1478"/>
      <c r="Y1478"/>
    </row>
    <row r="1479" spans="1:25" s="104" customFormat="1" hidden="1" x14ac:dyDescent="0.25">
      <c r="A1479" s="97" t="str">
        <f t="shared" si="29"/>
        <v>dpi_vddh2_dyn_HD+_|_1600x900x60_fps_24b_|_3p3V</v>
      </c>
      <c r="B1479" s="97" t="s">
        <v>699</v>
      </c>
      <c r="C1479" s="97" t="s">
        <v>504</v>
      </c>
      <c r="D1479" s="97" t="s">
        <v>747</v>
      </c>
      <c r="E1479" s="97" t="s">
        <v>1050</v>
      </c>
      <c r="F1479" s="97">
        <v>78.726138264575994</v>
      </c>
      <c r="G1479" s="97" t="s">
        <v>629</v>
      </c>
      <c r="H1479" s="5"/>
      <c r="I1479"/>
      <c r="J1479"/>
      <c r="K1479"/>
      <c r="L1479"/>
      <c r="M1479"/>
      <c r="N1479"/>
      <c r="O1479"/>
      <c r="P1479"/>
      <c r="Q1479"/>
      <c r="R1479"/>
      <c r="S1479"/>
      <c r="T1479"/>
      <c r="U1479"/>
      <c r="V1479"/>
      <c r="W1479"/>
      <c r="X1479"/>
      <c r="Y1479"/>
    </row>
    <row r="1480" spans="1:25" s="104" customFormat="1" hidden="1" x14ac:dyDescent="0.25">
      <c r="A1480" s="97" t="str">
        <f t="shared" si="29"/>
        <v>dpi_vddh2_dyn_SD_|_640x480x60_fps_12b_|_3p3V</v>
      </c>
      <c r="B1480" s="97" t="s">
        <v>699</v>
      </c>
      <c r="C1480" s="97" t="s">
        <v>504</v>
      </c>
      <c r="D1480" s="97" t="s">
        <v>703</v>
      </c>
      <c r="E1480" s="97" t="s">
        <v>1050</v>
      </c>
      <c r="F1480" s="97">
        <v>15.9638688</v>
      </c>
      <c r="G1480" s="97" t="s">
        <v>629</v>
      </c>
      <c r="H1480" s="5"/>
      <c r="I1480"/>
      <c r="J1480"/>
      <c r="K1480"/>
      <c r="L1480"/>
      <c r="M1480"/>
      <c r="N1480"/>
      <c r="O1480"/>
      <c r="P1480"/>
      <c r="Q1480"/>
      <c r="R1480"/>
      <c r="S1480"/>
      <c r="T1480"/>
      <c r="U1480"/>
      <c r="V1480"/>
      <c r="W1480"/>
      <c r="X1480"/>
      <c r="Y1480"/>
    </row>
    <row r="1481" spans="1:25" s="104" customFormat="1" hidden="1" x14ac:dyDescent="0.25">
      <c r="A1481" s="97" t="str">
        <f t="shared" si="29"/>
        <v>dpi_vddh2_dyn_SD_|_640x480x60_fps_16b_|_3p3V</v>
      </c>
      <c r="B1481" s="97" t="s">
        <v>699</v>
      </c>
      <c r="C1481" s="97" t="s">
        <v>504</v>
      </c>
      <c r="D1481" s="97" t="s">
        <v>704</v>
      </c>
      <c r="E1481" s="97" t="s">
        <v>1050</v>
      </c>
      <c r="F1481" s="97">
        <v>15.9638688</v>
      </c>
      <c r="G1481" s="97" t="s">
        <v>629</v>
      </c>
      <c r="H1481" s="5"/>
      <c r="I1481"/>
      <c r="J1481"/>
      <c r="K1481"/>
      <c r="L1481"/>
      <c r="M1481"/>
      <c r="N1481"/>
      <c r="O1481"/>
      <c r="P1481"/>
      <c r="Q1481"/>
      <c r="R1481"/>
      <c r="S1481"/>
      <c r="T1481"/>
      <c r="U1481"/>
      <c r="V1481"/>
      <c r="W1481"/>
      <c r="X1481"/>
      <c r="Y1481"/>
    </row>
    <row r="1482" spans="1:25" s="104" customFormat="1" hidden="1" x14ac:dyDescent="0.25">
      <c r="A1482" s="97" t="str">
        <f t="shared" si="29"/>
        <v>dpi_vddh2_dyn_SD_|_640x480x60_fps_24b_|_3p3V</v>
      </c>
      <c r="B1482" s="97" t="s">
        <v>699</v>
      </c>
      <c r="C1482" s="97" t="s">
        <v>504</v>
      </c>
      <c r="D1482" s="97" t="s">
        <v>705</v>
      </c>
      <c r="E1482" s="97" t="s">
        <v>1050</v>
      </c>
      <c r="F1482" s="97">
        <v>19.162915199999997</v>
      </c>
      <c r="G1482" s="97" t="s">
        <v>629</v>
      </c>
      <c r="H1482" s="5"/>
      <c r="I1482"/>
      <c r="J1482"/>
      <c r="K1482"/>
      <c r="L1482"/>
      <c r="M1482"/>
      <c r="N1482"/>
      <c r="O1482"/>
      <c r="P1482"/>
      <c r="Q1482"/>
      <c r="R1482"/>
      <c r="S1482"/>
      <c r="T1482"/>
      <c r="U1482"/>
      <c r="V1482"/>
      <c r="W1482"/>
      <c r="X1482"/>
      <c r="Y1482"/>
    </row>
    <row r="1483" spans="1:25" s="104" customFormat="1" hidden="1" x14ac:dyDescent="0.25">
      <c r="A1483" s="97" t="str">
        <f t="shared" si="29"/>
        <v>dpi_vddh2_dyn_SD_|_640x480x60_fps_24b_|_3p3V</v>
      </c>
      <c r="B1483" s="97" t="s">
        <v>699</v>
      </c>
      <c r="C1483" s="97" t="s">
        <v>504</v>
      </c>
      <c r="D1483" s="97" t="s">
        <v>705</v>
      </c>
      <c r="E1483" s="97" t="s">
        <v>1050</v>
      </c>
      <c r="F1483" s="97">
        <v>19.162915199999997</v>
      </c>
      <c r="G1483" s="97" t="s">
        <v>629</v>
      </c>
      <c r="H1483" s="5"/>
      <c r="I1483"/>
      <c r="J1483"/>
      <c r="K1483"/>
      <c r="L1483"/>
      <c r="M1483"/>
      <c r="N1483"/>
      <c r="O1483"/>
      <c r="P1483"/>
      <c r="Q1483"/>
      <c r="R1483"/>
      <c r="S1483"/>
      <c r="T1483"/>
      <c r="U1483"/>
      <c r="V1483"/>
      <c r="W1483"/>
      <c r="X1483"/>
      <c r="Y1483"/>
    </row>
    <row r="1484" spans="1:25" s="104" customFormat="1" hidden="1" x14ac:dyDescent="0.25">
      <c r="A1484" s="97" t="str">
        <f t="shared" si="29"/>
        <v>dpi_vddh2_dyn_SVGA_|_800x600x60_fps_12b_|_3p3V</v>
      </c>
      <c r="B1484" s="97" t="s">
        <v>699</v>
      </c>
      <c r="C1484" s="97" t="s">
        <v>504</v>
      </c>
      <c r="D1484" s="97" t="s">
        <v>706</v>
      </c>
      <c r="E1484" s="97" t="s">
        <v>1050</v>
      </c>
      <c r="F1484" s="97">
        <v>25.501322575872003</v>
      </c>
      <c r="G1484" s="97" t="s">
        <v>629</v>
      </c>
      <c r="H1484" s="5"/>
      <c r="I1484"/>
      <c r="J1484"/>
      <c r="K1484"/>
      <c r="L1484"/>
      <c r="M1484"/>
      <c r="N1484"/>
      <c r="O1484"/>
      <c r="P1484"/>
      <c r="Q1484"/>
      <c r="R1484"/>
      <c r="S1484"/>
      <c r="T1484"/>
      <c r="U1484"/>
      <c r="V1484"/>
      <c r="W1484"/>
      <c r="X1484"/>
      <c r="Y1484"/>
    </row>
    <row r="1485" spans="1:25" s="104" customFormat="1" hidden="1" x14ac:dyDescent="0.25">
      <c r="A1485" s="97" t="str">
        <f t="shared" si="29"/>
        <v>dpi_vddh2_dyn_SVGA_|_800x600x60_fps_16b_|_3p3V</v>
      </c>
      <c r="B1485" s="97" t="s">
        <v>699</v>
      </c>
      <c r="C1485" s="97" t="s">
        <v>504</v>
      </c>
      <c r="D1485" s="97" t="s">
        <v>707</v>
      </c>
      <c r="E1485" s="97" t="s">
        <v>1050</v>
      </c>
      <c r="F1485" s="97">
        <v>25.501322575872003</v>
      </c>
      <c r="G1485" s="97" t="s">
        <v>629</v>
      </c>
      <c r="H1485" s="5"/>
      <c r="I1485"/>
      <c r="J1485"/>
      <c r="K1485"/>
      <c r="L1485"/>
      <c r="M1485"/>
      <c r="N1485"/>
      <c r="O1485"/>
      <c r="P1485"/>
      <c r="Q1485"/>
      <c r="R1485"/>
      <c r="S1485"/>
      <c r="T1485"/>
      <c r="U1485"/>
      <c r="V1485"/>
      <c r="W1485"/>
      <c r="X1485"/>
      <c r="Y1485"/>
    </row>
    <row r="1486" spans="1:25" s="104" customFormat="1" hidden="1" x14ac:dyDescent="0.25">
      <c r="A1486" s="97" t="str">
        <f t="shared" si="29"/>
        <v>dpi_vddh2_dyn_SVGA_|_800x600x60_fps_24b_|_3p3V</v>
      </c>
      <c r="B1486" s="97" t="s">
        <v>699</v>
      </c>
      <c r="C1486" s="97" t="s">
        <v>504</v>
      </c>
      <c r="D1486" s="97" t="s">
        <v>708</v>
      </c>
      <c r="E1486" s="97" t="s">
        <v>1050</v>
      </c>
      <c r="F1486" s="97">
        <v>30.611607257088</v>
      </c>
      <c r="G1486" s="97" t="s">
        <v>629</v>
      </c>
      <c r="H1486" s="5"/>
      <c r="I1486"/>
      <c r="J1486"/>
      <c r="K1486"/>
      <c r="L1486"/>
      <c r="M1486"/>
      <c r="N1486"/>
      <c r="O1486"/>
      <c r="P1486"/>
      <c r="Q1486"/>
      <c r="R1486"/>
      <c r="S1486"/>
      <c r="T1486"/>
      <c r="U1486"/>
      <c r="V1486"/>
      <c r="W1486"/>
      <c r="X1486"/>
      <c r="Y1486"/>
    </row>
    <row r="1487" spans="1:25" s="104" customFormat="1" hidden="1" x14ac:dyDescent="0.25">
      <c r="A1487" s="97" t="str">
        <f t="shared" si="29"/>
        <v>dpi_vddh2_dyn_SVGA_|_800x600x60_fps_24b_|_3p3V</v>
      </c>
      <c r="B1487" s="97" t="s">
        <v>699</v>
      </c>
      <c r="C1487" s="97" t="s">
        <v>504</v>
      </c>
      <c r="D1487" s="97" t="s">
        <v>708</v>
      </c>
      <c r="E1487" s="97" t="s">
        <v>1050</v>
      </c>
      <c r="F1487" s="97">
        <v>30.611607257088</v>
      </c>
      <c r="G1487" s="97" t="s">
        <v>629</v>
      </c>
      <c r="H1487" s="5"/>
      <c r="I1487"/>
      <c r="J1487"/>
      <c r="K1487"/>
      <c r="L1487"/>
      <c r="M1487"/>
      <c r="N1487"/>
      <c r="O1487"/>
      <c r="P1487"/>
      <c r="Q1487"/>
      <c r="R1487"/>
      <c r="S1487"/>
      <c r="T1487"/>
      <c r="U1487"/>
      <c r="V1487"/>
      <c r="W1487"/>
      <c r="X1487"/>
      <c r="Y1487"/>
    </row>
    <row r="1488" spans="1:25" s="104" customFormat="1" hidden="1" x14ac:dyDescent="0.25">
      <c r="A1488" s="97" t="str">
        <f t="shared" si="29"/>
        <v>dpi_vddh2_dyn_SXGA_|_1280x1024x30_fps_12b_|_3p3V</v>
      </c>
      <c r="B1488" s="97" t="s">
        <v>699</v>
      </c>
      <c r="C1488" s="97" t="s">
        <v>504</v>
      </c>
      <c r="D1488" s="97" t="s">
        <v>728</v>
      </c>
      <c r="E1488" s="97" t="s">
        <v>1050</v>
      </c>
      <c r="F1488" s="97">
        <v>33.889176446400008</v>
      </c>
      <c r="G1488" s="97" t="s">
        <v>629</v>
      </c>
      <c r="H1488" s="5"/>
      <c r="I1488"/>
      <c r="J1488"/>
      <c r="K1488"/>
      <c r="L1488"/>
      <c r="M1488"/>
      <c r="N1488"/>
      <c r="O1488"/>
      <c r="P1488"/>
      <c r="Q1488"/>
      <c r="R1488"/>
      <c r="S1488"/>
      <c r="T1488"/>
      <c r="U1488"/>
      <c r="V1488"/>
      <c r="W1488"/>
      <c r="X1488"/>
      <c r="Y1488"/>
    </row>
    <row r="1489" spans="1:25" s="104" customFormat="1" hidden="1" x14ac:dyDescent="0.25">
      <c r="A1489" s="97" t="str">
        <f t="shared" si="29"/>
        <v>dpi_vddh2_dyn_SXGA_|_1280x1024x30_fps_16b_|_3p3V</v>
      </c>
      <c r="B1489" s="97" t="s">
        <v>699</v>
      </c>
      <c r="C1489" s="97" t="s">
        <v>504</v>
      </c>
      <c r="D1489" s="97" t="s">
        <v>729</v>
      </c>
      <c r="E1489" s="97" t="s">
        <v>1050</v>
      </c>
      <c r="F1489" s="97">
        <v>33.889176446400008</v>
      </c>
      <c r="G1489" s="97" t="s">
        <v>629</v>
      </c>
      <c r="H1489" s="5"/>
      <c r="I1489"/>
      <c r="J1489"/>
      <c r="K1489"/>
      <c r="L1489"/>
      <c r="M1489"/>
      <c r="N1489"/>
      <c r="O1489"/>
      <c r="P1489"/>
      <c r="Q1489"/>
      <c r="R1489"/>
      <c r="S1489"/>
      <c r="T1489"/>
      <c r="U1489"/>
      <c r="V1489"/>
      <c r="W1489"/>
      <c r="X1489"/>
      <c r="Y1489"/>
    </row>
    <row r="1490" spans="1:25" s="104" customFormat="1" hidden="1" x14ac:dyDescent="0.25">
      <c r="A1490" s="97" t="str">
        <f t="shared" si="29"/>
        <v>dpi_vddh2_dyn_SXGA_|_1280x1024x30_fps_18b_|_3p3V</v>
      </c>
      <c r="B1490" s="97" t="s">
        <v>699</v>
      </c>
      <c r="C1490" s="97" t="s">
        <v>504</v>
      </c>
      <c r="D1490" s="97" t="s">
        <v>730</v>
      </c>
      <c r="E1490" s="97" t="s">
        <v>1050</v>
      </c>
      <c r="F1490" s="97">
        <v>43.592182755264005</v>
      </c>
      <c r="G1490" s="97" t="s">
        <v>629</v>
      </c>
      <c r="H1490" s="5"/>
      <c r="I1490"/>
      <c r="J1490"/>
      <c r="K1490"/>
      <c r="L1490"/>
      <c r="M1490"/>
      <c r="N1490"/>
      <c r="O1490"/>
      <c r="P1490"/>
      <c r="Q1490"/>
      <c r="R1490"/>
      <c r="S1490"/>
      <c r="T1490"/>
      <c r="U1490"/>
      <c r="V1490"/>
      <c r="W1490"/>
      <c r="X1490"/>
      <c r="Y1490"/>
    </row>
    <row r="1491" spans="1:25" s="104" customFormat="1" hidden="1" x14ac:dyDescent="0.25">
      <c r="A1491" s="97" t="str">
        <f t="shared" si="29"/>
        <v>dpi_vddh2_dyn_SXGA_|_1280x1024x30_fps_24b_|_3p3V</v>
      </c>
      <c r="B1491" s="97" t="s">
        <v>699</v>
      </c>
      <c r="C1491" s="97" t="s">
        <v>504</v>
      </c>
      <c r="D1491" s="97" t="s">
        <v>731</v>
      </c>
      <c r="E1491" s="97" t="s">
        <v>1050</v>
      </c>
      <c r="F1491" s="97">
        <v>43.592182755264005</v>
      </c>
      <c r="G1491" s="97" t="s">
        <v>629</v>
      </c>
      <c r="H1491" s="5"/>
      <c r="I1491"/>
      <c r="J1491"/>
      <c r="K1491"/>
      <c r="L1491"/>
      <c r="M1491"/>
      <c r="N1491"/>
      <c r="O1491"/>
      <c r="P1491"/>
      <c r="Q1491"/>
      <c r="R1491"/>
      <c r="S1491"/>
      <c r="T1491"/>
      <c r="U1491"/>
      <c r="V1491"/>
      <c r="W1491"/>
      <c r="X1491"/>
      <c r="Y1491"/>
    </row>
    <row r="1492" spans="1:25" s="104" customFormat="1" hidden="1" x14ac:dyDescent="0.25">
      <c r="A1492" s="97" t="str">
        <f t="shared" si="29"/>
        <v>dpi_vddh2_dyn_SXGA_|_1280x1024x60_fps_12b_|_3p3V</v>
      </c>
      <c r="B1492" s="97" t="s">
        <v>699</v>
      </c>
      <c r="C1492" s="97" t="s">
        <v>504</v>
      </c>
      <c r="D1492" s="97" t="s">
        <v>732</v>
      </c>
      <c r="E1492" s="97" t="s">
        <v>1050</v>
      </c>
      <c r="F1492" s="97">
        <v>67.778352892800015</v>
      </c>
      <c r="G1492" s="97" t="s">
        <v>629</v>
      </c>
      <c r="H1492" s="5"/>
      <c r="I1492"/>
      <c r="J1492"/>
      <c r="K1492"/>
      <c r="L1492"/>
      <c r="M1492"/>
      <c r="N1492"/>
      <c r="O1492"/>
      <c r="P1492"/>
      <c r="Q1492"/>
      <c r="R1492"/>
      <c r="S1492"/>
      <c r="T1492"/>
      <c r="U1492"/>
      <c r="V1492"/>
      <c r="W1492"/>
      <c r="X1492"/>
      <c r="Y1492"/>
    </row>
    <row r="1493" spans="1:25" s="104" customFormat="1" hidden="1" x14ac:dyDescent="0.25">
      <c r="A1493" s="97" t="str">
        <f t="shared" si="29"/>
        <v>dpi_vddh2_dyn_SXGA_|_1280x1024x60_fps_16b_|_3p3V</v>
      </c>
      <c r="B1493" s="97" t="s">
        <v>699</v>
      </c>
      <c r="C1493" s="97" t="s">
        <v>504</v>
      </c>
      <c r="D1493" s="97" t="s">
        <v>733</v>
      </c>
      <c r="E1493" s="97" t="s">
        <v>1050</v>
      </c>
      <c r="F1493" s="97">
        <v>67.778352892800015</v>
      </c>
      <c r="G1493" s="97" t="s">
        <v>629</v>
      </c>
      <c r="H1493" s="5"/>
      <c r="I1493"/>
      <c r="J1493"/>
      <c r="K1493"/>
      <c r="L1493"/>
      <c r="M1493"/>
      <c r="N1493"/>
      <c r="O1493"/>
      <c r="P1493"/>
      <c r="Q1493"/>
      <c r="R1493"/>
      <c r="S1493"/>
      <c r="T1493"/>
      <c r="U1493"/>
      <c r="V1493"/>
      <c r="W1493"/>
      <c r="X1493"/>
      <c r="Y1493"/>
    </row>
    <row r="1494" spans="1:25" s="104" customFormat="1" hidden="1" x14ac:dyDescent="0.25">
      <c r="A1494" s="97" t="str">
        <f t="shared" si="29"/>
        <v>dpi_vddh2_dyn_SXGA_|_1280x1024x60_fps_18b_|_3p3V</v>
      </c>
      <c r="B1494" s="97" t="s">
        <v>699</v>
      </c>
      <c r="C1494" s="97" t="s">
        <v>504</v>
      </c>
      <c r="D1494" s="97" t="s">
        <v>734</v>
      </c>
      <c r="E1494" s="97" t="s">
        <v>1050</v>
      </c>
      <c r="F1494" s="97">
        <v>87.184365510528011</v>
      </c>
      <c r="G1494" s="97" t="s">
        <v>629</v>
      </c>
      <c r="H1494" s="5"/>
      <c r="I1494"/>
      <c r="J1494"/>
      <c r="K1494"/>
      <c r="L1494"/>
      <c r="M1494"/>
      <c r="N1494"/>
      <c r="O1494"/>
      <c r="P1494"/>
      <c r="Q1494"/>
      <c r="R1494"/>
      <c r="S1494"/>
      <c r="T1494"/>
      <c r="U1494"/>
      <c r="V1494"/>
      <c r="W1494"/>
      <c r="X1494"/>
      <c r="Y1494"/>
    </row>
    <row r="1495" spans="1:25" s="104" customFormat="1" hidden="1" x14ac:dyDescent="0.25">
      <c r="A1495" s="97" t="str">
        <f t="shared" si="29"/>
        <v>dpi_vddh2_dyn_SXGA_|_1280x1024x60_fps_24b_|_3p3V</v>
      </c>
      <c r="B1495" s="97" t="s">
        <v>699</v>
      </c>
      <c r="C1495" s="97" t="s">
        <v>504</v>
      </c>
      <c r="D1495" s="97" t="s">
        <v>735</v>
      </c>
      <c r="E1495" s="97" t="s">
        <v>1050</v>
      </c>
      <c r="F1495" s="97">
        <v>87.184365510528011</v>
      </c>
      <c r="G1495" s="97" t="s">
        <v>629</v>
      </c>
      <c r="H1495" s="5"/>
      <c r="I1495"/>
      <c r="J1495"/>
      <c r="K1495"/>
      <c r="L1495"/>
      <c r="M1495"/>
      <c r="N1495"/>
      <c r="O1495"/>
      <c r="P1495"/>
      <c r="Q1495"/>
      <c r="R1495"/>
      <c r="S1495"/>
      <c r="T1495"/>
      <c r="U1495"/>
      <c r="V1495"/>
      <c r="W1495"/>
      <c r="X1495"/>
      <c r="Y1495"/>
    </row>
    <row r="1496" spans="1:25" s="104" customFormat="1" hidden="1" x14ac:dyDescent="0.25">
      <c r="A1496" s="97" t="str">
        <f t="shared" si="29"/>
        <v>dpi_vddh2_dyn_SXGA+_|_1400x1050x60_fps_12b_|_3p3V</v>
      </c>
      <c r="B1496" s="97" t="s">
        <v>699</v>
      </c>
      <c r="C1496" s="97" t="s">
        <v>504</v>
      </c>
      <c r="D1496" s="97" t="s">
        <v>736</v>
      </c>
      <c r="E1496" s="97" t="s">
        <v>1050</v>
      </c>
      <c r="F1496" s="97">
        <v>75.601040644800023</v>
      </c>
      <c r="G1496" s="97" t="s">
        <v>629</v>
      </c>
      <c r="H1496" s="5"/>
      <c r="I1496"/>
      <c r="J1496"/>
      <c r="K1496"/>
      <c r="L1496"/>
      <c r="M1496"/>
      <c r="N1496"/>
      <c r="O1496"/>
      <c r="P1496"/>
      <c r="Q1496"/>
      <c r="R1496"/>
      <c r="S1496"/>
      <c r="T1496"/>
      <c r="U1496"/>
      <c r="V1496"/>
      <c r="W1496"/>
      <c r="X1496"/>
      <c r="Y1496"/>
    </row>
    <row r="1497" spans="1:25" s="104" customFormat="1" hidden="1" x14ac:dyDescent="0.25">
      <c r="A1497" s="97" t="str">
        <f t="shared" si="29"/>
        <v>dpi_vddh2_dyn_SXGA+_|_1400x1050x60_fps_16b_|_3p3V</v>
      </c>
      <c r="B1497" s="97" t="s">
        <v>699</v>
      </c>
      <c r="C1497" s="97" t="s">
        <v>504</v>
      </c>
      <c r="D1497" s="97" t="s">
        <v>737</v>
      </c>
      <c r="E1497" s="97" t="s">
        <v>1050</v>
      </c>
      <c r="F1497" s="97">
        <v>75.601040644800023</v>
      </c>
      <c r="G1497" s="97" t="s">
        <v>629</v>
      </c>
      <c r="H1497" s="5"/>
      <c r="I1497"/>
      <c r="J1497"/>
      <c r="K1497"/>
      <c r="L1497"/>
      <c r="M1497"/>
      <c r="N1497"/>
      <c r="O1497"/>
      <c r="P1497"/>
      <c r="Q1497"/>
      <c r="R1497"/>
      <c r="S1497"/>
      <c r="T1497"/>
      <c r="U1497"/>
      <c r="V1497"/>
      <c r="W1497"/>
      <c r="X1497"/>
      <c r="Y1497"/>
    </row>
    <row r="1498" spans="1:25" s="104" customFormat="1" hidden="1" x14ac:dyDescent="0.25">
      <c r="A1498" s="97" t="str">
        <f t="shared" si="29"/>
        <v>dpi_vddh2_dyn_SXGA+_|_1400x1050x60_fps_18b_|_3p3V</v>
      </c>
      <c r="B1498" s="97" t="s">
        <v>699</v>
      </c>
      <c r="C1498" s="97" t="s">
        <v>504</v>
      </c>
      <c r="D1498" s="97" t="s">
        <v>738</v>
      </c>
      <c r="E1498" s="97" t="s">
        <v>1050</v>
      </c>
      <c r="F1498" s="97">
        <v>97.246812282048012</v>
      </c>
      <c r="G1498" s="97" t="s">
        <v>629</v>
      </c>
      <c r="H1498" s="5"/>
      <c r="I1498"/>
      <c r="J1498"/>
      <c r="K1498"/>
      <c r="L1498"/>
      <c r="M1498"/>
      <c r="N1498"/>
      <c r="O1498"/>
      <c r="P1498"/>
      <c r="Q1498"/>
      <c r="R1498"/>
      <c r="S1498"/>
      <c r="T1498"/>
      <c r="U1498"/>
      <c r="V1498"/>
      <c r="W1498"/>
      <c r="X1498"/>
      <c r="Y1498"/>
    </row>
    <row r="1499" spans="1:25" s="104" customFormat="1" hidden="1" x14ac:dyDescent="0.25">
      <c r="A1499" s="97" t="str">
        <f t="shared" si="29"/>
        <v>dpi_vddh2_dyn_SXGA+_|_1400x1050x60_fps_24b_|_3p3V</v>
      </c>
      <c r="B1499" s="97" t="s">
        <v>699</v>
      </c>
      <c r="C1499" s="97" t="s">
        <v>504</v>
      </c>
      <c r="D1499" s="97" t="s">
        <v>739</v>
      </c>
      <c r="E1499" s="97" t="s">
        <v>1050</v>
      </c>
      <c r="F1499" s="97">
        <v>81.012483554112023</v>
      </c>
      <c r="G1499" s="97" t="s">
        <v>629</v>
      </c>
      <c r="H1499" s="5"/>
      <c r="I1499"/>
      <c r="J1499"/>
      <c r="K1499"/>
      <c r="L1499"/>
      <c r="M1499"/>
      <c r="N1499"/>
      <c r="O1499"/>
      <c r="P1499"/>
      <c r="Q1499"/>
      <c r="R1499"/>
      <c r="S1499"/>
      <c r="T1499"/>
      <c r="U1499"/>
      <c r="V1499"/>
      <c r="W1499"/>
      <c r="X1499"/>
      <c r="Y1499"/>
    </row>
    <row r="1500" spans="1:25" s="104" customFormat="1" hidden="1" x14ac:dyDescent="0.25">
      <c r="A1500" s="97" t="str">
        <f t="shared" si="29"/>
        <v>dpi_vddh2_dyn_UXGA_|_1600x1200x30_fps_12b_|_3p3V</v>
      </c>
      <c r="B1500" s="97" t="s">
        <v>699</v>
      </c>
      <c r="C1500" s="97" t="s">
        <v>504</v>
      </c>
      <c r="D1500" s="97" t="s">
        <v>748</v>
      </c>
      <c r="E1500" s="97" t="s">
        <v>1050</v>
      </c>
      <c r="F1500" s="97">
        <v>50.078013480000003</v>
      </c>
      <c r="G1500" s="97" t="s">
        <v>629</v>
      </c>
      <c r="H1500" s="5"/>
      <c r="I1500"/>
      <c r="J1500"/>
      <c r="K1500"/>
      <c r="L1500"/>
      <c r="M1500"/>
      <c r="N1500"/>
      <c r="O1500"/>
      <c r="P1500"/>
      <c r="Q1500"/>
      <c r="R1500"/>
      <c r="S1500"/>
      <c r="T1500"/>
      <c r="U1500"/>
      <c r="V1500"/>
      <c r="W1500"/>
      <c r="X1500"/>
      <c r="Y1500"/>
    </row>
    <row r="1501" spans="1:25" s="104" customFormat="1" hidden="1" x14ac:dyDescent="0.25">
      <c r="A1501" s="97" t="str">
        <f t="shared" si="29"/>
        <v>dpi_vddh2_dyn_UXGA_|_1600x1200x30_fps_16b_|_3p3V</v>
      </c>
      <c r="B1501" s="97" t="s">
        <v>699</v>
      </c>
      <c r="C1501" s="97" t="s">
        <v>504</v>
      </c>
      <c r="D1501" s="97" t="s">
        <v>749</v>
      </c>
      <c r="E1501" s="97" t="s">
        <v>1050</v>
      </c>
      <c r="F1501" s="97">
        <v>50.078013480000003</v>
      </c>
      <c r="G1501" s="97" t="s">
        <v>629</v>
      </c>
      <c r="H1501" s="5"/>
      <c r="I1501"/>
      <c r="J1501"/>
      <c r="K1501"/>
      <c r="L1501"/>
      <c r="M1501"/>
      <c r="N1501"/>
      <c r="O1501"/>
      <c r="P1501"/>
      <c r="Q1501"/>
      <c r="R1501"/>
      <c r="S1501"/>
      <c r="T1501"/>
      <c r="U1501"/>
      <c r="V1501"/>
      <c r="W1501"/>
      <c r="X1501"/>
      <c r="Y1501"/>
    </row>
    <row r="1502" spans="1:25" s="104" customFormat="1" hidden="1" x14ac:dyDescent="0.25">
      <c r="A1502" s="97" t="str">
        <f t="shared" si="29"/>
        <v>dpi_vddh2_dyn_UXGA_|_1600x1200x30_fps_18b_|_3p3V</v>
      </c>
      <c r="B1502" s="97" t="s">
        <v>699</v>
      </c>
      <c r="C1502" s="97" t="s">
        <v>504</v>
      </c>
      <c r="D1502" s="97" t="s">
        <v>750</v>
      </c>
      <c r="E1502" s="97" t="s">
        <v>1050</v>
      </c>
      <c r="F1502" s="97">
        <v>53.662544971199999</v>
      </c>
      <c r="G1502" s="97" t="s">
        <v>629</v>
      </c>
      <c r="H1502" s="5"/>
      <c r="I1502"/>
      <c r="J1502"/>
      <c r="K1502"/>
      <c r="L1502"/>
      <c r="M1502"/>
      <c r="N1502"/>
      <c r="O1502"/>
      <c r="P1502"/>
      <c r="Q1502"/>
      <c r="R1502"/>
      <c r="S1502"/>
      <c r="T1502"/>
      <c r="U1502"/>
      <c r="V1502"/>
      <c r="W1502"/>
      <c r="X1502"/>
      <c r="Y1502"/>
    </row>
    <row r="1503" spans="1:25" s="104" customFormat="1" hidden="1" x14ac:dyDescent="0.25">
      <c r="A1503" s="97" t="str">
        <f t="shared" si="29"/>
        <v>dpi_vddh2_dyn_UXGA_|_1600x1200x30_fps_24b_|_3p3V</v>
      </c>
      <c r="B1503" s="97" t="s">
        <v>699</v>
      </c>
      <c r="C1503" s="97" t="s">
        <v>504</v>
      </c>
      <c r="D1503" s="97" t="s">
        <v>751</v>
      </c>
      <c r="E1503" s="97" t="s">
        <v>1050</v>
      </c>
      <c r="F1503" s="97">
        <v>53.662544971199999</v>
      </c>
      <c r="G1503" s="97" t="s">
        <v>629</v>
      </c>
      <c r="H1503" s="5"/>
      <c r="I1503"/>
      <c r="J1503"/>
      <c r="K1503"/>
      <c r="L1503"/>
      <c r="M1503"/>
      <c r="N1503"/>
      <c r="O1503"/>
      <c r="P1503"/>
      <c r="Q1503"/>
      <c r="R1503"/>
      <c r="S1503"/>
      <c r="T1503"/>
      <c r="U1503"/>
      <c r="V1503"/>
      <c r="W1503"/>
      <c r="X1503"/>
      <c r="Y1503"/>
    </row>
    <row r="1504" spans="1:25" s="104" customFormat="1" hidden="1" x14ac:dyDescent="0.25">
      <c r="A1504" s="97" t="str">
        <f t="shared" si="29"/>
        <v>dpi_vddh2_dyn_UXGA_|_1600x1200x60_fps_12b_|_3p3V</v>
      </c>
      <c r="B1504" s="97" t="s">
        <v>699</v>
      </c>
      <c r="C1504" s="97" t="s">
        <v>504</v>
      </c>
      <c r="D1504" s="97" t="s">
        <v>752</v>
      </c>
      <c r="E1504" s="97" t="s">
        <v>1050</v>
      </c>
      <c r="F1504" s="97">
        <v>100.15602696000001</v>
      </c>
      <c r="G1504" s="97" t="s">
        <v>629</v>
      </c>
      <c r="H1504" s="5"/>
      <c r="I1504"/>
      <c r="J1504"/>
      <c r="K1504"/>
      <c r="L1504"/>
      <c r="M1504"/>
      <c r="N1504"/>
      <c r="O1504"/>
      <c r="P1504"/>
      <c r="Q1504"/>
      <c r="R1504"/>
      <c r="S1504"/>
      <c r="T1504"/>
      <c r="U1504"/>
      <c r="V1504"/>
      <c r="W1504"/>
      <c r="X1504"/>
      <c r="Y1504"/>
    </row>
    <row r="1505" spans="1:25" s="104" customFormat="1" hidden="1" x14ac:dyDescent="0.25">
      <c r="A1505" s="97" t="str">
        <f t="shared" si="29"/>
        <v>dpi_vddh2_dyn_UXGA_|_1600x1200x60_fps_16b_|_3p3V</v>
      </c>
      <c r="B1505" s="97" t="s">
        <v>699</v>
      </c>
      <c r="C1505" s="97" t="s">
        <v>504</v>
      </c>
      <c r="D1505" s="97" t="s">
        <v>753</v>
      </c>
      <c r="E1505" s="97" t="s">
        <v>1050</v>
      </c>
      <c r="F1505" s="97">
        <v>100.15602696000001</v>
      </c>
      <c r="G1505" s="97" t="s">
        <v>629</v>
      </c>
      <c r="H1505" s="5"/>
      <c r="I1505"/>
      <c r="J1505"/>
      <c r="K1505"/>
      <c r="L1505"/>
      <c r="M1505"/>
      <c r="N1505"/>
      <c r="O1505"/>
      <c r="P1505"/>
      <c r="Q1505"/>
      <c r="R1505"/>
      <c r="S1505"/>
      <c r="T1505"/>
      <c r="U1505"/>
      <c r="V1505"/>
      <c r="W1505"/>
      <c r="X1505"/>
      <c r="Y1505"/>
    </row>
    <row r="1506" spans="1:25" s="104" customFormat="1" hidden="1" x14ac:dyDescent="0.25">
      <c r="A1506" s="97" t="str">
        <f t="shared" si="29"/>
        <v>dpi_vddh2_dyn_UXGA_|_1600x1200x60_fps_18b_|_3p3V</v>
      </c>
      <c r="B1506" s="97" t="s">
        <v>699</v>
      </c>
      <c r="C1506" s="97" t="s">
        <v>504</v>
      </c>
      <c r="D1506" s="97" t="s">
        <v>754</v>
      </c>
      <c r="E1506" s="97" t="s">
        <v>1050</v>
      </c>
      <c r="F1506" s="97">
        <v>107.3250899424</v>
      </c>
      <c r="G1506" s="97" t="s">
        <v>629</v>
      </c>
      <c r="H1506" s="5"/>
      <c r="I1506"/>
      <c r="J1506"/>
      <c r="K1506"/>
      <c r="L1506"/>
      <c r="M1506"/>
      <c r="N1506"/>
      <c r="O1506"/>
      <c r="P1506"/>
      <c r="Q1506"/>
      <c r="R1506"/>
      <c r="S1506"/>
      <c r="T1506"/>
      <c r="U1506"/>
      <c r="V1506"/>
      <c r="W1506"/>
      <c r="X1506"/>
      <c r="Y1506"/>
    </row>
    <row r="1507" spans="1:25" s="104" customFormat="1" hidden="1" x14ac:dyDescent="0.25">
      <c r="A1507" s="97" t="str">
        <f t="shared" si="29"/>
        <v>dpi_vddh2_dyn_UXGA_|_1600x1200x60_fps_24b_|_3p3V</v>
      </c>
      <c r="B1507" s="97" t="s">
        <v>699</v>
      </c>
      <c r="C1507" s="97" t="s">
        <v>504</v>
      </c>
      <c r="D1507" s="97" t="s">
        <v>755</v>
      </c>
      <c r="E1507" s="97" t="s">
        <v>1050</v>
      </c>
      <c r="F1507" s="97">
        <v>107.3250899424</v>
      </c>
      <c r="G1507" s="97" t="s">
        <v>629</v>
      </c>
      <c r="H1507" s="5"/>
      <c r="I1507"/>
      <c r="J1507"/>
      <c r="K1507"/>
      <c r="L1507"/>
      <c r="M1507"/>
      <c r="N1507"/>
      <c r="O1507"/>
      <c r="P1507"/>
      <c r="Q1507"/>
      <c r="R1507"/>
      <c r="S1507"/>
      <c r="T1507"/>
      <c r="U1507"/>
      <c r="V1507"/>
      <c r="W1507"/>
      <c r="X1507"/>
      <c r="Y1507"/>
    </row>
    <row r="1508" spans="1:25" s="104" customFormat="1" hidden="1" x14ac:dyDescent="0.25">
      <c r="A1508" s="97" t="str">
        <f t="shared" si="29"/>
        <v>dpi_vddh2_dyn_WVGA_|_854x480x60_fps_12b_|_3p3V</v>
      </c>
      <c r="B1508" s="97" t="s">
        <v>699</v>
      </c>
      <c r="C1508" s="97" t="s">
        <v>504</v>
      </c>
      <c r="D1508" s="97" t="s">
        <v>709</v>
      </c>
      <c r="E1508" s="97" t="s">
        <v>1050</v>
      </c>
      <c r="F1508" s="97">
        <v>21.072306816000001</v>
      </c>
      <c r="G1508" s="97" t="s">
        <v>629</v>
      </c>
      <c r="H1508" s="5"/>
      <c r="I1508"/>
      <c r="J1508"/>
      <c r="K1508"/>
      <c r="L1508"/>
      <c r="M1508"/>
      <c r="N1508"/>
      <c r="O1508"/>
      <c r="P1508"/>
      <c r="Q1508"/>
      <c r="R1508"/>
      <c r="S1508"/>
      <c r="T1508"/>
      <c r="U1508"/>
      <c r="V1508"/>
      <c r="W1508"/>
      <c r="X1508"/>
      <c r="Y1508"/>
    </row>
    <row r="1509" spans="1:25" s="104" customFormat="1" hidden="1" x14ac:dyDescent="0.25">
      <c r="A1509" s="97" t="str">
        <f t="shared" si="29"/>
        <v>dpi_vddh2_dyn_WVGA_|_854x480x60_fps_16b_|_3p3V</v>
      </c>
      <c r="B1509" s="97" t="s">
        <v>699</v>
      </c>
      <c r="C1509" s="97" t="s">
        <v>504</v>
      </c>
      <c r="D1509" s="97" t="s">
        <v>710</v>
      </c>
      <c r="E1509" s="97" t="s">
        <v>1050</v>
      </c>
      <c r="F1509" s="97">
        <v>19.664726400000003</v>
      </c>
      <c r="G1509" s="97" t="s">
        <v>629</v>
      </c>
      <c r="H1509" s="5"/>
      <c r="I1509"/>
      <c r="J1509"/>
      <c r="K1509"/>
      <c r="L1509"/>
      <c r="M1509"/>
      <c r="N1509"/>
      <c r="O1509"/>
      <c r="P1509"/>
      <c r="Q1509"/>
      <c r="R1509"/>
      <c r="S1509"/>
      <c r="T1509"/>
      <c r="U1509"/>
      <c r="V1509"/>
      <c r="W1509"/>
      <c r="X1509"/>
      <c r="Y1509"/>
    </row>
    <row r="1510" spans="1:25" s="104" customFormat="1" hidden="1" x14ac:dyDescent="0.25">
      <c r="A1510" s="97" t="str">
        <f t="shared" si="29"/>
        <v>dpi_vddh2_dyn_WVGA_|_854x480x60_fps_24b_|_3p3V</v>
      </c>
      <c r="B1510" s="97" t="s">
        <v>699</v>
      </c>
      <c r="C1510" s="97" t="s">
        <v>504</v>
      </c>
      <c r="D1510" s="97" t="s">
        <v>711</v>
      </c>
      <c r="E1510" s="97" t="s">
        <v>1050</v>
      </c>
      <c r="F1510" s="97">
        <v>25.295048063999999</v>
      </c>
      <c r="G1510" s="97" t="s">
        <v>629</v>
      </c>
      <c r="H1510" s="5"/>
      <c r="I1510"/>
      <c r="J1510"/>
      <c r="K1510"/>
      <c r="L1510"/>
      <c r="M1510"/>
      <c r="N1510"/>
      <c r="O1510"/>
      <c r="P1510"/>
      <c r="Q1510"/>
      <c r="R1510"/>
      <c r="S1510"/>
      <c r="T1510"/>
      <c r="U1510"/>
      <c r="V1510"/>
      <c r="W1510"/>
      <c r="X1510"/>
      <c r="Y1510"/>
    </row>
    <row r="1511" spans="1:25" s="104" customFormat="1" hidden="1" x14ac:dyDescent="0.25">
      <c r="A1511" s="97" t="str">
        <f t="shared" si="29"/>
        <v>dpi_vddh2_dyn_WVGA_|_854x480x60_fps_24b_|_3p3V</v>
      </c>
      <c r="B1511" s="97" t="s">
        <v>699</v>
      </c>
      <c r="C1511" s="97" t="s">
        <v>504</v>
      </c>
      <c r="D1511" s="97" t="s">
        <v>711</v>
      </c>
      <c r="E1511" s="97" t="s">
        <v>1050</v>
      </c>
      <c r="F1511" s="97">
        <v>25.295048063999999</v>
      </c>
      <c r="G1511" s="97" t="s">
        <v>629</v>
      </c>
      <c r="H1511" s="5"/>
      <c r="I1511"/>
      <c r="J1511"/>
      <c r="K1511"/>
      <c r="L1511"/>
      <c r="M1511"/>
      <c r="N1511"/>
      <c r="O1511"/>
      <c r="P1511"/>
      <c r="Q1511"/>
      <c r="R1511"/>
      <c r="S1511"/>
      <c r="T1511"/>
      <c r="U1511"/>
      <c r="V1511"/>
      <c r="W1511"/>
      <c r="X1511"/>
      <c r="Y1511"/>
    </row>
    <row r="1512" spans="1:25" s="104" customFormat="1" hidden="1" x14ac:dyDescent="0.25">
      <c r="A1512" s="97" t="str">
        <f t="shared" si="29"/>
        <v>dpi_vddh2_dyn_WXGA_|_1280x800x30_fps_12b_|_3p3V</v>
      </c>
      <c r="B1512" s="97" t="s">
        <v>699</v>
      </c>
      <c r="C1512" s="97" t="s">
        <v>504</v>
      </c>
      <c r="D1512" s="97" t="s">
        <v>721</v>
      </c>
      <c r="E1512" s="97" t="s">
        <v>1050</v>
      </c>
      <c r="F1512" s="97">
        <v>25.997662152</v>
      </c>
      <c r="G1512" s="97" t="s">
        <v>629</v>
      </c>
      <c r="H1512" s="5"/>
      <c r="I1512"/>
      <c r="J1512"/>
      <c r="K1512"/>
      <c r="L1512"/>
      <c r="M1512"/>
      <c r="N1512"/>
      <c r="O1512"/>
      <c r="P1512"/>
      <c r="Q1512"/>
      <c r="R1512"/>
      <c r="S1512"/>
      <c r="T1512"/>
      <c r="U1512"/>
      <c r="V1512"/>
      <c r="W1512"/>
      <c r="X1512"/>
      <c r="Y1512"/>
    </row>
    <row r="1513" spans="1:25" s="104" customFormat="1" hidden="1" x14ac:dyDescent="0.25">
      <c r="A1513" s="97" t="str">
        <f t="shared" si="29"/>
        <v>dpi_vddh2_dyn_WXGA_|_1280x800x30_fps_16b_|_3p3V</v>
      </c>
      <c r="B1513" s="97" t="s">
        <v>699</v>
      </c>
      <c r="C1513" s="97" t="s">
        <v>504</v>
      </c>
      <c r="D1513" s="97" t="s">
        <v>722</v>
      </c>
      <c r="E1513" s="97" t="s">
        <v>1050</v>
      </c>
      <c r="F1513" s="97">
        <v>25.997662152</v>
      </c>
      <c r="G1513" s="97" t="s">
        <v>629</v>
      </c>
      <c r="H1513" s="5"/>
      <c r="I1513"/>
      <c r="J1513"/>
      <c r="K1513"/>
      <c r="L1513"/>
      <c r="M1513"/>
      <c r="N1513"/>
      <c r="O1513"/>
      <c r="P1513"/>
      <c r="Q1513"/>
      <c r="R1513"/>
      <c r="S1513"/>
      <c r="T1513"/>
      <c r="U1513"/>
      <c r="V1513"/>
      <c r="W1513"/>
      <c r="X1513"/>
      <c r="Y1513"/>
    </row>
    <row r="1514" spans="1:25" s="104" customFormat="1" hidden="1" x14ac:dyDescent="0.25">
      <c r="A1514" s="97" t="str">
        <f t="shared" si="29"/>
        <v>dpi_vddh2_dyn_WXGA_|_1280x800x30_fps_24b_|_3p3V</v>
      </c>
      <c r="B1514" s="97" t="s">
        <v>699</v>
      </c>
      <c r="C1514" s="97" t="s">
        <v>504</v>
      </c>
      <c r="D1514" s="97" t="s">
        <v>723</v>
      </c>
      <c r="E1514" s="97" t="s">
        <v>1050</v>
      </c>
      <c r="F1514" s="97">
        <v>33.441203315519999</v>
      </c>
      <c r="G1514" s="97" t="s">
        <v>629</v>
      </c>
      <c r="H1514" s="5"/>
      <c r="I1514"/>
      <c r="J1514"/>
      <c r="K1514"/>
      <c r="L1514"/>
      <c r="M1514"/>
      <c r="N1514"/>
      <c r="O1514"/>
      <c r="P1514"/>
      <c r="Q1514"/>
      <c r="R1514"/>
      <c r="S1514"/>
      <c r="T1514"/>
      <c r="U1514"/>
      <c r="V1514"/>
      <c r="W1514"/>
      <c r="X1514"/>
      <c r="Y1514"/>
    </row>
    <row r="1515" spans="1:25" s="104" customFormat="1" hidden="1" x14ac:dyDescent="0.25">
      <c r="A1515" s="97" t="str">
        <f t="shared" si="29"/>
        <v>dpi_vddh2_dyn_WXGA_|_1280x800x30_fps_24b_|_3p3V</v>
      </c>
      <c r="B1515" s="97" t="s">
        <v>699</v>
      </c>
      <c r="C1515" s="97" t="s">
        <v>504</v>
      </c>
      <c r="D1515" s="97" t="s">
        <v>723</v>
      </c>
      <c r="E1515" s="97" t="s">
        <v>1050</v>
      </c>
      <c r="F1515" s="97">
        <v>33.441203315519999</v>
      </c>
      <c r="G1515" s="97" t="s">
        <v>629</v>
      </c>
      <c r="H1515" s="5"/>
      <c r="I1515"/>
      <c r="J1515"/>
      <c r="K1515"/>
      <c r="L1515"/>
      <c r="M1515"/>
      <c r="N1515"/>
      <c r="O1515"/>
      <c r="P1515"/>
      <c r="Q1515"/>
      <c r="R1515"/>
      <c r="S1515"/>
      <c r="T1515"/>
      <c r="U1515"/>
      <c r="V1515"/>
      <c r="W1515"/>
      <c r="X1515"/>
      <c r="Y1515"/>
    </row>
    <row r="1516" spans="1:25" s="104" customFormat="1" hidden="1" x14ac:dyDescent="0.25">
      <c r="A1516" s="97" t="str">
        <f t="shared" si="29"/>
        <v>dpi_vddh2_dyn_WXGA_|_1280x800x60_fps_12b_|_3p3V</v>
      </c>
      <c r="B1516" s="97" t="s">
        <v>699</v>
      </c>
      <c r="C1516" s="97" t="s">
        <v>504</v>
      </c>
      <c r="D1516" s="97" t="s">
        <v>724</v>
      </c>
      <c r="E1516" s="97" t="s">
        <v>1050</v>
      </c>
      <c r="F1516" s="97">
        <v>51.995324304</v>
      </c>
      <c r="G1516" s="97" t="s">
        <v>629</v>
      </c>
      <c r="H1516" s="5"/>
      <c r="I1516"/>
      <c r="J1516"/>
      <c r="K1516"/>
      <c r="L1516"/>
      <c r="M1516"/>
      <c r="N1516"/>
      <c r="O1516"/>
      <c r="P1516"/>
      <c r="Q1516"/>
      <c r="R1516"/>
      <c r="S1516"/>
      <c r="T1516"/>
      <c r="U1516"/>
      <c r="V1516"/>
      <c r="W1516"/>
      <c r="X1516"/>
      <c r="Y1516"/>
    </row>
    <row r="1517" spans="1:25" s="104" customFormat="1" hidden="1" x14ac:dyDescent="0.25">
      <c r="A1517" s="97" t="str">
        <f t="shared" si="29"/>
        <v>dpi_vddh2_dyn_WXGA_|_1280x800x60_fps_16b_|_3p3V</v>
      </c>
      <c r="B1517" s="97" t="s">
        <v>699</v>
      </c>
      <c r="C1517" s="97" t="s">
        <v>504</v>
      </c>
      <c r="D1517" s="97" t="s">
        <v>725</v>
      </c>
      <c r="E1517" s="97" t="s">
        <v>1050</v>
      </c>
      <c r="F1517" s="97">
        <v>51.995324304</v>
      </c>
      <c r="G1517" s="97" t="s">
        <v>629</v>
      </c>
      <c r="H1517" s="5"/>
      <c r="I1517"/>
      <c r="J1517"/>
      <c r="K1517"/>
      <c r="L1517"/>
      <c r="M1517"/>
      <c r="N1517"/>
      <c r="O1517"/>
      <c r="P1517"/>
      <c r="Q1517"/>
      <c r="R1517"/>
      <c r="S1517"/>
      <c r="T1517"/>
      <c r="U1517"/>
      <c r="V1517"/>
      <c r="W1517"/>
      <c r="X1517"/>
      <c r="Y1517"/>
    </row>
    <row r="1518" spans="1:25" s="104" customFormat="1" hidden="1" x14ac:dyDescent="0.25">
      <c r="A1518" s="97" t="str">
        <f t="shared" si="29"/>
        <v>dpi_vddh2_dyn_WXGA_|_1280x800x60_fps_18b_|_3p3V</v>
      </c>
      <c r="B1518" s="97" t="s">
        <v>699</v>
      </c>
      <c r="C1518" s="97" t="s">
        <v>504</v>
      </c>
      <c r="D1518" s="97" t="s">
        <v>726</v>
      </c>
      <c r="E1518" s="97" t="s">
        <v>1050</v>
      </c>
      <c r="F1518" s="97">
        <v>66.882406631039999</v>
      </c>
      <c r="G1518" s="97" t="s">
        <v>629</v>
      </c>
      <c r="H1518" s="5"/>
      <c r="I1518"/>
      <c r="J1518"/>
      <c r="K1518"/>
      <c r="L1518"/>
      <c r="M1518"/>
      <c r="N1518"/>
      <c r="O1518"/>
      <c r="P1518"/>
      <c r="Q1518"/>
      <c r="R1518"/>
      <c r="S1518"/>
      <c r="T1518"/>
      <c r="U1518"/>
      <c r="V1518"/>
      <c r="W1518"/>
      <c r="X1518"/>
      <c r="Y1518"/>
    </row>
    <row r="1519" spans="1:25" s="104" customFormat="1" hidden="1" x14ac:dyDescent="0.25">
      <c r="A1519" s="97" t="str">
        <f t="shared" si="29"/>
        <v>dpi_vddh2_dyn_WXGA_|_1280x800x60_fps_24b_|_3p3V</v>
      </c>
      <c r="B1519" s="97" t="s">
        <v>699</v>
      </c>
      <c r="C1519" s="97" t="s">
        <v>504</v>
      </c>
      <c r="D1519" s="97" t="s">
        <v>727</v>
      </c>
      <c r="E1519" s="97" t="s">
        <v>1050</v>
      </c>
      <c r="F1519" s="97">
        <v>66.882406631039999</v>
      </c>
      <c r="G1519" s="97" t="s">
        <v>629</v>
      </c>
      <c r="H1519" s="5"/>
      <c r="I1519"/>
      <c r="J1519"/>
      <c r="K1519"/>
      <c r="L1519"/>
      <c r="M1519"/>
      <c r="N1519"/>
      <c r="O1519"/>
      <c r="P1519"/>
      <c r="Q1519"/>
      <c r="R1519"/>
      <c r="S1519"/>
      <c r="T1519"/>
      <c r="U1519"/>
      <c r="V1519"/>
      <c r="W1519"/>
      <c r="X1519"/>
      <c r="Y1519"/>
    </row>
    <row r="1520" spans="1:25" s="104" customFormat="1" hidden="1" x14ac:dyDescent="0.25">
      <c r="A1520" s="97" t="str">
        <f t="shared" si="29"/>
        <v>dpi_vddh2_dyn_XGA_|_1024x768x60_fps_12b_|_3p3V</v>
      </c>
      <c r="B1520" s="97" t="s">
        <v>699</v>
      </c>
      <c r="C1520" s="97" t="s">
        <v>504</v>
      </c>
      <c r="D1520" s="97" t="s">
        <v>712</v>
      </c>
      <c r="E1520" s="97" t="s">
        <v>1050</v>
      </c>
      <c r="F1520" s="97">
        <v>39.468893587200007</v>
      </c>
      <c r="G1520" s="97" t="s">
        <v>629</v>
      </c>
      <c r="H1520" s="5"/>
      <c r="I1520"/>
      <c r="J1520"/>
      <c r="K1520"/>
      <c r="L1520"/>
      <c r="M1520"/>
      <c r="N1520"/>
      <c r="O1520"/>
      <c r="P1520"/>
      <c r="Q1520"/>
      <c r="R1520"/>
      <c r="S1520"/>
      <c r="T1520"/>
      <c r="U1520"/>
      <c r="V1520"/>
      <c r="W1520"/>
      <c r="X1520"/>
      <c r="Y1520"/>
    </row>
    <row r="1521" spans="1:25" s="104" customFormat="1" hidden="1" x14ac:dyDescent="0.25">
      <c r="A1521" s="97" t="str">
        <f t="shared" si="29"/>
        <v>dpi_vddh2_dyn_XGA_|_1024x768x60_fps_16b_|_3p3V</v>
      </c>
      <c r="B1521" s="97" t="s">
        <v>699</v>
      </c>
      <c r="C1521" s="97" t="s">
        <v>504</v>
      </c>
      <c r="D1521" s="97" t="s">
        <v>713</v>
      </c>
      <c r="E1521" s="97" t="s">
        <v>1050</v>
      </c>
      <c r="F1521" s="97">
        <v>39.468893587200007</v>
      </c>
      <c r="G1521" s="97" t="s">
        <v>629</v>
      </c>
      <c r="H1521" s="5"/>
      <c r="I1521"/>
      <c r="J1521"/>
      <c r="K1521"/>
      <c r="L1521"/>
      <c r="M1521"/>
      <c r="N1521"/>
      <c r="O1521"/>
      <c r="P1521"/>
      <c r="Q1521"/>
      <c r="R1521"/>
      <c r="S1521"/>
      <c r="T1521"/>
      <c r="U1521"/>
      <c r="V1521"/>
      <c r="W1521"/>
      <c r="X1521"/>
      <c r="Y1521"/>
    </row>
    <row r="1522" spans="1:25" s="104" customFormat="1" hidden="1" x14ac:dyDescent="0.25">
      <c r="A1522" s="97" t="str">
        <f t="shared" si="29"/>
        <v>dpi_vddh2_dyn_XGA_|_1024x768x60_fps_24b_|_3p3V</v>
      </c>
      <c r="B1522" s="97" t="s">
        <v>699</v>
      </c>
      <c r="C1522" s="97" t="s">
        <v>504</v>
      </c>
      <c r="D1522" s="97" t="s">
        <v>714</v>
      </c>
      <c r="E1522" s="97" t="s">
        <v>1050</v>
      </c>
      <c r="F1522" s="97">
        <v>50.769461014271997</v>
      </c>
      <c r="G1522" s="97" t="s">
        <v>629</v>
      </c>
      <c r="H1522" s="5"/>
      <c r="I1522"/>
      <c r="J1522"/>
      <c r="K1522"/>
      <c r="L1522"/>
      <c r="M1522"/>
      <c r="N1522"/>
      <c r="O1522"/>
      <c r="P1522"/>
      <c r="Q1522"/>
      <c r="R1522"/>
      <c r="S1522"/>
      <c r="T1522"/>
      <c r="U1522"/>
      <c r="V1522"/>
      <c r="W1522"/>
      <c r="X1522"/>
      <c r="Y1522"/>
    </row>
    <row r="1523" spans="1:25" s="104" customFormat="1" hidden="1" x14ac:dyDescent="0.25">
      <c r="A1523" s="97" t="str">
        <f t="shared" si="29"/>
        <v>dpi_vddh2_dyn_XGA_|_1024x768x60_fps_24b_|_3p3V</v>
      </c>
      <c r="B1523" s="97" t="s">
        <v>699</v>
      </c>
      <c r="C1523" s="97" t="s">
        <v>504</v>
      </c>
      <c r="D1523" s="97" t="s">
        <v>714</v>
      </c>
      <c r="E1523" s="97" t="s">
        <v>1050</v>
      </c>
      <c r="F1523" s="97">
        <v>50.769461014271997</v>
      </c>
      <c r="G1523" s="97" t="s">
        <v>629</v>
      </c>
      <c r="H1523" s="5"/>
      <c r="I1523"/>
      <c r="J1523"/>
      <c r="K1523"/>
      <c r="L1523"/>
      <c r="M1523"/>
      <c r="N1523"/>
      <c r="O1523"/>
      <c r="P1523"/>
      <c r="Q1523"/>
      <c r="R1523"/>
      <c r="S1523"/>
      <c r="T1523"/>
      <c r="U1523"/>
      <c r="V1523"/>
      <c r="W1523"/>
      <c r="X1523"/>
      <c r="Y1523"/>
    </row>
    <row r="1524" spans="1:25" s="104" customFormat="1" hidden="1" x14ac:dyDescent="0.25">
      <c r="A1524" s="97" t="str">
        <f t="shared" si="29"/>
        <v>i2c_od_vddh2_dyn_i2c_100k_3p3v</v>
      </c>
      <c r="B1524" s="97" t="s">
        <v>907</v>
      </c>
      <c r="C1524" s="97" t="s">
        <v>504</v>
      </c>
      <c r="D1524" s="97" t="s">
        <v>902</v>
      </c>
      <c r="E1524" s="97" t="s">
        <v>1050</v>
      </c>
      <c r="F1524" s="97">
        <v>0.11979000000000001</v>
      </c>
      <c r="G1524" s="97" t="s">
        <v>913</v>
      </c>
      <c r="H1524" s="5"/>
      <c r="I1524"/>
      <c r="J1524"/>
      <c r="K1524"/>
      <c r="L1524"/>
      <c r="M1524"/>
      <c r="N1524"/>
      <c r="O1524"/>
      <c r="P1524"/>
      <c r="Q1524"/>
      <c r="R1524"/>
      <c r="S1524"/>
      <c r="T1524"/>
      <c r="U1524"/>
      <c r="V1524"/>
      <c r="W1524"/>
      <c r="X1524"/>
      <c r="Y1524"/>
    </row>
    <row r="1525" spans="1:25" s="104" customFormat="1" hidden="1" x14ac:dyDescent="0.25">
      <c r="A1525" s="97" t="str">
        <f t="shared" si="29"/>
        <v>i2c_od_vddh2_dyn_i2c_400k_3p3v</v>
      </c>
      <c r="B1525" s="97" t="s">
        <v>907</v>
      </c>
      <c r="C1525" s="97" t="s">
        <v>504</v>
      </c>
      <c r="D1525" s="97" t="s">
        <v>901</v>
      </c>
      <c r="E1525" s="97" t="s">
        <v>1050</v>
      </c>
      <c r="F1525" s="97">
        <v>0.23958000000000002</v>
      </c>
      <c r="G1525" s="97" t="s">
        <v>913</v>
      </c>
      <c r="H1525" s="5"/>
      <c r="I1525"/>
      <c r="J1525"/>
      <c r="K1525"/>
      <c r="L1525"/>
      <c r="M1525"/>
      <c r="N1525"/>
      <c r="O1525"/>
      <c r="P1525"/>
      <c r="Q1525"/>
      <c r="R1525"/>
      <c r="S1525"/>
      <c r="T1525"/>
      <c r="U1525"/>
      <c r="V1525"/>
      <c r="W1525"/>
      <c r="X1525"/>
      <c r="Y1525"/>
    </row>
    <row r="1526" spans="1:25" s="104" customFormat="1" hidden="1" x14ac:dyDescent="0.25">
      <c r="A1526" s="97" t="str">
        <f t="shared" si="29"/>
        <v>i2c_vddh2_dyn_i2c_100k_3p3v</v>
      </c>
      <c r="B1526" s="97" t="s">
        <v>906</v>
      </c>
      <c r="C1526" s="97" t="s">
        <v>504</v>
      </c>
      <c r="D1526" s="97" t="s">
        <v>902</v>
      </c>
      <c r="E1526" s="97" t="s">
        <v>1050</v>
      </c>
      <c r="F1526" s="97">
        <v>0.12026915999999999</v>
      </c>
      <c r="G1526" s="97" t="s">
        <v>910</v>
      </c>
      <c r="H1526" s="5"/>
      <c r="I1526"/>
      <c r="J1526"/>
      <c r="K1526"/>
      <c r="L1526"/>
      <c r="M1526"/>
      <c r="N1526"/>
      <c r="O1526"/>
      <c r="P1526"/>
      <c r="Q1526"/>
      <c r="R1526"/>
      <c r="S1526"/>
      <c r="T1526"/>
      <c r="U1526"/>
      <c r="V1526"/>
      <c r="W1526"/>
      <c r="X1526"/>
      <c r="Y1526"/>
    </row>
    <row r="1527" spans="1:25" s="104" customFormat="1" hidden="1" x14ac:dyDescent="0.25">
      <c r="A1527" s="97" t="str">
        <f t="shared" si="29"/>
        <v>i2c_vddh2_dyn_i2c_400k_3p3v</v>
      </c>
      <c r="B1527" s="97" t="s">
        <v>906</v>
      </c>
      <c r="C1527" s="97" t="s">
        <v>504</v>
      </c>
      <c r="D1527" s="97" t="s">
        <v>901</v>
      </c>
      <c r="E1527" s="97" t="s">
        <v>1050</v>
      </c>
      <c r="F1527" s="97">
        <v>0.48107663999999994</v>
      </c>
      <c r="G1527" s="97" t="s">
        <v>910</v>
      </c>
      <c r="H1527" s="5"/>
      <c r="I1527"/>
      <c r="J1527"/>
      <c r="K1527"/>
      <c r="L1527"/>
      <c r="M1527"/>
      <c r="N1527"/>
      <c r="O1527"/>
      <c r="P1527"/>
      <c r="Q1527"/>
      <c r="R1527"/>
      <c r="S1527"/>
      <c r="T1527"/>
      <c r="U1527"/>
      <c r="V1527"/>
      <c r="W1527"/>
      <c r="X1527"/>
      <c r="Y1527"/>
    </row>
    <row r="1528" spans="1:25" s="104" customFormat="1" hidden="1" x14ac:dyDescent="0.25">
      <c r="A1528" s="97" t="str">
        <f t="shared" ref="A1528:A1591" si="30">B1528&amp;"_"&amp;C1528&amp;"_"&amp;D1528</f>
        <v>epwm_vddh2_dyn_on_3p3v</v>
      </c>
      <c r="B1528" s="97" t="s">
        <v>967</v>
      </c>
      <c r="C1528" s="97" t="s">
        <v>504</v>
      </c>
      <c r="D1528" s="97" t="s">
        <v>956</v>
      </c>
      <c r="E1528" s="97" t="s">
        <v>1050</v>
      </c>
      <c r="F1528" s="97">
        <v>2.6135999999999995</v>
      </c>
      <c r="G1528" s="97" t="s">
        <v>963</v>
      </c>
      <c r="H1528" s="5"/>
      <c r="I1528"/>
      <c r="J1528"/>
      <c r="K1528"/>
      <c r="L1528"/>
      <c r="M1528"/>
      <c r="N1528"/>
      <c r="O1528"/>
      <c r="P1528"/>
      <c r="Q1528"/>
      <c r="R1528"/>
      <c r="S1528"/>
      <c r="T1528"/>
      <c r="U1528"/>
      <c r="V1528"/>
      <c r="W1528"/>
      <c r="X1528"/>
      <c r="Y1528"/>
    </row>
    <row r="1529" spans="1:25" s="104" customFormat="1" hidden="1" x14ac:dyDescent="0.25">
      <c r="A1529" s="97" t="str">
        <f t="shared" si="30"/>
        <v>fssul_vddh2_dyn_off</v>
      </c>
      <c r="B1529" s="97" t="s">
        <v>689</v>
      </c>
      <c r="C1529" s="97" t="s">
        <v>504</v>
      </c>
      <c r="D1529" s="97" t="s">
        <v>69</v>
      </c>
      <c r="E1529" s="97" t="s">
        <v>1050</v>
      </c>
      <c r="F1529" s="97">
        <v>0</v>
      </c>
      <c r="G1529" s="97" t="s">
        <v>629</v>
      </c>
      <c r="H1529" s="5"/>
      <c r="I1529"/>
      <c r="J1529"/>
      <c r="K1529"/>
      <c r="L1529"/>
      <c r="M1529"/>
      <c r="N1529"/>
      <c r="O1529"/>
      <c r="P1529"/>
      <c r="Q1529"/>
      <c r="R1529"/>
      <c r="S1529"/>
      <c r="T1529"/>
      <c r="U1529"/>
      <c r="V1529"/>
      <c r="W1529"/>
      <c r="X1529"/>
      <c r="Y1529"/>
    </row>
    <row r="1530" spans="1:25" s="104" customFormat="1" hidden="1" x14ac:dyDescent="0.25">
      <c r="A1530" s="97" t="str">
        <f t="shared" si="30"/>
        <v>fssul_vddh2_dyn_off</v>
      </c>
      <c r="B1530" s="97" t="s">
        <v>689</v>
      </c>
      <c r="C1530" s="97" t="s">
        <v>504</v>
      </c>
      <c r="D1530" s="97" t="s">
        <v>69</v>
      </c>
      <c r="E1530" s="97" t="s">
        <v>1050</v>
      </c>
      <c r="F1530" s="97">
        <v>0</v>
      </c>
      <c r="G1530" s="97" t="s">
        <v>629</v>
      </c>
      <c r="H1530" s="5"/>
      <c r="I1530"/>
      <c r="J1530"/>
      <c r="K1530"/>
      <c r="L1530"/>
      <c r="M1530"/>
      <c r="N1530"/>
      <c r="O1530"/>
      <c r="P1530"/>
      <c r="Q1530"/>
      <c r="R1530"/>
      <c r="S1530"/>
      <c r="T1530"/>
      <c r="U1530"/>
      <c r="V1530"/>
      <c r="W1530"/>
      <c r="X1530"/>
      <c r="Y1530"/>
    </row>
    <row r="1531" spans="1:25" s="104" customFormat="1" hidden="1" x14ac:dyDescent="0.25">
      <c r="A1531" s="97" t="str">
        <f t="shared" si="30"/>
        <v>fssul_vddh2_dyn_ospi_ddr_master_133_3p3v</v>
      </c>
      <c r="B1531" s="97" t="s">
        <v>689</v>
      </c>
      <c r="C1531" s="97" t="s">
        <v>504</v>
      </c>
      <c r="D1531" s="97" t="s">
        <v>686</v>
      </c>
      <c r="E1531" s="97" t="s">
        <v>1050</v>
      </c>
      <c r="F1531" s="97">
        <v>52.150879241999981</v>
      </c>
      <c r="G1531" s="97" t="s">
        <v>629</v>
      </c>
      <c r="H1531" s="5"/>
      <c r="I1531"/>
      <c r="J1531"/>
      <c r="K1531"/>
      <c r="L1531"/>
      <c r="M1531"/>
      <c r="N1531"/>
      <c r="O1531"/>
      <c r="P1531"/>
      <c r="Q1531"/>
      <c r="R1531"/>
      <c r="S1531"/>
      <c r="T1531"/>
      <c r="U1531"/>
      <c r="V1531"/>
      <c r="W1531"/>
      <c r="X1531"/>
      <c r="Y1531"/>
    </row>
    <row r="1532" spans="1:25" s="104" customFormat="1" hidden="1" x14ac:dyDescent="0.25">
      <c r="A1532" s="97" t="str">
        <f t="shared" si="30"/>
        <v>fssul_vddh2_dyn_ospi_ddr_master_160_3p3v</v>
      </c>
      <c r="B1532" s="97" t="s">
        <v>689</v>
      </c>
      <c r="C1532" s="97" t="s">
        <v>504</v>
      </c>
      <c r="D1532" s="97" t="s">
        <v>685</v>
      </c>
      <c r="E1532" s="97" t="s">
        <v>1050</v>
      </c>
      <c r="F1532" s="97">
        <v>41.825266559999996</v>
      </c>
      <c r="G1532" s="97" t="s">
        <v>629</v>
      </c>
      <c r="H1532" s="5"/>
      <c r="I1532"/>
      <c r="J1532"/>
      <c r="K1532"/>
      <c r="L1532"/>
      <c r="M1532"/>
      <c r="N1532"/>
      <c r="O1532"/>
      <c r="P1532"/>
      <c r="Q1532"/>
      <c r="R1532"/>
      <c r="S1532"/>
      <c r="T1532"/>
      <c r="U1532"/>
      <c r="V1532"/>
      <c r="W1532"/>
      <c r="X1532"/>
      <c r="Y1532"/>
    </row>
    <row r="1533" spans="1:25" s="104" customFormat="1" hidden="1" x14ac:dyDescent="0.25">
      <c r="A1533" s="97" t="str">
        <f t="shared" si="30"/>
        <v>fssul_vddh2_dyn_ospi_sdr_master_108_3p3v</v>
      </c>
      <c r="B1533" s="97" t="s">
        <v>689</v>
      </c>
      <c r="C1533" s="97" t="s">
        <v>504</v>
      </c>
      <c r="D1533" s="97" t="s">
        <v>688</v>
      </c>
      <c r="E1533" s="97" t="s">
        <v>1050</v>
      </c>
      <c r="F1533" s="97">
        <v>56.461522391999992</v>
      </c>
      <c r="G1533" s="97" t="s">
        <v>629</v>
      </c>
      <c r="H1533" s="5"/>
      <c r="I1533"/>
      <c r="J1533"/>
      <c r="K1533"/>
      <c r="L1533"/>
      <c r="M1533"/>
      <c r="N1533"/>
      <c r="O1533"/>
      <c r="P1533"/>
      <c r="Q1533"/>
      <c r="R1533"/>
      <c r="S1533"/>
      <c r="T1533"/>
      <c r="U1533"/>
      <c r="V1533"/>
      <c r="W1533"/>
      <c r="X1533"/>
      <c r="Y1533"/>
    </row>
    <row r="1534" spans="1:25" s="104" customFormat="1" hidden="1" x14ac:dyDescent="0.25">
      <c r="A1534" s="97" t="str">
        <f t="shared" si="30"/>
        <v>fssul_vddh2_dyn_ospi_sdr_master_133_3p3v</v>
      </c>
      <c r="B1534" s="97" t="s">
        <v>689</v>
      </c>
      <c r="C1534" s="97" t="s">
        <v>504</v>
      </c>
      <c r="D1534" s="97" t="s">
        <v>687</v>
      </c>
      <c r="E1534" s="97" t="s">
        <v>1050</v>
      </c>
      <c r="F1534" s="97">
        <v>69.531319241999981</v>
      </c>
      <c r="G1534" s="97" t="s">
        <v>629</v>
      </c>
      <c r="H1534" s="5"/>
      <c r="I1534"/>
      <c r="J1534"/>
      <c r="K1534"/>
      <c r="L1534"/>
      <c r="M1534"/>
      <c r="N1534"/>
      <c r="O1534"/>
      <c r="P1534"/>
      <c r="Q1534"/>
      <c r="R1534"/>
      <c r="S1534"/>
      <c r="T1534"/>
      <c r="U1534"/>
      <c r="V1534"/>
      <c r="W1534"/>
      <c r="X1534"/>
      <c r="Y1534"/>
    </row>
    <row r="1535" spans="1:25" s="104" customFormat="1" hidden="1" x14ac:dyDescent="0.25">
      <c r="A1535" s="97" t="str">
        <f t="shared" si="30"/>
        <v>fssul_vddh2_dyn_qspi_ddr_master_133_3p3v</v>
      </c>
      <c r="B1535" s="97" t="s">
        <v>689</v>
      </c>
      <c r="C1535" s="97" t="s">
        <v>504</v>
      </c>
      <c r="D1535" s="97" t="s">
        <v>682</v>
      </c>
      <c r="E1535" s="97" t="s">
        <v>1050</v>
      </c>
      <c r="F1535" s="97">
        <v>34.770439241999995</v>
      </c>
      <c r="G1535" s="97" t="s">
        <v>629</v>
      </c>
      <c r="H1535" s="5"/>
      <c r="I1535"/>
      <c r="J1535"/>
      <c r="K1535"/>
      <c r="L1535"/>
      <c r="M1535"/>
      <c r="N1535"/>
      <c r="O1535"/>
      <c r="P1535"/>
      <c r="Q1535"/>
      <c r="R1535"/>
      <c r="S1535"/>
      <c r="T1535"/>
      <c r="U1535"/>
      <c r="V1535"/>
      <c r="W1535"/>
      <c r="X1535"/>
      <c r="Y1535"/>
    </row>
    <row r="1536" spans="1:25" s="104" customFormat="1" hidden="1" x14ac:dyDescent="0.25">
      <c r="A1536" s="97" t="str">
        <f t="shared" si="30"/>
        <v>fssul_vddh2_dyn_qspi_ddr_master_160_3p3v</v>
      </c>
      <c r="B1536" s="97" t="s">
        <v>689</v>
      </c>
      <c r="C1536" s="97" t="s">
        <v>504</v>
      </c>
      <c r="D1536" s="97" t="s">
        <v>681</v>
      </c>
      <c r="E1536" s="97" t="s">
        <v>1050</v>
      </c>
      <c r="F1536" s="97">
        <v>27.88606656</v>
      </c>
      <c r="G1536" s="97" t="s">
        <v>629</v>
      </c>
      <c r="H1536" s="5"/>
      <c r="I1536"/>
      <c r="J1536"/>
      <c r="K1536"/>
      <c r="L1536"/>
      <c r="M1536"/>
      <c r="N1536"/>
      <c r="O1536"/>
      <c r="P1536"/>
      <c r="Q1536"/>
      <c r="R1536"/>
      <c r="S1536"/>
      <c r="T1536"/>
      <c r="U1536"/>
      <c r="V1536"/>
      <c r="W1536"/>
      <c r="X1536"/>
      <c r="Y1536"/>
    </row>
    <row r="1537" spans="1:25" s="104" customFormat="1" hidden="1" x14ac:dyDescent="0.25">
      <c r="A1537" s="97" t="str">
        <f t="shared" si="30"/>
        <v>fssul_vddh2_dyn_qspi_sdr_master_108_3p3v</v>
      </c>
      <c r="B1537" s="97" t="s">
        <v>689</v>
      </c>
      <c r="C1537" s="97" t="s">
        <v>504</v>
      </c>
      <c r="D1537" s="97" t="s">
        <v>684</v>
      </c>
      <c r="E1537" s="97" t="s">
        <v>1050</v>
      </c>
      <c r="F1537" s="97">
        <v>42.348082391999988</v>
      </c>
      <c r="G1537" s="97" t="s">
        <v>629</v>
      </c>
      <c r="H1537" s="5"/>
      <c r="I1537"/>
      <c r="J1537"/>
      <c r="K1537"/>
      <c r="L1537"/>
      <c r="M1537"/>
      <c r="N1537"/>
      <c r="O1537"/>
      <c r="P1537"/>
      <c r="Q1537"/>
      <c r="R1537"/>
      <c r="S1537"/>
      <c r="T1537"/>
      <c r="U1537"/>
      <c r="V1537"/>
      <c r="W1537"/>
      <c r="X1537"/>
      <c r="Y1537"/>
    </row>
    <row r="1538" spans="1:25" s="104" customFormat="1" hidden="1" x14ac:dyDescent="0.25">
      <c r="A1538" s="97" t="str">
        <f t="shared" si="30"/>
        <v>fssul_vddh2_dyn_qspi_sdr_master_133_3p3v</v>
      </c>
      <c r="B1538" s="97" t="s">
        <v>689</v>
      </c>
      <c r="C1538" s="97" t="s">
        <v>504</v>
      </c>
      <c r="D1538" s="97" t="s">
        <v>683</v>
      </c>
      <c r="E1538" s="97" t="s">
        <v>1050</v>
      </c>
      <c r="F1538" s="97">
        <v>52.150879241999981</v>
      </c>
      <c r="G1538" s="97" t="s">
        <v>629</v>
      </c>
      <c r="H1538" s="5"/>
      <c r="I1538"/>
      <c r="J1538"/>
      <c r="K1538"/>
      <c r="L1538"/>
      <c r="M1538"/>
      <c r="N1538"/>
      <c r="O1538"/>
      <c r="P1538"/>
      <c r="Q1538"/>
      <c r="R1538"/>
      <c r="S1538"/>
      <c r="T1538"/>
      <c r="U1538"/>
      <c r="V1538"/>
      <c r="W1538"/>
      <c r="X1538"/>
      <c r="Y1538"/>
    </row>
    <row r="1539" spans="1:25" s="104" customFormat="1" hidden="1" x14ac:dyDescent="0.25">
      <c r="A1539" s="97" t="str">
        <f t="shared" si="30"/>
        <v>ecap_vddh2_dyn_capture_in_1m_3p3v</v>
      </c>
      <c r="B1539" s="97" t="s">
        <v>938</v>
      </c>
      <c r="C1539" s="97" t="s">
        <v>504</v>
      </c>
      <c r="D1539" s="97" t="s">
        <v>947</v>
      </c>
      <c r="E1539" s="97" t="s">
        <v>1050</v>
      </c>
      <c r="F1539" s="97">
        <v>0</v>
      </c>
      <c r="G1539" s="97"/>
      <c r="H1539" s="5"/>
      <c r="I1539"/>
      <c r="J1539"/>
      <c r="K1539"/>
      <c r="L1539"/>
      <c r="M1539"/>
      <c r="N1539"/>
      <c r="O1539"/>
      <c r="P1539"/>
      <c r="Q1539"/>
      <c r="R1539"/>
      <c r="S1539"/>
      <c r="T1539"/>
      <c r="U1539"/>
      <c r="V1539"/>
      <c r="W1539"/>
      <c r="X1539"/>
      <c r="Y1539"/>
    </row>
    <row r="1540" spans="1:25" s="104" customFormat="1" hidden="1" x14ac:dyDescent="0.25">
      <c r="A1540" s="97" t="str">
        <f t="shared" si="30"/>
        <v>ecap_vddh2_dyn_capture_in_5m_3p3v</v>
      </c>
      <c r="B1540" s="97" t="s">
        <v>938</v>
      </c>
      <c r="C1540" s="97" t="s">
        <v>504</v>
      </c>
      <c r="D1540" s="97" t="s">
        <v>946</v>
      </c>
      <c r="E1540" s="97" t="s">
        <v>1050</v>
      </c>
      <c r="F1540" s="97">
        <v>0</v>
      </c>
      <c r="G1540" s="97" t="s">
        <v>952</v>
      </c>
      <c r="H1540" s="5"/>
      <c r="I1540"/>
      <c r="J1540"/>
      <c r="K1540"/>
      <c r="L1540"/>
      <c r="M1540"/>
      <c r="N1540"/>
      <c r="O1540"/>
      <c r="P1540"/>
      <c r="Q1540"/>
      <c r="R1540"/>
      <c r="S1540"/>
      <c r="T1540"/>
      <c r="U1540"/>
      <c r="V1540"/>
      <c r="W1540"/>
      <c r="X1540"/>
      <c r="Y1540"/>
    </row>
    <row r="1541" spans="1:25" s="104" customFormat="1" hidden="1" x14ac:dyDescent="0.25">
      <c r="A1541" s="97" t="str">
        <f t="shared" si="30"/>
        <v>ecap_vddh2_dyn_pwm_out_1m_3p3v</v>
      </c>
      <c r="B1541" s="97" t="s">
        <v>938</v>
      </c>
      <c r="C1541" s="97" t="s">
        <v>504</v>
      </c>
      <c r="D1541" s="97" t="s">
        <v>943</v>
      </c>
      <c r="E1541" s="97" t="s">
        <v>1050</v>
      </c>
      <c r="F1541" s="97">
        <v>0.26135999999999998</v>
      </c>
      <c r="G1541" s="97"/>
      <c r="H1541" s="5"/>
      <c r="I1541"/>
      <c r="J1541"/>
      <c r="K1541"/>
      <c r="L1541"/>
      <c r="M1541"/>
      <c r="N1541"/>
      <c r="O1541"/>
      <c r="P1541"/>
      <c r="Q1541"/>
      <c r="R1541"/>
      <c r="S1541"/>
      <c r="T1541"/>
      <c r="U1541"/>
      <c r="V1541"/>
      <c r="W1541"/>
      <c r="X1541"/>
      <c r="Y1541"/>
    </row>
    <row r="1542" spans="1:25" s="104" customFormat="1" hidden="1" x14ac:dyDescent="0.25">
      <c r="A1542" s="97" t="str">
        <f t="shared" si="30"/>
        <v>ecap_vddh2_dyn_pwm_out_5m_3p3v</v>
      </c>
      <c r="B1542" s="97" t="s">
        <v>938</v>
      </c>
      <c r="C1542" s="97" t="s">
        <v>504</v>
      </c>
      <c r="D1542" s="97" t="s">
        <v>942</v>
      </c>
      <c r="E1542" s="97" t="s">
        <v>1050</v>
      </c>
      <c r="F1542" s="97">
        <v>1.3067999999999997</v>
      </c>
      <c r="G1542" s="97"/>
      <c r="H1542" s="5"/>
      <c r="I1542"/>
      <c r="J1542"/>
      <c r="K1542"/>
      <c r="L1542"/>
      <c r="M1542"/>
      <c r="N1542"/>
      <c r="O1542"/>
      <c r="P1542"/>
      <c r="Q1542"/>
      <c r="R1542"/>
      <c r="S1542"/>
      <c r="T1542"/>
      <c r="U1542"/>
      <c r="V1542"/>
      <c r="W1542"/>
      <c r="X1542"/>
      <c r="Y1542"/>
    </row>
    <row r="1543" spans="1:25" s="104" customFormat="1" hidden="1" x14ac:dyDescent="0.25">
      <c r="A1543" s="97" t="str">
        <f t="shared" si="30"/>
        <v>eqep_vddh2_dyn_on_3p3v</v>
      </c>
      <c r="B1543" s="97" t="s">
        <v>937</v>
      </c>
      <c r="C1543" s="97" t="s">
        <v>504</v>
      </c>
      <c r="D1543" s="97" t="s">
        <v>956</v>
      </c>
      <c r="E1543" s="97" t="s">
        <v>1050</v>
      </c>
      <c r="F1543" s="97">
        <v>2.6135999999999998E-3</v>
      </c>
      <c r="G1543" s="97" t="s">
        <v>958</v>
      </c>
      <c r="H1543" s="5"/>
      <c r="I1543"/>
      <c r="J1543"/>
      <c r="K1543"/>
      <c r="L1543"/>
      <c r="M1543"/>
      <c r="N1543"/>
      <c r="O1543"/>
      <c r="P1543"/>
      <c r="Q1543"/>
      <c r="R1543"/>
      <c r="S1543"/>
      <c r="T1543"/>
      <c r="U1543"/>
      <c r="V1543"/>
      <c r="W1543"/>
      <c r="X1543"/>
      <c r="Y1543"/>
    </row>
    <row r="1544" spans="1:25" s="104" customFormat="1" hidden="1" x14ac:dyDescent="0.25">
      <c r="A1544" s="97" t="str">
        <f t="shared" si="30"/>
        <v>ethernet_vddh2_dyn_off</v>
      </c>
      <c r="B1544" s="97" t="s">
        <v>649</v>
      </c>
      <c r="C1544" s="97" t="s">
        <v>504</v>
      </c>
      <c r="D1544" s="97" t="s">
        <v>69</v>
      </c>
      <c r="E1544" s="97" t="s">
        <v>1050</v>
      </c>
      <c r="F1544" s="105">
        <v>0</v>
      </c>
      <c r="G1544" s="97"/>
      <c r="H1544" s="5"/>
      <c r="I1544"/>
      <c r="J1544"/>
      <c r="K1544"/>
      <c r="L1544"/>
      <c r="M1544"/>
      <c r="N1544"/>
      <c r="O1544"/>
      <c r="P1544"/>
      <c r="Q1544"/>
      <c r="R1544"/>
      <c r="S1544"/>
      <c r="T1544"/>
      <c r="U1544"/>
      <c r="V1544"/>
      <c r="W1544"/>
      <c r="X1544"/>
      <c r="Y1544"/>
    </row>
    <row r="1545" spans="1:25" s="104" customFormat="1" hidden="1" x14ac:dyDescent="0.25">
      <c r="A1545" s="97" t="str">
        <f t="shared" si="30"/>
        <v>ethernet_vddh2_dyn_rgmii_10_1p8v</v>
      </c>
      <c r="B1545" s="97" t="s">
        <v>649</v>
      </c>
      <c r="C1545" s="97" t="s">
        <v>504</v>
      </c>
      <c r="D1545" s="97" t="s">
        <v>667</v>
      </c>
      <c r="E1545" s="97" t="s">
        <v>1050</v>
      </c>
      <c r="F1545" s="105">
        <v>0</v>
      </c>
      <c r="G1545" s="97"/>
      <c r="H1545" s="5"/>
      <c r="I1545"/>
      <c r="J1545"/>
      <c r="K1545"/>
      <c r="L1545"/>
      <c r="M1545"/>
      <c r="N1545"/>
      <c r="O1545"/>
      <c r="P1545"/>
      <c r="Q1545"/>
      <c r="R1545"/>
      <c r="S1545"/>
      <c r="T1545"/>
      <c r="U1545"/>
      <c r="V1545"/>
      <c r="W1545"/>
      <c r="X1545"/>
      <c r="Y1545"/>
    </row>
    <row r="1546" spans="1:25" s="104" customFormat="1" hidden="1" x14ac:dyDescent="0.25">
      <c r="A1546" s="97" t="str">
        <f t="shared" si="30"/>
        <v>ethernet_vddh2_dyn_rgmii_10_3p3v</v>
      </c>
      <c r="B1546" s="97" t="s">
        <v>649</v>
      </c>
      <c r="C1546" s="97" t="s">
        <v>504</v>
      </c>
      <c r="D1546" s="97" t="s">
        <v>675</v>
      </c>
      <c r="E1546" s="97" t="s">
        <v>1050</v>
      </c>
      <c r="F1546" s="105">
        <v>3.1450319999999996</v>
      </c>
      <c r="G1546" s="97"/>
      <c r="H1546" s="5"/>
      <c r="I1546"/>
      <c r="J1546"/>
      <c r="K1546"/>
      <c r="L1546"/>
      <c r="M1546"/>
      <c r="N1546"/>
      <c r="O1546"/>
      <c r="P1546"/>
      <c r="Q1546"/>
      <c r="R1546"/>
      <c r="S1546"/>
      <c r="T1546"/>
      <c r="U1546"/>
      <c r="V1546"/>
      <c r="W1546"/>
      <c r="X1546"/>
      <c r="Y1546"/>
    </row>
    <row r="1547" spans="1:25" s="104" customFormat="1" hidden="1" x14ac:dyDescent="0.25">
      <c r="A1547" s="97" t="str">
        <f t="shared" si="30"/>
        <v>ethernet_vddh2_dyn_rgmii_100_1p8v</v>
      </c>
      <c r="B1547" s="97" t="s">
        <v>649</v>
      </c>
      <c r="C1547" s="97" t="s">
        <v>504</v>
      </c>
      <c r="D1547" s="97" t="s">
        <v>666</v>
      </c>
      <c r="E1547" s="97" t="s">
        <v>1050</v>
      </c>
      <c r="F1547" s="105">
        <v>0</v>
      </c>
      <c r="G1547" s="97"/>
      <c r="H1547" s="5"/>
      <c r="I1547"/>
      <c r="J1547"/>
      <c r="K1547"/>
      <c r="L1547"/>
      <c r="M1547"/>
      <c r="N1547"/>
      <c r="O1547"/>
      <c r="P1547"/>
      <c r="Q1547"/>
      <c r="R1547"/>
      <c r="S1547"/>
      <c r="T1547"/>
      <c r="U1547"/>
      <c r="V1547"/>
      <c r="W1547"/>
      <c r="X1547"/>
      <c r="Y1547"/>
    </row>
    <row r="1548" spans="1:25" s="104" customFormat="1" hidden="1" x14ac:dyDescent="0.25">
      <c r="A1548" s="97" t="str">
        <f t="shared" si="30"/>
        <v>ethernet_vddh2_dyn_rgmii_100_3p3v</v>
      </c>
      <c r="B1548" s="97" t="s">
        <v>649</v>
      </c>
      <c r="C1548" s="97" t="s">
        <v>504</v>
      </c>
      <c r="D1548" s="97" t="s">
        <v>674</v>
      </c>
      <c r="E1548" s="97" t="s">
        <v>1050</v>
      </c>
      <c r="F1548" s="105">
        <v>27.529919999999997</v>
      </c>
      <c r="G1548" s="97"/>
      <c r="H1548" s="5"/>
      <c r="I1548"/>
      <c r="J1548"/>
      <c r="K1548"/>
      <c r="L1548"/>
      <c r="M1548"/>
      <c r="N1548"/>
      <c r="O1548"/>
      <c r="P1548"/>
      <c r="Q1548"/>
      <c r="R1548"/>
      <c r="S1548"/>
      <c r="T1548"/>
      <c r="U1548"/>
      <c r="V1548"/>
      <c r="W1548"/>
      <c r="X1548"/>
      <c r="Y1548"/>
    </row>
    <row r="1549" spans="1:25" s="104" customFormat="1" hidden="1" x14ac:dyDescent="0.25">
      <c r="A1549" s="97" t="str">
        <f t="shared" si="30"/>
        <v>ethernet_vddh2_dyn_rgmii_1000_1p8v</v>
      </c>
      <c r="B1549" s="97" t="s">
        <v>649</v>
      </c>
      <c r="C1549" s="97" t="s">
        <v>504</v>
      </c>
      <c r="D1549" s="97" t="s">
        <v>665</v>
      </c>
      <c r="E1549" s="97" t="s">
        <v>1050</v>
      </c>
      <c r="F1549" s="105">
        <v>0</v>
      </c>
      <c r="G1549" s="97"/>
      <c r="H1549" s="5"/>
      <c r="I1549"/>
      <c r="J1549"/>
      <c r="K1549"/>
      <c r="L1549"/>
      <c r="M1549"/>
      <c r="N1549"/>
      <c r="O1549"/>
      <c r="P1549"/>
      <c r="Q1549"/>
      <c r="R1549"/>
      <c r="S1549"/>
      <c r="T1549"/>
      <c r="U1549"/>
      <c r="V1549"/>
      <c r="W1549"/>
      <c r="X1549"/>
      <c r="Y1549"/>
    </row>
    <row r="1550" spans="1:25" s="104" customFormat="1" hidden="1" x14ac:dyDescent="0.25">
      <c r="A1550" s="97" t="str">
        <f t="shared" si="30"/>
        <v>ethernet_vddh2_dyn_rgmii_1000_3p3v</v>
      </c>
      <c r="B1550" s="97" t="s">
        <v>649</v>
      </c>
      <c r="C1550" s="97" t="s">
        <v>504</v>
      </c>
      <c r="D1550" s="97" t="s">
        <v>673</v>
      </c>
      <c r="E1550" s="97" t="s">
        <v>1050</v>
      </c>
      <c r="F1550" s="105">
        <v>136.34279999999998</v>
      </c>
      <c r="G1550" s="97"/>
      <c r="H1550" s="5"/>
      <c r="I1550"/>
      <c r="J1550"/>
      <c r="K1550"/>
      <c r="L1550"/>
      <c r="M1550"/>
      <c r="N1550"/>
      <c r="O1550"/>
      <c r="P1550"/>
      <c r="Q1550"/>
      <c r="R1550"/>
      <c r="S1550"/>
      <c r="T1550"/>
      <c r="U1550"/>
      <c r="V1550"/>
      <c r="W1550"/>
      <c r="X1550"/>
      <c r="Y1550"/>
    </row>
    <row r="1551" spans="1:25" s="104" customFormat="1" hidden="1" x14ac:dyDescent="0.25">
      <c r="A1551" s="97" t="str">
        <f t="shared" si="30"/>
        <v>ethernet_vddh2_dyn_rmii_10_1p8v</v>
      </c>
      <c r="B1551" s="97" t="s">
        <v>649</v>
      </c>
      <c r="C1551" s="97" t="s">
        <v>504</v>
      </c>
      <c r="D1551" s="97" t="s">
        <v>669</v>
      </c>
      <c r="E1551" s="97" t="s">
        <v>1050</v>
      </c>
      <c r="F1551" s="105">
        <v>0</v>
      </c>
      <c r="G1551" s="97"/>
      <c r="H1551" s="5"/>
      <c r="I1551"/>
      <c r="J1551"/>
      <c r="K1551"/>
      <c r="L1551"/>
      <c r="M1551"/>
      <c r="N1551"/>
      <c r="O1551"/>
      <c r="P1551"/>
      <c r="Q1551"/>
      <c r="R1551"/>
      <c r="S1551"/>
      <c r="T1551"/>
      <c r="U1551"/>
      <c r="V1551"/>
      <c r="W1551"/>
      <c r="X1551"/>
      <c r="Y1551"/>
    </row>
    <row r="1552" spans="1:25" s="104" customFormat="1" hidden="1" x14ac:dyDescent="0.25">
      <c r="A1552" s="97" t="str">
        <f t="shared" si="30"/>
        <v>ethernet_vddh2_dyn_rmii_10_3p3v</v>
      </c>
      <c r="B1552" s="97" t="s">
        <v>649</v>
      </c>
      <c r="C1552" s="97" t="s">
        <v>504</v>
      </c>
      <c r="D1552" s="97" t="s">
        <v>677</v>
      </c>
      <c r="E1552" s="97" t="s">
        <v>1050</v>
      </c>
      <c r="F1552" s="105">
        <v>3.5022239999999996</v>
      </c>
      <c r="G1552" s="97"/>
      <c r="H1552" s="5"/>
      <c r="I1552"/>
      <c r="J1552"/>
      <c r="K1552"/>
      <c r="L1552"/>
      <c r="M1552"/>
      <c r="N1552"/>
      <c r="O1552"/>
      <c r="P1552"/>
      <c r="Q1552"/>
      <c r="R1552"/>
      <c r="S1552"/>
      <c r="T1552"/>
      <c r="U1552"/>
      <c r="V1552"/>
      <c r="W1552"/>
      <c r="X1552"/>
      <c r="Y1552"/>
    </row>
    <row r="1553" spans="1:25" s="104" customFormat="1" hidden="1" x14ac:dyDescent="0.25">
      <c r="A1553" s="97" t="str">
        <f t="shared" si="30"/>
        <v>ethernet_vddh2_dyn_rmii_100_1p8v</v>
      </c>
      <c r="B1553" s="97" t="s">
        <v>649</v>
      </c>
      <c r="C1553" s="97" t="s">
        <v>504</v>
      </c>
      <c r="D1553" s="97" t="s">
        <v>668</v>
      </c>
      <c r="E1553" s="97" t="s">
        <v>1050</v>
      </c>
      <c r="F1553" s="105">
        <v>0</v>
      </c>
      <c r="G1553" s="97"/>
      <c r="H1553" s="5"/>
      <c r="I1553"/>
      <c r="J1553"/>
      <c r="K1553"/>
      <c r="L1553"/>
      <c r="M1553"/>
      <c r="N1553"/>
      <c r="O1553"/>
      <c r="P1553"/>
      <c r="Q1553"/>
      <c r="R1553"/>
      <c r="S1553"/>
      <c r="T1553"/>
      <c r="U1553"/>
      <c r="V1553"/>
      <c r="W1553"/>
      <c r="X1553"/>
      <c r="Y1553"/>
    </row>
    <row r="1554" spans="1:25" s="104" customFormat="1" hidden="1" x14ac:dyDescent="0.25">
      <c r="A1554" s="97" t="str">
        <f t="shared" si="30"/>
        <v>ethernet_vddh2_dyn_rmii_100_3p3v</v>
      </c>
      <c r="B1554" s="97" t="s">
        <v>649</v>
      </c>
      <c r="C1554" s="97" t="s">
        <v>504</v>
      </c>
      <c r="D1554" s="97" t="s">
        <v>676</v>
      </c>
      <c r="E1554" s="97" t="s">
        <v>1050</v>
      </c>
      <c r="F1554" s="105">
        <v>27.181439999999998</v>
      </c>
      <c r="G1554" s="97"/>
      <c r="H1554" s="5"/>
      <c r="I1554"/>
      <c r="J1554"/>
      <c r="K1554"/>
      <c r="L1554"/>
      <c r="M1554"/>
      <c r="N1554"/>
      <c r="O1554"/>
      <c r="P1554"/>
      <c r="Q1554"/>
      <c r="R1554"/>
      <c r="S1554"/>
      <c r="T1554"/>
      <c r="U1554"/>
      <c r="V1554"/>
      <c r="W1554"/>
      <c r="X1554"/>
      <c r="Y1554"/>
    </row>
    <row r="1555" spans="1:25" s="104" customFormat="1" hidden="1" x14ac:dyDescent="0.25">
      <c r="A1555" s="97" t="str">
        <f t="shared" si="30"/>
        <v>icssm_vddh2_dyn_ethercat_1p8v</v>
      </c>
      <c r="B1555" s="97" t="s">
        <v>643</v>
      </c>
      <c r="C1555" s="97" t="s">
        <v>504</v>
      </c>
      <c r="D1555" s="97" t="s">
        <v>640</v>
      </c>
      <c r="E1555" s="97" t="s">
        <v>1050</v>
      </c>
      <c r="F1555" s="105">
        <v>0</v>
      </c>
      <c r="G1555" s="97" t="s">
        <v>629</v>
      </c>
      <c r="H1555" s="5"/>
      <c r="I1555"/>
      <c r="J1555"/>
      <c r="K1555"/>
      <c r="L1555"/>
      <c r="M1555"/>
      <c r="N1555"/>
      <c r="O1555"/>
      <c r="P1555"/>
      <c r="Q1555"/>
      <c r="R1555"/>
      <c r="S1555"/>
      <c r="T1555"/>
      <c r="U1555"/>
      <c r="V1555"/>
      <c r="W1555"/>
      <c r="X1555"/>
      <c r="Y1555"/>
    </row>
    <row r="1556" spans="1:25" s="104" customFormat="1" hidden="1" x14ac:dyDescent="0.25">
      <c r="A1556" s="97" t="str">
        <f t="shared" si="30"/>
        <v>icssm_vddh2_dyn_ethercat_3p3v</v>
      </c>
      <c r="B1556" s="97" t="s">
        <v>643</v>
      </c>
      <c r="C1556" s="97" t="s">
        <v>504</v>
      </c>
      <c r="D1556" s="97" t="s">
        <v>633</v>
      </c>
      <c r="E1556" s="97" t="s">
        <v>1050</v>
      </c>
      <c r="F1556" s="105">
        <v>32.565455999999998</v>
      </c>
      <c r="G1556" s="97" t="s">
        <v>629</v>
      </c>
      <c r="H1556" s="5"/>
      <c r="I1556"/>
      <c r="J1556"/>
      <c r="K1556"/>
      <c r="L1556"/>
      <c r="M1556"/>
      <c r="N1556"/>
      <c r="O1556"/>
      <c r="P1556"/>
      <c r="Q1556"/>
      <c r="R1556"/>
      <c r="S1556"/>
      <c r="T1556"/>
      <c r="U1556"/>
      <c r="V1556"/>
      <c r="W1556"/>
      <c r="X1556"/>
      <c r="Y1556"/>
    </row>
    <row r="1557" spans="1:25" s="104" customFormat="1" hidden="1" x14ac:dyDescent="0.25">
      <c r="A1557" s="97" t="str">
        <f t="shared" si="30"/>
        <v>icssm_vddh2_dyn_mii_1p8v</v>
      </c>
      <c r="B1557" s="97" t="s">
        <v>643</v>
      </c>
      <c r="C1557" s="97" t="s">
        <v>504</v>
      </c>
      <c r="D1557" s="97" t="s">
        <v>638</v>
      </c>
      <c r="E1557" s="97" t="s">
        <v>1050</v>
      </c>
      <c r="F1557" s="105">
        <v>0</v>
      </c>
      <c r="G1557" s="97" t="s">
        <v>629</v>
      </c>
      <c r="H1557" s="5"/>
      <c r="I1557"/>
      <c r="J1557"/>
      <c r="K1557"/>
      <c r="L1557"/>
      <c r="M1557"/>
      <c r="N1557"/>
      <c r="O1557"/>
      <c r="P1557"/>
      <c r="Q1557"/>
      <c r="R1557"/>
      <c r="S1557"/>
      <c r="T1557"/>
      <c r="U1557"/>
      <c r="V1557"/>
      <c r="W1557"/>
      <c r="X1557"/>
      <c r="Y1557"/>
    </row>
    <row r="1558" spans="1:25" s="104" customFormat="1" hidden="1" x14ac:dyDescent="0.25">
      <c r="A1558" s="97" t="str">
        <f t="shared" si="30"/>
        <v>icssm_vddh2_dyn_mii_3p3v</v>
      </c>
      <c r="B1558" s="97" t="s">
        <v>643</v>
      </c>
      <c r="C1558" s="97" t="s">
        <v>504</v>
      </c>
      <c r="D1558" s="97" t="s">
        <v>635</v>
      </c>
      <c r="E1558" s="97" t="s">
        <v>1050</v>
      </c>
      <c r="F1558" s="105">
        <v>32.565455999999998</v>
      </c>
      <c r="G1558" s="97" t="s">
        <v>629</v>
      </c>
      <c r="H1558" s="5"/>
      <c r="I1558"/>
      <c r="J1558"/>
      <c r="K1558"/>
      <c r="L1558"/>
      <c r="M1558"/>
      <c r="N1558"/>
      <c r="O1558"/>
      <c r="P1558"/>
      <c r="Q1558"/>
      <c r="R1558"/>
      <c r="S1558"/>
      <c r="T1558"/>
      <c r="U1558"/>
      <c r="V1558"/>
      <c r="W1558"/>
      <c r="X1558"/>
      <c r="Y1558"/>
    </row>
    <row r="1559" spans="1:25" s="104" customFormat="1" hidden="1" x14ac:dyDescent="0.25">
      <c r="A1559" s="97" t="str">
        <f t="shared" si="30"/>
        <v>icssm_vddh2_dyn_mii_mii_1p8v</v>
      </c>
      <c r="B1559" s="97" t="s">
        <v>643</v>
      </c>
      <c r="C1559" s="97" t="s">
        <v>504</v>
      </c>
      <c r="D1559" s="97" t="s">
        <v>642</v>
      </c>
      <c r="E1559" s="97" t="s">
        <v>1050</v>
      </c>
      <c r="F1559" s="105">
        <v>0</v>
      </c>
      <c r="G1559" s="97" t="s">
        <v>629</v>
      </c>
      <c r="H1559" s="5"/>
      <c r="I1559"/>
      <c r="J1559"/>
      <c r="K1559"/>
      <c r="L1559"/>
      <c r="M1559"/>
      <c r="N1559"/>
      <c r="O1559"/>
      <c r="P1559"/>
      <c r="Q1559"/>
      <c r="R1559"/>
      <c r="S1559"/>
      <c r="T1559"/>
      <c r="U1559"/>
      <c r="V1559"/>
      <c r="W1559"/>
      <c r="X1559"/>
      <c r="Y1559"/>
    </row>
    <row r="1560" spans="1:25" s="104" customFormat="1" hidden="1" x14ac:dyDescent="0.25">
      <c r="A1560" s="97" t="str">
        <f t="shared" si="30"/>
        <v>icssm_vddh2_dyn_mii_mii_3p3v</v>
      </c>
      <c r="B1560" s="97" t="s">
        <v>643</v>
      </c>
      <c r="C1560" s="97" t="s">
        <v>504</v>
      </c>
      <c r="D1560" s="97" t="s">
        <v>641</v>
      </c>
      <c r="E1560" s="97" t="s">
        <v>1050</v>
      </c>
      <c r="F1560" s="105">
        <v>32.565455999999998</v>
      </c>
      <c r="G1560" s="97" t="s">
        <v>629</v>
      </c>
      <c r="H1560" s="5"/>
      <c r="I1560"/>
      <c r="J1560"/>
      <c r="K1560"/>
      <c r="L1560"/>
      <c r="M1560"/>
      <c r="N1560"/>
      <c r="O1560"/>
      <c r="P1560"/>
      <c r="Q1560"/>
      <c r="R1560"/>
      <c r="S1560"/>
      <c r="T1560"/>
      <c r="U1560"/>
      <c r="V1560"/>
      <c r="W1560"/>
      <c r="X1560"/>
      <c r="Y1560"/>
    </row>
    <row r="1561" spans="1:25" s="104" customFormat="1" hidden="1" x14ac:dyDescent="0.25">
      <c r="A1561" s="97" t="str">
        <f t="shared" si="30"/>
        <v>icssm_vddh2_dyn_off</v>
      </c>
      <c r="B1561" s="97" t="s">
        <v>643</v>
      </c>
      <c r="C1561" s="97" t="s">
        <v>504</v>
      </c>
      <c r="D1561" s="97" t="s">
        <v>69</v>
      </c>
      <c r="E1561" s="97" t="s">
        <v>1050</v>
      </c>
      <c r="F1561" s="105">
        <v>0</v>
      </c>
      <c r="G1561" s="97" t="s">
        <v>629</v>
      </c>
      <c r="H1561" s="5"/>
      <c r="I1561"/>
      <c r="J1561"/>
      <c r="K1561"/>
      <c r="L1561"/>
      <c r="M1561"/>
      <c r="N1561"/>
      <c r="O1561"/>
      <c r="P1561"/>
      <c r="Q1561"/>
      <c r="R1561"/>
      <c r="S1561"/>
      <c r="T1561"/>
      <c r="U1561"/>
      <c r="V1561"/>
      <c r="W1561"/>
      <c r="X1561"/>
      <c r="Y1561"/>
    </row>
    <row r="1562" spans="1:25" s="104" customFormat="1" hidden="1" x14ac:dyDescent="0.25">
      <c r="A1562" s="97" t="str">
        <f t="shared" si="30"/>
        <v>icssm_vddh2_dyn_profinet_1p8v</v>
      </c>
      <c r="B1562" s="97" t="s">
        <v>643</v>
      </c>
      <c r="C1562" s="97" t="s">
        <v>504</v>
      </c>
      <c r="D1562" s="97" t="s">
        <v>639</v>
      </c>
      <c r="E1562" s="97" t="s">
        <v>1050</v>
      </c>
      <c r="F1562" s="105">
        <v>0</v>
      </c>
      <c r="G1562" s="97" t="s">
        <v>629</v>
      </c>
      <c r="H1562" s="5"/>
      <c r="I1562"/>
      <c r="J1562"/>
      <c r="K1562"/>
      <c r="L1562"/>
      <c r="M1562"/>
      <c r="N1562"/>
      <c r="O1562"/>
      <c r="P1562"/>
      <c r="Q1562"/>
      <c r="R1562"/>
      <c r="S1562"/>
      <c r="T1562"/>
      <c r="U1562"/>
      <c r="V1562"/>
      <c r="W1562"/>
      <c r="X1562"/>
      <c r="Y1562"/>
    </row>
    <row r="1563" spans="1:25" s="104" customFormat="1" hidden="1" x14ac:dyDescent="0.25">
      <c r="A1563" s="97" t="str">
        <f t="shared" si="30"/>
        <v>icssm_vddh2_dyn_profinet_3p3v</v>
      </c>
      <c r="B1563" s="97" t="s">
        <v>643</v>
      </c>
      <c r="C1563" s="97" t="s">
        <v>504</v>
      </c>
      <c r="D1563" s="97" t="s">
        <v>632</v>
      </c>
      <c r="E1563" s="97" t="s">
        <v>1050</v>
      </c>
      <c r="F1563" s="105">
        <v>32.565455999999998</v>
      </c>
      <c r="G1563" s="97" t="s">
        <v>629</v>
      </c>
      <c r="H1563" s="5"/>
      <c r="I1563"/>
      <c r="J1563"/>
      <c r="K1563"/>
      <c r="L1563"/>
      <c r="M1563"/>
      <c r="N1563"/>
      <c r="O1563"/>
      <c r="P1563"/>
      <c r="Q1563"/>
      <c r="R1563"/>
      <c r="S1563"/>
      <c r="T1563"/>
      <c r="U1563"/>
      <c r="V1563"/>
      <c r="W1563"/>
      <c r="X1563"/>
      <c r="Y1563"/>
    </row>
    <row r="1564" spans="1:25" s="104" customFormat="1" hidden="1" x14ac:dyDescent="0.25">
      <c r="A1564" s="97" t="str">
        <f t="shared" si="30"/>
        <v>icssm_vddh2_dyn_rmii_1p8v</v>
      </c>
      <c r="B1564" s="97" t="s">
        <v>643</v>
      </c>
      <c r="C1564" s="97" t="s">
        <v>504</v>
      </c>
      <c r="D1564" s="97" t="s">
        <v>637</v>
      </c>
      <c r="E1564" s="97" t="s">
        <v>1050</v>
      </c>
      <c r="F1564" s="105">
        <v>0</v>
      </c>
      <c r="G1564" s="97" t="s">
        <v>629</v>
      </c>
      <c r="H1564" s="5"/>
      <c r="I1564"/>
      <c r="J1564"/>
      <c r="K1564"/>
      <c r="L1564"/>
      <c r="M1564"/>
      <c r="N1564"/>
      <c r="O1564"/>
      <c r="P1564"/>
      <c r="Q1564"/>
      <c r="R1564"/>
      <c r="S1564"/>
      <c r="T1564"/>
      <c r="U1564"/>
      <c r="V1564"/>
      <c r="W1564"/>
      <c r="X1564"/>
      <c r="Y1564"/>
    </row>
    <row r="1565" spans="1:25" s="104" customFormat="1" hidden="1" x14ac:dyDescent="0.25">
      <c r="A1565" s="97" t="str">
        <f t="shared" si="30"/>
        <v>icssm_vddh2_dyn_rmii_3p3v</v>
      </c>
      <c r="B1565" s="97" t="s">
        <v>643</v>
      </c>
      <c r="C1565" s="97" t="s">
        <v>504</v>
      </c>
      <c r="D1565" s="97" t="s">
        <v>634</v>
      </c>
      <c r="E1565" s="97" t="s">
        <v>1050</v>
      </c>
      <c r="F1565" s="105">
        <v>20.386079999999996</v>
      </c>
      <c r="G1565" s="97" t="s">
        <v>629</v>
      </c>
      <c r="H1565" s="5"/>
      <c r="I1565"/>
      <c r="J1565"/>
      <c r="K1565"/>
      <c r="L1565"/>
      <c r="M1565"/>
      <c r="N1565"/>
      <c r="O1565"/>
      <c r="P1565"/>
      <c r="Q1565"/>
      <c r="R1565"/>
      <c r="S1565"/>
      <c r="T1565"/>
      <c r="U1565"/>
      <c r="V1565"/>
      <c r="W1565"/>
      <c r="X1565"/>
      <c r="Y1565"/>
    </row>
    <row r="1566" spans="1:25" s="104" customFormat="1" hidden="1" x14ac:dyDescent="0.25">
      <c r="A1566" s="97" t="str">
        <f t="shared" si="30"/>
        <v>icssm_vddh2_dyn_rmii_rmii_1p8v</v>
      </c>
      <c r="B1566" s="97" t="s">
        <v>643</v>
      </c>
      <c r="C1566" s="97" t="s">
        <v>504</v>
      </c>
      <c r="D1566" s="97" t="s">
        <v>636</v>
      </c>
      <c r="E1566" s="97" t="s">
        <v>1050</v>
      </c>
      <c r="F1566" s="105">
        <v>0</v>
      </c>
      <c r="G1566" s="97" t="s">
        <v>629</v>
      </c>
      <c r="H1566" s="5"/>
      <c r="I1566"/>
      <c r="J1566"/>
      <c r="K1566"/>
      <c r="L1566"/>
      <c r="M1566"/>
      <c r="N1566"/>
      <c r="O1566"/>
      <c r="P1566"/>
      <c r="Q1566"/>
      <c r="R1566"/>
      <c r="S1566"/>
      <c r="T1566"/>
      <c r="U1566"/>
      <c r="V1566"/>
      <c r="W1566"/>
      <c r="X1566"/>
      <c r="Y1566"/>
    </row>
    <row r="1567" spans="1:25" s="104" customFormat="1" hidden="1" x14ac:dyDescent="0.25">
      <c r="A1567" s="97" t="str">
        <f t="shared" si="30"/>
        <v>icssm_vddh2_dyn_rmii_rmii_3p3v</v>
      </c>
      <c r="B1567" s="97" t="s">
        <v>643</v>
      </c>
      <c r="C1567" s="97" t="s">
        <v>504</v>
      </c>
      <c r="D1567" s="97" t="s">
        <v>631</v>
      </c>
      <c r="E1567" s="97" t="s">
        <v>1050</v>
      </c>
      <c r="F1567" s="105">
        <v>40.772159999999992</v>
      </c>
      <c r="G1567" s="97" t="s">
        <v>629</v>
      </c>
      <c r="H1567" s="5"/>
      <c r="I1567"/>
      <c r="J1567"/>
      <c r="K1567"/>
      <c r="L1567"/>
      <c r="M1567"/>
      <c r="N1567"/>
      <c r="O1567"/>
      <c r="P1567"/>
      <c r="Q1567"/>
      <c r="R1567"/>
      <c r="S1567"/>
      <c r="T1567"/>
      <c r="U1567"/>
      <c r="V1567"/>
      <c r="W1567"/>
      <c r="X1567"/>
      <c r="Y1567"/>
    </row>
    <row r="1568" spans="1:25" s="104" customFormat="1" hidden="1" x14ac:dyDescent="0.25">
      <c r="A1568" s="97" t="str">
        <f t="shared" si="30"/>
        <v>spi_vddh2_dyn_Master_1.563_Mbaud_3p3v</v>
      </c>
      <c r="B1568" s="97" t="s">
        <v>898</v>
      </c>
      <c r="C1568" s="97" t="s">
        <v>504</v>
      </c>
      <c r="D1568" s="97" t="s">
        <v>892</v>
      </c>
      <c r="E1568" s="97" t="s">
        <v>1050</v>
      </c>
      <c r="F1568" s="97">
        <v>1.8723925927080001</v>
      </c>
      <c r="G1568" s="97" t="s">
        <v>629</v>
      </c>
      <c r="H1568" s="5"/>
      <c r="I1568"/>
      <c r="J1568"/>
      <c r="K1568"/>
      <c r="L1568"/>
      <c r="M1568"/>
      <c r="N1568"/>
      <c r="O1568"/>
      <c r="P1568"/>
      <c r="Q1568"/>
      <c r="R1568"/>
      <c r="S1568"/>
      <c r="T1568"/>
      <c r="U1568"/>
      <c r="V1568"/>
      <c r="W1568"/>
      <c r="X1568"/>
      <c r="Y1568"/>
    </row>
    <row r="1569" spans="1:25" s="104" customFormat="1" hidden="1" x14ac:dyDescent="0.25">
      <c r="A1569" s="97" t="str">
        <f t="shared" si="30"/>
        <v>spi_vddh2_dyn_Master_12.5_Mbaud_3p3v</v>
      </c>
      <c r="B1569" s="97" t="s">
        <v>898</v>
      </c>
      <c r="C1569" s="97" t="s">
        <v>504</v>
      </c>
      <c r="D1569" s="97" t="s">
        <v>888</v>
      </c>
      <c r="E1569" s="97" t="s">
        <v>1050</v>
      </c>
      <c r="F1569" s="97">
        <v>14.97434895</v>
      </c>
      <c r="G1569" s="97" t="s">
        <v>629</v>
      </c>
      <c r="H1569" s="5"/>
      <c r="I1569"/>
      <c r="J1569"/>
      <c r="K1569"/>
      <c r="L1569"/>
      <c r="M1569"/>
      <c r="N1569"/>
      <c r="O1569"/>
      <c r="P1569"/>
      <c r="Q1569"/>
      <c r="R1569"/>
      <c r="S1569"/>
      <c r="T1569"/>
      <c r="U1569"/>
      <c r="V1569"/>
      <c r="W1569"/>
      <c r="X1569"/>
      <c r="Y1569"/>
    </row>
    <row r="1570" spans="1:25" s="104" customFormat="1" hidden="1" x14ac:dyDescent="0.25">
      <c r="A1570" s="97" t="str">
        <f t="shared" si="30"/>
        <v>spi_vddh2_dyn_Master_2.083_Mbaud_3p3v</v>
      </c>
      <c r="B1570" s="97" t="s">
        <v>898</v>
      </c>
      <c r="C1570" s="97" t="s">
        <v>504</v>
      </c>
      <c r="D1570" s="97" t="s">
        <v>891</v>
      </c>
      <c r="E1570" s="97" t="s">
        <v>1050</v>
      </c>
      <c r="F1570" s="97">
        <v>2.495325509028</v>
      </c>
      <c r="G1570" s="97" t="s">
        <v>629</v>
      </c>
      <c r="H1570" s="5"/>
      <c r="I1570"/>
      <c r="J1570"/>
      <c r="K1570"/>
      <c r="L1570"/>
      <c r="M1570"/>
      <c r="N1570"/>
      <c r="O1570"/>
      <c r="P1570"/>
      <c r="Q1570"/>
      <c r="R1570"/>
      <c r="S1570"/>
      <c r="T1570"/>
      <c r="U1570"/>
      <c r="V1570"/>
      <c r="W1570"/>
      <c r="X1570"/>
      <c r="Y1570"/>
    </row>
    <row r="1571" spans="1:25" s="104" customFormat="1" hidden="1" x14ac:dyDescent="0.25">
      <c r="A1571" s="97" t="str">
        <f t="shared" si="30"/>
        <v>spi_vddh2_dyn_Master_25_Mbaud_3p3v</v>
      </c>
      <c r="B1571" s="97" t="s">
        <v>898</v>
      </c>
      <c r="C1571" s="97" t="s">
        <v>504</v>
      </c>
      <c r="D1571" s="97" t="s">
        <v>887</v>
      </c>
      <c r="E1571" s="97" t="s">
        <v>1050</v>
      </c>
      <c r="F1571" s="97">
        <v>29.948697899999999</v>
      </c>
      <c r="G1571" s="97" t="s">
        <v>629</v>
      </c>
      <c r="H1571" s="5"/>
      <c r="I1571"/>
      <c r="J1571"/>
      <c r="K1571"/>
      <c r="L1571"/>
      <c r="M1571"/>
      <c r="N1571"/>
      <c r="O1571"/>
      <c r="P1571"/>
      <c r="Q1571"/>
      <c r="R1571"/>
      <c r="S1571"/>
      <c r="T1571"/>
      <c r="U1571"/>
      <c r="V1571"/>
      <c r="W1571"/>
      <c r="X1571"/>
      <c r="Y1571"/>
    </row>
    <row r="1572" spans="1:25" s="104" customFormat="1" hidden="1" x14ac:dyDescent="0.25">
      <c r="A1572" s="97" t="str">
        <f t="shared" si="30"/>
        <v>spi_vddh2_dyn_Master_3.125_Mbaud_3p3v</v>
      </c>
      <c r="B1572" s="97" t="s">
        <v>898</v>
      </c>
      <c r="C1572" s="97" t="s">
        <v>504</v>
      </c>
      <c r="D1572" s="97" t="s">
        <v>890</v>
      </c>
      <c r="E1572" s="97" t="s">
        <v>1050</v>
      </c>
      <c r="F1572" s="97">
        <v>3.7435872374999999</v>
      </c>
      <c r="G1572" s="97" t="s">
        <v>629</v>
      </c>
      <c r="H1572" s="5"/>
      <c r="I1572"/>
      <c r="J1572"/>
      <c r="K1572"/>
      <c r="L1572"/>
      <c r="M1572"/>
      <c r="N1572"/>
      <c r="O1572"/>
      <c r="P1572"/>
      <c r="Q1572"/>
      <c r="R1572"/>
      <c r="S1572"/>
      <c r="T1572"/>
      <c r="U1572"/>
      <c r="V1572"/>
      <c r="W1572"/>
      <c r="X1572"/>
      <c r="Y1572"/>
    </row>
    <row r="1573" spans="1:25" s="104" customFormat="1" hidden="1" x14ac:dyDescent="0.25">
      <c r="A1573" s="97" t="str">
        <f t="shared" si="30"/>
        <v>spi_vddh2_dyn_Master_6.25_Mbaud_3p3v</v>
      </c>
      <c r="B1573" s="97" t="s">
        <v>898</v>
      </c>
      <c r="C1573" s="97" t="s">
        <v>504</v>
      </c>
      <c r="D1573" s="97" t="s">
        <v>889</v>
      </c>
      <c r="E1573" s="97" t="s">
        <v>1050</v>
      </c>
      <c r="F1573" s="97">
        <v>7.4871744749999998</v>
      </c>
      <c r="G1573" s="97" t="s">
        <v>629</v>
      </c>
      <c r="H1573" s="5"/>
      <c r="I1573"/>
      <c r="J1573"/>
      <c r="K1573"/>
      <c r="L1573"/>
      <c r="M1573"/>
      <c r="N1573"/>
      <c r="O1573"/>
      <c r="P1573"/>
      <c r="Q1573"/>
      <c r="R1573"/>
      <c r="S1573"/>
      <c r="T1573"/>
      <c r="U1573"/>
      <c r="V1573"/>
      <c r="W1573"/>
      <c r="X1573"/>
      <c r="Y1573"/>
    </row>
    <row r="1574" spans="1:25" s="104" customFormat="1" hidden="1" x14ac:dyDescent="0.25">
      <c r="A1574" s="97" t="str">
        <f t="shared" si="30"/>
        <v>spi_vddh2_dyn_Slave_12.5_Mbaud_3p3v</v>
      </c>
      <c r="B1574" s="97" t="s">
        <v>898</v>
      </c>
      <c r="C1574" s="97" t="s">
        <v>504</v>
      </c>
      <c r="D1574" s="97" t="s">
        <v>894</v>
      </c>
      <c r="E1574" s="97" t="s">
        <v>1050</v>
      </c>
      <c r="F1574" s="97">
        <v>2.9947499999999998</v>
      </c>
      <c r="G1574" s="97" t="s">
        <v>629</v>
      </c>
      <c r="H1574" s="5"/>
      <c r="I1574"/>
      <c r="J1574"/>
      <c r="K1574"/>
      <c r="L1574"/>
      <c r="M1574"/>
      <c r="N1574"/>
      <c r="O1574"/>
      <c r="P1574"/>
      <c r="Q1574"/>
      <c r="R1574"/>
      <c r="S1574"/>
      <c r="T1574"/>
      <c r="U1574"/>
      <c r="V1574"/>
      <c r="W1574"/>
      <c r="X1574"/>
      <c r="Y1574"/>
    </row>
    <row r="1575" spans="1:25" s="104" customFormat="1" hidden="1" x14ac:dyDescent="0.25">
      <c r="A1575" s="97" t="str">
        <f t="shared" si="30"/>
        <v>spi_vddh2_dyn_Slave_2.083_Mbaud_3p3v</v>
      </c>
      <c r="B1575" s="97" t="s">
        <v>898</v>
      </c>
      <c r="C1575" s="97" t="s">
        <v>504</v>
      </c>
      <c r="D1575" s="97" t="s">
        <v>897</v>
      </c>
      <c r="E1575" s="97" t="s">
        <v>1050</v>
      </c>
      <c r="F1575" s="97">
        <v>0.49904514</v>
      </c>
      <c r="G1575" s="97" t="s">
        <v>629</v>
      </c>
      <c r="H1575" s="5"/>
      <c r="I1575"/>
      <c r="J1575"/>
      <c r="K1575"/>
      <c r="L1575"/>
      <c r="M1575"/>
      <c r="N1575"/>
      <c r="O1575"/>
      <c r="P1575"/>
      <c r="Q1575"/>
      <c r="R1575"/>
      <c r="S1575"/>
      <c r="T1575"/>
      <c r="U1575"/>
      <c r="V1575"/>
      <c r="W1575"/>
      <c r="X1575"/>
      <c r="Y1575"/>
    </row>
    <row r="1576" spans="1:25" s="104" customFormat="1" hidden="1" x14ac:dyDescent="0.25">
      <c r="A1576" s="97" t="str">
        <f t="shared" si="30"/>
        <v>spi_vddh2_dyn_Slave_2.083_Mbaud_3p3v</v>
      </c>
      <c r="B1576" s="97" t="s">
        <v>898</v>
      </c>
      <c r="C1576" s="97" t="s">
        <v>504</v>
      </c>
      <c r="D1576" s="97" t="s">
        <v>897</v>
      </c>
      <c r="E1576" s="97" t="s">
        <v>1050</v>
      </c>
      <c r="F1576" s="97">
        <v>0.37446353999999998</v>
      </c>
      <c r="G1576" s="97" t="s">
        <v>629</v>
      </c>
      <c r="H1576" s="5"/>
      <c r="I1576"/>
      <c r="J1576"/>
      <c r="K1576"/>
      <c r="L1576"/>
      <c r="M1576"/>
      <c r="N1576"/>
      <c r="O1576"/>
      <c r="P1576"/>
      <c r="Q1576"/>
      <c r="R1576"/>
      <c r="S1576"/>
      <c r="T1576"/>
      <c r="U1576"/>
      <c r="V1576"/>
      <c r="W1576"/>
      <c r="X1576"/>
      <c r="Y1576"/>
    </row>
    <row r="1577" spans="1:25" s="104" customFormat="1" hidden="1" x14ac:dyDescent="0.25">
      <c r="A1577" s="97" t="str">
        <f t="shared" si="30"/>
        <v>spi_vddh2_dyn_Slave_25_Mbaud_3p3v</v>
      </c>
      <c r="B1577" s="97" t="s">
        <v>898</v>
      </c>
      <c r="C1577" s="97" t="s">
        <v>504</v>
      </c>
      <c r="D1577" s="97" t="s">
        <v>893</v>
      </c>
      <c r="E1577" s="97" t="s">
        <v>1050</v>
      </c>
      <c r="F1577" s="97">
        <v>5.9894999999999996</v>
      </c>
      <c r="G1577" s="97" t="s">
        <v>629</v>
      </c>
      <c r="H1577" s="5"/>
      <c r="I1577"/>
      <c r="J1577"/>
      <c r="K1577"/>
      <c r="L1577"/>
      <c r="M1577"/>
      <c r="N1577"/>
      <c r="O1577"/>
      <c r="P1577"/>
      <c r="Q1577"/>
      <c r="R1577"/>
      <c r="S1577"/>
      <c r="T1577"/>
      <c r="U1577"/>
      <c r="V1577"/>
      <c r="W1577"/>
      <c r="X1577"/>
      <c r="Y1577"/>
    </row>
    <row r="1578" spans="1:25" s="104" customFormat="1" hidden="1" x14ac:dyDescent="0.25">
      <c r="A1578" s="97" t="str">
        <f t="shared" si="30"/>
        <v>spi_vddh2_dyn_Slave_3.125_Mbaud_3p3v</v>
      </c>
      <c r="B1578" s="97" t="s">
        <v>898</v>
      </c>
      <c r="C1578" s="97" t="s">
        <v>504</v>
      </c>
      <c r="D1578" s="97" t="s">
        <v>896</v>
      </c>
      <c r="E1578" s="97" t="s">
        <v>1050</v>
      </c>
      <c r="F1578" s="97">
        <v>0.74868749999999995</v>
      </c>
      <c r="G1578" s="97" t="s">
        <v>629</v>
      </c>
      <c r="H1578" s="5"/>
      <c r="I1578"/>
      <c r="J1578"/>
      <c r="K1578"/>
      <c r="L1578"/>
      <c r="M1578"/>
      <c r="N1578"/>
      <c r="O1578"/>
      <c r="P1578"/>
      <c r="Q1578"/>
      <c r="R1578"/>
      <c r="S1578"/>
      <c r="T1578"/>
      <c r="U1578"/>
      <c r="V1578"/>
      <c r="W1578"/>
      <c r="X1578"/>
      <c r="Y1578"/>
    </row>
    <row r="1579" spans="1:25" s="104" customFormat="1" hidden="1" x14ac:dyDescent="0.25">
      <c r="A1579" s="97" t="str">
        <f t="shared" si="30"/>
        <v>spi_vddh2_dyn_Slave_6.25_Mbaud_3p3v</v>
      </c>
      <c r="B1579" s="97" t="s">
        <v>898</v>
      </c>
      <c r="C1579" s="97" t="s">
        <v>504</v>
      </c>
      <c r="D1579" s="97" t="s">
        <v>895</v>
      </c>
      <c r="E1579" s="97" t="s">
        <v>1050</v>
      </c>
      <c r="F1579" s="97">
        <v>1.4973749999999999</v>
      </c>
      <c r="G1579" s="97" t="s">
        <v>629</v>
      </c>
      <c r="H1579" s="5"/>
      <c r="I1579"/>
      <c r="J1579"/>
      <c r="K1579"/>
      <c r="L1579"/>
      <c r="M1579"/>
      <c r="N1579"/>
      <c r="O1579"/>
      <c r="P1579"/>
      <c r="Q1579"/>
      <c r="R1579"/>
      <c r="S1579"/>
      <c r="T1579"/>
      <c r="U1579"/>
      <c r="V1579"/>
      <c r="W1579"/>
      <c r="X1579"/>
      <c r="Y1579"/>
    </row>
    <row r="1580" spans="1:25" s="104" customFormat="1" hidden="1" x14ac:dyDescent="0.25">
      <c r="A1580" s="97" t="str">
        <f t="shared" si="30"/>
        <v>gpio_vddh2_dyn_1mbs_3p3v_20pf</v>
      </c>
      <c r="B1580" s="97" t="s">
        <v>969</v>
      </c>
      <c r="C1580" s="97" t="s">
        <v>504</v>
      </c>
      <c r="D1580" s="97" t="s">
        <v>971</v>
      </c>
      <c r="E1580" s="97" t="s">
        <v>1050</v>
      </c>
      <c r="F1580" s="97">
        <v>2.6135999999999995</v>
      </c>
      <c r="G1580" s="97"/>
      <c r="H1580" s="5"/>
      <c r="I1580"/>
      <c r="J1580"/>
      <c r="K1580"/>
      <c r="L1580"/>
      <c r="M1580"/>
      <c r="N1580"/>
      <c r="O1580"/>
      <c r="P1580"/>
      <c r="Q1580"/>
      <c r="R1580"/>
      <c r="S1580"/>
      <c r="T1580"/>
      <c r="U1580"/>
      <c r="V1580"/>
      <c r="W1580"/>
      <c r="X1580"/>
      <c r="Y1580"/>
    </row>
    <row r="1581" spans="1:25" s="104" customFormat="1" x14ac:dyDescent="0.25">
      <c r="A1581" s="97" t="str">
        <f t="shared" si="30"/>
        <v>ddr16_1600_ios_vddh2_dyn_ddr4_1067_16_idle</v>
      </c>
      <c r="B1581" s="97" t="s">
        <v>620</v>
      </c>
      <c r="C1581" s="98" t="s">
        <v>504</v>
      </c>
      <c r="D1581" s="97" t="s">
        <v>527</v>
      </c>
      <c r="E1581" s="97" t="s">
        <v>1166</v>
      </c>
      <c r="F1581" s="97">
        <v>0</v>
      </c>
      <c r="G1581" s="97" t="s">
        <v>575</v>
      </c>
      <c r="H1581" s="5"/>
      <c r="I1581"/>
      <c r="J1581"/>
      <c r="K1581"/>
      <c r="L1581"/>
      <c r="M1581"/>
      <c r="N1581"/>
      <c r="O1581"/>
      <c r="P1581"/>
      <c r="Q1581"/>
      <c r="R1581"/>
      <c r="S1581"/>
      <c r="T1581"/>
      <c r="U1581"/>
      <c r="V1581"/>
      <c r="W1581"/>
      <c r="X1581"/>
      <c r="Y1581"/>
    </row>
    <row r="1582" spans="1:25" s="104" customFormat="1" x14ac:dyDescent="0.25">
      <c r="A1582" s="97" t="str">
        <f t="shared" si="30"/>
        <v>ddr16_1600_ios_vddh2_dyn_ddr4_1067_16_read</v>
      </c>
      <c r="B1582" s="97" t="s">
        <v>620</v>
      </c>
      <c r="C1582" s="98" t="s">
        <v>504</v>
      </c>
      <c r="D1582" s="97" t="s">
        <v>540</v>
      </c>
      <c r="E1582" s="97" t="s">
        <v>1166</v>
      </c>
      <c r="F1582" s="97">
        <v>0</v>
      </c>
      <c r="G1582" s="97" t="s">
        <v>575</v>
      </c>
      <c r="H1582" s="5"/>
      <c r="I1582"/>
      <c r="J1582"/>
      <c r="K1582"/>
      <c r="L1582"/>
      <c r="M1582"/>
      <c r="N1582"/>
      <c r="O1582"/>
      <c r="P1582"/>
      <c r="Q1582"/>
      <c r="R1582"/>
      <c r="S1582"/>
      <c r="T1582"/>
      <c r="U1582"/>
      <c r="V1582"/>
      <c r="W1582"/>
      <c r="X1582"/>
      <c r="Y1582"/>
    </row>
    <row r="1583" spans="1:25" s="104" customFormat="1" x14ac:dyDescent="0.25">
      <c r="A1583" s="97" t="str">
        <f t="shared" si="30"/>
        <v>ddr16_1600_ios_vddh2_dyn_ddr4_1067_16_write</v>
      </c>
      <c r="B1583" s="97" t="s">
        <v>620</v>
      </c>
      <c r="C1583" s="98" t="s">
        <v>504</v>
      </c>
      <c r="D1583" s="97" t="s">
        <v>553</v>
      </c>
      <c r="E1583" s="97" t="s">
        <v>1166</v>
      </c>
      <c r="F1583" s="97">
        <v>0</v>
      </c>
      <c r="G1583" s="97" t="s">
        <v>575</v>
      </c>
      <c r="H1583" s="5"/>
      <c r="I1583"/>
      <c r="J1583"/>
      <c r="K1583"/>
      <c r="L1583"/>
      <c r="M1583"/>
      <c r="N1583"/>
      <c r="O1583"/>
      <c r="P1583"/>
      <c r="Q1583"/>
      <c r="R1583"/>
      <c r="S1583"/>
      <c r="T1583"/>
      <c r="U1583"/>
      <c r="V1583"/>
      <c r="W1583"/>
      <c r="X1583"/>
      <c r="Y1583"/>
    </row>
    <row r="1584" spans="1:25" s="104" customFormat="1" x14ac:dyDescent="0.25">
      <c r="A1584" s="97" t="str">
        <f t="shared" si="30"/>
        <v>ddr16_1600_ios_vddh2_dyn_ddr4_1333_16_idle</v>
      </c>
      <c r="B1584" s="97" t="s">
        <v>620</v>
      </c>
      <c r="C1584" s="98" t="s">
        <v>504</v>
      </c>
      <c r="D1584" s="97" t="s">
        <v>526</v>
      </c>
      <c r="E1584" s="97" t="s">
        <v>1166</v>
      </c>
      <c r="F1584" s="97">
        <v>0</v>
      </c>
      <c r="G1584" s="97" t="s">
        <v>575</v>
      </c>
      <c r="H1584" s="5"/>
      <c r="I1584"/>
      <c r="J1584"/>
      <c r="K1584"/>
      <c r="L1584"/>
      <c r="M1584"/>
      <c r="N1584"/>
      <c r="O1584"/>
      <c r="P1584"/>
      <c r="Q1584"/>
      <c r="R1584"/>
      <c r="S1584"/>
      <c r="T1584"/>
      <c r="U1584"/>
      <c r="V1584"/>
      <c r="W1584"/>
      <c r="X1584"/>
      <c r="Y1584"/>
    </row>
    <row r="1585" spans="1:25" s="104" customFormat="1" x14ac:dyDescent="0.25">
      <c r="A1585" s="97" t="str">
        <f t="shared" si="30"/>
        <v>ddr16_1600_ios_vddh2_dyn_ddr4_1333_16_read</v>
      </c>
      <c r="B1585" s="97" t="s">
        <v>620</v>
      </c>
      <c r="C1585" s="98" t="s">
        <v>504</v>
      </c>
      <c r="D1585" s="97" t="s">
        <v>539</v>
      </c>
      <c r="E1585" s="97" t="s">
        <v>1166</v>
      </c>
      <c r="F1585" s="97">
        <v>0</v>
      </c>
      <c r="G1585" s="97" t="s">
        <v>575</v>
      </c>
      <c r="H1585" s="5"/>
      <c r="I1585"/>
      <c r="J1585"/>
      <c r="K1585"/>
      <c r="L1585"/>
      <c r="M1585"/>
      <c r="N1585"/>
      <c r="O1585"/>
      <c r="P1585"/>
      <c r="Q1585"/>
      <c r="R1585"/>
      <c r="S1585"/>
      <c r="T1585"/>
      <c r="U1585"/>
      <c r="V1585"/>
      <c r="W1585"/>
      <c r="X1585"/>
      <c r="Y1585"/>
    </row>
    <row r="1586" spans="1:25" s="104" customFormat="1" x14ac:dyDescent="0.25">
      <c r="A1586" s="97" t="str">
        <f t="shared" si="30"/>
        <v>ddr16_1600_ios_vddh2_dyn_ddr4_1333_16_write</v>
      </c>
      <c r="B1586" s="97" t="s">
        <v>620</v>
      </c>
      <c r="C1586" s="98" t="s">
        <v>504</v>
      </c>
      <c r="D1586" s="97" t="s">
        <v>552</v>
      </c>
      <c r="E1586" s="97" t="s">
        <v>1166</v>
      </c>
      <c r="F1586" s="97">
        <v>0</v>
      </c>
      <c r="G1586" s="97" t="s">
        <v>575</v>
      </c>
      <c r="H1586" s="5"/>
      <c r="I1586"/>
      <c r="J1586"/>
      <c r="K1586"/>
      <c r="L1586"/>
      <c r="M1586"/>
      <c r="N1586"/>
      <c r="O1586"/>
      <c r="P1586"/>
      <c r="Q1586"/>
      <c r="R1586"/>
      <c r="S1586"/>
      <c r="T1586"/>
      <c r="U1586"/>
      <c r="V1586"/>
      <c r="W1586"/>
      <c r="X1586"/>
      <c r="Y1586"/>
    </row>
    <row r="1587" spans="1:25" s="104" customFormat="1" x14ac:dyDescent="0.25">
      <c r="A1587" s="97" t="str">
        <f t="shared" si="30"/>
        <v>ddr16_1600_ios_vddh2_dyn_ddr4_1600_16_idle</v>
      </c>
      <c r="B1587" s="97" t="s">
        <v>620</v>
      </c>
      <c r="C1587" s="98" t="s">
        <v>504</v>
      </c>
      <c r="D1587" s="97" t="s">
        <v>525</v>
      </c>
      <c r="E1587" s="97" t="s">
        <v>1166</v>
      </c>
      <c r="F1587" s="97">
        <v>0</v>
      </c>
      <c r="G1587" s="97" t="s">
        <v>575</v>
      </c>
      <c r="H1587" s="5"/>
      <c r="I1587"/>
      <c r="J1587"/>
      <c r="K1587"/>
      <c r="L1587"/>
      <c r="M1587"/>
      <c r="N1587"/>
      <c r="O1587"/>
      <c r="P1587"/>
      <c r="Q1587"/>
      <c r="R1587"/>
      <c r="S1587"/>
      <c r="T1587"/>
      <c r="U1587"/>
      <c r="V1587"/>
      <c r="W1587"/>
      <c r="X1587"/>
      <c r="Y1587"/>
    </row>
    <row r="1588" spans="1:25" s="104" customFormat="1" x14ac:dyDescent="0.25">
      <c r="A1588" s="97" t="str">
        <f t="shared" si="30"/>
        <v>ddr16_1600_ios_vddh2_dyn_ddr4_1600_16_read</v>
      </c>
      <c r="B1588" s="97" t="s">
        <v>620</v>
      </c>
      <c r="C1588" s="98" t="s">
        <v>504</v>
      </c>
      <c r="D1588" s="97" t="s">
        <v>538</v>
      </c>
      <c r="E1588" s="97" t="s">
        <v>1166</v>
      </c>
      <c r="F1588" s="97">
        <v>0</v>
      </c>
      <c r="G1588" s="97" t="s">
        <v>575</v>
      </c>
      <c r="H1588" s="5"/>
      <c r="I1588"/>
      <c r="J1588"/>
      <c r="K1588"/>
      <c r="L1588"/>
      <c r="M1588"/>
      <c r="N1588"/>
      <c r="O1588"/>
      <c r="P1588"/>
      <c r="Q1588"/>
      <c r="R1588"/>
      <c r="S1588"/>
      <c r="T1588"/>
      <c r="U1588"/>
      <c r="V1588"/>
      <c r="W1588"/>
      <c r="X1588"/>
      <c r="Y1588"/>
    </row>
    <row r="1589" spans="1:25" s="104" customFormat="1" x14ac:dyDescent="0.25">
      <c r="A1589" s="97" t="str">
        <f t="shared" si="30"/>
        <v>ddr16_1600_ios_vddh2_dyn_ddr4_1600_16_write</v>
      </c>
      <c r="B1589" s="97" t="s">
        <v>620</v>
      </c>
      <c r="C1589" s="98" t="s">
        <v>504</v>
      </c>
      <c r="D1589" s="97" t="s">
        <v>551</v>
      </c>
      <c r="E1589" s="97" t="s">
        <v>1166</v>
      </c>
      <c r="F1589" s="97">
        <v>0</v>
      </c>
      <c r="G1589" s="97" t="s">
        <v>575</v>
      </c>
      <c r="H1589" s="5"/>
      <c r="I1589"/>
      <c r="J1589"/>
      <c r="K1589"/>
      <c r="L1589"/>
      <c r="M1589"/>
      <c r="N1589"/>
      <c r="O1589"/>
      <c r="P1589"/>
      <c r="Q1589"/>
      <c r="R1589"/>
      <c r="S1589"/>
      <c r="T1589"/>
      <c r="U1589"/>
      <c r="V1589"/>
      <c r="W1589"/>
      <c r="X1589"/>
      <c r="Y1589"/>
    </row>
    <row r="1590" spans="1:25" s="104" customFormat="1" x14ac:dyDescent="0.25">
      <c r="A1590" s="97" t="str">
        <f t="shared" si="30"/>
        <v>ddr16_1600_ios_vddh2_dyn_ddr4_533_16_idle</v>
      </c>
      <c r="B1590" s="97" t="s">
        <v>620</v>
      </c>
      <c r="C1590" s="98" t="s">
        <v>504</v>
      </c>
      <c r="D1590" s="97" t="s">
        <v>529</v>
      </c>
      <c r="E1590" s="97" t="s">
        <v>1166</v>
      </c>
      <c r="F1590" s="97">
        <v>0</v>
      </c>
      <c r="G1590" s="97" t="s">
        <v>575</v>
      </c>
      <c r="H1590" s="5"/>
      <c r="I1590"/>
      <c r="J1590"/>
      <c r="K1590"/>
      <c r="L1590"/>
      <c r="M1590"/>
      <c r="N1590"/>
      <c r="O1590"/>
      <c r="P1590"/>
      <c r="Q1590"/>
      <c r="R1590"/>
      <c r="S1590"/>
      <c r="T1590"/>
      <c r="U1590"/>
      <c r="V1590"/>
      <c r="W1590"/>
      <c r="X1590"/>
      <c r="Y1590"/>
    </row>
    <row r="1591" spans="1:25" s="104" customFormat="1" x14ac:dyDescent="0.25">
      <c r="A1591" s="97" t="str">
        <f t="shared" si="30"/>
        <v>ddr16_1600_ios_vddh2_dyn_ddr4_533_16_read</v>
      </c>
      <c r="B1591" s="97" t="s">
        <v>620</v>
      </c>
      <c r="C1591" s="98" t="s">
        <v>504</v>
      </c>
      <c r="D1591" s="97" t="s">
        <v>542</v>
      </c>
      <c r="E1591" s="97" t="s">
        <v>1166</v>
      </c>
      <c r="F1591" s="97">
        <v>0</v>
      </c>
      <c r="G1591" s="97" t="s">
        <v>575</v>
      </c>
      <c r="H1591" s="5"/>
      <c r="I1591"/>
      <c r="J1591"/>
      <c r="K1591"/>
      <c r="L1591"/>
      <c r="M1591"/>
      <c r="N1591"/>
      <c r="O1591"/>
      <c r="P1591"/>
      <c r="Q1591"/>
      <c r="R1591"/>
      <c r="S1591"/>
      <c r="T1591"/>
      <c r="U1591"/>
      <c r="V1591"/>
      <c r="W1591"/>
      <c r="X1591"/>
      <c r="Y1591"/>
    </row>
    <row r="1592" spans="1:25" s="104" customFormat="1" x14ac:dyDescent="0.25">
      <c r="A1592" s="97" t="str">
        <f t="shared" ref="A1592:A1619" si="31">B1592&amp;"_"&amp;C1592&amp;"_"&amp;D1592</f>
        <v>ddr16_1600_ios_vddh2_dyn_ddr4_533_16_write</v>
      </c>
      <c r="B1592" s="97" t="s">
        <v>620</v>
      </c>
      <c r="C1592" s="98" t="s">
        <v>504</v>
      </c>
      <c r="D1592" s="97" t="s">
        <v>555</v>
      </c>
      <c r="E1592" s="97" t="s">
        <v>1166</v>
      </c>
      <c r="F1592" s="97">
        <v>0</v>
      </c>
      <c r="G1592" s="97" t="s">
        <v>575</v>
      </c>
      <c r="H1592" s="5"/>
      <c r="I1592"/>
      <c r="J1592"/>
      <c r="K1592"/>
      <c r="L1592"/>
      <c r="M1592"/>
      <c r="N1592"/>
      <c r="O1592"/>
      <c r="P1592"/>
      <c r="Q1592"/>
      <c r="R1592"/>
      <c r="S1592"/>
      <c r="T1592"/>
      <c r="U1592"/>
      <c r="V1592"/>
      <c r="W1592"/>
      <c r="X1592"/>
      <c r="Y1592"/>
    </row>
    <row r="1593" spans="1:25" s="104" customFormat="1" x14ac:dyDescent="0.25">
      <c r="A1593" s="97" t="str">
        <f t="shared" si="31"/>
        <v>ddr16_1600_ios_vddh2_dyn_ddr4_800_16_idle</v>
      </c>
      <c r="B1593" s="97" t="s">
        <v>620</v>
      </c>
      <c r="C1593" s="98" t="s">
        <v>504</v>
      </c>
      <c r="D1593" s="97" t="s">
        <v>528</v>
      </c>
      <c r="E1593" s="97" t="s">
        <v>1166</v>
      </c>
      <c r="F1593" s="97">
        <v>0</v>
      </c>
      <c r="G1593" s="97" t="s">
        <v>575</v>
      </c>
      <c r="H1593" s="5"/>
      <c r="I1593"/>
      <c r="J1593"/>
      <c r="K1593"/>
      <c r="L1593"/>
      <c r="M1593"/>
      <c r="N1593"/>
      <c r="O1593"/>
      <c r="P1593"/>
      <c r="Q1593"/>
      <c r="R1593"/>
      <c r="S1593"/>
      <c r="T1593"/>
      <c r="U1593"/>
      <c r="V1593"/>
      <c r="W1593"/>
      <c r="X1593"/>
      <c r="Y1593"/>
    </row>
    <row r="1594" spans="1:25" s="104" customFormat="1" x14ac:dyDescent="0.25">
      <c r="A1594" s="97" t="str">
        <f t="shared" si="31"/>
        <v>ddr16_1600_ios_vddh2_dyn_ddr4_800_16_read</v>
      </c>
      <c r="B1594" s="97" t="s">
        <v>620</v>
      </c>
      <c r="C1594" s="98" t="s">
        <v>504</v>
      </c>
      <c r="D1594" s="97" t="s">
        <v>541</v>
      </c>
      <c r="E1594" s="97" t="s">
        <v>1166</v>
      </c>
      <c r="F1594" s="97">
        <v>0</v>
      </c>
      <c r="G1594" s="97" t="s">
        <v>575</v>
      </c>
      <c r="H1594" s="5"/>
      <c r="I1594"/>
      <c r="J1594"/>
      <c r="K1594"/>
      <c r="L1594"/>
      <c r="M1594"/>
      <c r="N1594"/>
      <c r="O1594"/>
      <c r="P1594"/>
      <c r="Q1594"/>
      <c r="R1594"/>
      <c r="S1594"/>
      <c r="T1594"/>
      <c r="U1594"/>
      <c r="V1594"/>
      <c r="W1594"/>
      <c r="X1594"/>
      <c r="Y1594"/>
    </row>
    <row r="1595" spans="1:25" s="104" customFormat="1" x14ac:dyDescent="0.25">
      <c r="A1595" s="97" t="str">
        <f t="shared" si="31"/>
        <v>ddr16_1600_ios_vddh2_dyn_ddr4_800_16_write</v>
      </c>
      <c r="B1595" s="97" t="s">
        <v>620</v>
      </c>
      <c r="C1595" s="98" t="s">
        <v>504</v>
      </c>
      <c r="D1595" s="97" t="s">
        <v>554</v>
      </c>
      <c r="E1595" s="97" t="s">
        <v>1166</v>
      </c>
      <c r="F1595" s="97">
        <v>0</v>
      </c>
      <c r="G1595" s="97" t="s">
        <v>575</v>
      </c>
      <c r="H1595" s="5"/>
      <c r="I1595"/>
      <c r="J1595"/>
      <c r="K1595"/>
      <c r="L1595"/>
      <c r="M1595"/>
      <c r="N1595"/>
      <c r="O1595"/>
      <c r="P1595"/>
      <c r="Q1595"/>
      <c r="R1595"/>
      <c r="S1595"/>
      <c r="T1595"/>
      <c r="U1595"/>
      <c r="V1595"/>
      <c r="W1595"/>
      <c r="X1595"/>
      <c r="Y1595"/>
    </row>
    <row r="1596" spans="1:25" s="104" customFormat="1" x14ac:dyDescent="0.25">
      <c r="A1596" s="97" t="str">
        <f t="shared" si="31"/>
        <v>ddr16_1600_ios_vddh2_dyn_lpddr4_100_16_idle</v>
      </c>
      <c r="B1596" s="97" t="s">
        <v>620</v>
      </c>
      <c r="C1596" s="98" t="s">
        <v>504</v>
      </c>
      <c r="D1596" s="97" t="s">
        <v>523</v>
      </c>
      <c r="E1596" s="97" t="s">
        <v>1166</v>
      </c>
      <c r="F1596" s="97">
        <v>35</v>
      </c>
      <c r="G1596" s="97" t="s">
        <v>575</v>
      </c>
      <c r="H1596" s="5"/>
      <c r="I1596"/>
      <c r="J1596"/>
      <c r="K1596"/>
      <c r="L1596"/>
      <c r="M1596"/>
      <c r="N1596"/>
      <c r="O1596"/>
      <c r="P1596"/>
      <c r="Q1596"/>
      <c r="R1596"/>
      <c r="S1596"/>
      <c r="T1596"/>
      <c r="U1596"/>
      <c r="V1596"/>
      <c r="W1596"/>
      <c r="X1596"/>
      <c r="Y1596"/>
    </row>
    <row r="1597" spans="1:25" s="104" customFormat="1" x14ac:dyDescent="0.25">
      <c r="A1597" s="97" t="str">
        <f t="shared" si="31"/>
        <v>ddr16_1600_ios_vddh2_dyn_lpddr4_100_16_read</v>
      </c>
      <c r="B1597" s="97" t="s">
        <v>620</v>
      </c>
      <c r="C1597" s="98" t="s">
        <v>504</v>
      </c>
      <c r="D1597" s="97" t="s">
        <v>536</v>
      </c>
      <c r="E1597" s="97" t="s">
        <v>1166</v>
      </c>
      <c r="F1597" s="97">
        <v>35</v>
      </c>
      <c r="G1597" s="97" t="s">
        <v>575</v>
      </c>
      <c r="H1597" s="5"/>
      <c r="I1597"/>
      <c r="J1597"/>
      <c r="K1597"/>
      <c r="L1597"/>
      <c r="M1597"/>
      <c r="N1597"/>
      <c r="O1597"/>
      <c r="P1597"/>
      <c r="Q1597"/>
      <c r="R1597"/>
      <c r="S1597"/>
      <c r="T1597"/>
      <c r="U1597"/>
      <c r="V1597"/>
      <c r="W1597"/>
      <c r="X1597"/>
      <c r="Y1597"/>
    </row>
    <row r="1598" spans="1:25" s="104" customFormat="1" x14ac:dyDescent="0.25">
      <c r="A1598" s="97" t="str">
        <f t="shared" si="31"/>
        <v>ddr16_1600_ios_vddh2_dyn_lpddr4_100_16_write</v>
      </c>
      <c r="B1598" s="97" t="s">
        <v>620</v>
      </c>
      <c r="C1598" s="98" t="s">
        <v>504</v>
      </c>
      <c r="D1598" s="97" t="s">
        <v>549</v>
      </c>
      <c r="E1598" s="97" t="s">
        <v>1166</v>
      </c>
      <c r="F1598" s="97">
        <v>35</v>
      </c>
      <c r="G1598" s="97" t="s">
        <v>575</v>
      </c>
      <c r="H1598" s="5"/>
      <c r="I1598"/>
      <c r="J1598"/>
      <c r="K1598"/>
      <c r="L1598"/>
      <c r="M1598"/>
      <c r="N1598"/>
      <c r="O1598"/>
      <c r="P1598"/>
      <c r="Q1598"/>
      <c r="R1598"/>
      <c r="S1598"/>
      <c r="T1598"/>
      <c r="U1598"/>
      <c r="V1598"/>
      <c r="W1598"/>
      <c r="X1598"/>
      <c r="Y1598"/>
    </row>
    <row r="1599" spans="1:25" s="104" customFormat="1" x14ac:dyDescent="0.25">
      <c r="A1599" s="97" t="str">
        <f t="shared" si="31"/>
        <v>ddr16_1600_ios_vddh2_dyn_lpddr4_1067_16_idle</v>
      </c>
      <c r="B1599" s="97" t="s">
        <v>620</v>
      </c>
      <c r="C1599" s="98" t="s">
        <v>504</v>
      </c>
      <c r="D1599" s="97" t="s">
        <v>520</v>
      </c>
      <c r="E1599" s="97" t="s">
        <v>1166</v>
      </c>
      <c r="F1599" s="97">
        <v>35</v>
      </c>
      <c r="G1599" s="97" t="s">
        <v>575</v>
      </c>
      <c r="H1599" s="5"/>
      <c r="I1599"/>
      <c r="J1599"/>
      <c r="K1599"/>
      <c r="L1599"/>
      <c r="M1599"/>
      <c r="N1599"/>
      <c r="O1599"/>
      <c r="P1599"/>
      <c r="Q1599"/>
      <c r="R1599"/>
      <c r="S1599"/>
      <c r="T1599"/>
      <c r="U1599"/>
      <c r="V1599"/>
      <c r="W1599"/>
      <c r="X1599"/>
      <c r="Y1599"/>
    </row>
    <row r="1600" spans="1:25" s="104" customFormat="1" x14ac:dyDescent="0.25">
      <c r="A1600" s="97" t="str">
        <f t="shared" si="31"/>
        <v>ddr16_1600_ios_vddh2_dyn_lpddr4_1067_16_read</v>
      </c>
      <c r="B1600" s="97" t="s">
        <v>620</v>
      </c>
      <c r="C1600" s="98" t="s">
        <v>504</v>
      </c>
      <c r="D1600" s="97" t="s">
        <v>533</v>
      </c>
      <c r="E1600" s="97" t="s">
        <v>1166</v>
      </c>
      <c r="F1600" s="97">
        <v>35</v>
      </c>
      <c r="G1600" s="97" t="s">
        <v>575</v>
      </c>
      <c r="H1600" s="5"/>
      <c r="I1600"/>
      <c r="J1600"/>
      <c r="K1600"/>
      <c r="L1600"/>
      <c r="M1600"/>
      <c r="N1600"/>
      <c r="O1600"/>
      <c r="P1600"/>
      <c r="Q1600"/>
      <c r="R1600"/>
      <c r="S1600"/>
      <c r="T1600"/>
      <c r="U1600"/>
      <c r="V1600"/>
      <c r="W1600"/>
      <c r="X1600"/>
      <c r="Y1600"/>
    </row>
    <row r="1601" spans="1:25" s="104" customFormat="1" x14ac:dyDescent="0.25">
      <c r="A1601" s="97" t="str">
        <f t="shared" si="31"/>
        <v>ddr16_1600_ios_vddh2_dyn_lpddr4_1067_16_write</v>
      </c>
      <c r="B1601" s="97" t="s">
        <v>620</v>
      </c>
      <c r="C1601" s="98" t="s">
        <v>504</v>
      </c>
      <c r="D1601" s="97" t="s">
        <v>546</v>
      </c>
      <c r="E1601" s="97" t="s">
        <v>1166</v>
      </c>
      <c r="F1601" s="97">
        <v>35</v>
      </c>
      <c r="G1601" s="97" t="s">
        <v>575</v>
      </c>
      <c r="H1601" s="5"/>
      <c r="I1601"/>
      <c r="J1601"/>
      <c r="K1601"/>
      <c r="L1601"/>
      <c r="M1601"/>
      <c r="N1601"/>
      <c r="O1601"/>
      <c r="P1601"/>
      <c r="Q1601"/>
      <c r="R1601"/>
      <c r="S1601"/>
      <c r="T1601"/>
      <c r="U1601"/>
      <c r="V1601"/>
      <c r="W1601"/>
      <c r="X1601"/>
      <c r="Y1601"/>
    </row>
    <row r="1602" spans="1:25" s="104" customFormat="1" x14ac:dyDescent="0.25">
      <c r="A1602" s="97" t="str">
        <f t="shared" si="31"/>
        <v>ddr16_1600_ios_vddh2_dyn_lpddr4_1333_16_idle</v>
      </c>
      <c r="B1602" s="97" t="s">
        <v>620</v>
      </c>
      <c r="C1602" s="98" t="s">
        <v>504</v>
      </c>
      <c r="D1602" s="97" t="s">
        <v>519</v>
      </c>
      <c r="E1602" s="97" t="s">
        <v>1166</v>
      </c>
      <c r="F1602" s="97">
        <v>35</v>
      </c>
      <c r="G1602" s="97" t="s">
        <v>575</v>
      </c>
      <c r="H1602" s="5"/>
      <c r="I1602"/>
      <c r="J1602"/>
      <c r="K1602"/>
      <c r="L1602"/>
      <c r="M1602"/>
      <c r="N1602"/>
      <c r="O1602"/>
      <c r="P1602"/>
      <c r="Q1602"/>
      <c r="R1602"/>
      <c r="S1602"/>
      <c r="T1602"/>
      <c r="U1602"/>
      <c r="V1602"/>
      <c r="W1602"/>
      <c r="X1602"/>
      <c r="Y1602"/>
    </row>
    <row r="1603" spans="1:25" s="104" customFormat="1" x14ac:dyDescent="0.25">
      <c r="A1603" s="97" t="str">
        <f t="shared" si="31"/>
        <v>ddr16_1600_ios_vddh2_dyn_lpddr4_1333_16_read</v>
      </c>
      <c r="B1603" s="97" t="s">
        <v>620</v>
      </c>
      <c r="C1603" s="98" t="s">
        <v>504</v>
      </c>
      <c r="D1603" s="97" t="s">
        <v>532</v>
      </c>
      <c r="E1603" s="97" t="s">
        <v>1166</v>
      </c>
      <c r="F1603" s="97">
        <v>35</v>
      </c>
      <c r="G1603" s="97" t="s">
        <v>575</v>
      </c>
      <c r="H1603" s="5"/>
      <c r="I1603"/>
      <c r="J1603"/>
      <c r="K1603"/>
      <c r="L1603"/>
      <c r="M1603"/>
      <c r="N1603"/>
      <c r="O1603"/>
      <c r="P1603"/>
      <c r="Q1603"/>
      <c r="R1603"/>
      <c r="S1603"/>
      <c r="T1603"/>
      <c r="U1603"/>
      <c r="V1603"/>
      <c r="W1603"/>
      <c r="X1603"/>
      <c r="Y1603"/>
    </row>
    <row r="1604" spans="1:25" s="104" customFormat="1" x14ac:dyDescent="0.25">
      <c r="A1604" s="97" t="str">
        <f t="shared" si="31"/>
        <v>ddr16_1600_ios_vddh2_dyn_lpddr4_1333_16_write</v>
      </c>
      <c r="B1604" s="97" t="s">
        <v>620</v>
      </c>
      <c r="C1604" s="98" t="s">
        <v>504</v>
      </c>
      <c r="D1604" s="97" t="s">
        <v>545</v>
      </c>
      <c r="E1604" s="97" t="s">
        <v>1166</v>
      </c>
      <c r="F1604" s="97">
        <v>35</v>
      </c>
      <c r="G1604" s="97" t="s">
        <v>575</v>
      </c>
      <c r="H1604" s="5"/>
      <c r="I1604"/>
      <c r="J1604"/>
      <c r="K1604"/>
      <c r="L1604"/>
      <c r="M1604"/>
      <c r="N1604"/>
      <c r="O1604"/>
      <c r="P1604"/>
      <c r="Q1604"/>
      <c r="R1604"/>
      <c r="S1604"/>
      <c r="T1604"/>
      <c r="U1604"/>
      <c r="V1604"/>
      <c r="W1604"/>
      <c r="X1604"/>
      <c r="Y1604"/>
    </row>
    <row r="1605" spans="1:25" s="104" customFormat="1" x14ac:dyDescent="0.25">
      <c r="A1605" s="97" t="str">
        <f t="shared" si="31"/>
        <v>ddr16_1600_ios_vddh2_dyn_lpddr4_1600_16_idle</v>
      </c>
      <c r="B1605" s="97" t="s">
        <v>620</v>
      </c>
      <c r="C1605" s="98" t="s">
        <v>504</v>
      </c>
      <c r="D1605" s="97" t="s">
        <v>518</v>
      </c>
      <c r="E1605" s="97" t="s">
        <v>1166</v>
      </c>
      <c r="F1605" s="97">
        <v>35</v>
      </c>
      <c r="G1605" s="97" t="s">
        <v>575</v>
      </c>
      <c r="H1605" s="5"/>
      <c r="I1605"/>
      <c r="J1605"/>
      <c r="K1605"/>
      <c r="L1605"/>
      <c r="M1605"/>
      <c r="N1605"/>
      <c r="O1605"/>
      <c r="P1605"/>
      <c r="Q1605"/>
      <c r="R1605"/>
      <c r="S1605"/>
      <c r="T1605"/>
      <c r="U1605"/>
      <c r="V1605"/>
      <c r="W1605"/>
      <c r="X1605"/>
      <c r="Y1605"/>
    </row>
    <row r="1606" spans="1:25" s="104" customFormat="1" x14ac:dyDescent="0.25">
      <c r="A1606" s="97" t="str">
        <f t="shared" si="31"/>
        <v>ddr16_1600_ios_vddh2_dyn_lpddr4_1600_16_read</v>
      </c>
      <c r="B1606" s="97" t="s">
        <v>620</v>
      </c>
      <c r="C1606" s="98" t="s">
        <v>504</v>
      </c>
      <c r="D1606" s="97" t="s">
        <v>531</v>
      </c>
      <c r="E1606" s="97" t="s">
        <v>1166</v>
      </c>
      <c r="F1606" s="97">
        <v>35</v>
      </c>
      <c r="G1606" s="97" t="s">
        <v>575</v>
      </c>
      <c r="H1606" s="5"/>
      <c r="I1606"/>
      <c r="J1606"/>
      <c r="K1606"/>
      <c r="L1606"/>
      <c r="M1606"/>
      <c r="N1606"/>
      <c r="O1606"/>
      <c r="P1606"/>
      <c r="Q1606"/>
      <c r="R1606"/>
      <c r="S1606"/>
      <c r="T1606"/>
      <c r="U1606"/>
      <c r="V1606"/>
      <c r="W1606"/>
      <c r="X1606"/>
      <c r="Y1606"/>
    </row>
    <row r="1607" spans="1:25" s="104" customFormat="1" x14ac:dyDescent="0.25">
      <c r="A1607" s="97" t="str">
        <f t="shared" si="31"/>
        <v>ddr16_1600_ios_vddh2_dyn_lpddr4_1600_16_write</v>
      </c>
      <c r="B1607" s="97" t="s">
        <v>620</v>
      </c>
      <c r="C1607" s="98" t="s">
        <v>504</v>
      </c>
      <c r="D1607" s="97" t="s">
        <v>544</v>
      </c>
      <c r="E1607" s="97" t="s">
        <v>1166</v>
      </c>
      <c r="F1607" s="97">
        <v>35</v>
      </c>
      <c r="G1607" s="97" t="s">
        <v>575</v>
      </c>
      <c r="H1607" s="5"/>
      <c r="I1607"/>
      <c r="J1607"/>
      <c r="K1607"/>
      <c r="L1607"/>
      <c r="M1607"/>
      <c r="N1607"/>
      <c r="O1607"/>
      <c r="P1607"/>
      <c r="Q1607"/>
      <c r="R1607"/>
      <c r="S1607"/>
      <c r="T1607"/>
      <c r="U1607"/>
      <c r="V1607"/>
      <c r="W1607"/>
      <c r="X1607"/>
      <c r="Y1607"/>
    </row>
    <row r="1608" spans="1:25" s="104" customFormat="1" x14ac:dyDescent="0.25">
      <c r="A1608" s="97" t="str">
        <f t="shared" si="31"/>
        <v>ddr16_1600_ios_vddh2_dyn_lpddr4_50_16_idle</v>
      </c>
      <c r="B1608" s="97" t="s">
        <v>620</v>
      </c>
      <c r="C1608" s="98" t="s">
        <v>504</v>
      </c>
      <c r="D1608" s="97" t="s">
        <v>524</v>
      </c>
      <c r="E1608" s="97" t="s">
        <v>1166</v>
      </c>
      <c r="F1608" s="97">
        <v>35</v>
      </c>
      <c r="G1608" s="97" t="s">
        <v>575</v>
      </c>
      <c r="H1608" s="5"/>
      <c r="I1608"/>
      <c r="J1608"/>
      <c r="K1608"/>
      <c r="L1608"/>
      <c r="M1608"/>
      <c r="N1608"/>
      <c r="O1608"/>
      <c r="P1608"/>
      <c r="Q1608"/>
      <c r="R1608"/>
      <c r="S1608"/>
      <c r="T1608"/>
      <c r="U1608"/>
      <c r="V1608"/>
      <c r="W1608"/>
      <c r="X1608"/>
      <c r="Y1608"/>
    </row>
    <row r="1609" spans="1:25" s="104" customFormat="1" x14ac:dyDescent="0.25">
      <c r="A1609" s="97" t="str">
        <f t="shared" si="31"/>
        <v>ddr16_1600_ios_vddh2_dyn_lpddr4_50_16_read</v>
      </c>
      <c r="B1609" s="97" t="s">
        <v>620</v>
      </c>
      <c r="C1609" s="98" t="s">
        <v>504</v>
      </c>
      <c r="D1609" s="97" t="s">
        <v>537</v>
      </c>
      <c r="E1609" s="97" t="s">
        <v>1166</v>
      </c>
      <c r="F1609" s="97">
        <v>35</v>
      </c>
      <c r="G1609" s="97" t="s">
        <v>575</v>
      </c>
      <c r="H1609" s="5"/>
      <c r="I1609"/>
      <c r="J1609"/>
      <c r="K1609"/>
      <c r="L1609"/>
      <c r="M1609"/>
      <c r="N1609"/>
      <c r="O1609"/>
      <c r="P1609"/>
      <c r="Q1609"/>
      <c r="R1609"/>
      <c r="S1609"/>
      <c r="T1609"/>
      <c r="U1609"/>
      <c r="V1609"/>
      <c r="W1609"/>
      <c r="X1609"/>
      <c r="Y1609"/>
    </row>
    <row r="1610" spans="1:25" s="104" customFormat="1" x14ac:dyDescent="0.25">
      <c r="A1610" s="97" t="str">
        <f t="shared" si="31"/>
        <v>ddr16_1600_ios_vddh2_dyn_lpddr4_50_16_write</v>
      </c>
      <c r="B1610" s="97" t="s">
        <v>620</v>
      </c>
      <c r="C1610" s="98" t="s">
        <v>504</v>
      </c>
      <c r="D1610" s="97" t="s">
        <v>550</v>
      </c>
      <c r="E1610" s="97" t="s">
        <v>1166</v>
      </c>
      <c r="F1610" s="97">
        <v>35</v>
      </c>
      <c r="G1610" s="97" t="s">
        <v>575</v>
      </c>
      <c r="H1610" s="5"/>
      <c r="I1610"/>
      <c r="J1610"/>
      <c r="K1610"/>
      <c r="L1610"/>
      <c r="M1610"/>
      <c r="N1610"/>
      <c r="O1610"/>
      <c r="P1610"/>
      <c r="Q1610"/>
      <c r="R1610"/>
      <c r="S1610"/>
      <c r="T1610"/>
      <c r="U1610"/>
      <c r="V1610"/>
      <c r="W1610"/>
      <c r="X1610"/>
      <c r="Y1610"/>
    </row>
    <row r="1611" spans="1:25" s="104" customFormat="1" x14ac:dyDescent="0.25">
      <c r="A1611" s="97" t="str">
        <f t="shared" si="31"/>
        <v>ddr16_1600_ios_vddh2_dyn_lpddr4_533_16_idle</v>
      </c>
      <c r="B1611" s="97" t="s">
        <v>620</v>
      </c>
      <c r="C1611" s="98" t="s">
        <v>504</v>
      </c>
      <c r="D1611" s="97" t="s">
        <v>522</v>
      </c>
      <c r="E1611" s="97" t="s">
        <v>1166</v>
      </c>
      <c r="F1611" s="97">
        <v>35</v>
      </c>
      <c r="G1611" s="97" t="s">
        <v>575</v>
      </c>
      <c r="H1611" s="5"/>
      <c r="I1611"/>
      <c r="J1611"/>
      <c r="K1611"/>
      <c r="L1611"/>
      <c r="M1611"/>
      <c r="N1611"/>
      <c r="O1611"/>
      <c r="P1611"/>
      <c r="Q1611"/>
      <c r="R1611"/>
      <c r="S1611"/>
      <c r="T1611"/>
      <c r="U1611"/>
      <c r="V1611"/>
      <c r="W1611"/>
      <c r="X1611"/>
      <c r="Y1611"/>
    </row>
    <row r="1612" spans="1:25" s="104" customFormat="1" x14ac:dyDescent="0.25">
      <c r="A1612" s="97" t="str">
        <f t="shared" si="31"/>
        <v>ddr16_1600_ios_vddh2_dyn_lpddr4_533_16_read</v>
      </c>
      <c r="B1612" s="97" t="s">
        <v>620</v>
      </c>
      <c r="C1612" s="98" t="s">
        <v>504</v>
      </c>
      <c r="D1612" s="97" t="s">
        <v>535</v>
      </c>
      <c r="E1612" s="97" t="s">
        <v>1166</v>
      </c>
      <c r="F1612" s="97">
        <v>35</v>
      </c>
      <c r="G1612" s="97" t="s">
        <v>575</v>
      </c>
      <c r="H1612" s="5"/>
      <c r="I1612"/>
      <c r="J1612"/>
      <c r="K1612"/>
      <c r="L1612"/>
      <c r="M1612"/>
      <c r="N1612"/>
      <c r="O1612"/>
      <c r="P1612"/>
      <c r="Q1612"/>
      <c r="R1612"/>
      <c r="S1612"/>
      <c r="T1612"/>
      <c r="U1612"/>
      <c r="V1612"/>
      <c r="W1612"/>
      <c r="X1612"/>
      <c r="Y1612"/>
    </row>
    <row r="1613" spans="1:25" s="104" customFormat="1" x14ac:dyDescent="0.25">
      <c r="A1613" s="97" t="str">
        <f t="shared" si="31"/>
        <v>ddr16_1600_ios_vddh2_dyn_lpddr4_533_16_write</v>
      </c>
      <c r="B1613" s="97" t="s">
        <v>620</v>
      </c>
      <c r="C1613" s="98" t="s">
        <v>504</v>
      </c>
      <c r="D1613" s="97" t="s">
        <v>548</v>
      </c>
      <c r="E1613" s="97" t="s">
        <v>1166</v>
      </c>
      <c r="F1613" s="97">
        <v>35</v>
      </c>
      <c r="G1613" s="97" t="s">
        <v>575</v>
      </c>
      <c r="H1613" s="5"/>
      <c r="I1613"/>
      <c r="J1613"/>
      <c r="K1613"/>
      <c r="L1613"/>
      <c r="M1613"/>
      <c r="N1613"/>
      <c r="O1613"/>
      <c r="P1613"/>
      <c r="Q1613"/>
      <c r="R1613"/>
      <c r="S1613"/>
      <c r="T1613"/>
      <c r="U1613"/>
      <c r="V1613"/>
      <c r="W1613"/>
      <c r="X1613"/>
      <c r="Y1613"/>
    </row>
    <row r="1614" spans="1:25" s="104" customFormat="1" x14ac:dyDescent="0.25">
      <c r="A1614" s="97" t="str">
        <f t="shared" si="31"/>
        <v>ddr16_1600_ios_vddh2_dyn_lpddr4_800_16_idle</v>
      </c>
      <c r="B1614" s="97" t="s">
        <v>620</v>
      </c>
      <c r="C1614" s="98" t="s">
        <v>504</v>
      </c>
      <c r="D1614" s="97" t="s">
        <v>521</v>
      </c>
      <c r="E1614" s="97" t="s">
        <v>1166</v>
      </c>
      <c r="F1614" s="97">
        <v>35</v>
      </c>
      <c r="G1614" s="97" t="s">
        <v>575</v>
      </c>
      <c r="H1614" s="5"/>
      <c r="I1614"/>
      <c r="J1614"/>
      <c r="K1614"/>
      <c r="L1614"/>
      <c r="M1614"/>
      <c r="N1614"/>
      <c r="O1614"/>
      <c r="P1614"/>
      <c r="Q1614"/>
      <c r="R1614"/>
      <c r="S1614"/>
      <c r="T1614"/>
      <c r="U1614"/>
      <c r="V1614"/>
      <c r="W1614"/>
      <c r="X1614"/>
      <c r="Y1614"/>
    </row>
    <row r="1615" spans="1:25" s="104" customFormat="1" x14ac:dyDescent="0.25">
      <c r="A1615" s="97" t="str">
        <f t="shared" si="31"/>
        <v>ddr16_1600_ios_vddh2_dyn_lpddr4_800_16_read</v>
      </c>
      <c r="B1615" s="97" t="s">
        <v>620</v>
      </c>
      <c r="C1615" s="98" t="s">
        <v>504</v>
      </c>
      <c r="D1615" s="97" t="s">
        <v>534</v>
      </c>
      <c r="E1615" s="97" t="s">
        <v>1166</v>
      </c>
      <c r="F1615" s="97">
        <v>35</v>
      </c>
      <c r="G1615" s="97" t="s">
        <v>575</v>
      </c>
      <c r="H1615" s="5"/>
      <c r="I1615"/>
      <c r="J1615"/>
      <c r="K1615"/>
      <c r="L1615"/>
      <c r="M1615"/>
      <c r="N1615"/>
      <c r="O1615"/>
      <c r="P1615"/>
      <c r="Q1615"/>
      <c r="R1615"/>
      <c r="S1615"/>
      <c r="T1615"/>
      <c r="U1615"/>
      <c r="V1615"/>
      <c r="W1615"/>
      <c r="X1615"/>
      <c r="Y1615"/>
    </row>
    <row r="1616" spans="1:25" s="104" customFormat="1" x14ac:dyDescent="0.25">
      <c r="A1616" s="97" t="str">
        <f t="shared" si="31"/>
        <v>ddr16_1600_ios_vddh2_dyn_lpddr4_800_16_write</v>
      </c>
      <c r="B1616" s="97" t="s">
        <v>620</v>
      </c>
      <c r="C1616" s="98" t="s">
        <v>504</v>
      </c>
      <c r="D1616" s="97" t="s">
        <v>547</v>
      </c>
      <c r="E1616" s="97" t="s">
        <v>1166</v>
      </c>
      <c r="F1616" s="97">
        <v>35</v>
      </c>
      <c r="G1616" s="97" t="s">
        <v>575</v>
      </c>
      <c r="H1616" s="5"/>
      <c r="I1616"/>
      <c r="J1616"/>
      <c r="K1616"/>
      <c r="L1616"/>
      <c r="M1616"/>
      <c r="N1616"/>
      <c r="O1616"/>
      <c r="P1616"/>
      <c r="Q1616"/>
      <c r="R1616"/>
      <c r="S1616"/>
      <c r="T1616"/>
      <c r="U1616"/>
      <c r="V1616"/>
      <c r="W1616"/>
      <c r="X1616"/>
      <c r="Y1616"/>
    </row>
    <row r="1617" spans="1:25" s="104" customFormat="1" x14ac:dyDescent="0.25">
      <c r="A1617" s="97" t="str">
        <f t="shared" si="31"/>
        <v>ddr16_1600_ios_vddh2_dyn_Sleep_idle</v>
      </c>
      <c r="B1617" s="97" t="s">
        <v>620</v>
      </c>
      <c r="C1617" s="98" t="s">
        <v>504</v>
      </c>
      <c r="D1617" s="97" t="s">
        <v>530</v>
      </c>
      <c r="E1617" s="97" t="s">
        <v>1166</v>
      </c>
      <c r="F1617" s="97">
        <v>0</v>
      </c>
      <c r="G1617" s="97" t="s">
        <v>575</v>
      </c>
      <c r="H1617" s="5"/>
      <c r="I1617"/>
      <c r="J1617"/>
      <c r="K1617"/>
      <c r="L1617"/>
      <c r="M1617"/>
      <c r="N1617"/>
      <c r="O1617"/>
      <c r="P1617"/>
      <c r="Q1617"/>
      <c r="R1617"/>
      <c r="S1617"/>
      <c r="T1617"/>
      <c r="U1617"/>
      <c r="V1617"/>
      <c r="W1617"/>
      <c r="X1617"/>
      <c r="Y1617"/>
    </row>
    <row r="1618" spans="1:25" s="104" customFormat="1" x14ac:dyDescent="0.25">
      <c r="A1618" s="97" t="str">
        <f t="shared" si="31"/>
        <v>ddr16_1600_ios_vddh2_dyn_Sleep_read</v>
      </c>
      <c r="B1618" s="97" t="s">
        <v>620</v>
      </c>
      <c r="C1618" s="98" t="s">
        <v>504</v>
      </c>
      <c r="D1618" s="97" t="s">
        <v>543</v>
      </c>
      <c r="E1618" s="97" t="s">
        <v>1166</v>
      </c>
      <c r="F1618" s="97">
        <v>0</v>
      </c>
      <c r="G1618" s="97" t="s">
        <v>575</v>
      </c>
      <c r="H1618" s="5"/>
      <c r="I1618"/>
      <c r="J1618"/>
      <c r="K1618"/>
      <c r="L1618"/>
      <c r="M1618"/>
      <c r="N1618"/>
      <c r="O1618"/>
      <c r="P1618"/>
      <c r="Q1618"/>
      <c r="R1618"/>
      <c r="S1618"/>
      <c r="T1618"/>
      <c r="U1618"/>
      <c r="V1618"/>
      <c r="W1618"/>
      <c r="X1618"/>
      <c r="Y1618"/>
    </row>
    <row r="1619" spans="1:25" s="104" customFormat="1" x14ac:dyDescent="0.25">
      <c r="A1619" s="97" t="str">
        <f t="shared" si="31"/>
        <v>ddr16_1600_ios_vddh2_dyn_Sleep_write</v>
      </c>
      <c r="B1619" s="97" t="s">
        <v>620</v>
      </c>
      <c r="C1619" s="98" t="s">
        <v>504</v>
      </c>
      <c r="D1619" s="97" t="s">
        <v>556</v>
      </c>
      <c r="E1619" s="97" t="s">
        <v>1166</v>
      </c>
      <c r="F1619" s="97">
        <v>0</v>
      </c>
      <c r="G1619" s="97" t="s">
        <v>575</v>
      </c>
      <c r="H1619" s="5"/>
      <c r="I1619"/>
      <c r="J1619"/>
      <c r="K1619"/>
      <c r="L1619"/>
      <c r="M1619"/>
      <c r="N1619"/>
      <c r="O1619"/>
      <c r="P1619"/>
      <c r="Q1619"/>
      <c r="R1619"/>
      <c r="S1619"/>
      <c r="T1619"/>
      <c r="U1619"/>
      <c r="V1619"/>
      <c r="W1619"/>
      <c r="X1619"/>
      <c r="Y1619"/>
    </row>
    <row r="1620" spans="1:25" s="104" customFormat="1" hidden="1" x14ac:dyDescent="0.25">
      <c r="A1620" s="97" t="str">
        <f t="shared" ref="A1620:A1647" si="32">B1620&amp;"_"&amp;C1620</f>
        <v>sd1000_vddh2_lkg</v>
      </c>
      <c r="B1620" s="97" t="s">
        <v>608</v>
      </c>
      <c r="C1620" s="98" t="s">
        <v>500</v>
      </c>
      <c r="D1620" s="97"/>
      <c r="E1620" s="97" t="s">
        <v>1038</v>
      </c>
      <c r="F1620" s="97">
        <v>0</v>
      </c>
      <c r="G1620" s="97" t="s">
        <v>487</v>
      </c>
      <c r="H1620" s="5"/>
      <c r="I1620"/>
      <c r="J1620"/>
      <c r="K1620"/>
      <c r="L1620"/>
      <c r="M1620"/>
      <c r="N1620"/>
      <c r="O1620"/>
      <c r="P1620"/>
      <c r="Q1620"/>
      <c r="R1620"/>
      <c r="S1620"/>
      <c r="T1620"/>
      <c r="U1620"/>
      <c r="V1620"/>
      <c r="W1620"/>
      <c r="X1620"/>
      <c r="Y1620"/>
    </row>
    <row r="1621" spans="1:25" s="104" customFormat="1" x14ac:dyDescent="0.25">
      <c r="A1621" s="97" t="str">
        <f t="shared" si="32"/>
        <v>ddr16_1600_ios_vddh2_lkg</v>
      </c>
      <c r="B1621" s="97" t="s">
        <v>620</v>
      </c>
      <c r="C1621" s="98" t="s">
        <v>500</v>
      </c>
      <c r="D1621" s="97"/>
      <c r="E1621" s="97" t="s">
        <v>1038</v>
      </c>
      <c r="F1621" s="97">
        <v>0.14291999999999999</v>
      </c>
      <c r="G1621" s="97" t="s">
        <v>576</v>
      </c>
      <c r="H1621" s="5"/>
      <c r="I1621"/>
      <c r="J1621"/>
      <c r="K1621"/>
      <c r="L1621"/>
      <c r="M1621"/>
      <c r="N1621"/>
      <c r="O1621"/>
      <c r="P1621"/>
      <c r="Q1621"/>
      <c r="R1621"/>
      <c r="S1621"/>
      <c r="T1621"/>
      <c r="U1621"/>
      <c r="V1621"/>
      <c r="W1621"/>
      <c r="X1621"/>
      <c r="Y1621"/>
    </row>
    <row r="1622" spans="1:25" s="104" customFormat="1" hidden="1" x14ac:dyDescent="0.25">
      <c r="A1622" s="97" t="str">
        <f t="shared" si="32"/>
        <v>sam62_m4ss_wrap_vddr_lkg</v>
      </c>
      <c r="B1622" s="97" t="s">
        <v>219</v>
      </c>
      <c r="C1622" s="97" t="s">
        <v>1055</v>
      </c>
      <c r="D1622" s="97"/>
      <c r="E1622" s="97" t="s">
        <v>1072</v>
      </c>
      <c r="F1622" s="98">
        <v>10</v>
      </c>
      <c r="G1622" s="97" t="s">
        <v>1076</v>
      </c>
      <c r="H1622" s="98">
        <v>10</v>
      </c>
      <c r="I1622"/>
      <c r="J1622"/>
      <c r="K1622"/>
      <c r="L1622"/>
      <c r="M1622"/>
      <c r="N1622"/>
      <c r="O1622"/>
      <c r="P1622"/>
      <c r="Q1622"/>
      <c r="R1622"/>
      <c r="S1622"/>
      <c r="T1622"/>
      <c r="U1622"/>
      <c r="V1622"/>
      <c r="W1622"/>
      <c r="X1622"/>
      <c r="Y1622"/>
    </row>
    <row r="1623" spans="1:25" s="104" customFormat="1" hidden="1" x14ac:dyDescent="0.25">
      <c r="A1623" s="97" t="str">
        <f t="shared" si="32"/>
        <v>sam62_dm_wrap_vddr_lkg</v>
      </c>
      <c r="B1623" s="97" t="s">
        <v>237</v>
      </c>
      <c r="C1623" s="97" t="s">
        <v>1055</v>
      </c>
      <c r="D1623" s="97"/>
      <c r="E1623" s="97" t="s">
        <v>1072</v>
      </c>
      <c r="F1623" s="98">
        <v>3.5</v>
      </c>
      <c r="G1623" s="97" t="s">
        <v>1076</v>
      </c>
      <c r="H1623" s="98">
        <v>3.5</v>
      </c>
      <c r="I1623"/>
      <c r="J1623"/>
      <c r="K1623"/>
      <c r="L1623"/>
      <c r="M1623"/>
      <c r="N1623"/>
      <c r="O1623"/>
      <c r="P1623"/>
      <c r="Q1623"/>
      <c r="R1623"/>
      <c r="S1623"/>
      <c r="T1623"/>
      <c r="U1623"/>
      <c r="V1623"/>
      <c r="W1623"/>
      <c r="X1623"/>
      <c r="Y1623"/>
    </row>
    <row r="1624" spans="1:25" s="104" customFormat="1" hidden="1" x14ac:dyDescent="0.25">
      <c r="A1624" s="97" t="str">
        <f t="shared" si="32"/>
        <v>sam62_a53_dual_wrap_cba_cpu_phys_vddr_lkg</v>
      </c>
      <c r="B1624" s="97" t="s">
        <v>274</v>
      </c>
      <c r="C1624" s="97" t="s">
        <v>1055</v>
      </c>
      <c r="D1624" s="97"/>
      <c r="E1624" s="97" t="s">
        <v>1072</v>
      </c>
      <c r="F1624" s="98">
        <v>7</v>
      </c>
      <c r="G1624" s="97" t="s">
        <v>1076</v>
      </c>
      <c r="H1624" s="98">
        <v>7</v>
      </c>
      <c r="I1624"/>
      <c r="J1624"/>
      <c r="K1624"/>
      <c r="L1624"/>
      <c r="M1624"/>
      <c r="N1624"/>
      <c r="O1624"/>
      <c r="P1624"/>
      <c r="Q1624"/>
      <c r="R1624"/>
      <c r="S1624"/>
      <c r="T1624"/>
      <c r="U1624"/>
      <c r="V1624"/>
      <c r="W1624"/>
      <c r="X1624"/>
      <c r="Y1624"/>
    </row>
    <row r="1625" spans="1:25" s="104" customFormat="1" hidden="1" x14ac:dyDescent="0.25">
      <c r="A1625" s="97" t="str">
        <f t="shared" si="32"/>
        <v>sam62_a53_512kb_wrap_vddr_lkg</v>
      </c>
      <c r="B1625" s="97" t="s">
        <v>270</v>
      </c>
      <c r="C1625" s="97" t="s">
        <v>1055</v>
      </c>
      <c r="D1625" s="97"/>
      <c r="E1625" s="97" t="s">
        <v>1072</v>
      </c>
      <c r="F1625" s="98">
        <v>21.2</v>
      </c>
      <c r="G1625" s="97" t="s">
        <v>1076</v>
      </c>
      <c r="H1625" s="98">
        <v>21.2</v>
      </c>
      <c r="I1625"/>
      <c r="J1625"/>
      <c r="K1625"/>
      <c r="L1625"/>
      <c r="M1625"/>
      <c r="N1625"/>
      <c r="O1625"/>
      <c r="P1625"/>
      <c r="Q1625"/>
      <c r="R1625"/>
      <c r="S1625"/>
      <c r="T1625"/>
      <c r="U1625"/>
      <c r="V1625"/>
      <c r="W1625"/>
      <c r="X1625"/>
      <c r="Y1625"/>
    </row>
    <row r="1626" spans="1:25" s="104" customFormat="1" hidden="1" x14ac:dyDescent="0.25">
      <c r="A1626" s="97" t="str">
        <f t="shared" si="32"/>
        <v>sam62_cpsw3_wrap_vddr_lkg</v>
      </c>
      <c r="B1626" s="97" t="s">
        <v>216</v>
      </c>
      <c r="C1626" s="97" t="s">
        <v>1055</v>
      </c>
      <c r="D1626" s="97"/>
      <c r="E1626" s="97" t="s">
        <v>1072</v>
      </c>
      <c r="F1626" s="98">
        <v>1.5</v>
      </c>
      <c r="G1626" s="97" t="s">
        <v>1076</v>
      </c>
      <c r="H1626" s="98">
        <v>1.5</v>
      </c>
      <c r="I1626"/>
      <c r="J1626"/>
      <c r="K1626"/>
      <c r="L1626"/>
      <c r="M1626"/>
      <c r="N1626"/>
      <c r="O1626"/>
      <c r="P1626"/>
      <c r="Q1626"/>
      <c r="R1626"/>
      <c r="S1626"/>
      <c r="T1626"/>
      <c r="U1626"/>
      <c r="V1626"/>
      <c r="W1626"/>
      <c r="X1626"/>
      <c r="Y1626"/>
    </row>
    <row r="1627" spans="1:25" s="104" customFormat="1" hidden="1" x14ac:dyDescent="0.25">
      <c r="A1627" s="97" t="str">
        <f t="shared" si="32"/>
        <v>sam62_icss_m_wrap_vddr_lkg</v>
      </c>
      <c r="B1627" s="97" t="s">
        <v>209</v>
      </c>
      <c r="C1627" s="97" t="s">
        <v>1055</v>
      </c>
      <c r="D1627" s="97"/>
      <c r="E1627" s="97" t="s">
        <v>1072</v>
      </c>
      <c r="F1627" s="98">
        <v>4.2</v>
      </c>
      <c r="G1627" s="97" t="s">
        <v>1076</v>
      </c>
      <c r="H1627" s="98">
        <v>4.2</v>
      </c>
      <c r="I1627"/>
      <c r="J1627"/>
      <c r="K1627"/>
      <c r="L1627"/>
      <c r="M1627"/>
      <c r="N1627"/>
      <c r="O1627"/>
      <c r="P1627"/>
      <c r="Q1627"/>
      <c r="R1627"/>
      <c r="S1627"/>
      <c r="T1627"/>
      <c r="U1627"/>
      <c r="V1627"/>
      <c r="W1627"/>
      <c r="X1627"/>
      <c r="Y1627"/>
    </row>
    <row r="1628" spans="1:25" s="104" customFormat="1" hidden="1" x14ac:dyDescent="0.25">
      <c r="A1628" s="97" t="str">
        <f t="shared" si="32"/>
        <v>sam62_dss_oldi_wrap_vddr_lkg</v>
      </c>
      <c r="B1628" s="97" t="s">
        <v>214</v>
      </c>
      <c r="C1628" s="97" t="s">
        <v>1055</v>
      </c>
      <c r="D1628" s="97"/>
      <c r="E1628" s="97" t="s">
        <v>1072</v>
      </c>
      <c r="F1628" s="98">
        <v>1.9</v>
      </c>
      <c r="G1628" s="97" t="s">
        <v>1076</v>
      </c>
      <c r="H1628" s="98">
        <v>1.9</v>
      </c>
      <c r="I1628"/>
      <c r="J1628"/>
      <c r="K1628"/>
      <c r="L1628"/>
      <c r="M1628"/>
      <c r="N1628"/>
      <c r="O1628"/>
      <c r="P1628"/>
      <c r="Q1628"/>
      <c r="R1628"/>
      <c r="S1628"/>
      <c r="T1628"/>
      <c r="U1628"/>
      <c r="V1628"/>
      <c r="W1628"/>
      <c r="X1628"/>
      <c r="Y1628"/>
    </row>
    <row r="1629" spans="1:25" s="104" customFormat="1" hidden="1" x14ac:dyDescent="0.25">
      <c r="A1629" s="97" t="str">
        <f t="shared" si="32"/>
        <v>sam62_k3_gpu_axe116m_wrap_vddr_lkg</v>
      </c>
      <c r="B1629" s="97" t="s">
        <v>242</v>
      </c>
      <c r="C1629" s="97" t="s">
        <v>1055</v>
      </c>
      <c r="D1629" s="97"/>
      <c r="E1629" s="97" t="s">
        <v>1072</v>
      </c>
      <c r="F1629" s="98">
        <v>6.7</v>
      </c>
      <c r="G1629" s="97" t="s">
        <v>1076</v>
      </c>
      <c r="H1629" s="98">
        <v>6.7</v>
      </c>
      <c r="I1629"/>
      <c r="J1629"/>
      <c r="K1629"/>
      <c r="L1629"/>
      <c r="M1629"/>
      <c r="N1629"/>
      <c r="O1629"/>
      <c r="P1629"/>
      <c r="Q1629"/>
      <c r="R1629"/>
      <c r="S1629"/>
      <c r="T1629"/>
      <c r="U1629"/>
      <c r="V1629"/>
      <c r="W1629"/>
      <c r="X1629"/>
      <c r="Y1629"/>
    </row>
    <row r="1630" spans="1:25" s="104" customFormat="1" hidden="1" x14ac:dyDescent="0.25">
      <c r="A1630" s="97" t="str">
        <f t="shared" si="32"/>
        <v>sam62_mcasp_wrap_vddr_lkg</v>
      </c>
      <c r="B1630" s="97" t="s">
        <v>208</v>
      </c>
      <c r="C1630" s="97" t="s">
        <v>1055</v>
      </c>
      <c r="D1630" s="97"/>
      <c r="E1630" s="97" t="s">
        <v>1072</v>
      </c>
      <c r="F1630" s="98">
        <v>0</v>
      </c>
      <c r="G1630" s="97" t="s">
        <v>1076</v>
      </c>
      <c r="H1630" s="98">
        <v>0</v>
      </c>
      <c r="I1630"/>
      <c r="J1630"/>
      <c r="K1630"/>
      <c r="L1630"/>
      <c r="M1630"/>
      <c r="N1630"/>
      <c r="O1630"/>
      <c r="P1630"/>
      <c r="Q1630"/>
      <c r="R1630"/>
      <c r="S1630"/>
      <c r="T1630"/>
      <c r="U1630"/>
      <c r="V1630"/>
      <c r="W1630"/>
      <c r="X1630"/>
      <c r="Y1630"/>
    </row>
    <row r="1631" spans="1:25" s="104" customFormat="1" hidden="1" x14ac:dyDescent="0.25">
      <c r="A1631" s="97" t="str">
        <f t="shared" si="32"/>
        <v>sam62_csirx_wrap_vddr_lkg</v>
      </c>
      <c r="B1631" s="97" t="s">
        <v>239</v>
      </c>
      <c r="C1631" s="97" t="s">
        <v>1055</v>
      </c>
      <c r="D1631" s="97"/>
      <c r="E1631" s="97" t="s">
        <v>1072</v>
      </c>
      <c r="F1631" s="98">
        <v>3.1</v>
      </c>
      <c r="G1631" s="97" t="s">
        <v>1076</v>
      </c>
      <c r="H1631" s="98">
        <v>3.1</v>
      </c>
      <c r="I1631"/>
      <c r="J1631"/>
      <c r="K1631"/>
      <c r="L1631"/>
      <c r="M1631"/>
      <c r="N1631"/>
      <c r="O1631"/>
      <c r="P1631"/>
      <c r="Q1631"/>
      <c r="R1631"/>
      <c r="S1631"/>
      <c r="T1631"/>
      <c r="U1631"/>
      <c r="V1631"/>
      <c r="W1631"/>
      <c r="X1631"/>
      <c r="Y1631"/>
    </row>
    <row r="1632" spans="1:25" s="104" customFormat="1" hidden="1" x14ac:dyDescent="0.25">
      <c r="A1632" s="97" t="str">
        <f t="shared" si="32"/>
        <v>sam62_usb2_wrap_vddr_lkg</v>
      </c>
      <c r="B1632" s="97" t="s">
        <v>207</v>
      </c>
      <c r="C1632" s="97" t="s">
        <v>1055</v>
      </c>
      <c r="D1632" s="97"/>
      <c r="E1632" s="97" t="s">
        <v>1072</v>
      </c>
      <c r="F1632" s="98">
        <v>1</v>
      </c>
      <c r="G1632" s="97" t="s">
        <v>1076</v>
      </c>
      <c r="H1632" s="98">
        <v>1</v>
      </c>
      <c r="I1632"/>
      <c r="J1632"/>
      <c r="K1632"/>
      <c r="L1632"/>
      <c r="M1632"/>
      <c r="N1632"/>
      <c r="O1632"/>
      <c r="P1632"/>
      <c r="Q1632"/>
      <c r="R1632"/>
      <c r="S1632"/>
      <c r="T1632"/>
      <c r="U1632"/>
      <c r="V1632"/>
      <c r="W1632"/>
      <c r="X1632"/>
      <c r="Y1632"/>
    </row>
    <row r="1633" spans="1:25" s="104" customFormat="1" hidden="1" x14ac:dyDescent="0.25">
      <c r="A1633" s="97" t="str">
        <f t="shared" si="32"/>
        <v>sam62_emmc_4bit_wrap_vddr_lkg</v>
      </c>
      <c r="B1633" s="97" t="s">
        <v>240</v>
      </c>
      <c r="C1633" s="97" t="s">
        <v>1055</v>
      </c>
      <c r="D1633" s="97"/>
      <c r="E1633" s="97" t="s">
        <v>1072</v>
      </c>
      <c r="F1633" s="98">
        <v>1.2</v>
      </c>
      <c r="G1633" s="97" t="s">
        <v>1076</v>
      </c>
      <c r="H1633" s="98">
        <v>1.2</v>
      </c>
      <c r="I1633"/>
      <c r="J1633"/>
      <c r="K1633"/>
      <c r="L1633"/>
      <c r="M1633"/>
      <c r="N1633"/>
      <c r="O1633"/>
      <c r="P1633"/>
      <c r="Q1633"/>
      <c r="R1633"/>
      <c r="S1633"/>
      <c r="T1633"/>
      <c r="U1633"/>
      <c r="V1633"/>
      <c r="W1633"/>
      <c r="X1633"/>
      <c r="Y1633"/>
    </row>
    <row r="1634" spans="1:25" s="104" customFormat="1" hidden="1" x14ac:dyDescent="0.25">
      <c r="A1634" s="97" t="str">
        <f t="shared" si="32"/>
        <v>sam62_emmc_8bit_wrap_vddr_lkg</v>
      </c>
      <c r="B1634" s="97" t="s">
        <v>241</v>
      </c>
      <c r="C1634" s="97" t="s">
        <v>1055</v>
      </c>
      <c r="D1634" s="97"/>
      <c r="E1634" s="97" t="s">
        <v>1072</v>
      </c>
      <c r="F1634" s="98">
        <v>1.2</v>
      </c>
      <c r="G1634" s="97" t="s">
        <v>1076</v>
      </c>
      <c r="H1634" s="98">
        <v>1.2</v>
      </c>
      <c r="I1634"/>
      <c r="J1634"/>
      <c r="K1634"/>
      <c r="L1634"/>
      <c r="M1634"/>
      <c r="N1634"/>
      <c r="O1634"/>
      <c r="P1634"/>
      <c r="Q1634"/>
      <c r="R1634"/>
      <c r="S1634"/>
      <c r="T1634"/>
      <c r="U1634"/>
      <c r="V1634"/>
      <c r="W1634"/>
      <c r="X1634"/>
      <c r="Y1634"/>
    </row>
    <row r="1635" spans="1:25" s="104" customFormat="1" hidden="1" x14ac:dyDescent="0.25">
      <c r="A1635" s="97" t="str">
        <f t="shared" si="32"/>
        <v>sam62_gpmc_elm_wrap_vddr_lkg</v>
      </c>
      <c r="B1635" s="97" t="s">
        <v>211</v>
      </c>
      <c r="C1635" s="97" t="s">
        <v>1055</v>
      </c>
      <c r="D1635" s="97"/>
      <c r="E1635" s="97" t="s">
        <v>1072</v>
      </c>
      <c r="F1635" s="98">
        <v>0</v>
      </c>
      <c r="G1635" s="97" t="s">
        <v>1076</v>
      </c>
      <c r="H1635" s="98">
        <v>0</v>
      </c>
      <c r="I1635"/>
      <c r="J1635"/>
      <c r="K1635"/>
      <c r="L1635"/>
      <c r="M1635"/>
      <c r="N1635"/>
      <c r="O1635"/>
      <c r="P1635"/>
      <c r="Q1635"/>
      <c r="R1635"/>
      <c r="S1635"/>
      <c r="T1635"/>
      <c r="U1635"/>
      <c r="V1635"/>
      <c r="W1635"/>
      <c r="X1635"/>
      <c r="Y1635"/>
    </row>
    <row r="1636" spans="1:25" s="104" customFormat="1" hidden="1" x14ac:dyDescent="0.25">
      <c r="A1636" s="97" t="str">
        <f t="shared" si="32"/>
        <v>sam62_ddr_wrap_vddr_lkg</v>
      </c>
      <c r="B1636" s="97" t="s">
        <v>215</v>
      </c>
      <c r="C1636" s="97" t="s">
        <v>1055</v>
      </c>
      <c r="D1636" s="97"/>
      <c r="E1636" s="97" t="s">
        <v>1072</v>
      </c>
      <c r="F1636" s="98">
        <v>0</v>
      </c>
      <c r="G1636" s="97" t="s">
        <v>1076</v>
      </c>
      <c r="H1636" s="98">
        <v>0</v>
      </c>
      <c r="I1636"/>
      <c r="J1636"/>
      <c r="K1636"/>
      <c r="L1636"/>
      <c r="M1636"/>
      <c r="N1636"/>
      <c r="O1636"/>
      <c r="P1636"/>
      <c r="Q1636"/>
      <c r="R1636"/>
      <c r="S1636"/>
      <c r="T1636"/>
      <c r="U1636"/>
      <c r="V1636"/>
      <c r="W1636"/>
      <c r="X1636"/>
      <c r="Y1636"/>
    </row>
    <row r="1637" spans="1:25" s="104" customFormat="1" hidden="1" x14ac:dyDescent="0.25">
      <c r="A1637" s="97" t="str">
        <f t="shared" si="32"/>
        <v>ddr16_1600_phy_vddr_lkg</v>
      </c>
      <c r="B1637" s="97" t="s">
        <v>314</v>
      </c>
      <c r="C1637" s="97" t="s">
        <v>1055</v>
      </c>
      <c r="D1637" s="97"/>
      <c r="E1637" s="97" t="s">
        <v>1072</v>
      </c>
      <c r="F1637" s="98">
        <v>0</v>
      </c>
      <c r="G1637" s="97" t="s">
        <v>1076</v>
      </c>
      <c r="H1637" s="5"/>
      <c r="I1637"/>
      <c r="J1637"/>
      <c r="K1637"/>
      <c r="L1637"/>
      <c r="M1637"/>
      <c r="N1637"/>
      <c r="O1637"/>
      <c r="P1637"/>
      <c r="Q1637"/>
      <c r="R1637"/>
      <c r="S1637"/>
      <c r="T1637"/>
      <c r="U1637"/>
      <c r="V1637"/>
      <c r="W1637"/>
      <c r="X1637"/>
      <c r="Y1637"/>
    </row>
    <row r="1638" spans="1:25" s="104" customFormat="1" hidden="1" x14ac:dyDescent="0.25">
      <c r="A1638" s="97" t="str">
        <f t="shared" si="32"/>
        <v>sam62_debug_wrap_vddr_lkg</v>
      </c>
      <c r="B1638" s="97" t="s">
        <v>186</v>
      </c>
      <c r="C1638" s="97" t="s">
        <v>1055</v>
      </c>
      <c r="D1638" s="97"/>
      <c r="E1638" s="97" t="s">
        <v>1072</v>
      </c>
      <c r="F1638" s="98">
        <v>0.9</v>
      </c>
      <c r="G1638" s="97" t="s">
        <v>1076</v>
      </c>
      <c r="H1638" s="98">
        <v>0.9</v>
      </c>
      <c r="I1638"/>
      <c r="J1638"/>
      <c r="K1638"/>
      <c r="L1638"/>
      <c r="M1638"/>
      <c r="N1638"/>
      <c r="O1638"/>
      <c r="P1638"/>
      <c r="Q1638"/>
      <c r="R1638"/>
      <c r="S1638"/>
      <c r="T1638"/>
      <c r="U1638"/>
      <c r="V1638"/>
      <c r="W1638"/>
      <c r="X1638"/>
      <c r="Y1638"/>
    </row>
    <row r="1639" spans="1:25" s="104" customFormat="1" hidden="1" x14ac:dyDescent="0.25">
      <c r="A1639" s="97" t="str">
        <f t="shared" si="32"/>
        <v>sam62_efuse_ctrl_wrap_vddr_lkg</v>
      </c>
      <c r="B1639" s="97" t="s">
        <v>213</v>
      </c>
      <c r="C1639" s="97" t="s">
        <v>1055</v>
      </c>
      <c r="D1639" s="97"/>
      <c r="E1639" s="97" t="s">
        <v>1072</v>
      </c>
      <c r="F1639" s="98">
        <v>0</v>
      </c>
      <c r="G1639" s="97" t="s">
        <v>1076</v>
      </c>
      <c r="H1639" s="98">
        <v>0</v>
      </c>
      <c r="I1639"/>
      <c r="J1639"/>
      <c r="K1639"/>
      <c r="L1639"/>
      <c r="M1639"/>
      <c r="N1639"/>
      <c r="O1639"/>
      <c r="P1639"/>
      <c r="Q1639"/>
      <c r="R1639"/>
      <c r="S1639"/>
      <c r="T1639"/>
      <c r="U1639"/>
      <c r="V1639"/>
      <c r="W1639"/>
      <c r="X1639"/>
      <c r="Y1639"/>
    </row>
    <row r="1640" spans="1:25" s="104" customFormat="1" hidden="1" x14ac:dyDescent="0.25">
      <c r="A1640" s="97" t="str">
        <f t="shared" si="32"/>
        <v>sam62_main_infra_phys_vddr_lkg</v>
      </c>
      <c r="B1640" s="97" t="s">
        <v>144</v>
      </c>
      <c r="C1640" s="97" t="s">
        <v>1055</v>
      </c>
      <c r="D1640" s="97"/>
      <c r="E1640" s="97" t="s">
        <v>1072</v>
      </c>
      <c r="F1640" s="98">
        <v>0</v>
      </c>
      <c r="G1640" s="97" t="s">
        <v>1076</v>
      </c>
      <c r="H1640" s="98">
        <v>0</v>
      </c>
      <c r="I1640"/>
      <c r="J1640"/>
      <c r="K1640"/>
      <c r="L1640"/>
      <c r="M1640"/>
      <c r="N1640"/>
      <c r="O1640"/>
      <c r="P1640"/>
      <c r="Q1640"/>
      <c r="R1640"/>
      <c r="S1640"/>
      <c r="T1640"/>
      <c r="U1640"/>
      <c r="V1640"/>
      <c r="W1640"/>
      <c r="X1640"/>
      <c r="Y1640"/>
    </row>
    <row r="1641" spans="1:25" s="104" customFormat="1" hidden="1" x14ac:dyDescent="0.25">
      <c r="A1641" s="97" t="str">
        <f t="shared" si="32"/>
        <v>sam62_main_ip_wrap_vddr_lkg</v>
      </c>
      <c r="B1641" s="97" t="s">
        <v>238</v>
      </c>
      <c r="C1641" s="97" t="s">
        <v>1055</v>
      </c>
      <c r="D1641" s="97"/>
      <c r="E1641" s="97" t="s">
        <v>1072</v>
      </c>
      <c r="F1641" s="98">
        <v>3.5</v>
      </c>
      <c r="G1641" s="97" t="s">
        <v>1076</v>
      </c>
      <c r="H1641" s="98">
        <v>3.5</v>
      </c>
      <c r="I1641"/>
      <c r="J1641"/>
      <c r="K1641"/>
      <c r="L1641"/>
      <c r="M1641"/>
      <c r="N1641"/>
      <c r="O1641"/>
      <c r="P1641"/>
      <c r="Q1641"/>
      <c r="R1641"/>
      <c r="S1641"/>
      <c r="T1641"/>
      <c r="U1641"/>
      <c r="V1641"/>
      <c r="W1641"/>
      <c r="X1641"/>
      <c r="Y1641"/>
    </row>
    <row r="1642" spans="1:25" s="104" customFormat="1" hidden="1" x14ac:dyDescent="0.25">
      <c r="A1642" s="97" t="str">
        <f t="shared" si="32"/>
        <v>sam62_mcu_infra_phys_vddr_lkg</v>
      </c>
      <c r="B1642" s="97" t="s">
        <v>183</v>
      </c>
      <c r="C1642" s="97" t="s">
        <v>1055</v>
      </c>
      <c r="D1642" s="97"/>
      <c r="E1642" s="97" t="s">
        <v>1072</v>
      </c>
      <c r="F1642" s="98">
        <v>0</v>
      </c>
      <c r="G1642" s="97" t="s">
        <v>1076</v>
      </c>
      <c r="H1642" s="98">
        <v>0</v>
      </c>
      <c r="I1642"/>
      <c r="J1642"/>
      <c r="K1642"/>
      <c r="L1642"/>
      <c r="M1642"/>
      <c r="N1642"/>
      <c r="O1642"/>
      <c r="P1642"/>
      <c r="Q1642"/>
      <c r="R1642"/>
      <c r="S1642"/>
      <c r="T1642"/>
      <c r="U1642"/>
      <c r="V1642"/>
      <c r="W1642"/>
      <c r="X1642"/>
      <c r="Y1642"/>
    </row>
    <row r="1643" spans="1:25" s="104" customFormat="1" hidden="1" x14ac:dyDescent="0.25">
      <c r="A1643" s="97" t="str">
        <f t="shared" si="32"/>
        <v>sam62_mcu_wrap_vddr_lkg</v>
      </c>
      <c r="B1643" s="97" t="s">
        <v>236</v>
      </c>
      <c r="C1643" s="97" t="s">
        <v>1055</v>
      </c>
      <c r="D1643" s="97"/>
      <c r="E1643" s="97" t="s">
        <v>1072</v>
      </c>
      <c r="F1643" s="98">
        <v>0.6</v>
      </c>
      <c r="G1643" s="97" t="s">
        <v>1076</v>
      </c>
      <c r="H1643" s="98">
        <v>0.6</v>
      </c>
      <c r="I1643"/>
      <c r="J1643"/>
      <c r="K1643"/>
      <c r="L1643"/>
      <c r="M1643"/>
      <c r="N1643"/>
      <c r="O1643"/>
      <c r="P1643"/>
      <c r="Q1643"/>
      <c r="R1643"/>
      <c r="S1643"/>
      <c r="T1643"/>
      <c r="U1643"/>
      <c r="V1643"/>
      <c r="W1643"/>
      <c r="X1643"/>
      <c r="Y1643"/>
    </row>
    <row r="1644" spans="1:25" s="104" customFormat="1" hidden="1" x14ac:dyDescent="0.25">
      <c r="A1644" s="97" t="str">
        <f t="shared" si="32"/>
        <v>sam62_odp_ctrl_wrap_vddr_lkg</v>
      </c>
      <c r="B1644" s="97" t="s">
        <v>212</v>
      </c>
      <c r="C1644" s="97" t="s">
        <v>1055</v>
      </c>
      <c r="D1644" s="97"/>
      <c r="E1644" s="97" t="s">
        <v>1072</v>
      </c>
      <c r="F1644" s="98">
        <v>0</v>
      </c>
      <c r="G1644" s="97" t="s">
        <v>1076</v>
      </c>
      <c r="H1644" s="98">
        <v>0</v>
      </c>
      <c r="I1644"/>
      <c r="J1644"/>
      <c r="K1644"/>
      <c r="L1644"/>
      <c r="M1644"/>
      <c r="N1644"/>
      <c r="O1644"/>
      <c r="P1644"/>
      <c r="Q1644"/>
      <c r="R1644"/>
      <c r="S1644"/>
      <c r="T1644"/>
      <c r="U1644"/>
      <c r="V1644"/>
      <c r="W1644"/>
      <c r="X1644"/>
      <c r="Y1644"/>
    </row>
    <row r="1645" spans="1:25" s="104" customFormat="1" hidden="1" x14ac:dyDescent="0.25">
      <c r="A1645" s="97" t="str">
        <f t="shared" si="32"/>
        <v>sam62_sec_wrap_vddr_lkg</v>
      </c>
      <c r="B1645" s="97" t="s">
        <v>262</v>
      </c>
      <c r="C1645" s="97" t="s">
        <v>1055</v>
      </c>
      <c r="D1645" s="97"/>
      <c r="E1645" s="97" t="s">
        <v>1072</v>
      </c>
      <c r="F1645" s="98">
        <v>16.600000000000001</v>
      </c>
      <c r="G1645" s="97" t="s">
        <v>1076</v>
      </c>
      <c r="H1645" s="98">
        <v>16.600000000000001</v>
      </c>
      <c r="I1645"/>
      <c r="J1645"/>
      <c r="K1645"/>
      <c r="L1645"/>
      <c r="M1645"/>
      <c r="N1645"/>
      <c r="O1645"/>
      <c r="P1645"/>
      <c r="Q1645"/>
      <c r="R1645"/>
      <c r="S1645"/>
      <c r="T1645"/>
      <c r="U1645"/>
      <c r="V1645"/>
      <c r="W1645"/>
      <c r="X1645"/>
      <c r="Y1645"/>
    </row>
    <row r="1646" spans="1:25" s="104" customFormat="1" hidden="1" x14ac:dyDescent="0.25">
      <c r="A1646" s="97" t="str">
        <f t="shared" si="32"/>
        <v>sam62_core_vddr_lkg</v>
      </c>
      <c r="B1646" s="97" t="s">
        <v>185</v>
      </c>
      <c r="C1646" s="97" t="s">
        <v>1055</v>
      </c>
      <c r="D1646" s="97"/>
      <c r="E1646" s="97" t="s">
        <v>1072</v>
      </c>
      <c r="F1646" s="98">
        <v>0</v>
      </c>
      <c r="G1646" s="97" t="s">
        <v>1076</v>
      </c>
      <c r="H1646" s="5"/>
      <c r="I1646"/>
      <c r="J1646"/>
      <c r="K1646"/>
      <c r="L1646"/>
      <c r="M1646"/>
      <c r="N1646"/>
      <c r="O1646"/>
      <c r="P1646"/>
      <c r="Q1646"/>
      <c r="R1646"/>
      <c r="S1646"/>
      <c r="T1646"/>
      <c r="U1646"/>
      <c r="V1646"/>
      <c r="W1646"/>
      <c r="X1646"/>
      <c r="Y1646"/>
    </row>
    <row r="1647" spans="1:25" s="104" customFormat="1" hidden="1" x14ac:dyDescent="0.25">
      <c r="A1647" s="97" t="str">
        <f t="shared" si="32"/>
        <v>sam62_pll_ctrl_wrap_vddr_lkg</v>
      </c>
      <c r="B1647" s="97" t="s">
        <v>221</v>
      </c>
      <c r="C1647" s="97" t="s">
        <v>1055</v>
      </c>
      <c r="D1647" s="97"/>
      <c r="E1647" s="97" t="s">
        <v>1072</v>
      </c>
      <c r="F1647" s="98">
        <v>0</v>
      </c>
      <c r="G1647" s="97" t="s">
        <v>1076</v>
      </c>
      <c r="H1647" s="98">
        <v>0</v>
      </c>
      <c r="I1647"/>
      <c r="J1647"/>
      <c r="K1647"/>
      <c r="L1647"/>
      <c r="M1647"/>
      <c r="N1647"/>
      <c r="O1647"/>
      <c r="P1647"/>
      <c r="Q1647"/>
      <c r="R1647"/>
      <c r="S1647"/>
      <c r="T1647"/>
      <c r="U1647"/>
      <c r="V1647"/>
      <c r="W1647"/>
      <c r="X1647"/>
      <c r="Y1647"/>
    </row>
  </sheetData>
  <autoFilter ref="A16:H1647" xr:uid="{4C66BCFF-654D-4DA6-A0CF-A2896F856743}">
    <filterColumn colId="1">
      <filters>
        <filter val="ddr16_1600_ios"/>
      </filters>
    </filterColumn>
    <sortState xmlns:xlrd2="http://schemas.microsoft.com/office/spreadsheetml/2017/richdata2" ref="A17:H1647">
      <sortCondition ref="C16:C1647"/>
    </sortState>
  </autoFilter>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EDE9EAB23E7E2468B1EB109AE21F12B" ma:contentTypeVersion="1" ma:contentTypeDescription="Create a new document." ma:contentTypeScope="" ma:versionID="5513797ead9ed52901692a8b6453964a">
  <xsd:schema xmlns:xsd="http://www.w3.org/2001/XMLSchema" xmlns:xs="http://www.w3.org/2001/XMLSchema" xmlns:p="http://schemas.microsoft.com/office/2006/metadata/properties" xmlns:ns2="a5a2059f-4083-474e-9cbc-bf0e3ac7d595" targetNamespace="http://schemas.microsoft.com/office/2006/metadata/properties" ma:root="true" ma:fieldsID="33c1a4f9af7b28eea0736d63843d80c2" ns2:_="">
    <xsd:import namespace="a5a2059f-4083-474e-9cbc-bf0e3ac7d595"/>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a2059f-4083-474e-9cbc-bf0e3ac7d59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A7B48B-9F03-4F37-854D-2F4CFDD28C9E}">
  <ds:schemaRefs>
    <ds:schemaRef ds:uri="http://schemas.microsoft.com/sharepoint/v3/contenttype/forms"/>
  </ds:schemaRefs>
</ds:datastoreItem>
</file>

<file path=customXml/itemProps2.xml><?xml version="1.0" encoding="utf-8"?>
<ds:datastoreItem xmlns:ds="http://schemas.openxmlformats.org/officeDocument/2006/customXml" ds:itemID="{6EA5CE2B-DB21-4DDE-A479-71FD43413969}">
  <ds:schemaRefs>
    <ds:schemaRef ds:uri="http://purl.org/dc/term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www.w3.org/XML/1998/namespace"/>
    <ds:schemaRef ds:uri="a5a2059f-4083-474e-9cbc-bf0e3ac7d595"/>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BBD3E242-31C8-4C7B-BE75-09EC79B0E5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a2059f-4083-474e-9cbc-bf0e3ac7d5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106</vt:i4>
      </vt:variant>
    </vt:vector>
  </HeadingPairs>
  <TitlesOfParts>
    <vt:vector size="107" baseType="lpstr">
      <vt:lpstr>Summary</vt:lpstr>
      <vt:lpstr>_R5F__Frequency</vt:lpstr>
      <vt:lpstr>_R5F_Util</vt:lpstr>
      <vt:lpstr>canfd_modes</vt:lpstr>
      <vt:lpstr>csi_modes</vt:lpstr>
      <vt:lpstr>CSI_Util</vt:lpstr>
      <vt:lpstr>ddr_modes</vt:lpstr>
      <vt:lpstr>DDR_TypeRate_Util</vt:lpstr>
      <vt:lpstr>dphy_rx_modes</vt:lpstr>
      <vt:lpstr>dpi_modes</vt:lpstr>
      <vt:lpstr>ecap_modes</vt:lpstr>
      <vt:lpstr>emmc4_modes</vt:lpstr>
      <vt:lpstr>emmc8_hs400_modes</vt:lpstr>
      <vt:lpstr>epwm_modes</vt:lpstr>
      <vt:lpstr>eqep_modes</vt:lpstr>
      <vt:lpstr>Ethernet_CPSW_Port0_mode</vt:lpstr>
      <vt:lpstr>Ethernet_CPSW_Port0_Util</vt:lpstr>
      <vt:lpstr>Ethernet_CPSW_Port1_mode</vt:lpstr>
      <vt:lpstr>Ethernet_CPSW_Port1_Util</vt:lpstr>
      <vt:lpstr>ethernet_port_modes</vt:lpstr>
      <vt:lpstr>fssul_modes</vt:lpstr>
      <vt:lpstr>gpio_modes</vt:lpstr>
      <vt:lpstr>gpmc_modes</vt:lpstr>
      <vt:lpstr>GPMC_Util</vt:lpstr>
      <vt:lpstr>GPU_Frequency</vt:lpstr>
      <vt:lpstr>GPU_Util</vt:lpstr>
      <vt:lpstr>hsdiv_modes</vt:lpstr>
      <vt:lpstr>HSM_Frequency</vt:lpstr>
      <vt:lpstr>HSM_Util</vt:lpstr>
      <vt:lpstr>i2c_modes</vt:lpstr>
      <vt:lpstr>i2c_od_modes</vt:lpstr>
      <vt:lpstr>icssm_modes</vt:lpstr>
      <vt:lpstr>icssm_util</vt:lpstr>
      <vt:lpstr>LPDDR4_DDR4_16_1600_Modes</vt:lpstr>
      <vt:lpstr>LVDS_Modes</vt:lpstr>
      <vt:lpstr>MAIN_UART_mode</vt:lpstr>
      <vt:lpstr>MAIN_UART_Util</vt:lpstr>
      <vt:lpstr>Margining</vt:lpstr>
      <vt:lpstr>mcasp_modes</vt:lpstr>
      <vt:lpstr>mcasp0_modes</vt:lpstr>
      <vt:lpstr>McASP0_Util</vt:lpstr>
      <vt:lpstr>mcasp1_modes</vt:lpstr>
      <vt:lpstr>McASP1_Util</vt:lpstr>
      <vt:lpstr>mcu_2_spi_modes</vt:lpstr>
      <vt:lpstr>mcu_2_spi_util</vt:lpstr>
      <vt:lpstr>MCU_M4F_Frequency</vt:lpstr>
      <vt:lpstr>MCU_M4F_Util</vt:lpstr>
      <vt:lpstr>mcu_spi_0_modes</vt:lpstr>
      <vt:lpstr>mcu_spi_1_modes</vt:lpstr>
      <vt:lpstr>MCU_SPI0_Util</vt:lpstr>
      <vt:lpstr>MCU_SPI1_Util</vt:lpstr>
      <vt:lpstr>MCU_UART_Mode</vt:lpstr>
      <vt:lpstr>MCU0_UART_Util</vt:lpstr>
      <vt:lpstr>MCU1_UART_Util</vt:lpstr>
      <vt:lpstr>MDB</vt:lpstr>
      <vt:lpstr>MMC_4b_0_mode</vt:lpstr>
      <vt:lpstr>MMC_4b_1_mode</vt:lpstr>
      <vt:lpstr>MMC_8b_mode</vt:lpstr>
      <vt:lpstr>MMC_SD0_8b_Util</vt:lpstr>
      <vt:lpstr>MMC_SD1_4b_Util</vt:lpstr>
      <vt:lpstr>MMC_SD2_4b_Util</vt:lpstr>
      <vt:lpstr>MPU_A530_1_2_3_Frequency</vt:lpstr>
      <vt:lpstr>MPU_A530_Util</vt:lpstr>
      <vt:lpstr>MPU_A531_Util</vt:lpstr>
      <vt:lpstr>MPU_A532_Util</vt:lpstr>
      <vt:lpstr>MPU_A533_Util</vt:lpstr>
      <vt:lpstr>oldi_modes</vt:lpstr>
      <vt:lpstr>OLDI_Util</vt:lpstr>
      <vt:lpstr>OSPI_Util</vt:lpstr>
      <vt:lpstr>PD_State_Table</vt:lpstr>
      <vt:lpstr>PD_Table_Row_Header</vt:lpstr>
      <vt:lpstr>pll_modes</vt:lpstr>
      <vt:lpstr>'Control Panel'!Print_Area</vt:lpstr>
      <vt:lpstr>Process</vt:lpstr>
      <vt:lpstr>PRU_SS_Frequency</vt:lpstr>
      <vt:lpstr>PRU_SS_Util</vt:lpstr>
      <vt:lpstr>pwr_scale_rows</vt:lpstr>
      <vt:lpstr>pwr_scale_table</vt:lpstr>
      <vt:lpstr>pwr_scaling_cols</vt:lpstr>
      <vt:lpstr>Security_Accelerator_Util</vt:lpstr>
      <vt:lpstr>serdes_10g_common_modes</vt:lpstr>
      <vt:lpstr>serdes_10g_common1_modes</vt:lpstr>
      <vt:lpstr>serdes_10g_lane_modes</vt:lpstr>
      <vt:lpstr>serdes_10g_lane1_modes</vt:lpstr>
      <vt:lpstr>spi_modes</vt:lpstr>
      <vt:lpstr>Tj</vt:lpstr>
      <vt:lpstr>uart_modes</vt:lpstr>
      <vt:lpstr>UC_Description</vt:lpstr>
      <vt:lpstr>uc_list</vt:lpstr>
      <vt:lpstr>UC_Target_mW</vt:lpstr>
      <vt:lpstr>usb2_modes</vt:lpstr>
      <vt:lpstr>USB2_modes_port0</vt:lpstr>
      <vt:lpstr>USB2_modes_port1</vt:lpstr>
      <vt:lpstr>USB2_Port_0_Util</vt:lpstr>
      <vt:lpstr>USB2_Port1_Util</vt:lpstr>
      <vt:lpstr>Use_Case</vt:lpstr>
      <vt:lpstr>VDD_Core</vt:lpstr>
      <vt:lpstr>VDD_Core_Dyn_Scale</vt:lpstr>
      <vt:lpstr>VDD_Core_Lkg_Scale</vt:lpstr>
      <vt:lpstr>vdd_core_modes</vt:lpstr>
      <vt:lpstr>VDD_DDREW_Lkg_Scale</vt:lpstr>
      <vt:lpstr>VDDAR_Core</vt:lpstr>
      <vt:lpstr>VDDAR_Core_Lkg_Scale</vt:lpstr>
      <vt:lpstr>VOUT_modes</vt:lpstr>
      <vt:lpstr>VOUT_Util</vt:lpstr>
      <vt:lpstr>WKUP_UART_mode</vt:lpstr>
      <vt:lpstr>WKUP_UART_Util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Updated version of 16 FF power tool</dc:title>
  <dc:creator>Carson, Paul</dc:creator>
  <cp:keywords>PET 16FFC Processors TI</cp:keywords>
  <cp:lastModifiedBy>Thapliyal02, Rakesh (Motherson Innovation)</cp:lastModifiedBy>
  <cp:lastPrinted>2021-10-21T20:35:08Z</cp:lastPrinted>
  <dcterms:created xsi:type="dcterms:W3CDTF">2012-07-24T10:22:46Z</dcterms:created>
  <dcterms:modified xsi:type="dcterms:W3CDTF">2024-09-27T01:38:04Z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0x0101004EDE9EAB23E7E2468B1EB109AE21F12B</vt:lpwstr>
  </property>
</Properties>
</file>