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0485397\Documents\"/>
    </mc:Choice>
  </mc:AlternateContent>
  <xr:revisionPtr revIDLastSave="0" documentId="8_{A9AF7DAD-143C-4E65-B5BE-0F8460548D3B}" xr6:coauthVersionLast="36" xr6:coauthVersionMax="36" xr10:uidLastSave="{00000000-0000-0000-0000-000000000000}"/>
  <bookViews>
    <workbookView xWindow="0" yWindow="0" windowWidth="0" windowHeight="0" tabRatio="696" firstSheet="1" activeTab="8" xr2:uid="{00000000-000D-0000-FFFF-FFFF00000000}"/>
  </bookViews>
  <sheets>
    <sheet name="Revision History" sheetId="5" state="veryHidden" r:id="rId1"/>
    <sheet name="Title-README" sheetId="12" r:id="rId2"/>
    <sheet name="Step1-SystemDetails" sheetId="7" r:id="rId3"/>
    <sheet name="Step2-BoardDetails" sheetId="10" r:id="rId4"/>
    <sheet name="Step3-DDRTimings" sheetId="13" r:id="rId5"/>
    <sheet name="Register Values" sheetId="18" state="veryHidden" r:id="rId6"/>
    <sheet name="Register Values (U-Boot)" sheetId="6" r:id="rId7"/>
    <sheet name="EMIF_Configurations" sheetId="15" state="veryHidden" r:id="rId8"/>
    <sheet name="Register Values (GEL_SBL)" sheetId="16" r:id="rId9"/>
    <sheet name="DynamicUserOptions" sheetId="11" state="veryHidden" r:id="rId10"/>
    <sheet name="LOCK" sheetId="14" state="veryHidden" r:id="rId11"/>
    <sheet name="UserConfig" sheetId="17" state="veryHidden" r:id="rId12"/>
    <sheet name="TI Important Notice" sheetId="19" r:id="rId13"/>
    <sheet name="Register Values (OLD)" sheetId="20" state="veryHidden" r:id="rId14"/>
  </sheets>
  <definedNames>
    <definedName name="_auto_nda_config" hidden="1">0</definedName>
    <definedName name="_company_project" hidden="1">'Step1-SystemDetails'!$F$17</definedName>
    <definedName name="_company_project_invalid" localSheetId="13" hidden="1">IsSpecial([0]!_company_project)</definedName>
    <definedName name="_company_project_invalid" hidden="1">IsSpecial(_company_project)</definedName>
    <definedName name="_CTRL_CORE_CONTROL_DDRCACH1_0_VAL" hidden="1">DEC2HEX(SUM(_ctrl_io_ch1_acc_i*2^29,_ctrl_io_ch1_acc_sr*2^26,_ctrl_io_ch1_acc_wd*2^24,_ctrl_io_ch1_acc_i*2^21,_ctrl_io_ch1_acc_sr*2^18,_ctrl_io_ch1_acc_wd*2^16,_ctrl_io_ch1_acc_i*2^13,_ctrl_io_ch1_acc_sr*2^10,_ctrl_io_ch1_acc_wd*2^8,_ctrl_io_ch1_acc_i*2^5,_ctrl_io_ch1_acc_sr*2^2,_ctrl_io_ch1_acc_wd),8)</definedName>
    <definedName name="_CTRL_CORE_CONTROL_DDRCH1_0_VAL" hidden="1">DEC2HEX(SUM(_ctrl_io_ch1_ds_i*2^29,_ctrl_io_ch1_ds_sr*2^26,_ctrl_io_ch1_ds_wd*2^24,_ctrl_io_ch1_ds_i*2^21,_ctrl_io_ch1_ds_sr*2^18,_ctrl_io_ch1_dqs_wd*2^16,_ctrl_io_ch1_ds_i*2^13,_ctrl_io_ch1_ds_sr*2^10,_ctrl_io_ch1_ds_wd*2^8,_ctrl_io_ch1_ds_i*2^5,_ctrl_io_ch1_ds_sr*2^2,_ctrl_io_ch1_dqs_wd),8)</definedName>
    <definedName name="_CTRL_CORE_CONTROL_DDRCH1_2_VAL" hidden="1">DEC2HEX(SUM(_ctrl_io_ch1_ds_i*2^21,_ctrl_io_ch1_ds_sr*2^18,_ctrl_io_ch1_dqs_wd*2^16,_ctrl_io_ch1_ds_i*2^13,_ctrl_io_ch1_ds_sr*2^10,_ctrl_io_ch1_ds_wd*2^8),8)</definedName>
    <definedName name="_CTRL_CORE_CONTROL_DDRIO_0" hidden="1">IF(OR(_soc_name="adaslow1",_soc_name="adaslow2"),DEC2HEX(642656,8),DEC2HEX(608832,8))</definedName>
    <definedName name="_CTRL_CORE_CONTROL_DDRIO_1" hidden="1">IF(_soc_name="vayu",DEC2HEX(77930496,8),DEC2HEX(0,8))</definedName>
    <definedName name="_ctrl_io_ch1_acc_i" hidden="1">MATCH(_emif_io_dr_acc,_emif_io_dr,0)-1</definedName>
    <definedName name="_ctrl_io_ch1_acc_sr" hidden="1">MATCH(_emif_io_sr_acc,_emif_io_sr,0)-1</definedName>
    <definedName name="_ctrl_io_ch1_acc_wd" hidden="1">0</definedName>
    <definedName name="_ctrl_io_ch1_dqs_wd" hidden="1">IF(_user_sdram_type="LPDDR2",2,0)</definedName>
    <definedName name="_ctrl_io_ch1_ds_i" hidden="1">MATCH(_emif_io_dr_ds,_emif_io_dr,0)-1</definedName>
    <definedName name="_ctrl_io_ch1_ds_sr" hidden="1">MATCH(_emif_io_sr_ds,_emif_io_sr,0)-1</definedName>
    <definedName name="_ctrl_io_ch1_ds_wd" hidden="1">0</definedName>
    <definedName name="_ctrl_ratio0" hidden="1">IF(_user_sdram_type="LPDDR2",64,IF(_phy_invert_clk=1,256,128))</definedName>
    <definedName name="_ctrl_ratio1" hidden="1">IF(_user_sdram_type="LPDDR2",64,IF(_phy_invert_clk=1,256,128))</definedName>
    <definedName name="_ctrl_ratio2" hidden="1">64</definedName>
    <definedName name="_ctrl_wkup_emif1_dis_reset" hidden="1">0</definedName>
    <definedName name="_ctrl_wkup_emif1_en_ecc" hidden="1">IF(_user_ecc="Yes",1,0)</definedName>
    <definedName name="_ctrl_wkup_emif1_en_slice0" hidden="1">1</definedName>
    <definedName name="_ctrl_wkup_emif1_en_slice1" hidden="1">1</definedName>
    <definedName name="_ctrl_wkup_emif1_en_slice2" hidden="1">IF(_user_sdram_type="LPDDR2",1,0)</definedName>
    <definedName name="_ctrl_wkup_emif1_odt" hidden="1">MATCH(_emif_io_odt,_emif_io_odt_list,0)-1</definedName>
    <definedName name="_ctrl_wkup_emif1_phase_ctrl" hidden="1">0</definedName>
    <definedName name="_ctrl_wkup_emif1_rdlvl_algo" hidden="1">0</definedName>
    <definedName name="_ctrl_wkup_emif1_rdlvl_resp" hidden="1">0</definedName>
    <definedName name="_ctrl_wkup_emif1_rdlvl_samp" hidden="1">3</definedName>
    <definedName name="_ctrl_wkup_emif1_reserved" hidden="1">1</definedName>
    <definedName name="_CTRL_WKUP_EMIF1_SDRAM_CONFIG_EXT" hidden="1">DEC2HEX(SUM(_sdram_config_narrow_mode*2^17,_ctrl_wkup_emif1_en_ecc*2^16,_ctrl_wkup_emif1_rdlvl_samp*2^14,_ctrl_wkup_emif1_rdlvl_algo*2^13,_ctrl_wkup_emif1_rdlvl_resp*2^12,_ctrl_wkup_emif1_reserved*2^8,_ctrl_wkup_emif1_dis_reset*2^7,_ctrl_wkup_emif1_odt*2^5,_ctrl_wkup_emif1_phase_ctrl*2^3,_ctrl_wkup_emif1_en_slice2*2^2,_ctrl_wkup_emif1_en_slice1*2^1,_ctrl_wkup_emif1_en_slice0),8)</definedName>
    <definedName name="_ctrl_wkup_emif2_en_ecc" hidden="1">0</definedName>
    <definedName name="_CTRL_WKUP_EMIF2_SDRAM_CONFIG_EXT" hidden="1">DEC2HEX(SUM(_sdram_config_narrow_mode*2^17,_ctrl_wkup_emif2_en_ecc*2^16,_ctrl_wkup_emif1_rdlvl_samp*2^14,_ctrl_wkup_emif1_rdlvl_algo*2^13,_ctrl_wkup_emif1_rdlvl_resp*2^12,_ctrl_wkup_emif1_reserved*2^8,_ctrl_wkup_emif1_dis_reset*2^7,_ctrl_wkup_emif1_odt*2^5,_ctrl_wkup_emif1_phase_ctrl*2^3,_ctrl_wkup_emif1_en_slice2*2^2,_ctrl_wkup_emif1_en_slice1*2^1,_ctrl_wkup_emif1_en_slice0),8)</definedName>
    <definedName name="_ddr_pll_dco_div2" hidden="1">_ddr_pll_freq*_ddr_pll_m2</definedName>
    <definedName name="_ddr_pll_freq" hidden="1">'Step1-SystemDetails'!$F$22</definedName>
    <definedName name="_ddr_pll_m" hidden="1">ROUNDDOWN(_ddr_pll_dco_div2*(_ddr_pll_n+1)/_user_sysclk1,0)</definedName>
    <definedName name="_ddr_pll_m2" hidden="1">MAX(IF(ISEVEN(ROUNDDOWN(_ddr_pll_m2_max,0)),ROUNDDOWN(_ddr_pll_m2_max,0),ROUNDDOWN(_ddr_pll_m2_max,0)-1),1)</definedName>
    <definedName name="_ddr_pll_m2_max" hidden="1">1400/_ddr_pll_freq</definedName>
    <definedName name="_ddr_pll_mn_gcd" hidden="1">GCD(_ddr_pll_dco_div2*_sysclk1_mult,_user_sysclk1*_sysclk1_mult)</definedName>
    <definedName name="_ddr_pll_n" hidden="1">MIN((_user_sysclk1*_sysclk1_mult/_ddr_pll_mn_gcd)-1,ROUNDDOWN(_user_sysclk1-1,0))</definedName>
    <definedName name="_ddr2_bankNum" hidden="1">IF(_sdram_density&lt;1,4,8)</definedName>
    <definedName name="_ddr2_densities" hidden="1">{0.25;0.5;1;2;4}</definedName>
    <definedName name="_ddr2_drive_imp" hidden="1">{"Normal";"Weak"}</definedName>
    <definedName name="_ddr2_lvl" hidden="1">{"S/W"}</definedName>
    <definedName name="_ddr2_rtt" hidden="1">{"Disabled";"75 Ohm";"150 Ohm";"50 Ohm"}</definedName>
    <definedName name="_ddr2_rttwr" hidden="1">{"NA"}</definedName>
    <definedName name="_ddr2_sb_403_ck" hidden="1">{5;5}</definedName>
    <definedName name="_ddr2_sb_403_cl" hidden="1">{3;4}</definedName>
    <definedName name="_ddr2_sb_404_ck" hidden="1">{5}</definedName>
    <definedName name="_ddr2_sb_404_cl" hidden="1">{4}</definedName>
    <definedName name="_ddr2_sb_536_ck" hidden="1">{3.75;3.75}</definedName>
    <definedName name="_ddr2_sb_536_cl" hidden="1">{3;4}</definedName>
    <definedName name="_ddr2_sb_537_ck" hidden="1">{5;3.75}</definedName>
    <definedName name="_ddr2_sb_537_cl" hidden="1">{3;4}</definedName>
    <definedName name="_ddr2_sb_671_ck" hidden="1">{3;3}</definedName>
    <definedName name="_ddr2_sb_671_cl" hidden="1">{4;5}</definedName>
    <definedName name="_ddr2_sb_672_ck" hidden="1">{3.75;3}</definedName>
    <definedName name="_ddr2_sb_672_cl" hidden="1">{4;5}</definedName>
    <definedName name="_ddr2_sb_804_ck" hidden="1">{2.5;2.5}</definedName>
    <definedName name="_ddr2_sb_804_cl" hidden="1">{4;5}</definedName>
    <definedName name="_ddr2_sb_805_ck" hidden="1">{3.75;2.5}</definedName>
    <definedName name="_ddr2_sb_805_cl" hidden="1">{4;5}</definedName>
    <definedName name="_ddr2_sb_806_ck" hidden="1">{3.75;3;2.5}</definedName>
    <definedName name="_ddr2_sb_806_cl" hidden="1">{4;5;6}</definedName>
    <definedName name="_ddr2_sb_data" hidden="1">{400;533;667;800}</definedName>
    <definedName name="_ddr2_sb_dqsck_max" hidden="1">{500;500;450;450;400;400;350;350;350}</definedName>
    <definedName name="_ddr2_sb_faw_1k" hidden="1">{37.5;37.5;37.5;37.5;37.5;37.5;35;35;35}</definedName>
    <definedName name="_ddr2_sb_faw_2k" hidden="1">{50;50;50;50;50;50;45;45;45}</definedName>
    <definedName name="_ddr2_sb_lookup" hidden="1">{403;404;536;537;671;672;804;805;806}</definedName>
    <definedName name="_ddr2_sb_ras_min" hidden="1">{40;45;45;45;45;45;45;45;45}</definedName>
    <definedName name="_ddr2_sb_rc" hidden="1">{55;65;56.25;60;57;60;55;57.5;60}</definedName>
    <definedName name="_ddr2_sb_rcd" hidden="1">{15;20;11.25;15;12;15;10;12.5;15}</definedName>
    <definedName name="_ddr2_sb_rp" hidden="1">{15;20;11.25;15;12;15;10;12.5;15}</definedName>
    <definedName name="_ddr2_sb_wtr" hidden="1">{10;10;7.5;7.5;7.5;7.5;7.5;7.5;7.5}</definedName>
    <definedName name="_ddr2_width" hidden="1">{8;16;32}</definedName>
    <definedName name="_ddr3_bankNum" hidden="1">8</definedName>
    <definedName name="_ddr3_densities" hidden="1">{0.5;1;2;4;8}</definedName>
    <definedName name="_ddr3_drive_imp" hidden="1">{"RZQ/6";"RZQ/7"}</definedName>
    <definedName name="_ddr3_lvl" hidden="1">{"S/W","H/W"}</definedName>
    <definedName name="_ddr3_lvl_cat" hidden="1">{"H/W"}</definedName>
    <definedName name="_ddr3_rtt" hidden="1">{"Disabled";"RZQ/4";"RZQ/2";"RZQ/6";"RZQ/12";"RZQ/8"}</definedName>
    <definedName name="_ddr3_rttwr" hidden="1">{"Disabled";"RZQ/4";"RZQ/2"}</definedName>
    <definedName name="_ddr3_sb_1072_ck" hidden="1">{2.5;2.5;1.875;1.875;1.875}</definedName>
    <definedName name="_ddr3_sb_1072_cl" hidden="1">{5;6;6;7;8}</definedName>
    <definedName name="_ddr3_sb_1072_cwl" hidden="1">{5;5;6;6;6}</definedName>
    <definedName name="_ddr3_sb_1073_ck" hidden="1">{3;2.5;1.875;1.875}</definedName>
    <definedName name="_ddr3_sb_1073_cl" hidden="1">{5;6;7;8}</definedName>
    <definedName name="_ddr3_sb_1073_cwl" hidden="1">{5;5;6;6}</definedName>
    <definedName name="_ddr3_sb_1074_ck" hidden="1">{3;2.5;1.875}</definedName>
    <definedName name="_ddr3_sb_1074_cl" hidden="1">{5;6;8}</definedName>
    <definedName name="_ddr3_sb_1074_cwl" hidden="1">{5;5;6}</definedName>
    <definedName name="_ddr3_sb_1340_ck" hidden="1">{2.5;2.5;1.875;1.875;1.5;1.875;1.5;1.5;1.5}</definedName>
    <definedName name="_ddr3_sb_1340_cl" hidden="1">{5;6;6;7;7;8;8;9;10}</definedName>
    <definedName name="_ddr3_sb_1340_cwl" hidden="1">{5;5;6;6;7;6;7;7;7}</definedName>
    <definedName name="_ddr3_sb_1341_ck" hidden="1">{2.5;2.5;1.875;1.875;1.5;1.5;1.5}</definedName>
    <definedName name="_ddr3_sb_1341_cl" hidden="1">{5;6;7;8;8;9;10}</definedName>
    <definedName name="_ddr3_sb_1341_cwl" hidden="1">{5;5;6;6;7;7;7}</definedName>
    <definedName name="_ddr3_sb_1342_ck" hidden="1">{3;2.5;1.875;1.875;1.5;1.5}</definedName>
    <definedName name="_ddr3_sb_1342_cl" hidden="1">{5;6;7;8;9;10}</definedName>
    <definedName name="_ddr3_sb_1342_cwl" hidden="1">{5;5;6;6;7;7}</definedName>
    <definedName name="_ddr3_sb_1343_ck" hidden="1">{3;2.5;1.875;1.5}</definedName>
    <definedName name="_ddr3_sb_1343_cl" hidden="1">{5;6;8;10}</definedName>
    <definedName name="_ddr3_sb_1343_cwl" hidden="1">{5;5;6;7}</definedName>
    <definedName name="_ddr3_sb_1608_ck" hidden="1">{2.5;2.5;1.875;1.875;1.5;1.875;1.5;1.25;1.5;1.25;1.5;1.25;1.25}</definedName>
    <definedName name="_ddr3_sb_1608_cl" hidden="1">{5;6;6;7;7;8;8;8;9;9;10;10;11}</definedName>
    <definedName name="_ddr3_sb_1608_cwl" hidden="1">{5;5;6;6;7;6;7;8;7;8;7;8;8}</definedName>
    <definedName name="_ddr3_sb_1609_ck" hidden="1">{2.5;2.5;1.875;1.875;1.875;1.5;1.5;1.25;1.5;1.25;1.25}</definedName>
    <definedName name="_ddr3_sb_1609_cl" hidden="1">{5;6;6;7;8;8;9;9;10;10;11}</definedName>
    <definedName name="_ddr3_sb_1609_cwl" hidden="1">{5;5;6;6;6;7;7;8;7;8;8}</definedName>
    <definedName name="_ddr3_sb_1610_ck" hidden="1">{2.5;2.5;1.875;1.875;1.5;1.5;1.25;1.25}</definedName>
    <definedName name="_ddr3_sb_1610_cl" hidden="1">{5;6;7;8;9;10;10;11}</definedName>
    <definedName name="_ddr3_sb_1610_cwl" hidden="1">{5;5;6;6;7;7;8;8}</definedName>
    <definedName name="_ddr3_sb_1611_ck" hidden="1">{3;2.5;1.875;1.875;1.5;1.5;1.25}</definedName>
    <definedName name="_ddr3_sb_1611_cl" hidden="1">{5;6;7;8;9;10;11}</definedName>
    <definedName name="_ddr3_sb_1611_cwl" hidden="1">{5;5;6;6;7;7;8}</definedName>
    <definedName name="_ddr3_sb_1876_ck" hidden="1">{2.5;2.5;1.875;1.875;1.875;1.5;1.5;1.25;1.5;1.25;1.25;1.07;1.07;1.07}</definedName>
    <definedName name="_ddr3_sb_1876_cl" hidden="1">{5;6;6;7;8;8;9;9;10;10;11;11;12;13}</definedName>
    <definedName name="_ddr3_sb_1876_cwl" hidden="1">{5;5;6;6;6;7;7;8;7;8;8;9;9;9}</definedName>
    <definedName name="_ddr3_sb_1877_ck" hidden="1">{2.5;2.5;1.875;1.875;1.5;1.5;1.5;1.25;1.25;1.07;1.07;1.07}</definedName>
    <definedName name="_ddr3_sb_1877_cl" hidden="1">{5;6;7;8;8;9;10;10;11;11;12;13}</definedName>
    <definedName name="_ddr3_sb_1877_cwl" hidden="1">{5;5;6;6;7;7;7;8;8;9;9;9}</definedName>
    <definedName name="_ddr3_sb_1878_ck" hidden="1">{2.5;1.875;1.875;1.5;1.5;1.25;1.07;1.07}</definedName>
    <definedName name="_ddr3_sb_1878_cl" hidden="1">{6;7;8;9;10;11;12;13}</definedName>
    <definedName name="_ddr3_sb_1878_cwl" hidden="1">{5;6;6;7;7;8;9;9}</definedName>
    <definedName name="_ddr3_sb_1879_ck" hidden="1">{2.5;1.875;1.875;1.5;1.5;1.25;1.07}</definedName>
    <definedName name="_ddr3_sb_1879_cl" hidden="1">{6;7;8;9;10;11;13}</definedName>
    <definedName name="_ddr3_sb_1879_cwl" hidden="1">{5;6;6;7;7;8;9}</definedName>
    <definedName name="_ddr3_sb_2144_ck" hidden="1">{2.5;2.5;1.875;1.875;1.5;1.875;1.5;1.5;1.25;1.5;1.25;1.07;1.25;1.07;0.938;1.07;0.938;1.07;0.938;0.938}</definedName>
    <definedName name="_ddr3_sb_2144_cl" hidden="1">{5;6;6;7;7;8;8;9;9;10;10;10;11;11;11;12;12;13;13;14}</definedName>
    <definedName name="_ddr3_sb_2144_cwl" hidden="1">{5;5;6;6;7;6;7;7;8;7;8;9;8;9;10;9;10;9;10;10}</definedName>
    <definedName name="_ddr3_sb_2145_ck" hidden="1">{2.5;2.5;1.875;1.875;1.875;1.5;1.5;1.25;1.5;1.25;1.25;1.07;1.07;0.938;1.07;0.938;0.938}</definedName>
    <definedName name="_ddr3_sb_2145_cl" hidden="1">{5;6;6;7;8;8;9;9;10;10;11;11;12;12;13;13;14}</definedName>
    <definedName name="_ddr3_sb_2145_cwl" hidden="1">{5;5;6;6;6;7;7;8;7;8;8;9;9;10;9;10;10}</definedName>
    <definedName name="_ddr3_sb_2146_ck" hidden="1">{2.5;2.5;1.875;1.875;1.5;1.5;1.25;1.25;1.07;1.07;0.938;0.938}</definedName>
    <definedName name="_ddr3_sb_2146_cl" hidden="1">{5;6;7;8;9;10;10;11;12;13;13;14}</definedName>
    <definedName name="_ddr3_sb_2146_cwl" hidden="1">{5;5;6;6;7;7;8;8;9;9;10;10}</definedName>
    <definedName name="_ddr3_sb_2147_ck" hidden="1">{2.5;1.875;1.875;1.5;1.5;1.25;1.07;0.938}</definedName>
    <definedName name="_ddr3_sb_2147_cl" hidden="1">{6;7;8;9;10;11;13;14}</definedName>
    <definedName name="_ddr3_sb_2147_cwl" hidden="1">{5;6;6;7;7;8;9;10}</definedName>
    <definedName name="_ddr3_sb_805_ck" hidden="1">{2.5;2.5}</definedName>
    <definedName name="_ddr3_sb_805_cl" hidden="1">{5;6}</definedName>
    <definedName name="_ddr3_sb_805_cwl" hidden="1">{5;5}</definedName>
    <definedName name="_ddr3_sb_806_ck" hidden="1">{3;2.5}</definedName>
    <definedName name="_ddr3_sb_806_cl" hidden="1">{5;6}</definedName>
    <definedName name="_ddr3_sb_806_cwl" hidden="1">{5;5}</definedName>
    <definedName name="_ddr3_sb_cke" hidden="1">{7.5;7.5;5.625;5.625;5.625;5.625;5.625;5.625;5.625;5;5;5;5;5;5;5;5;5;5;5;5}</definedName>
    <definedName name="_ddr3_sb_data" hidden="1">{800;1066;1333;1600;1866;2133}</definedName>
    <definedName name="_ddr3_sb_dqsck_max" hidden="1">{400;400;300;300;300;255;255;255;255;255;255;255;255;195;195;195;195;180;180;180;180}</definedName>
    <definedName name="_ddr3_sb_faw_1k" hidden="1">{40;40;37.5;37.5;37.5;30;30;30;30;30;30;30;30;27;27;27;27;25;25;25;25}</definedName>
    <definedName name="_ddr3_sb_faw_2k" hidden="1">{50;50;50;50;50;45;45;45;45;40;40;40;40;35;35;35;35;35;35;35;35}</definedName>
    <definedName name="_ddr3_sb_lookup" hidden="1">{805;806;1072;1073;1074;1340;1341;1342;1343;1608;1609;1610;1611;1876;1877;1878;1879;2144;2145;2146;2147}</definedName>
    <definedName name="_ddr3_sb_ras_min" hidden="1">{37.5;37.5;37.5;37.5;37.5;36;36;36;36;35;35;35;35;34;34;34;34;33;33;33;33}</definedName>
    <definedName name="_ddr3_sb_rc" hidden="1">{50;52.5;48.75;50.625;52.5;46.5;48;49.5;51;45;46.25;47.5;48.75;44.7;45.77;46.84;47.91;43.285;44.22;45.155;46.09}</definedName>
    <definedName name="_ddr3_sb_rcd" hidden="1">{12.5;15;11.25;13.125;15;10.5;12;13.5;15;10;11.25;12.5;13.75;10.7;11.77;12.84;13.91;10.285;11.22;12.155;13.09}</definedName>
    <definedName name="_ddr3_sb_rp" hidden="1">{12.5;15;11.25;13.125;15;10.5;12;13.5;15;10;11.25;12.5;13.75;10.7;11.77;12.84;13.91;10.285;11.22;12.155;13.09}</definedName>
    <definedName name="_ddr3_sb_rrd_1k" hidden="1">{10;10;7.5;7.5;7.5;6;6;6;6;6;6;6;6;5;5;5;5;5;5;5;5}</definedName>
    <definedName name="_ddr3_sb_rrd_2k" hidden="1">{10;10;10;10;10;7.5;7.5;7.5;7.5;7.5;7.5;7.5;7.5;6;6;6;6;6;6;6;6}</definedName>
    <definedName name="_ddr3_sb_xp" hidden="1">{7.5;7.5;7.5;7.5;7.5;6;6;6;6;6;6;6;6;6;6;6;6;6;6;6;6}</definedName>
    <definedName name="_ddr3_t_rfc" hidden="1">{90;110;160;260;350}</definedName>
    <definedName name="_ddr3_width" hidden="1">{8;16}</definedName>
    <definedName name="_dll_res" hidden="1">IF(_phy_half_delay=1,1000000/_ddr_pll_freq/128,1000000/_ddr_pll_freq/256)</definedName>
    <definedName name="_DMM_LISA_MAP_0_VAL" hidden="1">DEC2HEX(SUM(_dmm_sys_addr_0*2^24,_dmm_sys_size_0*2^20,_dmm_sdrc_intl_0*2^18,_dmm_sdrc_map_0*2^8),8)</definedName>
    <definedName name="_DMM_LISA_MAP_1_VAL" hidden="1">DEC2HEX(SUM(_dmm_sys_addr_1*2^24,_dmm_sys_size_1*2^20,_dmm_sdrc_intl_1*2^18,_dmm_sdrc_map_1*2^8),8)</definedName>
    <definedName name="_DMM_LISA_MAP_2_VAL" hidden="1">DEC2HEX(SUM(_dmm_sys_addr_2*2^24,_dmm_sys_size_2*2^20,_dmm_sdrc_intl_2*2^18,_dmm_sdrc_map_2*2^8),8)</definedName>
    <definedName name="_DMM_LISA_MAP_3_VAL" hidden="1">DEC2HEX(SUM(_dmm_sys_addr_3*2^24,_dmm_sys_size_3*2^20,_dmm_sdrc_intl_3*2^18,_dmm_sdrc_addrspc_3*2^16,_dmm_sdrc_map_3*2^8),8)</definedName>
    <definedName name="_dmm_sdrc_addrspc_3" hidden="1">IF(OR(_soc_name="adaslow1",_soc_name="adaslow2"),0,2)</definedName>
    <definedName name="_dmm_sdrc_intl_0" hidden="1">0</definedName>
    <definedName name="_dmm_sdrc_intl_1" hidden="1">0</definedName>
    <definedName name="_dmm_sdrc_intl_2" hidden="1">IF(OR(_soc_name="adaslow1",_soc_name="adaslow2"),0,IF(_user_emifs=1,0,1))</definedName>
    <definedName name="_dmm_sdrc_intl_3" hidden="1">0</definedName>
    <definedName name="_dmm_sdrc_map_0" hidden="1">0</definedName>
    <definedName name="_dmm_sdrc_map_1" hidden="1">0</definedName>
    <definedName name="_dmm_sdrc_map_2" hidden="1">IF(OR(_soc_name="adaslow1",_soc_name="adaslow2"),0,IF(_user_emifs=1,1,3))</definedName>
    <definedName name="_dmm_sdrc_map_3" hidden="1">IF(OR(_soc_name="adaslow1",_soc_name="adaslow2"),0,1)</definedName>
    <definedName name="_dmm_sys_addr_0" hidden="1">0</definedName>
    <definedName name="_dmm_sys_addr_1" hidden="1">0</definedName>
    <definedName name="_dmm_sys_addr_2" hidden="1">IF(OR(_soc_name="adaslow1",_soc_name="adaslow2"),0,128)</definedName>
    <definedName name="_dmm_sys_addr_3" hidden="1">IF(OR(_soc_name="adaslow1",_soc_name="adaslow2"),0,255)</definedName>
    <definedName name="_dmm_sys_size_0" hidden="1">0</definedName>
    <definedName name="_dmm_sys_size_1" hidden="1">0</definedName>
    <definedName name="_dmm_sys_size_2" hidden="1">IF(OR(_soc_name="adaslow1",_soc_name="adaslow2"),0,IF(_user_emifs=1,MATCH(MIN(_sdram_density*_sdram_bw/_sdram_width/8,2),_dmm_sys_size_list,0)-1,MATCH(MIN(2*_sdram_density*_sdram_bw/_sdram_width/8,2),_dmm_sys_size_list,0)-1))</definedName>
    <definedName name="_dmm_sys_size_3" hidden="1">0</definedName>
    <definedName name="_dmm_sys_size_list" hidden="1">{0.015625;0.03125;0.0625;0.125;0.25;0.5;1;2}</definedName>
    <definedName name="_dyn_user_config_options" hidden="1">UserConfig!$A$1:INDEX(UserConfig!$A$1:$A$100,COUNTIF(UserConfig!$A$1:$A$100,"?*"))</definedName>
    <definedName name="_dyn_user_cs" hidden="1">DynamicUserOptions!$E$6:INDEX(DynamicUserOptions!$E$6:$E$33,COUNTIF(DynamicUserOptions!$E$6:$E$33,"&lt;&gt;"&amp;"*"))</definedName>
    <definedName name="_dyn_user_cs_list" hidden="1">_soc_cs_vayu</definedName>
    <definedName name="_dyn_user_ecc" hidden="1">DynamicUserOptions!$G$6:INDEX(DynamicUserOptions!$G$6:$G$33,COUNTIF(DynamicUserOptions!$G$6:$G$33,"?*"))</definedName>
    <definedName name="_dyn_user_ecc_list" hidden="1">IF(OR(_user_sdram_type="LPDDR2",_soc_name="j6entry"),_ecc_NAvailable,_ecc_Available)</definedName>
    <definedName name="_dyn_user_emif_io_sr" hidden="1">DynamicUserOptions!$Q$6:INDEX(DynamicUserOptions!$Q$6:$Q$33,COUNTIF(DynamicUserOptions!$Q$6:$Q$33,"?*"))</definedName>
    <definedName name="_dyn_user_emifs" hidden="1">DynamicUserOptions!$D$6:INDEX(DynamicUserOptions!$D$6:$D$33,COUNTIF(DynamicUserOptions!$D$6:$D$33,"&lt;&gt;"&amp;"*"))</definedName>
    <definedName name="_dyn_user_emifs_list" hidden="1">IF(OR(_soc_name="j6eco",_soc_name="adaslow1",_soc_name="adaslow2",_soc_name="j6entry"),_soc_emifs_j6eco,_soc_emifs_vayu)</definedName>
    <definedName name="_dyn_user_freqmax" hidden="1">DynamicUserOptions!$I$6</definedName>
    <definedName name="_dyn_user_freqmax_list" hidden="1">IF(OR(_soc_name="adaslow1",_soc_name="adaslow2"),_soc_freqmax_adaslow,IF(OR(_soc_name="j6eco",_soc_name="j6entry"),_soc_freqmax_j6eco,IF(_soc_name="j6plus",_soc_freqmax_j6plus,_soc_freqmax_vayu)))</definedName>
    <definedName name="_dyn_user_freqmin" hidden="1">DynamicUserOptions!$H$6</definedName>
    <definedName name="_dyn_user_freqmin_list" hidden="1">IF(OR(_soc_name="adaslow1",_soc_name="adaslow2"),_soc_freqmin_adaslow,IF(OR(_soc_name="j6eco",_soc_name="j6entry"),_soc_freqmin_j6eco,_soc_freqmin_vayu))</definedName>
    <definedName name="_dyn_user_memtype" hidden="1">DynamicUserOptions!$C$6:INDEX(DynamicUserOptions!$C$6:$C$33,COUNTIF(DynamicUserOptions!$C$6:$C$33,"?*"))</definedName>
    <definedName name="_dyn_user_memtype_list" hidden="1">CHOOSE(MATCH(_soc_name,_soc_names,0),_soc_memtype_vayu,_soc_memtype_vayu,_soc_memtype_j6eco,_soc_memtype_adaslow1,_soc_memtype_adaslow2,_soc_memtype_j6eco,_soc_memtype_j6plus)</definedName>
    <definedName name="_dyn_user_project" hidden="1">DynamicUserOptions!$T$6</definedName>
    <definedName name="_dyn_user_sdram_cl" hidden="1">DynamicUserOptions!$L$6:INDEX(DynamicUserOptions!$L$6:$L$33,COUNTIF(DynamicUserOptions!$L$6:$L$33,"&lt;&gt;"&amp;"*")+COUNTIF(DynamicUserOptions!$L$6:$L$33,"?*"))</definedName>
    <definedName name="_dyn_user_sdram_data" hidden="1">DynamicUserOptions!$J$6:INDEX(DynamicUserOptions!$J$6:$J$33,COUNTIF(DynamicUserOptions!$J$6:$J$33,"&lt;&gt;"&amp;"*"))</definedName>
    <definedName name="_dyn_user_sdram_data_list" hidden="1">IF(_user_sdram_type="LPDDR2",_lpddr2_sb_data,IF(_user_sdram_type="DDR2",_ddr2_sb_data,_ddr3_sb_data))</definedName>
    <definedName name="_dyn_user_sdram_density" hidden="1">DynamicUserOptions!$M$6:INDEX(DynamicUserOptions!$M$6:$M$33,COUNTIF(DynamicUserOptions!$M$6:$M$33,"&lt;&gt;"&amp;"*"))</definedName>
    <definedName name="_dyn_user_sdram_density_list" hidden="1">IF(_user_sdram_type="LPDDR2",_lpddr2_densities,IF(_user_sdram_type="DDR2",_ddr2_densities,_ddr3_densities))</definedName>
    <definedName name="_dyn_user_sdram_drivimp" hidden="1">DynamicUserOptions!$P$6:INDEX(DynamicUserOptions!$P$6:$P$33,COUNTIF(DynamicUserOptions!$P$6:$P$33,"?*")+COUNTIF(DynamicUserOptions!$P$6:$P$33,"&lt;&gt;"&amp;"*"))</definedName>
    <definedName name="_dyn_user_sdram_drivimp_list" hidden="1">IF(_user_sdram_type="LPDDR2",_lpddr2_drive_imp,IF(_user_sdram_type="DDR2",_ddr2_drive_imp,_ddr3_drive_imp))</definedName>
    <definedName name="_dyn_user_sdram_lvl" hidden="1">DynamicUserOptions!$F$6:INDEX(DynamicUserOptions!$F$6:$F$33,COUNTIF(DynamicUserOptions!$F$6:$F$33,"?*"))</definedName>
    <definedName name="_dyn_user_sdram_lvl_list" hidden="1">IF(OR(_user_sdram_type="DDR2",_user_sdram_type="LPDDR2"),_ddr2_lvl,IF(_soc_market="cat",_ddr3_lvl_cat,_ddr3_lvl))</definedName>
    <definedName name="_dyn_user_sdram_rtt" hidden="1">DynamicUserOptions!$N$6:INDEX(DynamicUserOptions!$N$6:$N$33,COUNTIF(DynamicUserOptions!$N$6:$N$33,"?*"))</definedName>
    <definedName name="_dyn_user_sdram_rtt_list" hidden="1">IF(_user_sdram_type="LPDDR2",_lpddr2_rtt,IF(_user_sdram_type="DDR2",_ddr2_rtt,_ddr3_rtt))</definedName>
    <definedName name="_dyn_user_sdram_rttwr" hidden="1">DynamicUserOptions!$O$6:INDEX(DynamicUserOptions!$O$6:$O$33,COUNTIF(DynamicUserOptions!$O$6:$O$33,"?*"))</definedName>
    <definedName name="_dyn_user_sdram_rttwr_list" hidden="1">IF(_user_sdram_type="LPDDR2",_lpddr2_rttwr,IF(_user_sdram_type="DDR2",_ddr2_rttwr,_ddr3_rttwr))</definedName>
    <definedName name="_dyn_user_sdram_width" hidden="1">DynamicUserOptions!$K$6:INDEX(DynamicUserOptions!$K$6:$K$33,COUNTIF(DynamicUserOptions!$K$6:$K$33,"&lt;&gt;"&amp;"*"))</definedName>
    <definedName name="_dyn_user_sdram_width_list" hidden="1">IF(_user_sdram_type="LPDDR2",32,IF(AND(_soc_name="adaslow1",_user_sdram_type="DDR2",_sdram_density=0.5),_ddr2_width,_ddr3_width))</definedName>
    <definedName name="_dyn_user_soc_list" hidden="1">DynamicUserOptions!$B$6:INDEX(DynamicUserOptions!$B$6:$B$33,COUNTIF(DynamicUserOptions!$B$6:$B$33,"?*"))</definedName>
    <definedName name="_ecc_Available" hidden="1">{"Yes";"No"}</definedName>
    <definedName name="_ecc_end_addr_1" hidden="1">HEX2DEC(LEFT(DEC2HEX(IF(HEX2DEC(RIGHT(_user_ecc_end_addr1,8))&lt;HEX2DEC(80000000),HEX2DEC(80000000),HEX2DEC(RIGHT(_user_ecc_end_addr1,8)))-HEX2DEC(80000000),8),4))</definedName>
    <definedName name="_ecc_end_addr_1_dataVal" hidden="1">AND(IFERROR(HEX2DEC(_user_ecc_end_addr1),"BAD")&lt;&gt;"BAD",HEX2DEC(_user_ecc_end_addr1)&gt;=HEX2DEC(_user_ecc_start_addr1),HEX2DEC(_user_ecc_end_addr1)&lt;=HEX2DEC(RIGHT("0xFFFFFFFF",8)))</definedName>
    <definedName name="_ecc_end_addr_2" hidden="1">HEX2DEC(LEFT(DEC2HEX(IF(HEX2DEC(RIGHT(_user_ecc_end_addr2,8))&lt;HEX2DEC(80000000),HEX2DEC(80000000),HEX2DEC(RIGHT(_user_ecc_end_addr2,8)))-HEX2DEC(80000000),8),4))</definedName>
    <definedName name="_ecc_end_addr_2_dataVal" hidden="1">AND(IFERROR(HEX2DEC(_user_ecc_end_addr2),"BAD")&lt;&gt;"BAD",HEX2DEC(_user_ecc_end_addr2)&gt;=HEX2DEC(_user_ecc_start_addr2),HEX2DEC(_user_ecc_end_addr2)&lt;=HEX2DEC(RIGHT("0xFFFFFFFF",8)))</definedName>
    <definedName name="_ecc_NAvailable" hidden="1">{"No"}</definedName>
    <definedName name="_ecc_start_addr_1" hidden="1">HEX2DEC(LEFT(DEC2HEX(IF(HEX2DEC(RIGHT(_user_ecc_start_addr1,8))&lt;HEX2DEC(80000000),HEX2DEC(80000000),HEX2DEC(RIGHT(_user_ecc_start_addr1,8)))-HEX2DEC(80000000),8),4))</definedName>
    <definedName name="_ecc_start_addr_1_dataVal" hidden="1">AND(IFERROR(HEX2DEC(_user_ecc_start_addr1),"BAD")&lt;&gt;"BAD",HEX2DEC(_user_ecc_start_addr1)&gt;=HEX2DEC(80000000),HEX2DEC(_user_ecc_start_addr1)&lt;=HEX2DEC(RIGHT("0xFFFFFFFF",8)))</definedName>
    <definedName name="_ecc_start_addr_2" hidden="1">HEX2DEC(LEFT(DEC2HEX(IF(HEX2DEC(RIGHT(_user_ecc_start_addr2,8))&lt;HEX2DEC(80000000),HEX2DEC(80000000),HEX2DEC(RIGHT(_user_ecc_start_addr2,8)))-HEX2DEC(80000000),8),4))</definedName>
    <definedName name="_ecc_start_addr_2_dataVal" hidden="1">AND(IFERROR(HEX2DEC(_user_ecc_start_addr2),"BAD")&lt;&gt;"BAD",HEX2DEC(_user_ecc_start_addr2)&gt;=HEX2DEC(80000000),HEX2DEC(_user_ecc_start_addr2)&lt;=HEX2DEC(RIGHT("0xFFFFFFFF",8)))</definedName>
    <definedName name="_EMIF_DDR_PHY_CTRL_1_VAL" hidden="1">DEC2HEX(SUM(_phy_rdlvl_mask*2^27,_phy_rdlvlgate_mask*2^26,_phy_wrlvl_mask*2^25,_phy_half_delay*2^21,_phy_clk_stall_level*2^20,_phy_dis_calib_rst*2^19,_phy_invert_clk*2^18,_phy_dll_lock_diff*2^10,_phy_fast_dll_lock*2^9,_phy_rd_rl_delay),8)</definedName>
    <definedName name="_EMIF_DDR_PHY_CTRL_1_VAL_NOLVL" hidden="1">DEC2HEX(SUM(1*2^27,1*2^26,1*2^25,_phy_half_delay*2^21,_phy_clk_stall_level*2^20,_phy_dis_calib_rst*2^19,_phy_invert_clk*2^18,_phy_dll_lock_diff*2^10,_phy_fast_dll_lock*2^9,_phy_rd_rl_delay),8)</definedName>
    <definedName name="_EMIF_DLL_CALIB_CTRL_VAL" hidden="1">"00050000"</definedName>
    <definedName name="_EMIF_ECC_ADDR_RNG_1_VAL" hidden="1">DEC2HEX(SUM(_ecc_end_addr_1*2^16,_ecc_start_addr_1),8)</definedName>
    <definedName name="_EMIF_ECC_ADDR_RNG_2_VAL" hidden="1">DEC2HEX(SUM(_ecc_end_addr_2*2^16,_ecc_start_addr_2),8)</definedName>
    <definedName name="_EMIF_ECC_CTRL" hidden="1">DEC2HEX(SUM(_reg_ecc_en*2^31,_reg_ecc_addr_rng_prot*2^30,_reg_ecc_verify_dis*2^29,_reg_rmw_en*2^28,_reg_ecc_addr_rng_2_en*2^1,_reg_ecc_addr_rng_1_en),8)</definedName>
    <definedName name="_emif_io_dr" hidden="1">{80;60;48;40;34}</definedName>
    <definedName name="_emif_io_dr_acc" hidden="1">'Step1-SystemDetails'!$F$55</definedName>
    <definedName name="_emif_io_dr_acc_rec" hidden="1">CHOOSE(MATCH(_soc_name,_soc_names,0),_soc_emif_io_dr_acc_vayu,_soc_emif_io_dr_acc_vayu,_soc_emif_io_dr_acc_j6eco,_soc_emif_io_dr_acc_adaslow,_soc_emif_io_dr_acc_adaslow,_soc_emif_io_dr_acc_vayu,_soc_emif_io_dr_acc_j6plus)</definedName>
    <definedName name="_emif_io_dr_ds" hidden="1">'Step1-SystemDetails'!$F$56</definedName>
    <definedName name="_emif_io_dr_ds_rec" hidden="1">CHOOSE(MATCH(_soc_name,_soc_names,0),_soc_emif_io_dr_ds_vayu,_soc_emif_io_dr_ds_vayu,_soc_emif_io_dr_ds_j6eco,_soc_emif_io_dr_ds_adaslow,_soc_emif_io_dr_ds_adaslow,_soc_emif_io_dr_ds_vayu,_soc_emif_io_dr_ds_j6plus)</definedName>
    <definedName name="_emif_io_odt" hidden="1">'Step1-SystemDetails'!$F$52</definedName>
    <definedName name="_emif_io_odt_list" hidden="1">{"Disabled";60;80;120}</definedName>
    <definedName name="_emif_io_odt_rec" hidden="1">IF(_user_sdram_type="LPDDR2","Disabled",60)</definedName>
    <definedName name="_emif_io_sr" hidden="1">{"Fastest: SR[2:0] = 0b000";"SR[2:0] = 0b001";"SR[2:0] = 0b010";"SR[2:0] = 0b011";"SR[2:0] = 0b100";"SR[2:0] = 0b101";"SR[2:0] = 0b110";"Slowest: SR[2:0] = 0b111"}</definedName>
    <definedName name="_emif_io_sr_acc" hidden="1">'Step1-SystemDetails'!$F$53</definedName>
    <definedName name="_emif_io_sr_acc_rec" hidden="1">CHOOSE(MATCH(_soc_name,_soc_names,0),_soc_emif_io_sr_vayu,_soc_emif_io_sr_vayu,_soc_emif_io_sr_j6eco,_soc_emif_io_sr_acc_adaslow,_soc_emif_io_sr_acc_adaslow,_soc_emif_io_sr_j6eco,_soc_emif_io_sr_j6plus)</definedName>
    <definedName name="_emif_io_sr_ds" hidden="1">'Step1-SystemDetails'!$F$54</definedName>
    <definedName name="_emif_io_sr_ds_rec" hidden="1">CHOOSE(MATCH(_soc_name,_soc_names,0),_soc_emif_io_sr_vayu,_soc_emif_io_sr_vayu,_soc_emif_io_sr_j6eco,_soc_emif_io_sr_ds_adaslow,_soc_emif_io_sr_ds_adaslow,_soc_emif_io_sr_j6eco,_soc_emif_io_sr_j6plus)</definedName>
    <definedName name="_EMIF_RD_WR_EXEC_THRESH_VAL" hidden="1">"00000305"</definedName>
    <definedName name="_EMIF_RDWR_LVL_CTRL_VAL" hidden="1">DEC2HEX(SUM(_phy_rdwrlvlfull_start*2^31),8)</definedName>
    <definedName name="_EMIF_RDWR_LVL_RMP_CTRL_VAL" hidden="1">DEC2HEX(SUM(_phy_rdwrlvl_en*2^31),8)</definedName>
    <definedName name="_EMIF_RDWR_LVL_RMP_WIN_VAL" hidden="1">DEC2HEX(SUM(_phy_rdwrlvlinc_rmp_win),8)</definedName>
    <definedName name="_EMIF_SDRAM_CONFIG_2_VAL" hidden="1">DEC2HEX(SUM(_sdram_cs1nvmen*2^30,_sdram_ebank_pos*2^27,_sdram_rdbnum*2^4,_sdram_rdbsize),8)</definedName>
    <definedName name="_EMIF_SDRAM_CONFIG_VAL" hidden="1">DEC2HEX(SUM(_sdram_config_type*2^29,_sdram_config_ibank_pos*2^27,_sdram_config_rtt*2^24,_sdram_config_ddr2_dqs*2^23,_sdram_config_dyn_rtt*2^21,_sdram_config_dll_dis*2^20,_sdram_config_drive_imp*2^18,_sdram_cwl_val*2^16,_sdram_config_narrow_mode*2^14,_sdram_cl_val*2^10,_sdram_config_rowsize*2^7,_sdram_ibank_val*2^4,_sdram_config_ebank*2^3,_sdram_config_pagesize),8)</definedName>
    <definedName name="_EMIF_SDRAM_REF_CTRL_INIT_VAL" hidden="1">DEC2HEX(SUM(_sdram_initref_dis*2^31,_sdram_srt*2^29,_sdram_asr*2^28,_sdram_pasr*2^24,_t_refi_init),8)</definedName>
    <definedName name="_EMIF_SDRAM_REF_CTRL_VAL" hidden="1">DEC2HEX(SUM(_sdram_initref_dis*2^31,_sdram_srt*2^29,_sdram_asr*2^28,_sdram_pasr*2^24,_t_refi),8)</definedName>
    <definedName name="_EMIF_SDRAM_TIM_1_VAL" hidden="1">DEC2HEX(SUM(_t_rtw_gel*2^29,_t_rp*2^25,_t_rcd*2^21,_t_wr*2^17,_t_ras*2^12,_t_rc*2^6,_t_rrd*2^3,_t_wtr),8)</definedName>
    <definedName name="_EMIF_SDRAM_TIM_2_VAL" hidden="1">DEC2HEX(SUM(_t_xp*2^28,_t_xsnr*2^16,_t_xsrd*2^6,_t_rtp*2^3,_t_cke),8)</definedName>
    <definedName name="_EMIF_SDRAM_TIM_3_VAL" hidden="1">DEC2HEX(SUM(_t_pdll_ul*2^28,_t_csta*2^24,_t_ckesr*2^21,_t_zqcs*2^15,_t_dqsck_max*2^13,_t_rfc*2^4,_t_ras_max),8)</definedName>
    <definedName name="_EMIF_TEMP_ALERT_CONFIG_VAL" hidden="1">"00000000"</definedName>
    <definedName name="_EMIF_ZQ_CONFIG_VAL" hidden="1">DEC2HEX(SUM(_zq_cs1en*2^31,_zq_cs0en*2^30,_zq_dualcalen*2^29,_zq_sfexiten*2^28,_zq_zqinit_mult*2^18,_zq_zqcl_mult*2^16,_zq_refinterval),8)</definedName>
    <definedName name="_EMIF1_EXT_PHY_CTRL_1_VAL" hidden="1">_emif1_ext_phy_ctrl_1_val_vayu</definedName>
    <definedName name="_emif1_ext_phy_ctrl_1_val_vayu" hidden="1">DEC2HEX(SUM(_ctrl_ratio2*2^20,_ctrl_ratio1*2^10,_ctrl_ratio0),8)</definedName>
    <definedName name="_EMIF1_EXT_PHY_CTRL_10_VAL" hidden="1">_emif1_ext_phy_ctrl_10_val_vayu</definedName>
    <definedName name="_emif1_ext_phy_ctrl_10_val_vayu" hidden="1">DEC2HEX(SUM(_rddqs_ratio3*2^16,_rddqs_ratio3),8)</definedName>
    <definedName name="_EMIF1_EXT_PHY_CTRL_11_VAL" hidden="1">_emif1_ext_phy_ctrl_11_val_vayu</definedName>
    <definedName name="_emif1_ext_phy_ctrl_11_val_vayu" hidden="1">DEC2HEX(SUM(_rddqs_ratio4*2^16,_rddqs_ratio4),8)</definedName>
    <definedName name="_EMIF1_EXT_PHY_CTRL_12_VAL" hidden="1">_emif1_ext_phy_ctrl_12_val_vayu</definedName>
    <definedName name="_emif1_ext_phy_ctrl_12_val_vayu" hidden="1">DEC2HEX(SUM(_wrdata_ratio0_ch1_cs1*2^16,_wrdata_ratio0_ch1_cs0),8)</definedName>
    <definedName name="_EMIF1_EXT_PHY_CTRL_13_VAL" hidden="1">_emif1_ext_phy_ctrl_13_val_vayu</definedName>
    <definedName name="_emif1_ext_phy_ctrl_13_val_vayu" hidden="1">DEC2HEX(SUM(_wrdata_ratio1_ch1_cs1*2^16,_wrdata_ratio1_ch1_cs0),8)</definedName>
    <definedName name="_EMIF1_EXT_PHY_CTRL_14_VAL" hidden="1">_emif1_ext_phy_ctrl_14_val_vayu</definedName>
    <definedName name="_emif1_ext_phy_ctrl_14_val_vayu" hidden="1">DEC2HEX(SUM(_wrdata_ratio2_ch1_cs1*2^16,_wrdata_ratio2_ch1_cs0),8)</definedName>
    <definedName name="_EMIF1_EXT_PHY_CTRL_15_VAL" hidden="1">_emif1_ext_phy_ctrl_15_val_vayu</definedName>
    <definedName name="_emif1_ext_phy_ctrl_15_val_vayu" hidden="1">DEC2HEX(SUM(_wrdata_ratio3_ch1_cs1*2^16,_wrdata_ratio3_ch1_cs0),8)</definedName>
    <definedName name="_EMIF1_EXT_PHY_CTRL_16_VAL" hidden="1">_emif1_ext_phy_ctrl_16_val_vayu</definedName>
    <definedName name="_emif1_ext_phy_ctrl_16_val_vayu" hidden="1">DEC2HEX(SUM(_wrdata_ratio4_ch1_cs1*2^16,_wrdata_ratio4_ch1_cs0),8)</definedName>
    <definedName name="_EMIF1_EXT_PHY_CTRL_17_VAL" hidden="1">_emif1_ext_phy_ctrl_17_val_vayu</definedName>
    <definedName name="_emif1_ext_phy_ctrl_17_val_vayu" hidden="1">DEC2HEX(SUM(_wrdqs_ratio0_ch1_cs1*2^16,_wrdqs_ratio0_ch1_cs0),8)</definedName>
    <definedName name="_EMIF1_EXT_PHY_CTRL_18_VAL" hidden="1">_emif1_ext_phy_ctrl_18_val_vayu</definedName>
    <definedName name="_emif1_ext_phy_ctrl_18_val_vayu" hidden="1">DEC2HEX(SUM(_wrdqs_ratio1_ch1_cs1*2^16,_wrdqs_ratio1_ch1_cs0),8)</definedName>
    <definedName name="_EMIF1_EXT_PHY_CTRL_19_VAL" hidden="1">_emif1_ext_phy_ctrl_19_val_vayu</definedName>
    <definedName name="_emif1_ext_phy_ctrl_19_val_vayu" hidden="1">DEC2HEX(SUM(_wrdqs_ratio2_ch1_cs1*2^16,_wrdqs_ratio2_ch1_cs0),8)</definedName>
    <definedName name="_EMIF1_EXT_PHY_CTRL_2_VAL" hidden="1">_emif1_ext_phy_ctrl_2_val_vayu</definedName>
    <definedName name="_emif1_ext_phy_ctrl_2_val_vayu" hidden="1">DEC2HEX(SUM(_fifowe_ratio0_ch1_cs1*2^16,_fifowe_ratio0_ch1_cs0),8)</definedName>
    <definedName name="_EMIF1_EXT_PHY_CTRL_20_VAL" hidden="1">_emif1_ext_phy_ctrl_20_val_vayu</definedName>
    <definedName name="_emif1_ext_phy_ctrl_20_val_vayu" hidden="1">DEC2HEX(SUM(_wrdqs_ratio3_ch1_cs1*2^16,_wrdqs_ratio3_ch1_cs0),8)</definedName>
    <definedName name="_EMIF1_EXT_PHY_CTRL_21_VAL" hidden="1">_emif1_ext_phy_ctrl_21_val_vayu</definedName>
    <definedName name="_emif1_ext_phy_ctrl_21_val_vayu" hidden="1">DEC2HEX(SUM(_wrdqs_ratio4_ch1_cs1*2^16,_wrdqs_ratio4_ch1_cs0),8)</definedName>
    <definedName name="_EMIF1_EXT_PHY_CTRL_22_VAL" hidden="1">_emif1_ext_phy_ctrl_22_val_vayu</definedName>
    <definedName name="_emif1_ext_phy_ctrl_22_val_vayu" hidden="1">DEC2HEX(SUM(_phy_fifowe_delay*2^16,_phy_ctrl_delay),8)</definedName>
    <definedName name="_EMIF1_EXT_PHY_CTRL_23_VAL" hidden="1">_emif1_ext_phy_ctrl_23_val_vayu</definedName>
    <definedName name="_emif1_ext_phy_ctrl_23_val_vayu" hidden="1">DEC2HEX(SUM(_phy_wrdqs_delay*2^16,_phy_rddqs_delay),8)</definedName>
    <definedName name="_EMIF1_EXT_PHY_CTRL_24_VAL" hidden="1">_emif1_ext_phy_ctrl_24_val_vayu</definedName>
    <definedName name="_emif1_ext_phy_ctrl_24_val_vayu" hidden="1">DEC2HEX(SUM(_phy_dq_offset4*2^24,_phy_gatelvl_init_mode*2^16,_phy_use_rank0_delays*2^12,_phy_wrdata_delay),8)</definedName>
    <definedName name="_EMIF1_EXT_PHY_CTRL_25_VAL" hidden="1">DEC2HEX(SUM(_phy_dq_offset3*2^21,_phy_dq_offset2*2^14,_phy_dq_offset1*2^7,_phy_dq_offset0),8)</definedName>
    <definedName name="_EMIF1_EXT_PHY_CTRL_26_VAL" hidden="1">DEC2HEX(SUM(_fifowe_init0_ch1_cs1*2^16,_fifowe_init0_ch1_cs0),8)</definedName>
    <definedName name="_EMIF1_EXT_PHY_CTRL_27_VAL" hidden="1">DEC2HEX(SUM(_fifowe_init1_ch1_cs1*2^16,_fifowe_init1_ch1_cs0),8)</definedName>
    <definedName name="_EMIF1_EXT_PHY_CTRL_28_VAL" hidden="1">DEC2HEX(SUM(_fifowe_init2_ch1_cs1*2^16,_fifowe_init2_ch1_cs0),8)</definedName>
    <definedName name="_EMIF1_EXT_PHY_CTRL_29_VAL" hidden="1">DEC2HEX(SUM(_fifowe_init3_ch1_cs1*2^16,_fifowe_init3_ch1_cs0),8)</definedName>
    <definedName name="_EMIF1_EXT_PHY_CTRL_3_VAL" hidden="1">_emif1_ext_phy_ctrl_3_val_vayu</definedName>
    <definedName name="_emif1_ext_phy_ctrl_3_val_vayu" hidden="1">DEC2HEX(SUM(_fifowe_ratio1_ch1_cs1*2^16,_fifowe_ratio1_ch1_cs0),8)</definedName>
    <definedName name="_EMIF1_EXT_PHY_CTRL_30_VAL" hidden="1">DEC2HEX(SUM(_fifowe_init4_ch1_cs1*2^16,_fifowe_init4_ch1_cs0),8)</definedName>
    <definedName name="_EMIF1_EXT_PHY_CTRL_31_VAL" hidden="1">DEC2HEX(SUM(_wrdqs_init0_ch1_cs1*2^16,_wrdqs_init0_ch1_cs0),8)</definedName>
    <definedName name="_EMIF1_EXT_PHY_CTRL_32_VAL" hidden="1">DEC2HEX(SUM(_wrdqs_init1_ch1_cs1*2^16,_wrdqs_init1_ch1_cs0),8)</definedName>
    <definedName name="_EMIF1_EXT_PHY_CTRL_33_VAL" hidden="1">DEC2HEX(SUM(_wrdqs_init2_ch1_cs1*2^16,_wrdqs_init2_ch1_cs0),8)</definedName>
    <definedName name="_EMIF1_EXT_PHY_CTRL_34_VAL" hidden="1">DEC2HEX(SUM(_wrdqs_init3_ch1_cs1*2^16,_wrdqs_init3_ch1_cs0),8)</definedName>
    <definedName name="_EMIF1_EXT_PHY_CTRL_35_VAL" hidden="1">DEC2HEX(SUM(_wrdqs_init4_ch1_cs1*2^16,_wrdqs_init4_ch1_cs0),8)</definedName>
    <definedName name="_EMIF1_EXT_PHY_CTRL_36_VAL" hidden="1">DEC2HEX(SUM(_phy_wrlvl_num_dq0*2^4,_phy_gatelvl_num_dq0),8)</definedName>
    <definedName name="_EMIF1_EXT_PHY_CTRL_4_VAL" hidden="1">_emif1_ext_phy_ctrl_4_val_vayu</definedName>
    <definedName name="_emif1_ext_phy_ctrl_4_val_vayu" hidden="1">DEC2HEX(SUM(_fifowe_ratio2_ch1_cs1*2^16,_fifowe_ratio2_ch1_cs0),8)</definedName>
    <definedName name="_EMIF1_EXT_PHY_CTRL_5_VAL" hidden="1">_emif1_ext_phy_ctrl_5_val_vayu</definedName>
    <definedName name="_emif1_ext_phy_ctrl_5_val_vayu" hidden="1">DEC2HEX(SUM(_fifowe_ratio3_ch1_cs1*2^16,_fifowe_ratio3_ch1_cs0),8)</definedName>
    <definedName name="_EMIF1_EXT_PHY_CTRL_6_VAL" hidden="1">_emif1_ext_phy_ctrl_6_val_vayu</definedName>
    <definedName name="_emif1_ext_phy_ctrl_6_val_vayu" hidden="1">DEC2HEX(SUM(_fifowe_ratio4_ch1_cs1*2^16,_fifowe_ratio4_ch1_cs0),8)</definedName>
    <definedName name="_EMIF1_EXT_PHY_CTRL_7_VAL" hidden="1">_emif1_ext_phy_ctrl_7_val_vayu</definedName>
    <definedName name="_emif1_ext_phy_ctrl_7_val_vayu" hidden="1">DEC2HEX(SUM(_rddqs_ratio0*2^16,_rddqs_ratio0),8)</definedName>
    <definedName name="_EMIF1_EXT_PHY_CTRL_8_VAL" hidden="1">_emif1_ext_phy_ctrl_8_val_vayu</definedName>
    <definedName name="_emif1_ext_phy_ctrl_8_val_vayu" hidden="1">DEC2HEX(SUM(_rddqs_ratio1*2^16,_rddqs_ratio1),8)</definedName>
    <definedName name="_EMIF1_EXT_PHY_CTRL_9_VAL" hidden="1">_emif1_ext_phy_ctrl_9_val_vayu</definedName>
    <definedName name="_emif1_ext_phy_ctrl_9_val_vayu" hidden="1">DEC2HEX(SUM(_rddqs_ratio2*2^16,_rddqs_ratio2),8)</definedName>
    <definedName name="_EMIF2_EXT_PHY_CTRL_1_VAL" hidden="1">_emif2_ext_phy_ctrl_1_val_vayu</definedName>
    <definedName name="_emif2_ext_phy_ctrl_1_val_vayu" hidden="1">DEC2HEX(SUM(_ctrl_ratio2*2^20,_ctrl_ratio1*2^10,_ctrl_ratio0),8)</definedName>
    <definedName name="_EMIF2_EXT_PHY_CTRL_10_VAL" hidden="1">_emif2_ext_phy_ctrl_10_val_vayu</definedName>
    <definedName name="_emif2_ext_phy_ctrl_10_val_vayu" hidden="1">DEC2HEX(SUM(_rddqs_ratio3*2^16,_rddqs_ratio3),8)</definedName>
    <definedName name="_EMIF2_EXT_PHY_CTRL_11_VAL" hidden="1">_emif2_ext_phy_ctrl_11_val_vayu</definedName>
    <definedName name="_emif2_ext_phy_ctrl_11_val_vayu" hidden="1">DEC2HEX(SUM(_rddqs_ratio4*2^16,_rddqs_ratio4),8)</definedName>
    <definedName name="_EMIF2_EXT_PHY_CTRL_12_VAL" hidden="1">_emif2_ext_phy_ctrl_12_val_vayu</definedName>
    <definedName name="_emif2_ext_phy_ctrl_12_val_vayu" hidden="1">DEC2HEX(SUM(_wrdata_ratio0_ch2_cs1*2^16,_wrdata_ratio0_ch2_cs0),8)</definedName>
    <definedName name="_EMIF2_EXT_PHY_CTRL_13_VAL" hidden="1">_emif2_ext_phy_ctrl_13_val_vayu</definedName>
    <definedName name="_emif2_ext_phy_ctrl_13_val_vayu" hidden="1">DEC2HEX(SUM(_wrdata_ratio1_ch2_cs1*2^16,_wrdata_ratio1_ch2_cs0),8)</definedName>
    <definedName name="_EMIF2_EXT_PHY_CTRL_14_VAL" hidden="1">_emif2_ext_phy_ctrl_14_val_vayu</definedName>
    <definedName name="_emif2_ext_phy_ctrl_14_val_vayu" hidden="1">DEC2HEX(SUM(_wrdata_ratio2_ch2_cs1*2^16,_wrdata_ratio2_ch2_cs0),8)</definedName>
    <definedName name="_EMIF2_EXT_PHY_CTRL_15_VAL" hidden="1">_emif2_ext_phy_ctrl_15_val_vayu</definedName>
    <definedName name="_emif2_ext_phy_ctrl_15_val_vayu" hidden="1">DEC2HEX(SUM(_wrdata_ratio3_ch2_cs1*2^16,_wrdata_ratio3_ch2_cs0),8)</definedName>
    <definedName name="_EMIF2_EXT_PHY_CTRL_16_VAL" hidden="1">_emif2_ext_phy_ctrl_16_val_vayu</definedName>
    <definedName name="_emif2_ext_phy_ctrl_16_val_vayu" hidden="1">DEC2HEX(SUM(_wrdata_ratio4_ch2_cs1*2^16,_wrdata_ratio4_ch2_cs0),8)</definedName>
    <definedName name="_EMIF2_EXT_PHY_CTRL_17_VAL" hidden="1">_emif2_ext_phy_ctrl_17_val_vayu</definedName>
    <definedName name="_emif2_ext_phy_ctrl_17_val_vayu" hidden="1">DEC2HEX(SUM(_wrdqs_ratio0_ch2_cs1*2^16,_wrdqs_ratio0_ch2_cs0),8)</definedName>
    <definedName name="_EMIF2_EXT_PHY_CTRL_18_VAL" hidden="1">_emif2_ext_phy_ctrl_18_val_vayu</definedName>
    <definedName name="_emif2_ext_phy_ctrl_18_val_vayu" hidden="1">DEC2HEX(SUM(_wrdqs_ratio1_ch2_cs1*2^16,_wrdqs_ratio1_ch2_cs0),8)</definedName>
    <definedName name="_EMIF2_EXT_PHY_CTRL_19_VAL" hidden="1">_emif2_ext_phy_ctrl_19_val_vayu</definedName>
    <definedName name="_emif2_ext_phy_ctrl_19_val_vayu" hidden="1">DEC2HEX(SUM(_wrdqs_ratio2_ch2_cs1*2^16,_wrdqs_ratio2_ch2_cs0),8)</definedName>
    <definedName name="_EMIF2_EXT_PHY_CTRL_2_VAL" hidden="1">_emif2_ext_phy_ctrl_2_val_vayu</definedName>
    <definedName name="_emif2_ext_phy_ctrl_2_val_vayu" hidden="1">DEC2HEX(SUM(_fifowe_ratio0_ch2_cs1*2^16,_fifowe_ratio0_ch2_cs0),8)</definedName>
    <definedName name="_EMIF2_EXT_PHY_CTRL_20_VAL" hidden="1">_emif2_ext_phy_ctrl_20_val_vayu</definedName>
    <definedName name="_emif2_ext_phy_ctrl_20_val_vayu" hidden="1">DEC2HEX(SUM(_wrdqs_ratio3_ch2_cs1*2^16,_wrdqs_ratio3_ch2_cs0),8)</definedName>
    <definedName name="_EMIF2_EXT_PHY_CTRL_21_VAL" hidden="1">_emif2_ext_phy_ctrl_21_val_vayu</definedName>
    <definedName name="_emif2_ext_phy_ctrl_21_val_vayu" hidden="1">DEC2HEX(SUM(_wrdqs_ratio4_ch2_cs1*2^16,_wrdqs_ratio4_ch2_cs0),8)</definedName>
    <definedName name="_EMIF2_EXT_PHY_CTRL_22_VAL" hidden="1">_emif2_ext_phy_ctrl_22_val_vayu</definedName>
    <definedName name="_emif2_ext_phy_ctrl_22_val_vayu" hidden="1">DEC2HEX(SUM(_phy_fifowe_delay*2^16,_phy_ctrl_delay),8)</definedName>
    <definedName name="_EMIF2_EXT_PHY_CTRL_23_VAL" hidden="1">_emif2_ext_phy_ctrl_23_val_vayu</definedName>
    <definedName name="_emif2_ext_phy_ctrl_23_val_vayu" hidden="1">DEC2HEX(SUM(_phy_wrdqs_delay*2^16,_phy_rddqs_delay),8)</definedName>
    <definedName name="_EMIF2_EXT_PHY_CTRL_24_VAL" hidden="1">_emif2_ext_phy_ctrl_24_val_vayu</definedName>
    <definedName name="_emif2_ext_phy_ctrl_24_val_vayu" hidden="1">DEC2HEX(SUM(_phy_dq_offset4*2^24,_phy_gatelvl_init_mode*2^16,_phy_use_rank0_delays*2^12,_phy_wrdata_delay),8)</definedName>
    <definedName name="_EMIF2_EXT_PHY_CTRL_25_VAL" hidden="1">DEC2HEX(SUM(_phy_dq_offset3*2^21,_phy_dq_offset2*2^14,_phy_dq_offset1*2^7,_phy_dq_offset0),8)</definedName>
    <definedName name="_EMIF2_EXT_PHY_CTRL_26_VAL" hidden="1">DEC2HEX(SUM(_fifowe_init0_ch2_cs1*2^16,_fifowe_init0_ch2_cs0),8)</definedName>
    <definedName name="_EMIF2_EXT_PHY_CTRL_27_VAL" hidden="1">DEC2HEX(SUM(_fifowe_init1_ch2_cs1*2^16,_fifowe_init1_ch2_cs0),8)</definedName>
    <definedName name="_EMIF2_EXT_PHY_CTRL_28_VAL" hidden="1">DEC2HEX(SUM(_fifowe_init2_ch2_cs1*2^16,_fifowe_init2_ch2_cs0),8)</definedName>
    <definedName name="_EMIF2_EXT_PHY_CTRL_29_VAL" hidden="1">DEC2HEX(SUM(_fifowe_init3_ch2_cs1*2^16,_fifowe_init3_ch2_cs0),8)</definedName>
    <definedName name="_EMIF2_EXT_PHY_CTRL_3_VAL" hidden="1">_emif2_ext_phy_ctrl_3_val_vayu</definedName>
    <definedName name="_emif2_ext_phy_ctrl_3_val_vayu" hidden="1">DEC2HEX(SUM(_fifowe_ratio1_ch2_cs1*2^16,_fifowe_ratio1_ch2_cs0),8)</definedName>
    <definedName name="_EMIF2_EXT_PHY_CTRL_30_VAL" hidden="1">DEC2HEX(SUM(_fifowe_init4_ch2_cs1*2^16,_fifowe_init4_ch2_cs0),8)</definedName>
    <definedName name="_EMIF2_EXT_PHY_CTRL_31_VAL" hidden="1">DEC2HEX(SUM(_wrdqs_init0_ch2_cs1*2^16,_wrdqs_init0_ch2_cs0),8)</definedName>
    <definedName name="_EMIF2_EXT_PHY_CTRL_32_VAL" hidden="1">DEC2HEX(SUM(_wrdqs_init1_ch2_cs1*2^16,_wrdqs_init1_ch2_cs0),8)</definedName>
    <definedName name="_EMIF2_EXT_PHY_CTRL_33_VAL" hidden="1">DEC2HEX(SUM(_wrdqs_init2_ch2_cs1*2^16,_wrdqs_init2_ch2_cs0),8)</definedName>
    <definedName name="_EMIF2_EXT_PHY_CTRL_34_VAL" hidden="1">DEC2HEX(SUM(_wrdqs_init3_ch2_cs1*2^16,_wrdqs_init3_ch2_cs0),8)</definedName>
    <definedName name="_EMIF2_EXT_PHY_CTRL_35_VAL" hidden="1">DEC2HEX(SUM(_wrdqs_init4_ch2_cs1*2^16,_wrdqs_init4_ch2_cs0),8)</definedName>
    <definedName name="_EMIF2_EXT_PHY_CTRL_36_VAL" hidden="1">DEC2HEX(SUM(_phy_wrlvl_num_dq0*2^4,_phy_gatelvl_num_dq0),8)</definedName>
    <definedName name="_EMIF2_EXT_PHY_CTRL_4_VAL" hidden="1">_emif2_ext_phy_ctrl_4_val_vayu</definedName>
    <definedName name="_emif2_ext_phy_ctrl_4_val_vayu" hidden="1">DEC2HEX(SUM(_fifowe_ratio2_ch2_cs1*2^16,_fifowe_ratio2_ch2_cs0),8)</definedName>
    <definedName name="_EMIF2_EXT_PHY_CTRL_5_VAL" hidden="1">_emif2_ext_phy_ctrl_5_val_vayu</definedName>
    <definedName name="_emif2_ext_phy_ctrl_5_val_vayu" hidden="1">DEC2HEX(SUM(_fifowe_ratio3_ch2_cs1*2^16,_fifowe_ratio3_ch2_cs0),8)</definedName>
    <definedName name="_EMIF2_EXT_PHY_CTRL_6_VAL" hidden="1">_emif2_ext_phy_ctrl_6_val_vayu</definedName>
    <definedName name="_emif2_ext_phy_ctrl_6_val_vayu" hidden="1">DEC2HEX(SUM(_fifowe_ratio4_ch2_cs1*2^16,_fifowe_ratio4_ch2_cs0),8)</definedName>
    <definedName name="_EMIF2_EXT_PHY_CTRL_7_VAL" hidden="1">_emif2_ext_phy_ctrl_7_val_vayu</definedName>
    <definedName name="_emif2_ext_phy_ctrl_7_val_vayu" hidden="1">DEC2HEX(SUM(_rddqs_ratio0*2^16,_rddqs_ratio0),8)</definedName>
    <definedName name="_EMIF2_EXT_PHY_CTRL_8_VAL" hidden="1">_emif2_ext_phy_ctrl_8_val_vayu</definedName>
    <definedName name="_emif2_ext_phy_ctrl_8_val_vayu" hidden="1">DEC2HEX(SUM(_rddqs_ratio1*2^16,_rddqs_ratio1),8)</definedName>
    <definedName name="_EMIF2_EXT_PHY_CTRL_9_VAL" hidden="1">_emif2_ext_phy_ctrl_9_val_vayu</definedName>
    <definedName name="_emif2_ext_phy_ctrl_9_val_vayu" hidden="1">DEC2HEX(SUM(_rddqs_ratio2*2^16,_rddqs_ratio2),8)</definedName>
    <definedName name="_emif4d5e_sdram_types" hidden="1">{"DDR1";"LPDDR1";"DDR2";"DDR3/L";"LPDDR2"}</definedName>
    <definedName name="_enable_jedec" hidden="1">0</definedName>
    <definedName name="_fifowe_init0_ch1_cs0" hidden="1">IF(_t_rdtrip_brddly_p0_ch1_cs0=0,0,_fifowe_ratio0_ch1_cs0 - ROUND((125000 / _ddr_pll_freq / _dll_res),0))</definedName>
    <definedName name="_fifowe_init0_ch1_cs1" hidden="1">IF(_t_rdtrip_brddly_p0_ch1_cs1=0,0,_fifowe_ratio0_ch1_cs1 - ROUND((125000 / _ddr_pll_freq / _dll_res),0))</definedName>
    <definedName name="_fifowe_init0_ch2_cs0" hidden="1">IF(_t_rdtrip_brddly_p0_ch2_cs0=0,0,_fifowe_ratio0_ch2_cs0 - ROUND((125000 / _ddr_pll_freq / _dll_res),0))</definedName>
    <definedName name="_fifowe_init0_ch2_cs1" hidden="1">IF(_t_rdtrip_brddly_p0_ch2_cs1=0,0,_fifowe_ratio0_ch2_cs1 - ROUND((125000 / _ddr_pll_freq / _dll_res),0))</definedName>
    <definedName name="_fifowe_init1_ch1_cs0" hidden="1">IF(_t_rdtrip_brddly_p1_ch1_cs0=0,0,_fifowe_ratio1_ch1_cs0 - ROUND((125000 / _ddr_pll_freq / _dll_res),0))</definedName>
    <definedName name="_fifowe_init1_ch1_cs1" hidden="1">IF(_t_rdtrip_brddly_p1_ch1_cs1=0,0,_fifowe_ratio1_ch1_cs1 - ROUND((125000 / _ddr_pll_freq / _dll_res),0))</definedName>
    <definedName name="_fifowe_init1_ch2_cs0" hidden="1">IF(_t_rdtrip_brddly_p1_ch2_cs0=0,0,_fifowe_ratio1_ch2_cs0 - ROUND((125000 / _ddr_pll_freq / _dll_res),0))</definedName>
    <definedName name="_fifowe_init1_ch2_cs1" hidden="1">IF(_t_rdtrip_brddly_p1_ch2_cs1=0,0,_fifowe_ratio1_ch2_cs1 - ROUND((125000 / _ddr_pll_freq / _dll_res),0))</definedName>
    <definedName name="_fifowe_init2_ch1_cs0" hidden="1">IF(_t_rdtrip_brddly_p2_ch1_cs0=0,0,_fifowe_ratio2_ch1_cs0 - ROUND((125000 / _ddr_pll_freq / _dll_res),0))</definedName>
    <definedName name="_fifowe_init2_ch1_cs1" hidden="1">IF(_t_rdtrip_brddly_p2_ch1_cs1=0,0,_fifowe_ratio2_ch1_cs1 - ROUND((125000 / _ddr_pll_freq / _dll_res),0))</definedName>
    <definedName name="_fifowe_init2_ch2_cs0" hidden="1">IF(_t_rdtrip_brddly_p2_ch2_cs0=0,0,_fifowe_ratio2_ch2_cs0 - ROUND((125000 / _ddr_pll_freq / _dll_res),0))</definedName>
    <definedName name="_fifowe_init2_ch2_cs1" hidden="1">IF(_t_rdtrip_brddly_p2_ch2_cs1=0,0,_fifowe_ratio2_ch2_cs1 - ROUND((125000 / _ddr_pll_freq / _dll_res),0))</definedName>
    <definedName name="_fifowe_init3_ch1_cs0" hidden="1">IF(_t_rdtrip_brddly_p3_ch1_cs0=0,0,_fifowe_ratio3_ch1_cs0 - ROUND((125000 / _ddr_pll_freq / _dll_res),0))</definedName>
    <definedName name="_fifowe_init3_ch1_cs1" hidden="1">IF(_t_rdtrip_brddly_p3_ch1_cs1=0,0,_fifowe_ratio3_ch1_cs1 - ROUND((125000 / _ddr_pll_freq / _dll_res),0))</definedName>
    <definedName name="_fifowe_init3_ch2_cs0" hidden="1">IF(_t_rdtrip_brddly_p3_ch2_cs0=0,0,_fifowe_ratio3_ch2_cs0 - ROUND((125000 / _ddr_pll_freq / _dll_res),0))</definedName>
    <definedName name="_fifowe_init3_ch2_cs1" hidden="1">IF(_t_rdtrip_brddly_p3_ch2_cs1=0,0,_fifowe_ratio3_ch2_cs1 - ROUND((125000 / _ddr_pll_freq / _dll_res),0))</definedName>
    <definedName name="_fifowe_init4_ch1_cs0" hidden="1">IF(_t_rdtrip_brddly_p4_ch1_cs0=0,0,_fifowe_ratio4_ch1_cs0 - ROUND((125000 / _ddr_pll_freq / _dll_res),0))</definedName>
    <definedName name="_fifowe_init4_ch1_cs1" hidden="1">IF(_t_rdtrip_brddly_p4_ch1_cs1=0,0,_fifowe_ratio4_ch1_cs1 - ROUND((125000 / _ddr_pll_freq / _dll_res),0))</definedName>
    <definedName name="_fifowe_init4_ch2_cs0" hidden="1">IF(_t_rdtrip_brddly_p4_ch2_cs0=0,0,_fifowe_ratio4_ch2_cs0 - ROUND((125000 / _ddr_pll_freq / _dll_res),0))</definedName>
    <definedName name="_fifowe_init4_ch2_cs1" hidden="1">IF(_t_rdtrip_brddly_p4_ch2_cs1=0,0,_fifowe_ratio4_ch2_cs1 - ROUND((125000 / _ddr_pll_freq / _dll_res),0))</definedName>
    <definedName name="_fifowe_ratio0_ch1_cs0" hidden="1">ROUND(IF(_user_sdram_type="LPDDR2",(_t_rdtrip_brddly_p0_ch1_cs0 + (500000 / _ddr_pll_freq)) / _dll_res,((_t_rdtrip_brddly_p0_ch1_cs0 + (333333 / _ddr_pll_freq) + (_phy_invert_clk * 500000 / _ddr_pll_freq)) / _dll_res)),0)</definedName>
    <definedName name="_fifowe_ratio0_ch1_cs1" hidden="1">ROUND(IF(_user_sdram_type="LPDDR2",(_t_rdtrip_brddly_p0_ch1_cs1 + (500000 / _ddr_pll_freq)) / _dll_res,((_t_rdtrip_brddly_p0_ch1_cs1 + (333333 / _ddr_pll_freq) + (_phy_invert_clk * 500000 / _ddr_pll_freq)) / _dll_res)),0)</definedName>
    <definedName name="_fifowe_ratio0_ch2_cs0" hidden="1">ROUND(IF(_user_sdram_type="LPDDR2",(_t_rdtrip_brddly_p0_ch2_cs0 + (500000 / _ddr_pll_freq)) / _dll_res,((_t_rdtrip_brddly_p0_ch2_cs0 + (333333 / _ddr_pll_freq) + (_phy_invert_clk * 500000 / _ddr_pll_freq)) / _dll_res)),0)</definedName>
    <definedName name="_fifowe_ratio0_ch2_cs1" hidden="1">ROUND(IF(_user_sdram_type="LPDDR2",(_t_rdtrip_brddly_p0_ch2_cs1 + (500000 / _ddr_pll_freq)) / _dll_res,((_t_rdtrip_brddly_p0_ch2_cs1 + (333333 / _ddr_pll_freq) + (_phy_invert_clk * 500000 / _ddr_pll_freq)) / _dll_res)),0)</definedName>
    <definedName name="_fifowe_ratio1_ch1_cs0" hidden="1">ROUND(IF(_user_sdram_type="LPDDR2",(_t_rdtrip_brddly_p1_ch1_cs0 + (500000 / _ddr_pll_freq)) / _dll_res,((_t_rdtrip_brddly_p1_ch1_cs0 + (333333 / _ddr_pll_freq) + (_phy_invert_clk * 500000 / _ddr_pll_freq)) / _dll_res)),0)</definedName>
    <definedName name="_fifowe_ratio1_ch1_cs1" hidden="1">ROUND(IF(_user_sdram_type="LPDDR2",(_t_rdtrip_brddly_p1_ch1_cs1 + (500000 / _ddr_pll_freq)) / _dll_res,((_t_rdtrip_brddly_p1_ch1_cs1 + (333333 / _ddr_pll_freq) + (_phy_invert_clk * 500000 / _ddr_pll_freq)) / _dll_res)),0)</definedName>
    <definedName name="_fifowe_ratio1_ch2_cs0" hidden="1">ROUND(IF(_user_sdram_type="LPDDR2",(_t_rdtrip_brddly_p1_ch2_cs0 + (500000 / _ddr_pll_freq)) / _dll_res,((_t_rdtrip_brddly_p1_ch2_cs0 + (333333 / _ddr_pll_freq) + (_phy_invert_clk * 500000 / _ddr_pll_freq)) / _dll_res)),0)</definedName>
    <definedName name="_fifowe_ratio1_ch2_cs1" hidden="1">ROUND(IF(_user_sdram_type="LPDDR2",(_t_rdtrip_brddly_p1_ch2_cs1 + (500000 / _ddr_pll_freq)) / _dll_res,((_t_rdtrip_brddly_p1_ch2_cs1 + (333333 / _ddr_pll_freq) + (_phy_invert_clk * 500000 / _ddr_pll_freq)) / _dll_res)),0)</definedName>
    <definedName name="_fifowe_ratio2_ch1_cs0" hidden="1">ROUND(IF(_user_sdram_type="LPDDR2",(_t_rdtrip_brddly_p2_ch1_cs0 + (500000 / _ddr_pll_freq)) / _dll_res,((_t_rdtrip_brddly_p2_ch1_cs0 + (333333 / _ddr_pll_freq) + (_phy_invert_clk * 500000 / _ddr_pll_freq)) / _dll_res)),0)</definedName>
    <definedName name="_fifowe_ratio2_ch1_cs1" hidden="1">ROUND(IF(_user_sdram_type="LPDDR2",(_t_rdtrip_brddly_p2_ch1_cs1 + (500000 / _ddr_pll_freq)) / _dll_res,((_t_rdtrip_brddly_p2_ch1_cs1 + (333333 / _ddr_pll_freq) + (_phy_invert_clk * 500000 / _ddr_pll_freq)) / _dll_res)),0)</definedName>
    <definedName name="_fifowe_ratio2_ch2_cs0" hidden="1">ROUND(IF(_user_sdram_type="LPDDR2",(_t_rdtrip_brddly_p2_ch2_cs0 + (500000 / _ddr_pll_freq)) / _dll_res,((_t_rdtrip_brddly_p2_ch2_cs0 + (333333 / _ddr_pll_freq) + (_phy_invert_clk * 500000 / _ddr_pll_freq)) / _dll_res)),0)</definedName>
    <definedName name="_fifowe_ratio2_ch2_cs1" hidden="1">ROUND(IF(_user_sdram_type="LPDDR2",(_t_rdtrip_brddly_p2_ch2_cs1 + (500000 / _ddr_pll_freq)) / _dll_res,((_t_rdtrip_brddly_p2_ch2_cs1 + (333333 / _ddr_pll_freq) + (_phy_invert_clk * 500000 / _ddr_pll_freq)) / _dll_res)),0)</definedName>
    <definedName name="_fifowe_ratio3_ch1_cs0" hidden="1">ROUND(IF(_user_sdram_type="LPDDR2",(_t_rdtrip_brddly_p3_ch1_cs0 + (500000 / _ddr_pll_freq)) / _dll_res,((_t_rdtrip_brddly_p3_ch1_cs0 + (333333 / _ddr_pll_freq) + (_phy_invert_clk * 500000 / _ddr_pll_freq)) / _dll_res)),0)</definedName>
    <definedName name="_fifowe_ratio3_ch1_cs1" hidden="1">ROUND(IF(_user_sdram_type="LPDDR2",(_t_rdtrip_brddly_p3_ch1_cs1 + (500000 / _ddr_pll_freq)) / _dll_res,((_t_rdtrip_brddly_p3_ch1_cs1 + (333333 / _ddr_pll_freq) + (_phy_invert_clk * 500000 / _ddr_pll_freq)) / _dll_res)),0)</definedName>
    <definedName name="_fifowe_ratio3_ch2_cs0" hidden="1">ROUND(IF(_user_sdram_type="LPDDR2",(_t_rdtrip_brddly_p3_ch2_cs0 + (500000 / _ddr_pll_freq)) / _dll_res,((_t_rdtrip_brddly_p3_ch2_cs0 + (333333 / _ddr_pll_freq) + (_phy_invert_clk * 500000 / _ddr_pll_freq)) / _dll_res)),0)</definedName>
    <definedName name="_fifowe_ratio3_ch2_cs1" hidden="1">ROUND(IF(_user_sdram_type="LPDDR2",(_t_rdtrip_brddly_p3_ch2_cs1 + (500000 / _ddr_pll_freq)) / _dll_res,((_t_rdtrip_brddly_p3_ch2_cs1 + (333333 / _ddr_pll_freq) + (_phy_invert_clk * 500000 / _ddr_pll_freq)) / _dll_res)),0)</definedName>
    <definedName name="_fifowe_ratio4_ch1_cs0" hidden="1">ROUND(IF(_user_sdram_type="LPDDR2",(_t_rdtrip_brddly_p4_ch1_cs0 + (500000 / _ddr_pll_freq)) / _dll_res,((_t_rdtrip_brddly_p4_ch1_cs0 + (333333 / _ddr_pll_freq) + (_phy_invert_clk * 500000 / _ddr_pll_freq)) / _dll_res)),0)</definedName>
    <definedName name="_fifowe_ratio4_ch1_cs1" hidden="1">ROUND(IF(_user_sdram_type="LPDDR2",(_t_rdtrip_brddly_p4_ch1_cs1 + (500000 / _ddr_pll_freq)) / _dll_res,((_t_rdtrip_brddly_p4_ch1_cs1 + (333333 / _ddr_pll_freq) + (_phy_invert_clk * 500000 / _ddr_pll_freq)) / _dll_res)),0)</definedName>
    <definedName name="_fifowe_ratio4_ch2_cs0" hidden="1">ROUND(IF(_user_sdram_type="LPDDR2",(_t_rdtrip_brddly_p4_ch2_cs0 + (500000 / _ddr_pll_freq)) / _dll_res,((_t_rdtrip_brddly_p4_ch2_cs0 + (333333 / _ddr_pll_freq) + (_phy_invert_clk * 500000 / _ddr_pll_freq)) / _dll_res)),0)</definedName>
    <definedName name="_fifowe_ratio4_ch2_cs1" hidden="1">ROUND(IF(_user_sdram_type="LPDDR2",(_t_rdtrip_brddly_p4_ch2_cs1 + (500000 / _ddr_pll_freq)) / _dll_res,((_t_rdtrip_brddly_p4_ch2_cs1 + (333333 / _ddr_pll_freq) + (_phy_invert_clk * 500000 / _ddr_pll_freq)) / _dll_res)),0)</definedName>
    <definedName name="_is_ma_present" hidden="1">IF(OR(_soc_name="adaslow1",_soc_name="adaslow2"),0,1)</definedName>
    <definedName name="_lpddr2_bankNum" hidden="1">IF(_sdram_density&lt;1,4,8)</definedName>
    <definedName name="_lpddr2_cl" hidden="1">{"NA"}</definedName>
    <definedName name="_lpddr2_densities" hidden="1">{0.25;0.5;1;2;4;8}</definedName>
    <definedName name="_lpddr2_drive_imp" hidden="1">{34.3;40;48;60;68.6;80;120}</definedName>
    <definedName name="_lpddr2_rtt" hidden="1">{"NA"}</definedName>
    <definedName name="_lpddr2_rttwr" hidden="1">{"NA"}</definedName>
    <definedName name="_lpddr2_sb_1074_ck" hidden="1">{1.875}</definedName>
    <definedName name="_lpddr2_sb_1074_cl" hidden="1">{8}</definedName>
    <definedName name="_lpddr2_sb_336_ck" hidden="1">{6}</definedName>
    <definedName name="_lpddr2_sb_336_cl" hidden="1">{3}</definedName>
    <definedName name="_lpddr2_sb_403_ck" hidden="1">{5}</definedName>
    <definedName name="_lpddr2_sb_403_cl" hidden="1">{3}</definedName>
    <definedName name="_lpddr2_sb_537_ck" hidden="1">{3.75}</definedName>
    <definedName name="_lpddr2_sb_537_cl" hidden="1">{4}</definedName>
    <definedName name="_lpddr2_sb_672_ck" hidden="1">{3}</definedName>
    <definedName name="_lpddr2_sb_672_cl" hidden="1">{5}</definedName>
    <definedName name="_lpddr2_sb_806_ck" hidden="1">{2.5}</definedName>
    <definedName name="_lpddr2_sb_806_cl" hidden="1">{6}</definedName>
    <definedName name="_lpddr2_sb_940_ck" hidden="1">{2.14}</definedName>
    <definedName name="_lpddr2_sb_940_cl" hidden="1">{7}</definedName>
    <definedName name="_lpddr2_sb_data" hidden="1">{333;400;533;667;800;933;1066}</definedName>
    <definedName name="_lpddr2_sb_lookup" hidden="1">{336;403;537;672;806;940;1074}</definedName>
    <definedName name="_lpddr2_sb_wtr" hidden="1">{10;10;7.5;7.5;7.5;7.5;7.5}</definedName>
    <definedName name="_phy_clk_stall_level" hidden="1">0</definedName>
    <definedName name="_phy_ctrl_delay" hidden="1">128</definedName>
    <definedName name="_phy_dis_calib_rst" hidden="1">0</definedName>
    <definedName name="_phy_dll_lock_diff" hidden="1">16</definedName>
    <definedName name="_phy_dq_offset0" hidden="1">64</definedName>
    <definedName name="_phy_dq_offset1" hidden="1">64</definedName>
    <definedName name="_phy_dq_offset2" hidden="1">64</definedName>
    <definedName name="_phy_dq_offset3" hidden="1">64</definedName>
    <definedName name="_phy_dq_offset4" hidden="1">64</definedName>
    <definedName name="_phy_fast_dll_lock" hidden="1">0</definedName>
    <definedName name="_phy_fifowe_delay" hidden="1">128</definedName>
    <definedName name="_phy_fifowe_mis_clr" hidden="1">0</definedName>
    <definedName name="_phy_gatelvl_init_mode" hidden="1">1</definedName>
    <definedName name="_phy_gatelvl_num_dq0" hidden="1">7</definedName>
    <definedName name="_phy_half_delay" hidden="1">IF(_user_sdram_type="LPDDR2",0,1)</definedName>
    <definedName name="_phy_invert_clk" hidden="1">IF(_user_sdram_type="DDR3/L",1,0)</definedName>
    <definedName name="_phy_mdll_unlock_clr" hidden="1">0</definedName>
    <definedName name="_phy_rd_rl_delay" hidden="1">MAX(MIN(IF(_ddr_pll_freq &gt; 533, _t_cl_user + 5, _t_cl_user + 4),2^5-1),0)</definedName>
    <definedName name="_phy_rdc_fifo_rst_err_cnt_clr" hidden="1">0</definedName>
    <definedName name="_phy_rddqs_delay" hidden="1">128</definedName>
    <definedName name="_phy_rdlvl_mask" hidden="1">IF(OR(_soc_name="j6eco",_soc_name="j6entry"),1,IF(_user_lvl_tech="H/W",0,1))</definedName>
    <definedName name="_phy_rdlvlgate_mask" hidden="1">IF(_user_lvl_tech="H/W",0,1)</definedName>
    <definedName name="_phy_rdlvlgateinc_int" hidden="1">0</definedName>
    <definedName name="_phy_rdlvlgateinc_rmp_int" hidden="1">0</definedName>
    <definedName name="_phy_rdlvlinc_int" hidden="1">0</definedName>
    <definedName name="_phy_rdlvlinc_rmp_int" hidden="1">0</definedName>
    <definedName name="_phy_rdwrlvl_en" hidden="1">IF(_user_lvl_tech="H/W",1,0)</definedName>
    <definedName name="_phy_rdwrlvlfull_start" hidden="1">0</definedName>
    <definedName name="_phy_rdwrlvlinc_pre" hidden="1">0</definedName>
    <definedName name="_phy_rdwrlvlinc_rmp_pre" hidden="1">0</definedName>
    <definedName name="_phy_rdwrlvlinc_rmp_win" hidden="1">0</definedName>
    <definedName name="_phy_use_rank0_delays" hidden="1">IF(_user_sdram_type="DDR3/L",0,IF(_user_sdram_type="LPDDR2",1,IF(_t_cl_user_reg&lt;6,1,0)))</definedName>
    <definedName name="_phy_wrdata_delay" hidden="1">128</definedName>
    <definedName name="_phy_wrdqs_delay" hidden="1">128</definedName>
    <definedName name="_phy_wrlvl_mask" hidden="1">IF(_user_lvl_tech="H/W",0,1)</definedName>
    <definedName name="_phy_wrlvl_num_dq0" hidden="1">7</definedName>
    <definedName name="_phy_wrlvlinc_int" hidden="1">0</definedName>
    <definedName name="_phy_wrlvlinc_rmp_int" hidden="1">0</definedName>
    <definedName name="_prop_vel_microstrip" hidden="1">136</definedName>
    <definedName name="_prop_vel_stripline" hidden="1">170</definedName>
    <definedName name="_rddqs_ratio0" hidden="1">CHOOSE(MATCH(_soc_name,_soc_names,0),56,50,47,52,52,47,47)</definedName>
    <definedName name="_rddqs_ratio1" hidden="1">_rddqs_ratio0</definedName>
    <definedName name="_rddqs_ratio2" hidden="1">_rddqs_ratio0</definedName>
    <definedName name="_rddqs_ratio3" hidden="1">_rddqs_ratio0</definedName>
    <definedName name="_rddqs_ratio4" hidden="1">_rddqs_ratio0</definedName>
    <definedName name="_reg_ecc_addr_rng_1_en" hidden="1">IF(AND(_user_ecc="Yes",HEX2DEC(_user_ecc_start_addr1)&lt;HEX2DEC(_user_ecc_end_addr1)),1,0)</definedName>
    <definedName name="_reg_ecc_addr_rng_2_en" hidden="1">IF(AND(_user_ecc="Yes",HEX2DEC(_user_ecc_start_addr2)&lt;HEX2DEC(_user_ecc_end_addr2),OR(AND(HEX2DEC(_user_ecc_start_addr2)&lt;HEX2DEC(_user_ecc_start_addr1),HEX2DEC(_user_ecc_end_addr2)&lt;HEX2DEC(_user_ecc_start_addr1)),AND(HEX2DEC(_user_ecc_start_addr2)&gt;HEX2DEC(_user_ecc_end_addr1),HEX2DEC(_user_ecc_end_addr2)&gt;HEX2DEC(_user_ecc_end_addr1)))),1,0)</definedName>
    <definedName name="_reg_ecc_addr_rng_prot" hidden="1">IF(_user_ecc="Yes",1,0)</definedName>
    <definedName name="_reg_ecc_en" hidden="1">IF(_user_ecc="Yes",1,0)</definedName>
    <definedName name="_reg_ecc_verify_dis" hidden="1">0</definedName>
    <definedName name="_reg_rmw_en" hidden="1">IF(_soc_name="j6plus",IF(_user_ecc="Yes",1,0),0)</definedName>
    <definedName name="_sdram_asr" hidden="1">IF(_user_max_op_temp&lt;&gt;"&lt;= 85",1,0)</definedName>
    <definedName name="_sdram_bw" hidden="1">'Step1-SystemDetails'!$F$23</definedName>
    <definedName name="_sdram_cl" hidden="1">INDEX(_sdram_sb_cl,SMALL(IF(1000/_ddr_pll_freq&gt;=_sdram_sb_ck,ROW(INDIRECT(CONCATENATE("1:",ROWS(_sdram_sb_ck)))),""),ROW(INDIRECT("1:1"))))</definedName>
    <definedName name="_sdram_cl_max" hidden="1">'Step1-SystemDetails'!$F$39</definedName>
    <definedName name="_sdram_cl_val" hidden="1">MAX(MIN(IF(_user_sdram_type="DDR3/L",2 * (_t_cl_user - 4),_t_cl_user),2^4-1),0)</definedName>
    <definedName name="_sdram_col_bits" hidden="1">IF(_user_sdram_type="DDR3/L",_sdram_col_bits_ddr3,IF(_user_sdram_type="DDR2",_sdram_col_bits_ddr2,_sdram_col_bits_lpddr2))</definedName>
    <definedName name="_sdram_col_bits_ddr2" hidden="1">IF(_sdram_width=32,9,IF(AND(_sdram_density=0.25,_sdram_width=16),9,IF(_sdram_width=4,11,10)))</definedName>
    <definedName name="_sdram_col_bits_ddr3" hidden="1">IF(AND(_sdram_density=8,_sdram_width=4),12,IF(OR(AND(_sdram_density=8,_sdram_width=8),_sdram_width=4),11,10))</definedName>
    <definedName name="_sdram_col_bits_lpddr2" hidden="1">IF(_sdram_density&lt;0.5,IF(_sdram_width=32,8,IF(_sdram_width=16,9,10)),IF(_sdram_density&gt;2,IF(_sdram_width=32,10,IF(_sdram_width=16,11,12)),IF(_sdram_width=32,9,IF(_sdram_width=16,10,11))))</definedName>
    <definedName name="_sdram_config_ddr2_dqs" hidden="1">1</definedName>
    <definedName name="_sdram_config_dll_dis" hidden="1">0</definedName>
    <definedName name="_sdram_config_drive_imp" hidden="1">MAX(MIN(IF(_user_sdram_type="DDR3/L",MATCH(_sdram_drive_imp,_ddr3_drive_imp,0)-1,IF(_user_sdram_type="DDR2",MATCH(_sdram_drive_imp,_ddr2_drive_imp,0)-1,0)),2^2-1),0)</definedName>
    <definedName name="_sdram_config_dyn_rtt" hidden="1">MAX(MIN(IF(_user_sdram_type="DDR3/L",MATCH(_sdram_rttwr,_ddr3_rttwr,0)-1,0),2^2-1),0)</definedName>
    <definedName name="_sdram_config_ebank" hidden="1">MAX(MIN(_sdram_ebank-1,1),0)</definedName>
    <definedName name="_sdram_config_ibank" hidden="1">IF(_user_sdram_type="DDR3/L",_ddr3_bankNum,IF(_user_sdram_type="DDR2",_ddr2_bankNum,_lpddr2_bankNum))</definedName>
    <definedName name="_sdram_config_ibank_pos" hidden="1">0</definedName>
    <definedName name="_sdram_config_narrow_mode" hidden="1">MAX(MIN(IF(_sdram_bw=16,1,0),2^2-1),0)</definedName>
    <definedName name="_sdram_config_pagesize" hidden="1">MAX(MIN(_sdram_col_bits - 8,2^3-1),0)</definedName>
    <definedName name="_sdram_config_rowsize" hidden="1">MAX(MIN(_sdram_row_bits - 9,2^3-1),0)</definedName>
    <definedName name="_sdram_config_rtt" hidden="1">MAX(MIN(IF(_user_sdram_type="DDR3/L",MATCH(_sdram_rtt,_ddr3_rtt,0)-1,IF(_user_sdram_type="DDR2",MATCH(_sdram_rtt,_ddr2_rtt,0)-1,0)),2^3-1),0)</definedName>
    <definedName name="_sdram_config_type" hidden="1">MAX(MIN(MATCH(_user_sdram_type,_emif4d5e_sdram_types,0)-1,2^3-1),0)</definedName>
    <definedName name="_sdram_cs1nvmen" hidden="1">0</definedName>
    <definedName name="_sdram_cwl" hidden="1">IF(_user_sdram_type="DDR3/L",INDEX(_sdram_sb_cwl,SMALL(IF(1000/_ddr_pll_freq&gt;=_sdram_sb_ck,ROW(INDIRECT(CONCATENATE("1:",ROWS(_sdram_sb_ck)))),""),ROW(INDIRECT("1:1")))),0)</definedName>
    <definedName name="_sdram_cwl_jedec" hidden="1">IF(_user_sdram_type="DDR3/L",_sdram_cwl,"NA")</definedName>
    <definedName name="_sdram_cwl_val" hidden="1">MAX(MIN(_t_cwl_user - 5,2^2-1),0)</definedName>
    <definedName name="_sdram_data_rate" hidden="1">'Step1-SystemDetails'!$F$36</definedName>
    <definedName name="_sdram_density" hidden="1">'Step1-SystemDetails'!$F$37</definedName>
    <definedName name="_sdram_density_mult" hidden="1">IF(_user_sdram_type="DDR2",MATCH(_sdram_density,_ddr2_densities,0)+27,IF(_user_sdram_type="DDR3/L",MATCH(_sdram_density,_ddr3_densities,0)+28,MATCH(_sdram_density,_lpddr2_densities,0)+27))</definedName>
    <definedName name="_sdram_drive_imp" hidden="1">'Step1-SystemDetails'!$F$46</definedName>
    <definedName name="_sdram_drive_imp_rec" hidden="1">IF(_user_sdram_type="LPDDR2",40,IF(_soc_name="j6entry","RZQ/6",IF(_user_sdram_type="DDR2","Normal","RZQ/7")))</definedName>
    <definedName name="_sdram_ebank" hidden="1">'Step1-SystemDetails'!$F$24</definedName>
    <definedName name="_sdram_ebank_pos" hidden="1">0</definedName>
    <definedName name="_sdram_ibank_val" hidden="1">MAX(MIN(LOG(_sdram_config_ibank,2),2^3-1),0)</definedName>
    <definedName name="_sdram_initref_dis" hidden="1">0</definedName>
    <definedName name="_sdram_pagesize" hidden="1">2^_sdram_col_bits * _sdram_width / 8</definedName>
    <definedName name="_sdram_pasr" hidden="1">0</definedName>
    <definedName name="_sdram_rdbnum" hidden="1">0</definedName>
    <definedName name="_sdram_rdbsize" hidden="1">0</definedName>
    <definedName name="_sdram_row_bits" hidden="1">LOG(2^_sdram_density_mult/_sdram_width/_sdram_config_ibank/2^_sdram_col_bits,2)</definedName>
    <definedName name="_sdram_rtt" hidden="1">'Step1-SystemDetails'!$F$44</definedName>
    <definedName name="_sdram_rtt_rec" hidden="1">IF(_user_sdram_type="LPDDR2","NA",IF(_soc_name="j6entry","RZQ/2",IF(_user_sdram_type="DDR2","75 Ohm","RZQ/4")))</definedName>
    <definedName name="_sdram_rttwr" hidden="1">'Step1-SystemDetails'!$F$45</definedName>
    <definedName name="_sdram_rttwr_rec" hidden="1">IF(_user_sdram_type="LPDDR2","NA",IF(_user_sdram_type="DDR2","NA","Disabled"))</definedName>
    <definedName name="_sdram_sb" hidden="1">MATCH(_sdram_data_rate + _sdram_cl_max,_sdram_sb_lookup,0)</definedName>
    <definedName name="_sdram_sb_ck" hidden="1">IF(_user_sdram_type="DDR2",CHOOSE(_sdram_sb,_ddr2_sb_403_ck,_ddr2_sb_404_ck,_ddr2_sb_536_ck,_ddr2_sb_537_ck,_ddr2_sb_671_ck,_ddr2_sb_672_ck,_ddr2_sb_804_ck,_ddr2_sb_805_ck,_ddr2_sb_806_ck),IF(_user_sdram_type="DDR3/L",CHOOSE(_sdram_sb,_ddr3_sb_805_ck,_ddr3_sb_806_ck,_ddr3_sb_1072_ck,_ddr3_sb_1073_ck,_ddr3_sb_1074_ck,_ddr3_sb_1340_ck,_ddr3_sb_1341_ck,_ddr3_sb_1342_ck,_ddr3_sb_1343_ck,_ddr3_sb_1608_ck,_ddr3_sb_1609_ck,_ddr3_sb_1610_ck,_ddr3_sb_1611_ck,_ddr3_sb_1876_ck,_ddr3_sb_1877_ck,_ddr3_sb_1878_ck,_ddr3_sb_1879_ck,_ddr3_sb_2144_ck,_ddr3_sb_2145_ck,_ddr3_sb_2146_ck,_ddr3_sb_2147_ck),CHOOSE(_sdram_sb,_lpddr2_sb_336_ck,_lpddr2_sb_403_ck,_lpddr2_sb_537_ck,_lpddr2_sb_672_ck,_lpddr2_sb_806_ck,_lpddr2_sb_940_ck,_lpddr2_sb_1074_ck)))</definedName>
    <definedName name="_sdram_sb_cl" hidden="1">IF(_user_sdram_type="DDR2",CHOOSE(_sdram_sb,_ddr2_sb_403_cl,_ddr2_sb_404_cl,_ddr2_sb_536_cl,_ddr2_sb_537_cl,_ddr2_sb_671_cl,_ddr2_sb_672_cl,_ddr2_sb_804_cl,_ddr2_sb_805_cl,_ddr2_sb_806_cl),IF(_user_sdram_type="DDR3/L",CHOOSE(_sdram_sb,_ddr3_sb_805_cl,_ddr3_sb_806_cl,_ddr3_sb_1072_cl,_ddr3_sb_1073_cl,_ddr3_sb_1074_cl,_ddr3_sb_1340_cl,_ddr3_sb_1341_cl,_ddr3_sb_1342_cl,_ddr3_sb_1343_cl,_ddr3_sb_1608_cl,_ddr3_sb_1609_cl,_ddr3_sb_1610_cl,_ddr3_sb_1611_cl,_ddr3_sb_1876_cl,_ddr3_sb_1877_cl,_ddr3_sb_1878_cl,_ddr3_sb_1879_cl,_ddr3_sb_2144_cl,_ddr3_sb_2145_cl,_ddr3_sb_2146_cl,_ddr3_sb_2147_cl),CHOOSE(_sdram_sb,_lpddr2_sb_336_cl,_lpddr2_sb_403_cl,_lpddr2_sb_537_cl,_lpddr2_sb_672_cl,_lpddr2_sb_806_cl,_lpddr2_sb_940_cl,_lpddr2_sb_1074_cl)))</definedName>
    <definedName name="_sdram_sb_cwl" hidden="1">CHOOSE(_sdram_sb,_ddr3_sb_805_cwl,_ddr3_sb_806_cwl,_ddr3_sb_1072_cwl,_ddr3_sb_1073_cwl,_ddr3_sb_1074_cwl,_ddr3_sb_1340_cwl,_ddr3_sb_1341_cwl,_ddr3_sb_1342_cwl,_ddr3_sb_1343_cwl,_ddr3_sb_1608_cwl,_ddr3_sb_1609_cwl,_ddr3_sb_1610_cwl,_ddr3_sb_1611_cwl,_ddr3_sb_1876_cwl,_ddr3_sb_1877_cwl,_ddr3_sb_1878_cwl,_ddr3_sb_1879_cwl,_ddr3_sb_2144_cwl,_ddr3_sb_2145_cwl,_ddr3_sb_2146_cwl,_ddr3_sb_2147_cwl)</definedName>
    <definedName name="_sdram_sb_list" hidden="1">IF(IF(_sdram_sb_lookup-_sdram_data_rate&gt;100,1,0)+IF(_sdram_sb_lookup-_sdram_data_rate&lt;0,1,0)=0,ROW(INDIRECT(CONCATENATE("1:",ROWS(_sdram_sb_lookup)))),"")</definedName>
    <definedName name="_sdram_sb_lookup" hidden="1">IF(_user_sdram_type="DDR2",_ddr2_sb_lookup,IF(_user_sdram_type="DDR3/L",_ddr3_sb_lookup,_lpddr2_sb_lookup))</definedName>
    <definedName name="_sdram_srt" hidden="1">0</definedName>
    <definedName name="_sdram_width" hidden="1">'Step1-SystemDetails'!$F$38</definedName>
    <definedName name="_soc_cs_j6eco" hidden="1">{1}</definedName>
    <definedName name="_soc_cs_vayu" hidden="1">{1}</definedName>
    <definedName name="_soc_emif_io_dr_acc_adaslow" hidden="1">IF(_user_sdram_type="DDR3/L",40,48)</definedName>
    <definedName name="_soc_emif_io_dr_acc_j6eco" hidden="1">40</definedName>
    <definedName name="_soc_emif_io_dr_acc_j6plus" hidden="1">34</definedName>
    <definedName name="_soc_emif_io_dr_acc_vayu" hidden="1">34</definedName>
    <definedName name="_soc_emif_io_dr_ds_adaslow" hidden="1">IF(AND(_user_sdram_type="LPDDR2",_user_soc="TDA3x_ABF"),60,48)</definedName>
    <definedName name="_soc_emif_io_dr_ds_j6eco" hidden="1">48</definedName>
    <definedName name="_soc_emif_io_dr_ds_j6plus" hidden="1">48</definedName>
    <definedName name="_soc_emif_io_dr_ds_vayu" hidden="1">48</definedName>
    <definedName name="_soc_emif_io_sr_acc_adaslow" hidden="1">IF(_user_sdram_type="DDR3/L","Fastest: SR[2:0] = 0b000","SR[2:0] = 0b010")</definedName>
    <definedName name="_soc_emif_io_sr_ds_adaslow" hidden="1">"SR[2:0] = 0b010"</definedName>
    <definedName name="_soc_emif_io_sr_j6eco" hidden="1">"Fastest: SR[2:0] = 0b000"</definedName>
    <definedName name="_soc_emif_io_sr_j6plus" hidden="1">"Fastest: SR[2:0] = 0b000"</definedName>
    <definedName name="_soc_emif_io_sr_vayu" hidden="1">"Fastest: SR[2:0] = 0b000"</definedName>
    <definedName name="_soc_emifs_j6eco" hidden="1">{1}</definedName>
    <definedName name="_soc_emifs_vayu" hidden="1">{1;2}</definedName>
    <definedName name="_soc_freqmax_adaslow" hidden="1">IF(_user_sdram_type="DDR3/L",533,IF(_user_sdram_type="DDR2",333,IF(_user_soc="TDA3x_ABE",400,333)))</definedName>
    <definedName name="_soc_freqmax_j6eco" hidden="1">667</definedName>
    <definedName name="_soc_freqmax_j6plus" hidden="1">IF(_user_sdram_type="DDR2",400,667)</definedName>
    <definedName name="_soc_freqmax_vayu" hidden="1">IF(_user_sdram_type="DDR2",400,533)</definedName>
    <definedName name="_soc_freqmin_adaslow" hidden="1">IF(_user_sdram_type="DDR3/L",303,IF(_user_sdram_type="DDR2",125,10))</definedName>
    <definedName name="_soc_freqmin_j6eco" hidden="1">303</definedName>
    <definedName name="_soc_freqmin_vayu" hidden="1">IF(_user_sdram_type="DDR2",125,303)</definedName>
    <definedName name="_soc_io_i_part0_vayu" hidden="1">4</definedName>
    <definedName name="_soc_market" hidden="1">CHOOSE(MATCH(_user_soc,_soc_partnum_list,0),"cat","cat","cat","cat","cat","cat","cat","auto","auto","auto","auto","auto","auto","auto","auto","auto","auto","auto","auto","auto","auto","auto","auto")</definedName>
    <definedName name="_soc_memtype_adaslow1" hidden="1">{"DDR2";"DDR3/L";"LPDDR2"}</definedName>
    <definedName name="_soc_memtype_adaslow2" hidden="1">{"LPDDR2"}</definedName>
    <definedName name="_soc_memtype_j6eco" hidden="1">{"DDR3/L"}</definedName>
    <definedName name="_soc_memtype_j6plus" hidden="1">_soc_memtype_vayu</definedName>
    <definedName name="_soc_memtype_vayu" hidden="1">IF(_soc_market="cat",_soc_memtype_vayu_cat,_soc_memtype_vayu_auto)</definedName>
    <definedName name="_soc_memtype_vayu_auto" hidden="1">{"DDR2";"DDR3/L"}</definedName>
    <definedName name="_soc_memtype_vayu_cat" hidden="1">{"DDR3/L"}</definedName>
    <definedName name="_soc_name" hidden="1">CHOOSE(MATCH(_user_soc,_soc_partnum_list,0),"j6entry","j6eco","vayu","j6plus","j6plus","adaslow2","adaslow1","j6entry","j6eco","vayu","j6plus","vayu","j6plus","j6plus","j6plus","adaslow1","j6entry","j6eco","j6entry","j6plus","vayu","adaslow2","adaslow1")</definedName>
    <definedName name="_soc_names" hidden="1">{"omap5";"vayu";"j6eco";"adaslow1";"adaslow2";"j6entry";"j6plus"}</definedName>
    <definedName name="_soc_partnum_list" hidden="1">{"AM570x";"AM571x";"AM572x";"AM574x";"AM576x";"DM50x_ABE";"DM50x_ABF";"DRA71x";"DRA72x";"DRA74x";"DRA74xP";"DRA75x";"DRA75xP";"DRA76x";"DRA77x";"DRA78x";"DRA79x";"TDA2Ex_ABC";"TDA2Ex_CBD";"TDA2Px";"TDA2x";"TDA3x_ABE";"TDA3x_ABF"}</definedName>
    <definedName name="_soc_register_name" hidden="1">INDIRECT(ADDRESS(ROW(),COLUMN()+1))</definedName>
    <definedName name="_soc_register_name_ctrl_vayu" hidden="1">{"CTRL_CORE_CONTROL_DDRCACH1_0_VAL";"CTRL_CORE_CONTROL_DDRCACH2_0_VAL";"CTRL_CORE_CONTROL_DDRCH1_0_VAL";"CTRL_CORE_CONTROL_DDRCH1_1_VAL";"CTRL_CORE_CONTROL_DDRCH2_0_VAL";"CTRL_CORE_CONTROL_DDRCH2_1_VAL";"CTRL_CORE_CONTROL_DDRCH1_2_VAL";"CTRL_WKUP_EMIF1_SDRAM_CONFIG_EXT";"CTRL_WKUP_EMIF2_SDRAM_CONFIG_EXT"}</definedName>
    <definedName name="_soc_register_name_ddrphy_list" hidden="1">CHOOSE(MATCH(_soc_name,_soc_names,0),_soc_register_name_ddrphy_omap5_list,_soc_register_name_ddrphy_vayu_list,_soc_register_name_ddrphy_vayu_list,_soc_register_name_ddrphy_vayu_list,_soc_register_name_ddrphy_vayu_list,_soc_register_name_ddrphy_vayu_list,_soc_register_name_ddrphy_vayu_list)</definedName>
    <definedName name="_soc_register_name_ddrphy_omap5_list" hidden="1">{"EXT_PHY_CTRL_1";"EXT_PHY_CTRL_2";"EXT_PHY_CTRL_3";"EXT_PHY_CTRL_4";"EXT_PHY_CTRL_5";"EXT_PHY_CTRL_6";"EXT_PHY_CTRL_7";"EXT_PHY_CTRL_8";"EXT_PHY_CTRL_9";"EXT_PHY_CTRL_10";"EXT_PHY_CTRL_11";"EXT_PHY_CTRL_12";"EXT_PHY_CTRL_13";"EXT_PHY_CTRL_14";"EXT_PHY_CTRL_15";"EXT_PHY_CTRL_16";"EXT_PHY_CTRL_17";"EXT_PHY_CTRL_18";"EXT_PHY_CTRL_19";"EXT_PHY_CTRL_20";"EXT_PHY_CTRL_21";"EXT_PHY_CTRL_22";"EXT_PHY_CTRL_23";"EXT_PHY_CTRL_24"}</definedName>
    <definedName name="_soc_register_name_ddrphy_vayu_list" hidden="1">{"EXT_PHY_CTRL_1";"EXT_PHY_CTRL_2";"EXT_PHY_CTRL_3";"EXT_PHY_CTRL_4";"EXT_PHY_CTRL_5";"EXT_PHY_CTRL_6";"EXT_PHY_CTRL_7";"EXT_PHY_CTRL_8";"EXT_PHY_CTRL_9";"EXT_PHY_CTRL_10";"EXT_PHY_CTRL_11";"EXT_PHY_CTRL_12";"EXT_PHY_CTRL_13";"EXT_PHY_CTRL_14";"EXT_PHY_CTRL_15";"EXT_PHY_CTRL_16";"EXT_PHY_CTRL_17";"EXT_PHY_CTRL_18";"EXT_PHY_CTRL_19";"EXT_PHY_CTRL_20";"EXT_PHY_CTRL_21";"EXT_PHY_CTRL_22";"EXT_PHY_CTRL_23";"EXT_PHY_CTRL_24";"EXT_PHY_CTRL_25";"EXT_PHY_CTRL_26";"EXT_PHY_CTRL_27";"EXT_PHY_CTRL_28";"EXT_PHY_CTRL_29";"EXT_PHY_CTRL_30";"EXT_PHY_CTRL_31";"EXT_PHY_CTRL_32";"EXT_PHY_CTRL_33";"EXT_PHY_CTRL_34";"EXT_PHY_CTRL_35";"EXT_PHY_CTRL_36"}</definedName>
    <definedName name="_soc_register_name_ddrphy1" hidden="1">IFERROR(CONCATENATE("/* EMIF1_",INDEX(_soc_register_name_ddrphy_list,ROW()-ROW(_soc_register_name_ddrphy1_start)+1)," */"),"")</definedName>
    <definedName name="_soc_register_name_ddrphy1_start" hidden="1">'Register Values'!$C$81</definedName>
    <definedName name="_soc_register_name_ddrphy2" hidden="1">IFERROR(CONCATENATE("/* EMIF2_",INDEX(_soc_register_name_ddrphy_list,ROW()-ROW(_soc_register_name_ddrphy2_start)+1)," */"),"")</definedName>
    <definedName name="_soc_register_name_ddrphy2_start" hidden="1">'Register Values'!$C$120</definedName>
    <definedName name="_soc_register_name_dmm" hidden="1">{"DMM_LISA_MAP_0_VAL";"DMM_LISA_MAP_1_VAL"}</definedName>
    <definedName name="_soc_register_name_emif" hidden="1">{"EMIF_SDRAM_CONFIG_VAL";"EMIF_SDRAM_CONFIG_2_VAL";"EMIF_SDRAM_REF_CTRL_VAL";"EMIF_SDRAM_TIM_1_VAL";"EMIF_SDRAM_TIM_2_VAL";"EMIF_SDRAM_TIM_3_VAL";"EMIF_SDRAM_ZQ_CONFIG_VAL";"EMIF_RDWR_LVL_RMP_CTRL_VAL";"EMIF_RDWR_LVL_CTRL_VAL";"EMIF_DDR_PHY_CTRL_1_VAL"}</definedName>
    <definedName name="_soc_register_value" localSheetId="13" hidden="1">IFERROR(CONCATENATE("0x",Eval(CONCATENATE(REPLACE(_soc_register_name,1,3,"_"),"_VAL"))),"")</definedName>
    <definedName name="_soc_register_value" hidden="1">IFERROR(CONCATENATE("0x",Eval(CONCATENATE(LEFT(REPLACE(_soc_register_name,1,3,"_"),LEN(REPLACE(_soc_register_name,1,3,"_"))-3),"_VAL"))),"")</definedName>
    <definedName name="_soc_sdram_drive_imp_j6plus" hidden="1">IF(_user_sdram_type="DDR2","Normal","RZQ/6")</definedName>
    <definedName name="_soc_sdram_rtt_j6plus" hidden="1">IF(_user_sdram_type="DDR2","75 Ohm","RZQ/2")</definedName>
    <definedName name="_sysclk1_mult" hidden="1">IF((_user_sysclk1-ROUND(_user_sysclk1,0))&gt;0,ROUND(1/(_user_sysclk1-ROUND(_user_sysclk1,0)),0),1)</definedName>
    <definedName name="_t_cke" hidden="1">IF(_enable_jedec=1,_t_cke_jedec,_t_cke_user)</definedName>
    <definedName name="_t_cke_ck_user" hidden="1">'Step3-DDRTimings'!$F$38</definedName>
    <definedName name="_t_cke_jedec" hidden="1">IFERROR(ROUNDUP(_t_cke_ns*_ddr_pll_freq/1000,0)-1,0)</definedName>
    <definedName name="_t_cke_ns" hidden="1">IF(_user_sdram_type="LPDDR2",3*1000/_ddr_pll_freq,IF(_user_sdram_type="DDR2",3*1000/_ddr_pll_freq,MAX(3*1000/_ddr_pll_freq,INDEX(_ddr3_sb_cke,_sdram_sb))))</definedName>
    <definedName name="_t_cke_ns_user" hidden="1">'Step3-DDRTimings'!$G$38</definedName>
    <definedName name="_t_cke_user" hidden="1">MAX(MIN(ROUNDUP(MAX(_t_cke_ck_user, _t_cke_ns_user*_ddr_pll_freq/1000),0)-1,2^3-1),0)</definedName>
    <definedName name="_t_ckesr" hidden="1">IF(_enable_jedec=1,_t_ckesr_jedec,_t_ckesr_user)</definedName>
    <definedName name="_t_ckesr_ck_user" hidden="1">'Step3-DDRTimings'!$F$39</definedName>
    <definedName name="_t_ckesr_jedec" hidden="1">IF(_user_sdram_type="LPDDR2",IFERROR(ROUNDUP(_t_ckesr_ns*_ddr_pll_freq/1000,0)-1,0),_t_cke_jedec+1)</definedName>
    <definedName name="_t_ckesr_ns" hidden="1">MAX(3*1000/_ddr_pll_freq,15)</definedName>
    <definedName name="_t_ckesr_ns_user" hidden="1">'Step3-DDRTimings'!$G$39</definedName>
    <definedName name="_t_ckesr_user" hidden="1">MAX(MIN(ROUNDUP(MAX(_t_ckesr_ck_user, _t_ckesr_ns_user*_ddr_pll_freq/1000),0)-1,2^3-1),0)</definedName>
    <definedName name="_t_cl_ck_user" hidden="1">'Step3-DDRTimings'!$F$25</definedName>
    <definedName name="_t_cl_ns_user" hidden="1">'Step3-DDRTimings'!$G$25</definedName>
    <definedName name="_t_cl_user" hidden="1">MAX(MIN(_t_cl_ck_user,MAX(_sdram_sb_cl)),INDEX(_sdram_sb_cl,ROW(INDIRECT("1:1"))))</definedName>
    <definedName name="_t_cl_user_max" hidden="1">MAX(_sdram_sb_cl)</definedName>
    <definedName name="_t_cl_user_min" hidden="1">MIN(_sdram_sb_cl)</definedName>
    <definedName name="_t_cl_user_reg" hidden="1">'Step3-DDRTimings'!$H$25</definedName>
    <definedName name="_t_csta" hidden="1">IF(_sdram_config_ebank=1,6-1,0)</definedName>
    <definedName name="_t_cwl_ck_user" hidden="1">'Step3-DDRTimings'!$F$26</definedName>
    <definedName name="_t_cwl_ns_user" hidden="1">'Step3-DDRTimings'!$G$26</definedName>
    <definedName name="_t_cwl_user" hidden="1">MAX(MIN(_t_cwl_ck_user,8),5)</definedName>
    <definedName name="_t_dllk_ns" hidden="1">512*1000/_ddr_pll_freq</definedName>
    <definedName name="_t_dqsck_max" hidden="1">IF(_user_sdram_type="LPDDR2",MAX(MIN(ROUNDUP(_t_dqsck_max_ps*_ddr_pll_freq/1000000,0)-1,2^2-1),0),0)</definedName>
    <definedName name="_t_dqsck_max_ps" hidden="1">6000</definedName>
    <definedName name="_t_dqss_brdskew_p0_ch1_cs0" hidden="1">((_tl_clk_p0_mi_ch1_cs0*_prop_vel_microstrip) + (_tl_clk_p0_st_ch1_cs0*_prop_vel_stripline) - (_tl_dqs0_mi_ch1_cs0*_prop_vel_microstrip) - (_tl_dqs0_st_ch1_cs0*_prop_vel_stripline))/1000</definedName>
    <definedName name="_t_dqss_brdskew_p0_ch1_cs1" hidden="1">((_tl_clk_p0_mi_ch1_cs1*_prop_vel_microstrip) + (_tl_clk_p0_st_ch1_cs1*_prop_vel_stripline) - (_tl_dqs0_mi_ch1_cs1*_prop_vel_microstrip) - (_tl_dqs0_st_ch1_cs1*_prop_vel_stripline))/1000</definedName>
    <definedName name="_t_dqss_brdskew_p0_ch2_cs0" hidden="1">((_tl_clk_p0_mi_ch2_cs0*_prop_vel_microstrip) + (_tl_clk_p0_st_ch2_cs0*_prop_vel_stripline) - (_tl_dqs0_mi_ch2_cs0*_prop_vel_microstrip) - (_tl_dqs0_st_ch2_cs0*_prop_vel_stripline))/1000</definedName>
    <definedName name="_t_dqss_brdskew_p0_ch2_cs1" hidden="1">((_tl_clk_p0_mi_ch2_cs1*_prop_vel_microstrip) + (_tl_clk_p0_st_ch2_cs1*_prop_vel_stripline) - (_tl_dqs0_mi_ch2_cs1*_prop_vel_microstrip) - (_tl_dqs0_st_ch2_cs1*_prop_vel_stripline))/1000</definedName>
    <definedName name="_t_dqss_brdskew_p1_ch1_cs0" hidden="1">((_tl_clk_p1_mi_ch1_cs0*_prop_vel_microstrip) + (_tl_clk_p1_st_ch1_cs0*_prop_vel_stripline) - (_tl_dqs1_mi_ch1_cs0*_prop_vel_microstrip) - (_tl_dqs1_st_ch1_cs0*_prop_vel_stripline))/1000</definedName>
    <definedName name="_t_dqss_brdskew_p1_ch1_cs1" hidden="1">((_tl_clk_p1_mi_ch1_cs1*_prop_vel_microstrip) + (_tl_clk_p1_st_ch1_cs1*_prop_vel_stripline) - (_tl_dqs1_mi_ch1_cs1*_prop_vel_microstrip) - (_tl_dqs1_st_ch1_cs1*_prop_vel_stripline))/1000</definedName>
    <definedName name="_t_dqss_brdskew_p1_ch2_cs0" hidden="1">((_tl_clk_p1_mi_ch2_cs0*_prop_vel_microstrip) + (_tl_clk_p1_st_ch2_cs0*_prop_vel_stripline) - (_tl_dqs1_mi_ch2_cs0*_prop_vel_microstrip) - (_tl_dqs1_st_ch2_cs0*_prop_vel_stripline))/1000</definedName>
    <definedName name="_t_dqss_brdskew_p1_ch2_cs1" hidden="1">((_tl_clk_p1_mi_ch2_cs1*_prop_vel_microstrip) + (_tl_clk_p1_st_ch2_cs1*_prop_vel_stripline) - (_tl_dqs1_mi_ch2_cs1*_prop_vel_microstrip) - (_tl_dqs1_st_ch2_cs1*_prop_vel_stripline))/1000</definedName>
    <definedName name="_t_dqss_brdskew_p2_ch1_cs0" hidden="1">((_tl_clk_p2_mi_ch1_cs0*_prop_vel_microstrip) + (_tl_clk_p2_st_ch1_cs0*_prop_vel_stripline) - (_tl_dqs2_mi_ch1_cs0*_prop_vel_microstrip) - (_tl_dqs2_st_ch1_cs0*_prop_vel_stripline))/1000</definedName>
    <definedName name="_t_dqss_brdskew_p2_ch1_cs1" hidden="1">((_tl_clk_p2_mi_ch1_cs1*_prop_vel_microstrip) + (_tl_clk_p2_st_ch1_cs1*_prop_vel_stripline) - (_tl_dqs2_mi_ch1_cs1*_prop_vel_microstrip) - (_tl_dqs2_st_ch1_cs1*_prop_vel_stripline))/1000</definedName>
    <definedName name="_t_dqss_brdskew_p2_ch2_cs0" hidden="1">((_tl_clk_p2_mi_ch2_cs0*_prop_vel_microstrip) + (_tl_clk_p2_st_ch2_cs0*_prop_vel_stripline) - (_tl_dqs2_mi_ch2_cs0*_prop_vel_microstrip) - (_tl_dqs2_st_ch2_cs0*_prop_vel_stripline))/1000</definedName>
    <definedName name="_t_dqss_brdskew_p2_ch2_cs1" hidden="1">((_tl_clk_p2_mi_ch2_cs1*_prop_vel_microstrip) + (_tl_clk_p2_st_ch2_cs1*_prop_vel_stripline) - (_tl_dqs2_mi_ch2_cs1*_prop_vel_microstrip) - (_tl_dqs2_st_ch2_cs1*_prop_vel_stripline))/1000</definedName>
    <definedName name="_t_dqss_brdskew_p3_ch1_cs0" hidden="1">((_tl_clk_p3_mi_ch1_cs0*_prop_vel_microstrip) + (_tl_clk_p3_st_ch1_cs0*_prop_vel_stripline) - (_tl_dqs3_mi_ch1_cs0*_prop_vel_microstrip) - (_tl_dqs3_st_ch1_cs0*_prop_vel_stripline))/1000</definedName>
    <definedName name="_t_dqss_brdskew_p3_ch1_cs1" hidden="1">((_tl_clk_p3_mi_ch1_cs1*_prop_vel_microstrip) + (_tl_clk_p3_st_ch1_cs1*_prop_vel_stripline) - (_tl_dqs3_mi_ch1_cs1*_prop_vel_microstrip) - (_tl_dqs3_st_ch1_cs1*_prop_vel_stripline))/1000</definedName>
    <definedName name="_t_dqss_brdskew_p3_ch2_cs0" hidden="1">((_tl_clk_p3_mi_ch2_cs0*_prop_vel_microstrip) + (_tl_clk_p3_st_ch2_cs0*_prop_vel_stripline) - (_tl_dqs3_mi_ch2_cs0*_prop_vel_microstrip) - (_tl_dqs3_st_ch2_cs0*_prop_vel_stripline))/1000</definedName>
    <definedName name="_t_dqss_brdskew_p3_ch2_cs1" hidden="1">((_tl_clk_p3_mi_ch2_cs1*_prop_vel_microstrip) + (_tl_clk_p3_st_ch2_cs1*_prop_vel_stripline) - (_tl_dqs3_mi_ch2_cs1*_prop_vel_microstrip) - (_tl_dqs3_st_ch2_cs1*_prop_vel_stripline))/1000</definedName>
    <definedName name="_t_dqss_brdskew_p4_ch1_cs0" hidden="1">((_tl_clk_p4_mi_ch1_cs0*_prop_vel_microstrip) + (_tl_clk_p4_st_ch1_cs0*_prop_vel_stripline) - (_tl_dqs4_mi_ch1_cs0*_prop_vel_microstrip) - (_tl_dqs4_st_ch1_cs0*_prop_vel_stripline))/1000</definedName>
    <definedName name="_t_dqss_brdskew_p4_ch1_cs1" hidden="1">((_tl_clk_p4_mi_ch1_cs1*_prop_vel_microstrip) + (_tl_clk_p4_st_ch1_cs1*_prop_vel_stripline) - (_tl_dqs4_mi_ch1_cs1*_prop_vel_microstrip) - (_tl_dqs4_st_ch1_cs1*_prop_vel_stripline))/1000</definedName>
    <definedName name="_t_dqss_brdskew_p4_ch2_cs0" hidden="1">((_tl_clk_p4_mi_ch2_cs0*_prop_vel_microstrip) + (_tl_clk_p4_st_ch2_cs0*_prop_vel_stripline) - (_tl_dqs4_mi_ch2_cs0*_prop_vel_microstrip) - (_tl_dqs4_st_ch2_cs0*_prop_vel_stripline))/1000</definedName>
    <definedName name="_t_dqss_brdskew_p4_ch2_cs1" hidden="1">((_tl_clk_p4_mi_ch2_cs1*_prop_vel_microstrip) + (_tl_clk_p4_st_ch2_cs1*_prop_vel_stripline) - (_tl_dqs4_mi_ch2_cs1*_prop_vel_microstrip) - (_tl_dqs4_st_ch2_cs1*_prop_vel_stripline))/1000</definedName>
    <definedName name="_t_faw_ck_user" hidden="1">'Step3-DDRTimings'!$F$44</definedName>
    <definedName name="_t_faw_jedec" hidden="1">IFERROR(ROUNDUP(_t_faw_ns*_ddr_pll_freq/4000,0)-1,0)</definedName>
    <definedName name="_t_faw_ns" hidden="1">IF(_user_sdram_type="DDR2",IF(_sdram_pagesize=2048,INDEX(_ddr2_sb_faw_2k,_sdram_sb),INDEX(_ddr2_sb_faw_1k,_sdram_sb)),IF(_sdram_pagesize=2048,INDEX(_ddr3_sb_faw_2k,_sdram_sb),INDEX(_ddr3_sb_faw_1k,_sdram_sb)))</definedName>
    <definedName name="_t_faw_ns_user" hidden="1">'Step3-DDRTimings'!$G$44</definedName>
    <definedName name="_t_faw_user" hidden="1">ROUNDUP(MAX(_t_faw_ck_user, _t_faw_ns_user*_ddr_pll_freq/1000)/4,0)-1</definedName>
    <definedName name="_t_odt" hidden="1">0</definedName>
    <definedName name="_t_pdll_ul" hidden="1">4</definedName>
    <definedName name="_t_ras" hidden="1">IF(_enable_jedec=1,_t_ras_jedec,_t_ras_user)</definedName>
    <definedName name="_t_ras_ck_user" hidden="1">'Step3-DDRTimings'!$F$30</definedName>
    <definedName name="_t_ras_jedec" hidden="1">IFERROR(ROUNDUP(_t_ras_ns*_ddr_pll_freq/1000,0)-1,0)</definedName>
    <definedName name="_t_ras_max" hidden="1">IF(_enable_jedec=1,_t_ras_max_jedec,_t_ras_max_user)</definedName>
    <definedName name="_t_ras_max_ck_user" hidden="1">'Step3-DDRTimings'!$F$42</definedName>
    <definedName name="_t_ras_max_jedec" hidden="1">IFERROR(ROUNDDOWN(_t_ras_max_ns/_t_refi_ns,0)-1,0)</definedName>
    <definedName name="_t_ras_max_ns" hidden="1">IF(_user_sdram_type="LPDDR2",70000,IF(_user_sdram_type="DDR2",70000,9*_t_refi_ns))</definedName>
    <definedName name="_t_ras_max_ns_user" hidden="1">'Step3-DDRTimings'!$G$42</definedName>
    <definedName name="_t_ras_max_user" hidden="1">MAX(MIN(ROUNDDOWN(_t_ras_max_ns_user/_t_refi_ns_user,0)-1,2^4-1),0)</definedName>
    <definedName name="_t_ras_ns" hidden="1">IF(_user_sdram_type="LPDDR2",MAX(3*1000/_ddr_pll_freq,42),IF(_user_sdram_type="DDR2",INDEX(_ddr2_sb_ras_min,_sdram_sb),INDEX(_ddr3_sb_ras_min,_sdram_sb)))</definedName>
    <definedName name="_t_ras_ns_user" hidden="1">'Step3-DDRTimings'!$G$30</definedName>
    <definedName name="_t_ras_user" hidden="1">MAX(MIN(ROUNDUP(MAX(_t_ras_ck_user, _t_ras_ns_user*_ddr_pll_freq/1000),0)-1,2^5-1),_t_rcd_user)</definedName>
    <definedName name="_t_rc" hidden="1">IF(_enable_jedec=1,_t_rc_jedec,_t_rc_user)</definedName>
    <definedName name="_t_rc_ck_user" hidden="1">'Step3-DDRTimings'!$F$31</definedName>
    <definedName name="_t_rc_jedec" hidden="1">IFERROR(ROUNDUP(_t_rc_ns*_ddr_pll_freq/1000,0)-1,0)</definedName>
    <definedName name="_t_rc_ns" hidden="1">IF(_user_sdram_type="LPDDR2",_t_ras_ns+_t_rp_ns,IF(_user_sdram_type="DDR2",INDEX(_ddr2_sb_rc,_sdram_sb),INDEX(_ddr3_sb_rc,_sdram_sb)))</definedName>
    <definedName name="_t_rc_ns_user" hidden="1">'Step3-DDRTimings'!$G$31</definedName>
    <definedName name="_t_rc_user" hidden="1">MAX(MIN(ROUNDUP(MAX(_t_rc_ck_user, _t_rc_ns_user*_ddr_pll_freq/1000),0)-1,2^6-1),0)</definedName>
    <definedName name="_t_rcd" hidden="1">IF(_enable_jedec=1,_t_rcd_jedec,_t_rcd_user)</definedName>
    <definedName name="_t_rcd_ck_user" hidden="1">'Step3-DDRTimings'!$F$28</definedName>
    <definedName name="_t_rcd_jedec" hidden="1">IFERROR(ROUNDUP(_t_rcd_ns*_ddr_pll_freq/1000,0)-1,0)</definedName>
    <definedName name="_t_rcd_ns" hidden="1">IF(_user_sdram_type="LPDDR2",MAX(3*1000/_ddr_pll_freq,18),IF(_user_sdram_type="DDR2",INDEX(_ddr2_sb_rcd,_sdram_sb),INDEX(_ddr3_sb_rcd,_sdram_sb)))</definedName>
    <definedName name="_t_rcd_ns_user" hidden="1">'Step3-DDRTimings'!$G$28</definedName>
    <definedName name="_t_rcd_user" hidden="1">MAX(MIN(ROUNDUP(MAX(_t_rcd_ck_user, _t_rcd_ns_user*_ddr_pll_freq/1000),0)-1,2^4-1),0)</definedName>
    <definedName name="_t_rdtrip_brddly_p0_ch1_cs0" hidden="1">((_tl_clk_p0_mi_ch1_cs0*_prop_vel_microstrip) + (_tl_clk_p0_st_ch1_cs0*_prop_vel_stripline) + (_tl_dqs0_mi_ch1_cs0*_prop_vel_microstrip) + (_tl_dqs0_st_ch1_cs0*_prop_vel_stripline))/1000</definedName>
    <definedName name="_t_rdtrip_brddly_p0_ch1_cs1" hidden="1">((_tl_clk_p0_mi_ch1_cs1*_prop_vel_microstrip) + (_tl_clk_p0_st_ch1_cs1*_prop_vel_stripline) + (_tl_dqs0_mi_ch1_cs1*_prop_vel_microstrip) + (_tl_dqs0_st_ch1_cs1*_prop_vel_stripline))/1000</definedName>
    <definedName name="_t_rdtrip_brddly_p0_ch2_cs0" hidden="1">((_tl_clk_p0_mi_ch2_cs0*_prop_vel_microstrip) + (_tl_clk_p0_st_ch2_cs0*_prop_vel_stripline) + (_tl_dqs0_mi_ch2_cs0*_prop_vel_microstrip) + (_tl_dqs0_st_ch2_cs0*_prop_vel_stripline))/1000</definedName>
    <definedName name="_t_rdtrip_brddly_p0_ch2_cs1" hidden="1">((_tl_clk_p0_mi_ch2_cs1*_prop_vel_microstrip) + (_tl_clk_p0_st_ch2_cs1*_prop_vel_stripline) + (_tl_dqs0_mi_ch2_cs1*_prop_vel_microstrip) + (_tl_dqs0_st_ch2_cs1*_prop_vel_stripline))/1000</definedName>
    <definedName name="_t_rdtrip_brddly_p1_ch1_cs0" hidden="1">((_tl_clk_p1_mi_ch1_cs0*_prop_vel_microstrip) + (_tl_clk_p1_st_ch1_cs0*_prop_vel_stripline) + (_tl_dqs1_mi_ch1_cs0*_prop_vel_microstrip) + (_tl_dqs1_st_ch1_cs0*_prop_vel_stripline))/1000</definedName>
    <definedName name="_t_rdtrip_brddly_p1_ch1_cs1" hidden="1">((_tl_clk_p1_mi_ch1_cs1*_prop_vel_microstrip) + (_tl_clk_p1_st_ch1_cs1*_prop_vel_stripline) + (_tl_dqs1_mi_ch1_cs1*_prop_vel_microstrip) + (_tl_dqs1_st_ch1_cs1*_prop_vel_stripline))/1000</definedName>
    <definedName name="_t_rdtrip_brddly_p1_ch2_cs0" hidden="1">((_tl_clk_p1_mi_ch2_cs0*_prop_vel_microstrip) + (_tl_clk_p1_st_ch2_cs0*_prop_vel_stripline) + (_tl_dqs1_mi_ch2_cs0*_prop_vel_microstrip) + (_tl_dqs1_st_ch2_cs0*_prop_vel_stripline))/1000</definedName>
    <definedName name="_t_rdtrip_brddly_p1_ch2_cs1" hidden="1">((_tl_clk_p1_mi_ch2_cs1*_prop_vel_microstrip) + (_tl_clk_p1_st_ch2_cs1*_prop_vel_stripline) + (_tl_dqs1_mi_ch2_cs1*_prop_vel_microstrip) + (_tl_dqs1_st_ch2_cs1*_prop_vel_stripline))/1000</definedName>
    <definedName name="_t_rdtrip_brddly_p2_ch1_cs0" hidden="1">((_tl_clk_p2_mi_ch1_cs0*_prop_vel_microstrip) + (_tl_clk_p2_st_ch1_cs0*_prop_vel_stripline) + (_tl_dqs2_mi_ch1_cs0*_prop_vel_microstrip) + (_tl_dqs2_st_ch1_cs0*_prop_vel_stripline))/1000</definedName>
    <definedName name="_t_rdtrip_brddly_p2_ch1_cs1" hidden="1">((_tl_clk_p2_mi_ch1_cs1*_prop_vel_microstrip) + (_tl_clk_p2_st_ch1_cs1*_prop_vel_stripline) + (_tl_dqs2_mi_ch1_cs1*_prop_vel_microstrip) + (_tl_dqs2_st_ch1_cs1*_prop_vel_stripline))/1000</definedName>
    <definedName name="_t_rdtrip_brddly_p2_ch2_cs0" hidden="1">((_tl_clk_p2_mi_ch2_cs0*_prop_vel_microstrip) + (_tl_clk_p2_st_ch2_cs0*_prop_vel_stripline) + (_tl_dqs2_mi_ch2_cs0*_prop_vel_microstrip) + (_tl_dqs2_st_ch2_cs0*_prop_vel_stripline))/1000</definedName>
    <definedName name="_t_rdtrip_brddly_p2_ch2_cs1" hidden="1">((_tl_clk_p2_mi_ch2_cs1*_prop_vel_microstrip) + (_tl_clk_p2_st_ch2_cs1*_prop_vel_stripline) + (_tl_dqs2_mi_ch2_cs1*_prop_vel_microstrip) + (_tl_dqs2_st_ch2_cs1*_prop_vel_stripline))/1000</definedName>
    <definedName name="_t_rdtrip_brddly_p3_ch1_cs0" hidden="1">((_tl_clk_p3_mi_ch1_cs0*_prop_vel_microstrip) + (_tl_clk_p3_st_ch1_cs0*_prop_vel_stripline) + (_tl_dqs3_mi_ch1_cs0*_prop_vel_microstrip) + (_tl_dqs3_st_ch1_cs0*_prop_vel_stripline))/1000</definedName>
    <definedName name="_t_rdtrip_brddly_p3_ch1_cs1" hidden="1">((_tl_clk_p3_mi_ch1_cs1*_prop_vel_microstrip) + (_tl_clk_p3_st_ch1_cs1*_prop_vel_stripline) + (_tl_dqs3_mi_ch1_cs1*_prop_vel_microstrip) + (_tl_dqs3_st_ch1_cs1*_prop_vel_stripline))/1000</definedName>
    <definedName name="_t_rdtrip_brddly_p3_ch2_cs0" hidden="1">((_tl_clk_p3_mi_ch2_cs0*_prop_vel_microstrip) + (_tl_clk_p3_st_ch2_cs0*_prop_vel_stripline) + (_tl_dqs3_mi_ch2_cs0*_prop_vel_microstrip) + (_tl_dqs3_st_ch2_cs0*_prop_vel_stripline))/1000</definedName>
    <definedName name="_t_rdtrip_brddly_p3_ch2_cs1" hidden="1">((_tl_clk_p3_mi_ch2_cs1*_prop_vel_microstrip) + (_tl_clk_p3_st_ch2_cs1*_prop_vel_stripline) + (_tl_dqs3_mi_ch2_cs1*_prop_vel_microstrip) + (_tl_dqs3_st_ch2_cs1*_prop_vel_stripline))/1000</definedName>
    <definedName name="_t_rdtrip_brddly_p4_ch1_cs0" hidden="1">((_tl_clk_p4_mi_ch1_cs0*_prop_vel_microstrip) + (_tl_clk_p4_st_ch1_cs0*_prop_vel_stripline) + (_tl_dqs4_mi_ch1_cs0*_prop_vel_microstrip) + (_tl_dqs4_st_ch1_cs0*_prop_vel_stripline))/1000</definedName>
    <definedName name="_t_rdtrip_brddly_p4_ch1_cs1" hidden="1">((_tl_clk_p4_mi_ch1_cs1*_prop_vel_microstrip) + (_tl_clk_p4_st_ch1_cs1*_prop_vel_stripline) + (_tl_dqs4_mi_ch1_cs1*_prop_vel_microstrip) + (_tl_dqs4_st_ch1_cs1*_prop_vel_stripline))/1000</definedName>
    <definedName name="_t_rdtrip_brddly_p4_ch2_cs0" hidden="1">((_tl_clk_p4_mi_ch2_cs0*_prop_vel_microstrip) + (_tl_clk_p4_st_ch2_cs0*_prop_vel_stripline) + (_tl_dqs4_mi_ch2_cs0*_prop_vel_microstrip) + (_tl_dqs4_st_ch2_cs0*_prop_vel_stripline))/1000</definedName>
    <definedName name="_t_rdtrip_brddly_p4_ch2_cs1" hidden="1">((_tl_clk_p4_mi_ch2_cs1*_prop_vel_microstrip) + (_tl_clk_p4_st_ch2_cs1*_prop_vel_stripline) + (_tl_dqs4_mi_ch2_cs1*_prop_vel_microstrip) + (_tl_dqs4_st_ch2_cs1*_prop_vel_stripline))/1000</definedName>
    <definedName name="_t_refi" hidden="1">IF(_enable_jedec=1,_t_refi_jedec,_t_refi_user)</definedName>
    <definedName name="_t_refi_ck_user" hidden="1">'Step3-DDRTimings'!$F$43</definedName>
    <definedName name="_t_refi_init" hidden="1">MAX(MIN(ROUNDUP( _t_refi_ns_init*_ddr_pll_freq/1000,0),2^16-1),6*_t_rfc_user)</definedName>
    <definedName name="_t_refi_jedec" hidden="1">IFERROR(ROUNDDOWN(_t_refi_ns*_ddr_pll_freq/1000,0),0)</definedName>
    <definedName name="_t_refi_ns" hidden="1">CHOOSE(MATCH(_user_max_op_temp,{"&lt;= 85","&lt;= 95","&lt;= 105","&lt;= 125"},0),7800,3900,1950,975)</definedName>
    <definedName name="_t_refi_ns_init" hidden="1">IF(_user_sdram_type="DDR3/L",31250,12500)</definedName>
    <definedName name="_t_refi_ns_user" hidden="1">'Step3-DDRTimings'!$G$43</definedName>
    <definedName name="_t_refi_user" hidden="1">MAX(MIN(ROUNDDOWN( _t_refi_ns_user*_ddr_pll_freq/1000,0),2^16-1),6*_t_rfc_user)</definedName>
    <definedName name="_t_rfc" hidden="1">IF(_enable_jedec=1,_t_rfc_jedec,_t_rfc_user)</definedName>
    <definedName name="_t_rfc_ck_user" hidden="1">'Step3-DDRTimings'!$F$41</definedName>
    <definedName name="_t_rfc_ddr2" hidden="1">{75;105;127.5;195;327.5}</definedName>
    <definedName name="_t_rfc_jedec" hidden="1">IFERROR(ROUNDUP(_t_rfc_ns*_ddr_pll_freq/1000,0)-1,0)</definedName>
    <definedName name="_t_rfc_lpddr2" hidden="1">{90;90;130;130;130;210}</definedName>
    <definedName name="_t_rfc_ns" hidden="1">IF(_user_sdram_type="LPDDR2",INDEX(_t_rfc_lpddr2,MATCH(_sdram_density,_lpddr2_densities,0)),IF(_user_sdram_type="DDR2",INDEX(_t_rfc_ddr2,MATCH(_sdram_density,_ddr2_densities,0)),INDEX(_ddr3_t_rfc,MATCH(_sdram_density,_ddr3_densities,0))))</definedName>
    <definedName name="_t_rfc_ns_user" hidden="1">'Step3-DDRTimings'!$G$41</definedName>
    <definedName name="_t_rfc_user" hidden="1">MAX(MIN(ROUNDUP(MAX(_t_rfc_ck_user, _t_rfc_ns_user*_ddr_pll_freq/1000),0)-1,2^9-1),0)</definedName>
    <definedName name="_t_rp" hidden="1">IF(_enable_jedec=1,_t_rp_jedec,_t_rp_user)</definedName>
    <definedName name="_t_rp_ck_user" hidden="1">'Step3-DDRTimings'!$F$27</definedName>
    <definedName name="_t_rp_jedec" hidden="1">IFERROR(ROUNDUP(_t_rp_ns*_ddr_pll_freq/1000,0)-1,0)</definedName>
    <definedName name="_t_rp_ns" hidden="1">IF(_user_sdram_type="LPDDR2",MAX(3*1000/_ddr_pll_freq,IF(_sdram_config_ibank=4,18,21)),IF(_user_sdram_type="DDR2",INDEX(_ddr2_sb_rp,_sdram_sb),INDEX(_ddr3_sb_rp,_sdram_sb)))</definedName>
    <definedName name="_t_rp_ns_user" hidden="1">'Step3-DDRTimings'!$G$27</definedName>
    <definedName name="_t_rp_user" hidden="1">MAX(MIN(ROUNDUP(MAX(_t_rp_ck_user, _t_rp_ns_user*_ddr_pll_freq/1000),0)-1,2^4-1),0)</definedName>
    <definedName name="_t_rrd" hidden="1">IF(_enable_jedec=1,_t_rrd_jedec,_t_rrd_user)</definedName>
    <definedName name="_t_rrd_ck_user" hidden="1">'Step3-DDRTimings'!$F$32</definedName>
    <definedName name="_t_rrd_jedec" hidden="1">IFERROR(ROUNDUP(_t_rrd_ns*_ddr_pll_freq/1000,0)-1,0)</definedName>
    <definedName name="_t_rrd_ns" hidden="1">IF(_user_sdram_type="LPDDR2",MAX(2*1000/_ddr_pll_freq,10),IF(_user_sdram_type="DDR2",IF(_sdram_pagesize=2048,10,7.5),IF(_sdram_pagesize=2048,MAX(4*1000/_ddr_pll_freq,INDEX(_ddr3_sb_rrd_2k,_sdram_sb)),MAX(4*1000/_ddr_pll_freq,INDEX(_ddr3_sb_rrd_1k,_sdram_sb)))))</definedName>
    <definedName name="_t_rrd_ns_user" hidden="1">'Step3-DDRTimings'!$G$32</definedName>
    <definedName name="_t_rrd_user" hidden="1">MAX(MIN(MAX(_t_faw_user,ROUNDUP(IF(AND(_user_sdram_type="DDR2",_sdram_config_ibank=8),((4*MAX(_t_rrd_ck_user,_t_rrd_ns_user*_ddr_pll_freq/1000))+2)/4,MAX(_t_rrd_ck_user,_t_rrd_ns_user*_ddr_pll_freq/1000)),0)-1),2^3-1),0)</definedName>
    <definedName name="_t_rtp" hidden="1">IF(_enable_jedec=1,_t_rtp_jedec,_t_rtp_user)</definedName>
    <definedName name="_t_rtp_ck_user" hidden="1">'Step3-DDRTimings'!$F$37</definedName>
    <definedName name="_t_rtp_jedec" hidden="1">IFERROR(ROUNDUP(_t_rtp_ns*_ddr_pll_freq/1000,0)-1,0)</definedName>
    <definedName name="_t_rtp_ns" hidden="1">IF(_user_sdram_type="LPDDR2",MAX(2*1000/_ddr_pll_freq,7.5),IF(_user_sdram_type="DDR2",7.5,MAX(4*1000/_ddr_pll_freq,7.5)))</definedName>
    <definedName name="_t_rtp_ns_user" hidden="1">'Step3-DDRTimings'!$G$37</definedName>
    <definedName name="_t_rtp_user" hidden="1">MAX(MIN(ROUNDUP(MAX(_t_rtp_ck_user, _t_rtp_ns_user*_ddr_pll_freq/1000),0)-1,2^3-1),0)</definedName>
    <definedName name="_t_rtw_gel" hidden="1">6</definedName>
    <definedName name="_t_wr" hidden="1">IF(_enable_jedec=1,_t_wr_jedec,_t_wr_user)</definedName>
    <definedName name="_t_wr_ck_user" hidden="1">'Step3-DDRTimings'!$F$29</definedName>
    <definedName name="_t_wr_jedec" hidden="1">IFERROR(ROUNDUP(_t_wr_ns*_ddr_pll_freq/1000,0)-1,0)</definedName>
    <definedName name="_t_wr_ns" hidden="1">IF(_user_sdram_type="LPDDR2",MAX(3*1000/_ddr_pll_freq,15),15)</definedName>
    <definedName name="_t_wr_ns_user" hidden="1">'Step3-DDRTimings'!$G$29</definedName>
    <definedName name="_t_wr_user" hidden="1">MAX(MIN(ROUNDUP(MAX(_t_wr_ck_user, _t_wr_ns_user*_ddr_pll_freq/1000),0)-1,2^4-1),0)</definedName>
    <definedName name="_t_wtr" hidden="1">IF(_enable_jedec=1,_t_wtr_jedec,_t_wtr_user)</definedName>
    <definedName name="_t_wtr_ck_user" hidden="1">'Step3-DDRTimings'!$F$33</definedName>
    <definedName name="_t_wtr_jedec" hidden="1">IFERROR(ROUNDUP(_t_wtr_ns*_ddr_pll_freq/1000,0)-1,0)</definedName>
    <definedName name="_t_wtr_ns" hidden="1">IF(_user_sdram_type="LPDDR2",MAX(2*1000/_ddr_pll_freq,INDEX(_lpddr2_sb_wtr,_sdram_sb)),IF(_user_sdram_type="DDR2",INDEX(_ddr2_sb_wtr,_sdram_sb),MAX(4*1000/_ddr_pll_freq,7.5)))</definedName>
    <definedName name="_t_wtr_ns_user" hidden="1">'Step3-DDRTimings'!$G$33</definedName>
    <definedName name="_t_wtr_user" hidden="1">MAX(MIN(ROUNDUP(MAX(_t_wtr_ck_user, _t_wtr_ns_user*_ddr_pll_freq/1000),0)-1,2^3-1),0)</definedName>
    <definedName name="_t_xp" hidden="1">IF(_enable_jedec=1,_t_xp_jedec,IF(_user_sdram_type="DDR2",MAX(_t_xp_user,_t_cke_user),_t_xp_user))</definedName>
    <definedName name="_t_xp_ck_user" hidden="1">'Step3-DDRTimings'!$F$34</definedName>
    <definedName name="_t_xp_jedec" hidden="1">IFERROR(ROUNDUP(_t_xp_ns*_ddr_pll_freq/1000,0)-1,0)</definedName>
    <definedName name="_t_xp_ns" hidden="1">IF(_user_sdram_type="LPDDR2",MAX(2*1000/_ddr_pll_freq,7.5),IF(_user_sdram_type="DDR2",2*1000/_ddr_pll_freq,MAX(3*1000/_ddr_pll_freq,INDEX(_ddr3_sb_xp,_sdram_sb))))</definedName>
    <definedName name="_t_xp_ns_user" hidden="1">'Step3-DDRTimings'!$G$34</definedName>
    <definedName name="_t_xp_user" hidden="1">MAX(MIN(ROUNDUP(MAX(_t_xp_ck_user, _t_xp_ns_user*_ddr_pll_freq/1000),0)-1,2^3-1),0)</definedName>
    <definedName name="_t_xsnr" hidden="1">IF(_enable_jedec=1,_t_xsnr_jedec,_t_xsnr_user)</definedName>
    <definedName name="_t_xsnr_ck_user" hidden="1">'Step3-DDRTimings'!$F$35</definedName>
    <definedName name="_t_xsnr_jedec" hidden="1">IFERROR(ROUNDUP(_t_xsnr_ns*_ddr_pll_freq/1000,0)-1,0)</definedName>
    <definedName name="_t_xsnr_ns" hidden="1">IF(_user_sdram_type="LPDDR2",MAX(2*1000/_ddr_pll_freq,_t_rfc_ns+10),IF(_user_sdram_type="DDR2",_t_rfc_ns+10,MAX(5*1000/_ddr_pll_freq,_t_rfc_ns+10)))</definedName>
    <definedName name="_t_xsnr_ns_user" hidden="1">'Step3-DDRTimings'!$G$35</definedName>
    <definedName name="_t_xsnr_user" hidden="1">MAX(MIN(ROUNDUP(MAX(_t_xsnr_ck_user, _t_xsnr_ns_user*_ddr_pll_freq/1000),0)-1,2^9-1),0)</definedName>
    <definedName name="_t_xsrd" hidden="1">IF(_enable_jedec=1,_t_xsrd_jedec,_t_xsrd_user)</definedName>
    <definedName name="_t_xsrd_ck_user" hidden="1">'Step3-DDRTimings'!$F$36</definedName>
    <definedName name="_t_xsrd_jedec" hidden="1">IFERROR(ROUNDUP(_t_xsrd_ns*_ddr_pll_freq/1000,0)-1,0)</definedName>
    <definedName name="_t_xsrd_ns" hidden="1">IF(_user_sdram_type="LPDDR2",_t_xsnr_ns,IF(_user_sdram_type="DDR2",200*1000/_ddr_pll_freq,_t_dllk_ns))</definedName>
    <definedName name="_t_xsrd_ns_user" hidden="1">'Step3-DDRTimings'!$G$36</definedName>
    <definedName name="_t_xsrd_user" hidden="1">MAX(MIN(ROUNDUP(MAX(_t_xsrd_ck_user, _t_xsrd_ns_user*_ddr_pll_freq/1000),0)-1,2^10-1),0)</definedName>
    <definedName name="_t_zqcs" hidden="1">IF(_enable_jedec=1,_t_zqcs_jedec,_t_zqcs_user)</definedName>
    <definedName name="_t_zqcs_ck_user" hidden="1">'Step3-DDRTimings'!$F$40</definedName>
    <definedName name="_t_zqcs_jedec" hidden="1">IFERROR(ROUNDUP(_t_zqcs_ns*_ddr_pll_freq/1000,0)-1,0)</definedName>
    <definedName name="_t_zqcs_ns" hidden="1">IF(_user_sdram_type="LPDDR2",MAX(6*1000/_ddr_pll_freq,90),MAX(64*1000/_ddr_pll_freq,80))</definedName>
    <definedName name="_t_zqcs_ns_user" hidden="1">'Step3-DDRTimings'!$G$40</definedName>
    <definedName name="_t_zqcs_user" hidden="1">MAX(MIN(ROUNDUP(MAX(_t_zqcs_ck_user, _t_zqcs_ns_user*_ddr_pll_freq/1000),0)-1,2^6-1),0)</definedName>
    <definedName name="_ti_supported_socs" hidden="1">CONCATENATE(DynamicUserOptions!$V$6,DynamicUserOptions!$V$7,DynamicUserOptions!$V$8,DynamicUserOptions!$V$9,DynamicUserOptions!$V$10,DynamicUserOptions!$V$11,DynamicUserOptions!$V$12,DynamicUserOptions!$V$13,DynamicUserOptions!$V$14,DynamicUserOptions!$V$15,DynamicUserOptions!$V$16,DynamicUserOptions!$V$17,DynamicUserOptions!$V$18,DynamicUserOptions!$V$19,DynamicUserOptions!$V$20,DynamicUserOptions!$V$21,DynamicUserOptions!$V$22,DynamicUserOptions!$V$23,DynamicUserOptions!$V$24,DynamicUserOptions!$V$25,DynamicUserOptions!$V$26,DynamicUserOptions!$V$27,DynamicUserOptions!$V$28,DynamicUserOptions!$V$29,DynamicUserOptions!$V$30,DynamicUserOptions!$V$31,DynamicUserOptions!$V$32,DynamicUserOptions!$V$33)</definedName>
    <definedName name="_tl_clk_p0_mi_ch1_cs0" hidden="1">'Step2-BoardDetails'!$E$28</definedName>
    <definedName name="_tl_clk_p0_mi_ch1_cs1" hidden="1">'Step2-BoardDetails'!$E$38</definedName>
    <definedName name="_tl_clk_p0_mi_ch2_cs0" hidden="1">'Step2-BoardDetails'!$E$48</definedName>
    <definedName name="_tl_clk_p0_mi_ch2_cs1" hidden="1">'Step2-BoardDetails'!$E$58</definedName>
    <definedName name="_tl_clk_p0_st_ch1_cs0" hidden="1">'Step2-BoardDetails'!$F$28</definedName>
    <definedName name="_tl_clk_p0_st_ch1_cs1" hidden="1">'Step2-BoardDetails'!$F$38</definedName>
    <definedName name="_tl_clk_p0_st_ch2_cs0" hidden="1">'Step2-BoardDetails'!$F$48</definedName>
    <definedName name="_tl_clk_p0_st_ch2_cs1" hidden="1">'Step2-BoardDetails'!$F$58</definedName>
    <definedName name="_tl_clk_p1_mi_ch1_cs0" hidden="1">'Step2-BoardDetails'!$G$28</definedName>
    <definedName name="_tl_clk_p1_mi_ch1_cs1" hidden="1">'Step2-BoardDetails'!$G$38</definedName>
    <definedName name="_tl_clk_p1_mi_ch2_cs0" hidden="1">'Step2-BoardDetails'!$G$48</definedName>
    <definedName name="_tl_clk_p1_mi_ch2_cs1" hidden="1">'Step2-BoardDetails'!$G$58</definedName>
    <definedName name="_tl_clk_p1_st_ch1_cs0" hidden="1">'Step2-BoardDetails'!$H$28</definedName>
    <definedName name="_tl_clk_p1_st_ch1_cs1" hidden="1">'Step2-BoardDetails'!$H$38</definedName>
    <definedName name="_tl_clk_p1_st_ch2_cs0" hidden="1">'Step2-BoardDetails'!$H$48</definedName>
    <definedName name="_tl_clk_p1_st_ch2_cs1" hidden="1">'Step2-BoardDetails'!$H$58</definedName>
    <definedName name="_tl_clk_p2_mi_ch1_cs0" hidden="1">'Step2-BoardDetails'!$I$28</definedName>
    <definedName name="_tl_clk_p2_mi_ch1_cs1" hidden="1">'Step2-BoardDetails'!$I$38</definedName>
    <definedName name="_tl_clk_p2_mi_ch2_cs0" hidden="1">'Step2-BoardDetails'!$I$48</definedName>
    <definedName name="_tl_clk_p2_mi_ch2_cs1" hidden="1">'Step2-BoardDetails'!$I$58</definedName>
    <definedName name="_tl_clk_p2_st_ch1_cs0" hidden="1">'Step2-BoardDetails'!$J$28</definedName>
    <definedName name="_tl_clk_p2_st_ch1_cs1" hidden="1">'Step2-BoardDetails'!$J$38</definedName>
    <definedName name="_tl_clk_p2_st_ch2_cs0" hidden="1">'Step2-BoardDetails'!$J$48</definedName>
    <definedName name="_tl_clk_p2_st_ch2_cs1" hidden="1">'Step2-BoardDetails'!$J$58</definedName>
    <definedName name="_tl_clk_p3_mi_ch1_cs0" hidden="1">'Step2-BoardDetails'!$K$28</definedName>
    <definedName name="_tl_clk_p3_mi_ch1_cs1" hidden="1">'Step2-BoardDetails'!$K$38</definedName>
    <definedName name="_tl_clk_p3_mi_ch2_cs0" hidden="1">'Step2-BoardDetails'!$K$48</definedName>
    <definedName name="_tl_clk_p3_mi_ch2_cs1" hidden="1">'Step2-BoardDetails'!$K$58</definedName>
    <definedName name="_tl_clk_p3_st_ch1_cs0" hidden="1">'Step2-BoardDetails'!$L$28</definedName>
    <definedName name="_tl_clk_p3_st_ch1_cs1" hidden="1">'Step2-BoardDetails'!$L$38</definedName>
    <definedName name="_tl_clk_p3_st_ch2_cs0" hidden="1">'Step2-BoardDetails'!$L$48</definedName>
    <definedName name="_tl_clk_p3_st_ch2_cs1" hidden="1">'Step2-BoardDetails'!$L$58</definedName>
    <definedName name="_tl_clk_p4_mi_ch1_cs0" hidden="1">'Step2-BoardDetails'!$M$28</definedName>
    <definedName name="_tl_clk_p4_mi_ch1_cs1" hidden="1">'Step2-BoardDetails'!$M$38</definedName>
    <definedName name="_tl_clk_p4_mi_ch2_cs0" hidden="1">'Step2-BoardDetails'!$M$48</definedName>
    <definedName name="_tl_clk_p4_mi_ch2_cs1" hidden="1">'Step2-BoardDetails'!$M$58</definedName>
    <definedName name="_tl_clk_p4_st_ch1_cs0" hidden="1">'Step2-BoardDetails'!$N$28</definedName>
    <definedName name="_tl_clk_p4_st_ch1_cs1" hidden="1">'Step2-BoardDetails'!$N$38</definedName>
    <definedName name="_tl_clk_p4_st_ch2_cs0" hidden="1">'Step2-BoardDetails'!$N$48</definedName>
    <definedName name="_tl_clk_p4_st_ch2_cs1" hidden="1">'Step2-BoardDetails'!$N$58</definedName>
    <definedName name="_tl_dqs0_mi_ch1_cs0" hidden="1">'Step2-BoardDetails'!$E$29</definedName>
    <definedName name="_tl_dqs0_mi_ch1_cs1" hidden="1">'Step2-BoardDetails'!$E$39</definedName>
    <definedName name="_tl_dqs0_mi_ch2_cs0" hidden="1">'Step2-BoardDetails'!$E$49</definedName>
    <definedName name="_tl_dqs0_mi_ch2_cs1" hidden="1">'Step2-BoardDetails'!$E$59</definedName>
    <definedName name="_tl_dqs0_st_ch1_cs0" hidden="1">'Step2-BoardDetails'!$F$29</definedName>
    <definedName name="_tl_dqs0_st_ch1_cs1" hidden="1">'Step2-BoardDetails'!$F$39</definedName>
    <definedName name="_tl_dqs0_st_ch2_cs0" hidden="1">'Step2-BoardDetails'!$F$49</definedName>
    <definedName name="_tl_dqs0_st_ch2_cs1" hidden="1">'Step2-BoardDetails'!$F$59</definedName>
    <definedName name="_tl_dqs1_mi_ch1_cs0" hidden="1">'Step2-BoardDetails'!$G$29</definedName>
    <definedName name="_tl_dqs1_mi_ch1_cs1" hidden="1">'Step2-BoardDetails'!$G$39</definedName>
    <definedName name="_tl_dqs1_mi_ch2_cs0" hidden="1">'Step2-BoardDetails'!$G$49</definedName>
    <definedName name="_tl_dqs1_mi_ch2_cs1" hidden="1">'Step2-BoardDetails'!$G$59</definedName>
    <definedName name="_tl_dqs1_st_ch1_cs0" hidden="1">'Step2-BoardDetails'!$H$29</definedName>
    <definedName name="_tl_dqs1_st_ch1_cs1" hidden="1">'Step2-BoardDetails'!$H$39</definedName>
    <definedName name="_tl_dqs1_st_ch2_cs0" hidden="1">'Step2-BoardDetails'!$H$49</definedName>
    <definedName name="_tl_dqs1_st_ch2_cs1" hidden="1">'Step2-BoardDetails'!$H$59</definedName>
    <definedName name="_tl_dqs2_mi_ch1_cs0" hidden="1">'Step2-BoardDetails'!$I$29</definedName>
    <definedName name="_tl_dqs2_mi_ch1_cs1" hidden="1">'Step2-BoardDetails'!$I$39</definedName>
    <definedName name="_tl_dqs2_mi_ch2_cs0" hidden="1">'Step2-BoardDetails'!$I$49</definedName>
    <definedName name="_tl_dqs2_mi_ch2_cs1" hidden="1">'Step2-BoardDetails'!$I$59</definedName>
    <definedName name="_tl_dqs2_st_ch1_cs0" hidden="1">'Step2-BoardDetails'!$J$29</definedName>
    <definedName name="_tl_dqs2_st_ch1_cs1" hidden="1">'Step2-BoardDetails'!$J$39</definedName>
    <definedName name="_tl_dqs2_st_ch2_cs0" hidden="1">'Step2-BoardDetails'!$J$49</definedName>
    <definedName name="_tl_dqs2_st_ch2_cs1" hidden="1">'Step2-BoardDetails'!$J$59</definedName>
    <definedName name="_tl_dqs3_mi_ch1_cs0" hidden="1">'Step2-BoardDetails'!$K$29</definedName>
    <definedName name="_tl_dqs3_mi_ch1_cs1" hidden="1">'Step2-BoardDetails'!$K$39</definedName>
    <definedName name="_tl_dqs3_mi_ch2_cs0" hidden="1">'Step2-BoardDetails'!$K$49</definedName>
    <definedName name="_tl_dqs3_mi_ch2_cs1" hidden="1">'Step2-BoardDetails'!$K$59</definedName>
    <definedName name="_tl_dqs3_st_ch1_cs0" hidden="1">'Step2-BoardDetails'!$L$29</definedName>
    <definedName name="_tl_dqs3_st_ch1_cs1" hidden="1">'Step2-BoardDetails'!$L$39</definedName>
    <definedName name="_tl_dqs3_st_ch2_cs0" hidden="1">'Step2-BoardDetails'!$L$49</definedName>
    <definedName name="_tl_dqs3_st_ch2_cs1" hidden="1">'Step2-BoardDetails'!$L$59</definedName>
    <definedName name="_tl_dqs4_mi_ch1_cs0" hidden="1">'Step2-BoardDetails'!$M$29</definedName>
    <definedName name="_tl_dqs4_mi_ch1_cs1" hidden="1">'Step2-BoardDetails'!$M$39</definedName>
    <definedName name="_tl_dqs4_mi_ch2_cs0" hidden="1">'Step2-BoardDetails'!$M$49</definedName>
    <definedName name="_tl_dqs4_mi_ch2_cs1" hidden="1">'Step2-BoardDetails'!$M$59</definedName>
    <definedName name="_tl_dqs4_st_ch1_cs0" hidden="1">'Step2-BoardDetails'!$N$29</definedName>
    <definedName name="_tl_dqs4_st_ch1_cs1" hidden="1">'Step2-BoardDetails'!$N$39</definedName>
    <definedName name="_tl_dqs4_st_ch2_cs0" hidden="1">'Step2-BoardDetails'!$N$49</definedName>
    <definedName name="_tl_dqs4_st_ch2_cs1" hidden="1">'Step2-BoardDetails'!$N$59</definedName>
    <definedName name="_user_config" hidden="1">'Title-README'!$J$25</definedName>
    <definedName name="_user_config_name" hidden="1">CONCATENATE(_user_soc,"_",IFERROR(REPLACE(_user_sdram_type,FIND("/",_user_sdram_type),1,""),_user_sdram_type),"_",_ddr_pll_freq,"MHz_",_company_project)</definedName>
    <definedName name="_user_config_name_txt1" hidden="1">CONCATENATE("Configuration Name (based on current input): ", _user_config_name)</definedName>
    <definedName name="_user_config_name_txt10" hidden="1">CONCATENATE("    .platform = ",CHAR(34),_user_config_name,CHAR(34),",")</definedName>
    <definedName name="_user_config_name_txt11" hidden="1">CONCATENATE("    .pll_regs = &amp;",_user_config_name,"_pll_params,")</definedName>
    <definedName name="_user_config_name_txt12" hidden="1">CONCATENATE("    .ctrl_regs = &amp;",_user_config_name,"_ctrl_ioregs,")</definedName>
    <definedName name="_user_config_name_txt13" hidden="1">IF(OR(_soc_name="adaslow1",_soc_name="adaslow2"),"",CONCATENATE("    .dmm_regs = &amp;",_user_config_name,"_dmm_regs,"))</definedName>
    <definedName name="_user_config_name_txt14" hidden="1">CONCATENATE("    .regs = &amp;",_user_config_name,"_emif_regs,")</definedName>
    <definedName name="_user_config_name_txt15" hidden="1">CONCATENATE("    .phy_regs1 = ",_user_config_name,"_emif1_ext_phy_regs,")</definedName>
    <definedName name="_user_config_name_txt16" hidden="1">IF(_user_emifs=2,CONCATENATE("    .phy_regs2 = ",_user_config_name,"_emif2_ext_phy_regs,"),"")</definedName>
    <definedName name="_user_config_name_txt17" hidden="1">CONCATENATE("static void ",_user_config_name," (uint32_t base_addr)")</definedName>
    <definedName name="_user_config_name_txt2" hidden="1">CONCATENATE(" *  ",_user_config_name,"_config.c")</definedName>
    <definedName name="_user_config_name_txt3" hidden="1">CONCATENATE("const struct dpll_params ",_user_config_name,"_pll_params = {")</definedName>
    <definedName name="_user_config_name_txt4" hidden="1">CONCATENATE("const struct ctrl_ioregs ",_user_config_name,"_ctrl_ioregs = {")</definedName>
    <definedName name="_user_config_name_txt5" hidden="1">IF(OR(_soc_name="adaslow1",_soc_name="adaslow2"),"",CONCATENATE("const struct dmm_lisa_map_regs ",_user_config_name,"_dmm_regs = {"))</definedName>
    <definedName name="_user_config_name_txt6" hidden="1">CONCATENATE("const struct emif_regs ",_user_config_name,"_emif_regs = {")</definedName>
    <definedName name="_user_config_name_txt7" hidden="1">CONCATENATE("const unsigned int ",_user_config_name,"_emif1_ext_phy_regs [] = {")</definedName>
    <definedName name="_user_config_name_txt8" hidden="1">IF(_user_emifs=1,"",CONCATENATE("const unsigned int ",_user_config_name,"_emif2_ext_phy_regs [] = {"))</definedName>
    <definedName name="_user_config_name_txt9" hidden="1">CONCATENATE("struct emif_cfg ",_user_config_name," = {")</definedName>
    <definedName name="_user_ecc" hidden="1">'Step1-SystemDetails'!$F$27</definedName>
    <definedName name="_user_ecc_end_addr1" hidden="1">'Step1-SystemDetails'!$F$29</definedName>
    <definedName name="_user_ecc_end_addr2" hidden="1">'Step1-SystemDetails'!$F$31</definedName>
    <definedName name="_user_ecc_start_addr1" hidden="1">'Step1-SystemDetails'!$F$28</definedName>
    <definedName name="_user_ecc_start_addr2" hidden="1">'Step1-SystemDetails'!$F$30</definedName>
    <definedName name="_user_emifs" hidden="1">'Step1-SystemDetails'!$F$20</definedName>
    <definedName name="_user_lvl_tech" hidden="1">'Step1-SystemDetails'!$F$25</definedName>
    <definedName name="_user_max_op_temp" hidden="1">'Step1-SystemDetails'!$F$26</definedName>
    <definedName name="_user_sdram_type" hidden="1">'Step1-SystemDetails'!$F$21</definedName>
    <definedName name="_user_soc" hidden="1">'Step1-SystemDetails'!$F$18</definedName>
    <definedName name="_user_sysclk1" hidden="1">'Step1-SystemDetails'!$F$19</definedName>
    <definedName name="_wrdata_ratio0_ch1_cs0" hidden="1">_wrdqs_ratio0_ch1_cs0 + ROUND((250000 / _ddr_pll_freq / _dll_res),0)</definedName>
    <definedName name="_wrdata_ratio0_ch1_cs1" hidden="1">_wrdqs_ratio0_ch1_cs1 + ROUND((250000 / _ddr_pll_freq / _dll_res),0)</definedName>
    <definedName name="_wrdata_ratio0_ch2_cs0" hidden="1">_wrdqs_ratio0_ch2_cs0 + ROUND((250000 / _ddr_pll_freq / _dll_res),0)</definedName>
    <definedName name="_wrdata_ratio0_ch2_cs1" hidden="1">_wrdqs_ratio0_ch2_cs1 + ROUND((250000 / _ddr_pll_freq / _dll_res),0)</definedName>
    <definedName name="_wrdata_ratio1_ch1_cs0" hidden="1">_wrdqs_ratio1_ch1_cs0 + ROUND((250000 / _ddr_pll_freq / _dll_res),0)</definedName>
    <definedName name="_wrdata_ratio1_ch1_cs1" hidden="1">_wrdqs_ratio1_ch1_cs1 + ROUND((250000 / _ddr_pll_freq / _dll_res),0)</definedName>
    <definedName name="_wrdata_ratio1_ch2_cs0" hidden="1">_wrdqs_ratio1_ch2_cs0 + ROUND((250000 / _ddr_pll_freq / _dll_res),0)</definedName>
    <definedName name="_wrdata_ratio1_ch2_cs1" hidden="1">_wrdqs_ratio1_ch2_cs1 + ROUND((250000 / _ddr_pll_freq / _dll_res),0)</definedName>
    <definedName name="_wrdata_ratio2_ch1_cs0" hidden="1">_wrdqs_ratio2_ch1_cs0 + ROUND((250000 / _ddr_pll_freq / _dll_res),0)</definedName>
    <definedName name="_wrdata_ratio2_ch1_cs1" hidden="1">_wrdqs_ratio2_ch1_cs1 + ROUND((250000 / _ddr_pll_freq / _dll_res),0)</definedName>
    <definedName name="_wrdata_ratio2_ch2_cs0" hidden="1">_wrdqs_ratio2_ch2_cs0 + ROUND((250000 / _ddr_pll_freq / _dll_res),0)</definedName>
    <definedName name="_wrdata_ratio2_ch2_cs1" hidden="1">_wrdqs_ratio2_ch2_cs1 + ROUND((250000 / _ddr_pll_freq / _dll_res),0)</definedName>
    <definedName name="_wrdata_ratio3_ch1_cs0" hidden="1">_wrdqs_ratio3_ch1_cs0 + ROUND((250000 / _ddr_pll_freq / _dll_res),0)</definedName>
    <definedName name="_wrdata_ratio3_ch1_cs1" hidden="1">_wrdqs_ratio3_ch1_cs1 + ROUND((250000 / _ddr_pll_freq / _dll_res),0)</definedName>
    <definedName name="_wrdata_ratio3_ch2_cs0" hidden="1">_wrdqs_ratio3_ch2_cs0 + ROUND((250000 / _ddr_pll_freq / _dll_res),0)</definedName>
    <definedName name="_wrdata_ratio3_ch2_cs1" hidden="1">_wrdqs_ratio3_ch2_cs1 + ROUND((250000 / _ddr_pll_freq / _dll_res),0)</definedName>
    <definedName name="_wrdata_ratio4_ch1_cs0" hidden="1">_wrdqs_ratio4_ch1_cs0 + ROUND((250000 / _ddr_pll_freq / _dll_res),0)</definedName>
    <definedName name="_wrdata_ratio4_ch1_cs1" hidden="1">_wrdqs_ratio4_ch1_cs1 + ROUND((250000 / _ddr_pll_freq / _dll_res),0)</definedName>
    <definedName name="_wrdata_ratio4_ch2_cs0" hidden="1">_wrdqs_ratio4_ch2_cs0 + ROUND((250000 / _ddr_pll_freq / _dll_res),0)</definedName>
    <definedName name="_wrdata_ratio4_ch2_cs1" hidden="1">_wrdqs_ratio4_ch2_cs1 + ROUND((250000 / _ddr_pll_freq / _dll_res),0)</definedName>
    <definedName name="_wrdqs_init0_ch1_cs0" hidden="1">IF(_t_rdtrip_brddly_p0_ch1_cs0=0,0,MAX(_wrdqs_ratio0_ch1_cs0 - ROUND((125000 / _ddr_pll_freq / _dll_res),0),0))</definedName>
    <definedName name="_wrdqs_init0_ch1_cs1" hidden="1">IF(_t_rdtrip_brddly_p0_ch1_cs1=0,0,MAX(_wrdqs_ratio0_ch1_cs1 - ROUND((125000 / _ddr_pll_freq / _dll_res),0),0))</definedName>
    <definedName name="_wrdqs_init0_ch2_cs0" hidden="1">IF(_t_rdtrip_brddly_p0_ch2_cs0=0,0,MAX(_wrdqs_ratio0_ch2_cs0 - ROUND((125000 / _ddr_pll_freq / _dll_res),0),0))</definedName>
    <definedName name="_wrdqs_init0_ch2_cs1" hidden="1">IF(_t_rdtrip_brddly_p0_ch2_cs1=0,0,MAX(_wrdqs_ratio0_ch2_cs1 - ROUND((125000 / _ddr_pll_freq / _dll_res),0),0))</definedName>
    <definedName name="_wrdqs_init1_ch1_cs0" hidden="1">IF(_t_rdtrip_brddly_p1_ch1_cs0=0,0,MAX(_wrdqs_ratio1_ch1_cs0 - ROUND((125000 / _ddr_pll_freq / _dll_res),0),0))</definedName>
    <definedName name="_wrdqs_init1_ch1_cs1" hidden="1">IF(_t_rdtrip_brddly_p1_ch1_cs1=0,0,MAX(_wrdqs_ratio1_ch1_cs1 - ROUND((125000 / _ddr_pll_freq / _dll_res),0),0))</definedName>
    <definedName name="_wrdqs_init1_ch2_cs0" hidden="1">IF(_t_rdtrip_brddly_p1_ch2_cs0=0,0,MAX(_wrdqs_ratio1_ch2_cs0 - ROUND((125000 / _ddr_pll_freq / _dll_res),0),0))</definedName>
    <definedName name="_wrdqs_init1_ch2_cs1" hidden="1">IF(_t_rdtrip_brddly_p1_ch2_cs1=0,0,MAX(_wrdqs_ratio1_ch2_cs1 - ROUND((125000 / _ddr_pll_freq / _dll_res),0),0))</definedName>
    <definedName name="_wrdqs_init2_ch1_cs0" hidden="1">IF(_t_rdtrip_brddly_p2_ch1_cs0=0,0,MAX(_wrdqs_ratio2_ch1_cs0 - ROUND((125000 / _ddr_pll_freq / _dll_res),0),0))</definedName>
    <definedName name="_wrdqs_init2_ch1_cs1" hidden="1">IF(_t_rdtrip_brddly_p2_ch1_cs1=0,0,MAX(_wrdqs_ratio2_ch1_cs1 - ROUND((125000 / _ddr_pll_freq / _dll_res),0),0))</definedName>
    <definedName name="_wrdqs_init2_ch2_cs0" hidden="1">IF(_t_rdtrip_brddly_p2_ch2_cs0=0,0,MAX(_wrdqs_ratio2_ch2_cs0 - ROUND((125000 / _ddr_pll_freq / _dll_res),0),0))</definedName>
    <definedName name="_wrdqs_init2_ch2_cs1" hidden="1">IF(_t_rdtrip_brddly_p2_ch2_cs1=0,0,MAX(_wrdqs_ratio2_ch2_cs1 - ROUND((125000 / _ddr_pll_freq / _dll_res),0),0))</definedName>
    <definedName name="_wrdqs_init3_ch1_cs0" hidden="1">IF(_t_rdtrip_brddly_p3_ch1_cs0=0,0,MAX(_wrdqs_ratio3_ch1_cs0 - ROUND((125000 / _ddr_pll_freq / _dll_res),0),0))</definedName>
    <definedName name="_wrdqs_init3_ch1_cs1" hidden="1">IF(_t_rdtrip_brddly_p3_ch1_cs1=0,0,MAX(_wrdqs_ratio3_ch1_cs1 - ROUND((125000 / _ddr_pll_freq / _dll_res),0),0))</definedName>
    <definedName name="_wrdqs_init3_ch2_cs0" hidden="1">IF(_t_rdtrip_brddly_p3_ch2_cs0=0,0,MAX(_wrdqs_ratio3_ch2_cs0 - ROUND((125000 / _ddr_pll_freq / _dll_res),0),0))</definedName>
    <definedName name="_wrdqs_init3_ch2_cs1" hidden="1">IF(_t_rdtrip_brddly_p3_ch2_cs1=0,0,MAX(_wrdqs_ratio3_ch2_cs1 - ROUND((125000 / _ddr_pll_freq / _dll_res),0),0))</definedName>
    <definedName name="_wrdqs_init4_ch1_cs0" hidden="1">IF(_t_rdtrip_brddly_p4_ch1_cs0=0,0,MAX(_wrdqs_ratio4_ch1_cs0 - ROUND((125000 / _ddr_pll_freq / _dll_res),0),0))</definedName>
    <definedName name="_wrdqs_init4_ch1_cs1" hidden="1">IF(_t_rdtrip_brddly_p4_ch1_cs1=0,0,MAX(_wrdqs_ratio4_ch1_cs1 - ROUND((125000 / _ddr_pll_freq / _dll_res),0),0))</definedName>
    <definedName name="_wrdqs_init4_ch2_cs0" hidden="1">IF(_t_rdtrip_brddly_p4_ch2_cs0=0,0,MAX(_wrdqs_ratio4_ch2_cs0 - ROUND((125000 / _ddr_pll_freq / _dll_res),0),0))</definedName>
    <definedName name="_wrdqs_init4_ch2_cs1" hidden="1">IF(_t_rdtrip_brddly_p4_ch2_cs1=0,0,MAX(_wrdqs_ratio4_ch2_cs1 - ROUND((125000 / _ddr_pll_freq / _dll_res),0),0))</definedName>
    <definedName name="_wrdqs_ratio0_ch1_cs0" hidden="1">ROUND(((_t_dqss_brdskew_p0_ch1_cs0 + (_phy_invert_clk * 500000 / _ddr_pll_freq)) / _dll_res),0)</definedName>
    <definedName name="_wrdqs_ratio0_ch1_cs1" hidden="1">ROUND(((_t_dqss_brdskew_p0_ch1_cs1 + (_phy_invert_clk * 500000 / _ddr_pll_freq)) / _dll_res),0)</definedName>
    <definedName name="_wrdqs_ratio0_ch2_cs0" hidden="1">ROUND(((_t_dqss_brdskew_p0_ch2_cs0 + (_phy_invert_clk * 500000 / _ddr_pll_freq)) / _dll_res),0)</definedName>
    <definedName name="_wrdqs_ratio0_ch2_cs1" hidden="1">ROUND(((_t_dqss_brdskew_p0_ch2_cs1 + (_phy_invert_clk * 500000 / _ddr_pll_freq)) / _dll_res),0)</definedName>
    <definedName name="_wrdqs_ratio1_ch1_cs0" hidden="1">ROUND(((_t_dqss_brdskew_p1_ch1_cs0 + (_phy_invert_clk * 500000 / _ddr_pll_freq)) / _dll_res),0)</definedName>
    <definedName name="_wrdqs_ratio1_ch1_cs1" hidden="1">ROUND(((_t_dqss_brdskew_p1_ch1_cs1 + (_phy_invert_clk * 500000 / _ddr_pll_freq)) / _dll_res),0)</definedName>
    <definedName name="_wrdqs_ratio1_ch2_cs0" hidden="1">ROUND(((_t_dqss_brdskew_p1_ch2_cs0 + (_phy_invert_clk * 500000 / _ddr_pll_freq)) / _dll_res),0)</definedName>
    <definedName name="_wrdqs_ratio1_ch2_cs1" hidden="1">ROUND(((_t_dqss_brdskew_p1_ch2_cs1 + (_phy_invert_clk * 500000 / _ddr_pll_freq)) / _dll_res),0)</definedName>
    <definedName name="_wrdqs_ratio2_ch1_cs0" hidden="1">ROUND(((_t_dqss_brdskew_p2_ch1_cs0 + (_phy_invert_clk * 500000 / _ddr_pll_freq)) / _dll_res),0)</definedName>
    <definedName name="_wrdqs_ratio2_ch1_cs1" hidden="1">ROUND(((_t_dqss_brdskew_p2_ch1_cs1 + (_phy_invert_clk * 500000 / _ddr_pll_freq)) / _dll_res),0)</definedName>
    <definedName name="_wrdqs_ratio2_ch2_cs0" hidden="1">ROUND(((_t_dqss_brdskew_p2_ch2_cs0 + (_phy_invert_clk * 500000 / _ddr_pll_freq)) / _dll_res),0)</definedName>
    <definedName name="_wrdqs_ratio2_ch2_cs1" hidden="1">ROUND(((_t_dqss_brdskew_p2_ch2_cs1 + (_phy_invert_clk * 500000 / _ddr_pll_freq)) / _dll_res),0)</definedName>
    <definedName name="_wrdqs_ratio3_ch1_cs0" hidden="1">ROUND(((_t_dqss_brdskew_p3_ch1_cs0 + (_phy_invert_clk * 500000 / _ddr_pll_freq)) / _dll_res),0)</definedName>
    <definedName name="_wrdqs_ratio3_ch1_cs1" hidden="1">ROUND(((_t_dqss_brdskew_p3_ch1_cs1 + (_phy_invert_clk * 500000 / _ddr_pll_freq)) / _dll_res),0)</definedName>
    <definedName name="_wrdqs_ratio3_ch2_cs0" hidden="1">ROUND(((_t_dqss_brdskew_p3_ch2_cs0 + (_phy_invert_clk * 500000 / _ddr_pll_freq)) / _dll_res),0)</definedName>
    <definedName name="_wrdqs_ratio3_ch2_cs1" hidden="1">ROUND(((_t_dqss_brdskew_p3_ch2_cs1 + (_phy_invert_clk * 500000 / _ddr_pll_freq)) / _dll_res),0)</definedName>
    <definedName name="_wrdqs_ratio4_ch1_cs0" hidden="1">ROUND(((_t_dqss_brdskew_p4_ch1_cs0 + (_phy_invert_clk * 500000 / _ddr_pll_freq)) / _dll_res),0)</definedName>
    <definedName name="_wrdqs_ratio4_ch1_cs1" hidden="1">ROUND(((_t_dqss_brdskew_p4_ch1_cs1 + (_phy_invert_clk * 500000 / _ddr_pll_freq)) / _dll_res),0)</definedName>
    <definedName name="_wrdqs_ratio4_ch2_cs0" hidden="1">ROUND(((_t_dqss_brdskew_p4_ch2_cs0 + (_phy_invert_clk * 500000 / _ddr_pll_freq)) / _dll_res),0)</definedName>
    <definedName name="_wrdqs_ratio4_ch2_cs1" hidden="1">ROUND(((_t_dqss_brdskew_p4_ch2_cs1 + (_phy_invert_clk * 500000 / _ddr_pll_freq)) / _dll_res),0)</definedName>
    <definedName name="_zq_cs0en" hidden="1">1</definedName>
    <definedName name="_zq_cs1en" hidden="1">_sdram_ebank - 1</definedName>
    <definedName name="_zq_dualcalen" hidden="1">0</definedName>
    <definedName name="_zq_refinterval" hidden="1">6411</definedName>
    <definedName name="_zq_sfexiten" hidden="1">1</definedName>
    <definedName name="_zq_zqcl_mult" hidden="1">3</definedName>
    <definedName name="_zq_zqinit_mult" hidden="1">IF(_user_sdram_type="LPDDR2",2,1)</definedName>
  </definedNames>
  <calcPr calcId="191029"/>
</workbook>
</file>

<file path=xl/calcChain.xml><?xml version="1.0" encoding="utf-8"?>
<calcChain xmlns="http://schemas.openxmlformats.org/spreadsheetml/2006/main">
  <c r="C39" i="6" l="1"/>
  <c r="C38" i="6"/>
  <c r="C37" i="6"/>
  <c r="C36" i="6"/>
  <c r="C35" i="6"/>
  <c r="C34" i="6"/>
  <c r="C77" i="6"/>
  <c r="C173" i="20" l="1"/>
  <c r="C172" i="20"/>
  <c r="C171" i="20"/>
  <c r="C170" i="20"/>
  <c r="C169" i="20"/>
  <c r="C168" i="20"/>
  <c r="C167" i="20"/>
  <c r="C166" i="20"/>
  <c r="C165" i="20"/>
  <c r="C163" i="20"/>
  <c r="D162" i="20"/>
  <c r="D161" i="20"/>
  <c r="D160" i="20"/>
  <c r="D159" i="20"/>
  <c r="D158" i="20"/>
  <c r="D157" i="20"/>
  <c r="D156" i="20"/>
  <c r="D155" i="20"/>
  <c r="D154" i="20"/>
  <c r="D153" i="20"/>
  <c r="D152" i="20"/>
  <c r="D151" i="20"/>
  <c r="D150" i="20"/>
  <c r="D149" i="20"/>
  <c r="D148" i="20"/>
  <c r="D147" i="20"/>
  <c r="D146" i="20"/>
  <c r="D145" i="20"/>
  <c r="D144" i="20"/>
  <c r="D143" i="20"/>
  <c r="D142" i="20"/>
  <c r="D141" i="20"/>
  <c r="D140" i="20"/>
  <c r="D139" i="20"/>
  <c r="D138" i="20"/>
  <c r="D137" i="20"/>
  <c r="D136" i="20"/>
  <c r="D135" i="20"/>
  <c r="D134" i="20"/>
  <c r="D133" i="20"/>
  <c r="D132" i="20"/>
  <c r="D131" i="20"/>
  <c r="D130" i="20"/>
  <c r="D129" i="20"/>
  <c r="D128" i="20"/>
  <c r="D127" i="20"/>
  <c r="C126" i="20"/>
  <c r="D123" i="20"/>
  <c r="D122" i="20"/>
  <c r="D121" i="20"/>
  <c r="D120" i="20"/>
  <c r="D119" i="20"/>
  <c r="D118" i="20"/>
  <c r="D117" i="20"/>
  <c r="D116" i="20"/>
  <c r="D115" i="20"/>
  <c r="D114" i="20"/>
  <c r="D113" i="20"/>
  <c r="D112" i="20"/>
  <c r="D111" i="20"/>
  <c r="D110" i="20"/>
  <c r="D109" i="20"/>
  <c r="D108" i="20"/>
  <c r="D107" i="20"/>
  <c r="D106" i="20"/>
  <c r="D105" i="20"/>
  <c r="D104" i="20"/>
  <c r="D103" i="20"/>
  <c r="D102" i="20"/>
  <c r="D101" i="20"/>
  <c r="D100" i="20"/>
  <c r="D99" i="20"/>
  <c r="D98" i="20"/>
  <c r="D97" i="20"/>
  <c r="D96" i="20"/>
  <c r="D95" i="20"/>
  <c r="D94" i="20"/>
  <c r="D93" i="20"/>
  <c r="D92" i="20"/>
  <c r="D91" i="20"/>
  <c r="D90" i="20"/>
  <c r="D89" i="20"/>
  <c r="D88" i="20"/>
  <c r="C87" i="20"/>
  <c r="C79" i="20"/>
  <c r="C78" i="20"/>
  <c r="C77" i="20"/>
  <c r="C76" i="20"/>
  <c r="C75" i="20"/>
  <c r="C74" i="20"/>
  <c r="C71" i="20"/>
  <c r="C70" i="20"/>
  <c r="C69" i="20"/>
  <c r="C68" i="20"/>
  <c r="C67" i="20"/>
  <c r="C66" i="20"/>
  <c r="C65" i="20"/>
  <c r="C64" i="20"/>
  <c r="C63" i="20"/>
  <c r="C62" i="20"/>
  <c r="C61" i="20"/>
  <c r="C58" i="20"/>
  <c r="C56" i="20"/>
  <c r="E55" i="20"/>
  <c r="C55" i="20"/>
  <c r="E54" i="20"/>
  <c r="C54" i="20"/>
  <c r="E53" i="20"/>
  <c r="C53" i="20"/>
  <c r="E52" i="20"/>
  <c r="C52" i="20"/>
  <c r="E51" i="20"/>
  <c r="C51" i="20"/>
  <c r="C50" i="20"/>
  <c r="C47" i="20"/>
  <c r="C46" i="20"/>
  <c r="C45" i="20"/>
  <c r="C44" i="20"/>
  <c r="C43" i="20"/>
  <c r="C42" i="20"/>
  <c r="C39" i="20"/>
  <c r="C38" i="20"/>
  <c r="D37" i="20"/>
  <c r="C37" i="20"/>
  <c r="D36" i="20"/>
  <c r="C36" i="20"/>
  <c r="C35" i="20"/>
  <c r="C30" i="20"/>
  <c r="C29" i="20"/>
  <c r="C28" i="20"/>
  <c r="B3" i="20"/>
  <c r="B2" i="20"/>
  <c r="C130" i="20"/>
  <c r="C147" i="20"/>
  <c r="C162" i="20"/>
  <c r="C153" i="20"/>
  <c r="C145" i="20"/>
  <c r="C131" i="20"/>
  <c r="C156" i="20"/>
  <c r="C155" i="20"/>
  <c r="C140" i="20"/>
  <c r="C139" i="20"/>
  <c r="C158" i="20"/>
  <c r="C142" i="20"/>
  <c r="C144" i="20"/>
  <c r="C146" i="20"/>
  <c r="C154" i="20"/>
  <c r="C141" i="20"/>
  <c r="C127" i="20"/>
  <c r="C152" i="20"/>
  <c r="C160" i="20"/>
  <c r="C135" i="20"/>
  <c r="C161" i="20"/>
  <c r="C148" i="20"/>
  <c r="C159" i="20"/>
  <c r="C129" i="20"/>
  <c r="C151" i="20"/>
  <c r="C138" i="20"/>
  <c r="C149" i="20"/>
  <c r="C133" i="20"/>
  <c r="C137" i="20"/>
  <c r="C132" i="20"/>
  <c r="C150" i="20"/>
  <c r="C143" i="20"/>
  <c r="C134" i="20"/>
  <c r="C136" i="20"/>
  <c r="C157" i="20"/>
  <c r="C128" i="20"/>
  <c r="C119" i="20"/>
  <c r="C72" i="20"/>
  <c r="C110" i="20"/>
  <c r="C96" i="20"/>
  <c r="C103" i="20"/>
  <c r="C106" i="20"/>
  <c r="C105" i="20"/>
  <c r="C116" i="20"/>
  <c r="C101" i="20"/>
  <c r="C99" i="20"/>
  <c r="C111" i="20"/>
  <c r="C93" i="20"/>
  <c r="C108" i="20"/>
  <c r="C73" i="20"/>
  <c r="C121" i="20"/>
  <c r="C94" i="20"/>
  <c r="C98" i="20"/>
  <c r="C109" i="20"/>
  <c r="C118" i="20"/>
  <c r="C95" i="20"/>
  <c r="C100" i="20"/>
  <c r="C90" i="20"/>
  <c r="C89" i="20"/>
  <c r="C88" i="20"/>
  <c r="C60" i="20"/>
  <c r="C104" i="20"/>
  <c r="C107" i="20"/>
  <c r="C59" i="20"/>
  <c r="C91" i="20"/>
  <c r="C113" i="20"/>
  <c r="D124" i="20"/>
  <c r="C97" i="20"/>
  <c r="C102" i="20"/>
  <c r="D125" i="20"/>
  <c r="C117" i="20"/>
  <c r="C115" i="20"/>
  <c r="C114" i="20"/>
  <c r="C123" i="20"/>
  <c r="C120" i="20"/>
  <c r="C92" i="20"/>
  <c r="C112" i="20"/>
  <c r="C122" i="20"/>
  <c r="C72" i="6" l="1"/>
  <c r="C68" i="6"/>
  <c r="C71" i="6"/>
  <c r="C70" i="6"/>
  <c r="C69" i="6"/>
  <c r="C67" i="6"/>
  <c r="D51" i="10"/>
  <c r="D41" i="10"/>
  <c r="D31" i="10"/>
  <c r="D21" i="10"/>
  <c r="T8" i="11" l="1"/>
  <c r="T7" i="11"/>
  <c r="C14" i="16" l="1"/>
  <c r="C119" i="6" l="1"/>
  <c r="C80" i="6"/>
  <c r="C51" i="6"/>
  <c r="C43" i="6"/>
  <c r="C28" i="6"/>
  <c r="H22" i="12" l="1"/>
  <c r="J23" i="13" l="1"/>
  <c r="J26" i="13"/>
  <c r="H46" i="7" l="1"/>
  <c r="H45" i="7"/>
  <c r="H44" i="7"/>
  <c r="H52" i="7" l="1"/>
  <c r="G31" i="7" l="1"/>
  <c r="G30" i="7"/>
  <c r="G29" i="7"/>
  <c r="G28" i="7"/>
  <c r="F14" i="18" l="1"/>
  <c r="AL14" i="18"/>
  <c r="AI14" i="18"/>
  <c r="AC14" i="18"/>
  <c r="X14" i="18"/>
  <c r="T14" i="18"/>
  <c r="P14" i="18"/>
  <c r="L14" i="18"/>
  <c r="Q20" i="11" l="1"/>
  <c r="Q21" i="11"/>
  <c r="Q22" i="11"/>
  <c r="Q23" i="11"/>
  <c r="Q24" i="11"/>
  <c r="Q25" i="11"/>
  <c r="Q26" i="11"/>
  <c r="Q27" i="11"/>
  <c r="Q28" i="11"/>
  <c r="Q29" i="11"/>
  <c r="Q30" i="11"/>
  <c r="Q31" i="11"/>
  <c r="Q32" i="11"/>
  <c r="Q33" i="11"/>
  <c r="P20" i="11"/>
  <c r="P21" i="11"/>
  <c r="P22" i="11"/>
  <c r="P23" i="11"/>
  <c r="P24" i="11"/>
  <c r="P25" i="11"/>
  <c r="P26" i="11"/>
  <c r="P27" i="11"/>
  <c r="P28" i="11"/>
  <c r="P29" i="11"/>
  <c r="P30" i="11"/>
  <c r="P31" i="11"/>
  <c r="P32" i="11"/>
  <c r="P33" i="11"/>
  <c r="O20" i="11"/>
  <c r="O21" i="11"/>
  <c r="O22" i="11"/>
  <c r="O23" i="11"/>
  <c r="O24" i="11"/>
  <c r="O25" i="11"/>
  <c r="O26" i="11"/>
  <c r="O27" i="11"/>
  <c r="O28" i="11"/>
  <c r="O29" i="11"/>
  <c r="O30" i="11"/>
  <c r="O31" i="11"/>
  <c r="O32" i="11"/>
  <c r="O33" i="11"/>
  <c r="N20" i="11"/>
  <c r="N21" i="11"/>
  <c r="N22" i="11"/>
  <c r="N23" i="11"/>
  <c r="N24" i="11"/>
  <c r="N25" i="11"/>
  <c r="N26" i="11"/>
  <c r="N27" i="11"/>
  <c r="N28" i="11"/>
  <c r="N29" i="11"/>
  <c r="N30" i="11"/>
  <c r="N31" i="11"/>
  <c r="N32" i="11"/>
  <c r="N33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B29" i="11"/>
  <c r="V29" i="11" s="1"/>
  <c r="B30" i="11"/>
  <c r="V30" i="11" s="1"/>
  <c r="B31" i="11"/>
  <c r="V31" i="11" s="1"/>
  <c r="B32" i="11"/>
  <c r="V32" i="11" s="1"/>
  <c r="B33" i="11"/>
  <c r="V33" i="11" s="1"/>
  <c r="L31" i="11" a="1"/>
  <c r="L27" i="11" a="1"/>
  <c r="L26" i="11" a="1"/>
  <c r="L25" i="11" a="1"/>
  <c r="L21" i="11" a="1"/>
  <c r="L32" i="11" a="1"/>
  <c r="L33" i="11" a="1"/>
  <c r="L22" i="11" a="1"/>
  <c r="L30" i="11" a="1"/>
  <c r="L20" i="11" a="1"/>
  <c r="L24" i="11" a="1"/>
  <c r="L29" i="11" a="1"/>
  <c r="L28" i="11" a="1"/>
  <c r="L23" i="11" a="1"/>
  <c r="L33" i="11" l="1"/>
  <c r="L31" i="11"/>
  <c r="L29" i="11"/>
  <c r="L27" i="11"/>
  <c r="L25" i="11"/>
  <c r="L23" i="11"/>
  <c r="L21" i="11"/>
  <c r="L32" i="11"/>
  <c r="L30" i="11"/>
  <c r="L28" i="11"/>
  <c r="L26" i="11"/>
  <c r="L24" i="11"/>
  <c r="L22" i="11"/>
  <c r="L20" i="11"/>
  <c r="B20" i="11" l="1"/>
  <c r="B21" i="11"/>
  <c r="B22" i="11"/>
  <c r="B23" i="11"/>
  <c r="B24" i="11"/>
  <c r="B25" i="11"/>
  <c r="B26" i="11"/>
  <c r="B27" i="11"/>
  <c r="B28" i="11"/>
  <c r="V28" i="11" s="1"/>
  <c r="V22" i="11" l="1"/>
  <c r="V26" i="11"/>
  <c r="V27" i="11"/>
  <c r="V23" i="11"/>
  <c r="V25" i="11"/>
  <c r="V21" i="11"/>
  <c r="V24" i="11"/>
  <c r="V20" i="11"/>
  <c r="I14" i="18"/>
  <c r="F48" i="18" l="1"/>
  <c r="F47" i="18"/>
  <c r="F20" i="18"/>
  <c r="F19" i="18"/>
  <c r="F18" i="18"/>
  <c r="F17" i="18"/>
  <c r="F16" i="18"/>
  <c r="G138" i="18"/>
  <c r="G139" i="18"/>
  <c r="G140" i="18"/>
  <c r="G141" i="18"/>
  <c r="G142" i="18"/>
  <c r="G143" i="18"/>
  <c r="G144" i="18"/>
  <c r="G145" i="18"/>
  <c r="G146" i="18"/>
  <c r="G147" i="18"/>
  <c r="G148" i="18"/>
  <c r="G149" i="18"/>
  <c r="G150" i="18"/>
  <c r="G151" i="18"/>
  <c r="G152" i="18"/>
  <c r="G153" i="18"/>
  <c r="G154" i="18"/>
  <c r="G155" i="18"/>
  <c r="G156" i="18"/>
  <c r="G157" i="18"/>
  <c r="G158" i="18"/>
  <c r="G159" i="18"/>
  <c r="G160" i="18"/>
  <c r="G161" i="18"/>
  <c r="G162" i="18"/>
  <c r="G163" i="18"/>
  <c r="G164" i="18"/>
  <c r="G165" i="18"/>
  <c r="G166" i="18"/>
  <c r="G167" i="18"/>
  <c r="G168" i="18"/>
  <c r="G169" i="18"/>
  <c r="G170" i="18"/>
  <c r="G171" i="18"/>
  <c r="G172" i="18"/>
  <c r="G173" i="18"/>
  <c r="G174" i="18"/>
  <c r="G175" i="18"/>
  <c r="G176" i="18"/>
  <c r="G177" i="18"/>
  <c r="G178" i="18"/>
  <c r="G179" i="18"/>
  <c r="G180" i="18"/>
  <c r="G181" i="18"/>
  <c r="G182" i="18"/>
  <c r="G183" i="18"/>
  <c r="G186" i="18"/>
  <c r="G187" i="18"/>
  <c r="G188" i="18"/>
  <c r="G189" i="18"/>
  <c r="G190" i="18"/>
  <c r="G191" i="18"/>
  <c r="G192" i="18"/>
  <c r="G193" i="18"/>
  <c r="G194" i="18"/>
  <c r="G195" i="18"/>
  <c r="G196" i="18"/>
  <c r="G197" i="18"/>
  <c r="G198" i="18"/>
  <c r="G199" i="18"/>
  <c r="G200" i="18"/>
  <c r="G201" i="18"/>
  <c r="G202" i="18"/>
  <c r="G203" i="18"/>
  <c r="G204" i="18"/>
  <c r="G205" i="18"/>
  <c r="G206" i="18"/>
  <c r="G207" i="18"/>
  <c r="G208" i="18"/>
  <c r="G209" i="18"/>
  <c r="F138" i="18"/>
  <c r="F139" i="18"/>
  <c r="F140" i="18"/>
  <c r="F141" i="18"/>
  <c r="F142" i="18"/>
  <c r="F143" i="18"/>
  <c r="F144" i="18"/>
  <c r="F145" i="18"/>
  <c r="F146" i="18"/>
  <c r="F147" i="18"/>
  <c r="F148" i="18"/>
  <c r="F149" i="18"/>
  <c r="F150" i="18"/>
  <c r="F151" i="18"/>
  <c r="F152" i="18"/>
  <c r="F153" i="18"/>
  <c r="F154" i="18"/>
  <c r="F155" i="18"/>
  <c r="F156" i="18"/>
  <c r="F157" i="18"/>
  <c r="F158" i="18"/>
  <c r="F159" i="18"/>
  <c r="F160" i="18"/>
  <c r="F161" i="18"/>
  <c r="F162" i="18"/>
  <c r="F163" i="18"/>
  <c r="F164" i="18"/>
  <c r="F165" i="18"/>
  <c r="F166" i="18"/>
  <c r="F167" i="18"/>
  <c r="F168" i="18"/>
  <c r="F169" i="18"/>
  <c r="F170" i="18"/>
  <c r="F171" i="18"/>
  <c r="F172" i="18"/>
  <c r="F173" i="18"/>
  <c r="F174" i="18"/>
  <c r="F175" i="18"/>
  <c r="F176" i="18"/>
  <c r="F177" i="18"/>
  <c r="F178" i="18"/>
  <c r="F179" i="18"/>
  <c r="F180" i="18"/>
  <c r="F181" i="18"/>
  <c r="F182" i="18"/>
  <c r="F183" i="18"/>
  <c r="F186" i="18"/>
  <c r="F187" i="18"/>
  <c r="F188" i="18"/>
  <c r="F189" i="18"/>
  <c r="F190" i="18"/>
  <c r="F191" i="18"/>
  <c r="F192" i="18"/>
  <c r="F193" i="18"/>
  <c r="F194" i="18"/>
  <c r="F195" i="18"/>
  <c r="F196" i="18"/>
  <c r="F197" i="18"/>
  <c r="F198" i="18"/>
  <c r="F199" i="18"/>
  <c r="F200" i="18"/>
  <c r="F201" i="18"/>
  <c r="F202" i="18"/>
  <c r="F203" i="18"/>
  <c r="F204" i="18"/>
  <c r="F205" i="18"/>
  <c r="F206" i="18"/>
  <c r="F207" i="18"/>
  <c r="F208" i="18"/>
  <c r="F209" i="18"/>
  <c r="E7" i="18"/>
  <c r="E8" i="18"/>
  <c r="E10" i="18"/>
  <c r="E11" i="18"/>
  <c r="E12" i="18"/>
  <c r="E13" i="18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E53" i="18"/>
  <c r="E54" i="18"/>
  <c r="E55" i="18"/>
  <c r="E56" i="18"/>
  <c r="E57" i="18"/>
  <c r="E58" i="18"/>
  <c r="E59" i="18"/>
  <c r="E60" i="18"/>
  <c r="E61" i="18"/>
  <c r="E62" i="18"/>
  <c r="E63" i="18"/>
  <c r="E64" i="18"/>
  <c r="E65" i="18"/>
  <c r="E66" i="18"/>
  <c r="E67" i="18"/>
  <c r="E68" i="18"/>
  <c r="E69" i="18"/>
  <c r="E70" i="18"/>
  <c r="E71" i="18"/>
  <c r="E72" i="18"/>
  <c r="E73" i="18"/>
  <c r="E74" i="18"/>
  <c r="E75" i="18"/>
  <c r="E76" i="18"/>
  <c r="E77" i="18"/>
  <c r="E78" i="18"/>
  <c r="E79" i="18"/>
  <c r="E80" i="18"/>
  <c r="E81" i="18"/>
  <c r="E82" i="18"/>
  <c r="E83" i="18"/>
  <c r="E84" i="18"/>
  <c r="E85" i="18"/>
  <c r="E86" i="18"/>
  <c r="E87" i="18"/>
  <c r="E88" i="18"/>
  <c r="E89" i="18"/>
  <c r="E90" i="18"/>
  <c r="E91" i="18"/>
  <c r="E92" i="18"/>
  <c r="E93" i="18"/>
  <c r="E94" i="18"/>
  <c r="E95" i="18"/>
  <c r="E96" i="18"/>
  <c r="E97" i="18"/>
  <c r="E98" i="18"/>
  <c r="E99" i="18"/>
  <c r="E100" i="18"/>
  <c r="E101" i="18"/>
  <c r="E102" i="18"/>
  <c r="E103" i="18"/>
  <c r="E104" i="18"/>
  <c r="E105" i="18"/>
  <c r="E106" i="18"/>
  <c r="E107" i="18"/>
  <c r="E108" i="18"/>
  <c r="E109" i="18"/>
  <c r="E110" i="18"/>
  <c r="E111" i="18"/>
  <c r="E112" i="18"/>
  <c r="E113" i="18"/>
  <c r="E114" i="18"/>
  <c r="E115" i="18"/>
  <c r="E116" i="18"/>
  <c r="E117" i="18"/>
  <c r="E118" i="18"/>
  <c r="E119" i="18"/>
  <c r="E120" i="18"/>
  <c r="E121" i="18"/>
  <c r="E122" i="18"/>
  <c r="E123" i="18"/>
  <c r="E124" i="18"/>
  <c r="E125" i="18"/>
  <c r="E126" i="18"/>
  <c r="E127" i="18"/>
  <c r="E128" i="18"/>
  <c r="E129" i="18"/>
  <c r="E130" i="18"/>
  <c r="E131" i="18"/>
  <c r="E132" i="18"/>
  <c r="E133" i="18"/>
  <c r="E134" i="18"/>
  <c r="E135" i="18"/>
  <c r="E136" i="18"/>
  <c r="E138" i="18"/>
  <c r="E139" i="18"/>
  <c r="E140" i="18"/>
  <c r="E141" i="18"/>
  <c r="E142" i="18"/>
  <c r="E143" i="18"/>
  <c r="E144" i="18"/>
  <c r="E145" i="18"/>
  <c r="E146" i="18"/>
  <c r="E147" i="18"/>
  <c r="E148" i="18"/>
  <c r="E149" i="18"/>
  <c r="E150" i="18"/>
  <c r="E151" i="18"/>
  <c r="E152" i="18"/>
  <c r="E153" i="18"/>
  <c r="E154" i="18"/>
  <c r="E155" i="18"/>
  <c r="E156" i="18"/>
  <c r="E157" i="18"/>
  <c r="E158" i="18"/>
  <c r="E159" i="18"/>
  <c r="E160" i="18"/>
  <c r="E161" i="18"/>
  <c r="E162" i="18"/>
  <c r="E163" i="18"/>
  <c r="E164" i="18"/>
  <c r="E165" i="18"/>
  <c r="E166" i="18"/>
  <c r="E167" i="18"/>
  <c r="E168" i="18"/>
  <c r="E169" i="18"/>
  <c r="E170" i="18"/>
  <c r="E171" i="18"/>
  <c r="E172" i="18"/>
  <c r="E173" i="18"/>
  <c r="E174" i="18"/>
  <c r="E175" i="18"/>
  <c r="E176" i="18"/>
  <c r="E177" i="18"/>
  <c r="E178" i="18"/>
  <c r="E179" i="18"/>
  <c r="E180" i="18"/>
  <c r="E181" i="18"/>
  <c r="E182" i="18"/>
  <c r="E183" i="18"/>
  <c r="E184" i="18"/>
  <c r="E185" i="18"/>
  <c r="E186" i="18"/>
  <c r="E187" i="18"/>
  <c r="E188" i="18"/>
  <c r="E189" i="18"/>
  <c r="E190" i="18"/>
  <c r="E191" i="18"/>
  <c r="E192" i="18"/>
  <c r="E193" i="18"/>
  <c r="E194" i="18"/>
  <c r="E195" i="18"/>
  <c r="E196" i="18"/>
  <c r="E197" i="18"/>
  <c r="E198" i="18"/>
  <c r="E199" i="18"/>
  <c r="E200" i="18"/>
  <c r="E201" i="18"/>
  <c r="E202" i="18"/>
  <c r="E203" i="18"/>
  <c r="E204" i="18"/>
  <c r="E205" i="18"/>
  <c r="E206" i="18"/>
  <c r="E207" i="18"/>
  <c r="E208" i="18"/>
  <c r="E209" i="18"/>
  <c r="E6" i="18"/>
  <c r="G12" i="18"/>
  <c r="G11" i="18"/>
  <c r="F12" i="18"/>
  <c r="F11" i="18"/>
  <c r="F10" i="18"/>
  <c r="F67" i="18"/>
  <c r="G66" i="18"/>
  <c r="G67" i="18"/>
  <c r="F8" i="18"/>
  <c r="F66" i="18"/>
  <c r="C49" i="6" l="1"/>
  <c r="C48" i="6"/>
  <c r="C47" i="6"/>
  <c r="C46" i="6"/>
  <c r="C45" i="6"/>
  <c r="C44" i="6"/>
  <c r="E48" i="6"/>
  <c r="E47" i="6"/>
  <c r="E46" i="6"/>
  <c r="E45" i="6"/>
  <c r="E44" i="6"/>
  <c r="B3" i="6" l="1"/>
  <c r="B2" i="6"/>
  <c r="B3" i="13"/>
  <c r="B2" i="13"/>
  <c r="B14" i="12"/>
  <c r="J44" i="13" l="1"/>
  <c r="H26" i="13" l="1"/>
  <c r="H25" i="13"/>
  <c r="G184" i="18" l="1"/>
  <c r="G185" i="18"/>
  <c r="F184" i="18"/>
  <c r="F185" i="18"/>
  <c r="E39" i="7"/>
  <c r="J25" i="13"/>
  <c r="J32" i="13" l="1"/>
  <c r="C65" i="6"/>
  <c r="C66" i="6"/>
  <c r="G7" i="11" l="1"/>
  <c r="G8" i="11"/>
  <c r="G9" i="11"/>
  <c r="G10" i="11"/>
  <c r="G11" i="11"/>
  <c r="G12" i="11"/>
  <c r="G13" i="11"/>
  <c r="G14" i="11"/>
  <c r="G15" i="11"/>
  <c r="G16" i="11"/>
  <c r="G17" i="11"/>
  <c r="G18" i="11"/>
  <c r="G19" i="11"/>
  <c r="G6" i="11"/>
  <c r="K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6" i="11"/>
  <c r="L17" i="11" a="1"/>
  <c r="L16" i="11" a="1"/>
  <c r="L6" i="11" a="1"/>
  <c r="L12" i="11" a="1"/>
  <c r="L10" i="11" a="1"/>
  <c r="L7" i="11" a="1"/>
  <c r="L14" i="11" a="1"/>
  <c r="L18" i="11" a="1"/>
  <c r="L15" i="11" a="1"/>
  <c r="L11" i="11" a="1"/>
  <c r="L8" i="11" a="1"/>
  <c r="L19" i="11" a="1"/>
  <c r="L13" i="11" a="1"/>
  <c r="L9" i="11" a="1"/>
  <c r="L19" i="11" l="1"/>
  <c r="L8" i="11"/>
  <c r="L17" i="11"/>
  <c r="L15" i="11"/>
  <c r="L13" i="11"/>
  <c r="L11" i="11"/>
  <c r="L18" i="11"/>
  <c r="L16" i="11"/>
  <c r="L7" i="11"/>
  <c r="L10" i="11"/>
  <c r="L6" i="11"/>
  <c r="L9" i="11"/>
  <c r="L14" i="11"/>
  <c r="L12" i="11"/>
  <c r="B3" i="16"/>
  <c r="B2" i="16"/>
  <c r="B3" i="10"/>
  <c r="B2" i="10"/>
  <c r="B3" i="7"/>
  <c r="B2" i="7"/>
  <c r="C16" i="16" l="1"/>
  <c r="C17" i="16"/>
  <c r="C18" i="16"/>
  <c r="C20" i="16"/>
  <c r="C21" i="16"/>
  <c r="C25" i="16"/>
  <c r="C26" i="16"/>
  <c r="C27" i="16"/>
  <c r="C28" i="16"/>
  <c r="C30" i="16"/>
  <c r="C31" i="16"/>
  <c r="C32" i="16"/>
  <c r="C34" i="16"/>
  <c r="C35" i="16"/>
  <c r="C36" i="16"/>
  <c r="C37" i="16"/>
  <c r="C38" i="16"/>
  <c r="C39" i="16"/>
  <c r="C40" i="16"/>
  <c r="C42" i="16"/>
  <c r="C43" i="16"/>
  <c r="C44" i="16"/>
  <c r="C45" i="16"/>
  <c r="C46" i="16"/>
  <c r="C47" i="16"/>
  <c r="C49" i="16"/>
  <c r="C50" i="16"/>
  <c r="C51" i="16"/>
  <c r="C52" i="16"/>
  <c r="C53" i="16"/>
  <c r="C54" i="16"/>
  <c r="C24" i="16"/>
  <c r="C22" i="16"/>
  <c r="A14" i="17" l="1" a="1"/>
  <c r="A14" i="17" s="1"/>
  <c r="A15" i="17" a="1"/>
  <c r="A15" i="17" s="1"/>
  <c r="A16" i="17" a="1"/>
  <c r="A16" i="17" s="1"/>
  <c r="A17" i="17" a="1"/>
  <c r="A17" i="17" s="1"/>
  <c r="A18" i="17" a="1"/>
  <c r="A18" i="17" s="1"/>
  <c r="A19" i="17" a="1"/>
  <c r="A19" i="17" s="1"/>
  <c r="A20" i="17" a="1"/>
  <c r="A20" i="17" s="1"/>
  <c r="A21" i="17" a="1"/>
  <c r="A21" i="17" s="1"/>
  <c r="A22" i="17" a="1"/>
  <c r="A22" i="17" s="1"/>
  <c r="A23" i="17" a="1"/>
  <c r="A23" i="17" s="1"/>
  <c r="A24" i="17" a="1"/>
  <c r="A24" i="17" s="1"/>
  <c r="A25" i="17" a="1"/>
  <c r="A25" i="17" s="1"/>
  <c r="A26" i="17" a="1"/>
  <c r="A26" i="17" s="1"/>
  <c r="A27" i="17" a="1"/>
  <c r="A27" i="17" s="1"/>
  <c r="A28" i="17" a="1"/>
  <c r="A28" i="17" s="1"/>
  <c r="A29" i="17" a="1"/>
  <c r="A29" i="17" s="1"/>
  <c r="A30" i="17" a="1"/>
  <c r="A30" i="17" s="1"/>
  <c r="A31" i="17" a="1"/>
  <c r="A31" i="17" s="1"/>
  <c r="A32" i="17" a="1"/>
  <c r="A32" i="17" s="1"/>
  <c r="A33" i="17" a="1"/>
  <c r="A33" i="17" s="1"/>
  <c r="A34" i="17" a="1"/>
  <c r="A34" i="17" s="1"/>
  <c r="A35" i="17" a="1"/>
  <c r="A35" i="17" s="1"/>
  <c r="A36" i="17" a="1"/>
  <c r="A36" i="17" s="1"/>
  <c r="A37" i="17" a="1"/>
  <c r="A37" i="17" s="1"/>
  <c r="A38" i="17" a="1"/>
  <c r="A38" i="17" s="1"/>
  <c r="A39" i="17" a="1"/>
  <c r="A39" i="17" s="1"/>
  <c r="A40" i="17" a="1"/>
  <c r="A40" i="17" s="1"/>
  <c r="A41" i="17" a="1"/>
  <c r="A41" i="17" s="1"/>
  <c r="A42" i="17" a="1"/>
  <c r="A42" i="17" s="1"/>
  <c r="A43" i="17" a="1"/>
  <c r="A43" i="17" s="1"/>
  <c r="A44" i="17" a="1"/>
  <c r="A44" i="17" s="1"/>
  <c r="A4" i="17" a="1"/>
  <c r="A4" i="17" s="1"/>
  <c r="A5" i="17" a="1"/>
  <c r="A5" i="17" s="1"/>
  <c r="A6" i="17" a="1"/>
  <c r="A6" i="17" s="1"/>
  <c r="A7" i="17" a="1"/>
  <c r="A7" i="17" s="1"/>
  <c r="A8" i="17" a="1"/>
  <c r="A8" i="17" s="1"/>
  <c r="A9" i="17" a="1"/>
  <c r="A9" i="17" s="1"/>
  <c r="A10" i="17" a="1"/>
  <c r="A10" i="17" s="1"/>
  <c r="A11" i="17" a="1"/>
  <c r="A11" i="17" s="1"/>
  <c r="A12" i="17" a="1"/>
  <c r="A12" i="17" s="1"/>
  <c r="A13" i="17" a="1"/>
  <c r="A13" i="17" s="1"/>
  <c r="A3" i="17" a="1"/>
  <c r="A3" i="17" s="1"/>
  <c r="A2" i="17" a="1"/>
  <c r="A2" i="17" s="1"/>
  <c r="I82" i="15" l="1"/>
  <c r="I83" i="15"/>
  <c r="I52" i="15"/>
  <c r="I48" i="15"/>
  <c r="I44" i="15"/>
  <c r="I40" i="15"/>
  <c r="I59" i="15"/>
  <c r="I55" i="15"/>
  <c r="I70" i="15"/>
  <c r="I66" i="15"/>
  <c r="I62" i="15"/>
  <c r="I73" i="15"/>
  <c r="I75" i="15"/>
  <c r="I121" i="15"/>
  <c r="I117" i="15"/>
  <c r="I113" i="15"/>
  <c r="I109" i="15"/>
  <c r="I105" i="15"/>
  <c r="I101" i="15"/>
  <c r="I97" i="15"/>
  <c r="I93" i="15"/>
  <c r="I89" i="15"/>
  <c r="I85" i="15"/>
  <c r="I36" i="15"/>
  <c r="I51" i="15"/>
  <c r="I47" i="15"/>
  <c r="I43" i="15"/>
  <c r="I39" i="15"/>
  <c r="I58" i="15"/>
  <c r="I69" i="15"/>
  <c r="I65" i="15"/>
  <c r="I61" i="15"/>
  <c r="I78" i="15"/>
  <c r="I81" i="15"/>
  <c r="I120" i="15"/>
  <c r="I116" i="15"/>
  <c r="I112" i="15"/>
  <c r="I108" i="15"/>
  <c r="I104" i="15"/>
  <c r="I100" i="15"/>
  <c r="I96" i="15"/>
  <c r="I92" i="15"/>
  <c r="I88" i="15"/>
  <c r="I84" i="15"/>
  <c r="I54" i="15"/>
  <c r="I50" i="15"/>
  <c r="I46" i="15"/>
  <c r="I42" i="15"/>
  <c r="I38" i="15"/>
  <c r="I57" i="15"/>
  <c r="I72" i="15"/>
  <c r="I68" i="15"/>
  <c r="I64" i="15"/>
  <c r="I60" i="15"/>
  <c r="I77" i="15"/>
  <c r="I123" i="15"/>
  <c r="I119" i="15"/>
  <c r="I115" i="15"/>
  <c r="I111" i="15"/>
  <c r="I107" i="15"/>
  <c r="I103" i="15"/>
  <c r="I99" i="15"/>
  <c r="I95" i="15"/>
  <c r="I91" i="15"/>
  <c r="I87" i="15"/>
  <c r="I53" i="15"/>
  <c r="I49" i="15"/>
  <c r="I45" i="15"/>
  <c r="I41" i="15"/>
  <c r="I37" i="15"/>
  <c r="I56" i="15"/>
  <c r="I71" i="15"/>
  <c r="I67" i="15"/>
  <c r="I63" i="15"/>
  <c r="I74" i="15"/>
  <c r="I76" i="15"/>
  <c r="I122" i="15"/>
  <c r="I118" i="15"/>
  <c r="I114" i="15"/>
  <c r="I110" i="15"/>
  <c r="I106" i="15"/>
  <c r="I102" i="15"/>
  <c r="I98" i="15"/>
  <c r="I94" i="15"/>
  <c r="I90" i="15"/>
  <c r="I86" i="15"/>
  <c r="C156" i="6" l="1"/>
  <c r="D155" i="6"/>
  <c r="D154" i="6"/>
  <c r="D153" i="6"/>
  <c r="D152" i="6"/>
  <c r="D151" i="6"/>
  <c r="D150" i="6"/>
  <c r="D149" i="6"/>
  <c r="D148" i="6"/>
  <c r="D147" i="6"/>
  <c r="D146" i="6"/>
  <c r="D145" i="6"/>
  <c r="D144" i="6"/>
  <c r="D143" i="6"/>
  <c r="D142" i="6"/>
  <c r="D141" i="6"/>
  <c r="D140" i="6"/>
  <c r="D139" i="6"/>
  <c r="D138" i="6"/>
  <c r="D137" i="6"/>
  <c r="D136" i="6"/>
  <c r="D135" i="6"/>
  <c r="D134" i="6"/>
  <c r="D133" i="6"/>
  <c r="D132" i="6"/>
  <c r="D131" i="6"/>
  <c r="D130" i="6"/>
  <c r="D129" i="6"/>
  <c r="D128" i="6"/>
  <c r="D127" i="6"/>
  <c r="D126" i="6"/>
  <c r="D125" i="6"/>
  <c r="D124" i="6"/>
  <c r="D123" i="6"/>
  <c r="D122" i="6"/>
  <c r="D121" i="6"/>
  <c r="D120" i="6"/>
  <c r="D116" i="6"/>
  <c r="D115" i="6"/>
  <c r="D114" i="6"/>
  <c r="D113" i="6"/>
  <c r="D112" i="6"/>
  <c r="D111" i="6"/>
  <c r="D110" i="6"/>
  <c r="D109" i="6"/>
  <c r="D108" i="6"/>
  <c r="D107" i="6"/>
  <c r="D106" i="6"/>
  <c r="D105" i="6"/>
  <c r="D104" i="6"/>
  <c r="D103" i="6"/>
  <c r="D102" i="6"/>
  <c r="D101" i="6"/>
  <c r="D100" i="6"/>
  <c r="D99" i="6"/>
  <c r="D98" i="6"/>
  <c r="D97" i="6"/>
  <c r="D96" i="6"/>
  <c r="D95" i="6"/>
  <c r="D94" i="6"/>
  <c r="D93" i="6"/>
  <c r="D92" i="6"/>
  <c r="D91" i="6"/>
  <c r="D90" i="6"/>
  <c r="D89" i="6"/>
  <c r="D88" i="6"/>
  <c r="D87" i="6"/>
  <c r="D86" i="6"/>
  <c r="D85" i="6"/>
  <c r="D84" i="6"/>
  <c r="D83" i="6"/>
  <c r="D82" i="6"/>
  <c r="D81" i="6"/>
  <c r="C64" i="6"/>
  <c r="C63" i="6"/>
  <c r="C62" i="6"/>
  <c r="C61" i="6"/>
  <c r="C60" i="6"/>
  <c r="C59" i="6"/>
  <c r="C58" i="6"/>
  <c r="C57" i="6"/>
  <c r="C56" i="6"/>
  <c r="C55" i="6"/>
  <c r="C54" i="6"/>
  <c r="C40" i="6"/>
  <c r="C30" i="6"/>
  <c r="C29" i="6"/>
  <c r="I28" i="15"/>
  <c r="I27" i="15"/>
  <c r="B28" i="15"/>
  <c r="B27" i="15"/>
  <c r="B37" i="15"/>
  <c r="B39" i="15"/>
  <c r="B40" i="15"/>
  <c r="B41" i="15"/>
  <c r="B42" i="15"/>
  <c r="B43" i="15"/>
  <c r="B44" i="15"/>
  <c r="B45" i="15"/>
  <c r="B46" i="15" s="1"/>
  <c r="H54" i="7"/>
  <c r="H53" i="7"/>
  <c r="H56" i="7"/>
  <c r="H55" i="7"/>
  <c r="C141" i="6"/>
  <c r="C133" i="6"/>
  <c r="C143" i="6"/>
  <c r="C123" i="6"/>
  <c r="C125" i="6"/>
  <c r="C153" i="6"/>
  <c r="C136" i="6"/>
  <c r="C127" i="6"/>
  <c r="C126" i="6"/>
  <c r="C145" i="6"/>
  <c r="C129" i="6"/>
  <c r="C155" i="6"/>
  <c r="C135" i="6"/>
  <c r="C144" i="6"/>
  <c r="C128" i="6"/>
  <c r="C138" i="6"/>
  <c r="C139" i="6"/>
  <c r="C122" i="6"/>
  <c r="C149" i="6"/>
  <c r="C146" i="6"/>
  <c r="C132" i="6"/>
  <c r="C151" i="6"/>
  <c r="C147" i="6"/>
  <c r="C130" i="6"/>
  <c r="C150" i="6"/>
  <c r="C137" i="6"/>
  <c r="C152" i="6"/>
  <c r="C134" i="6"/>
  <c r="C131" i="6"/>
  <c r="C142" i="6"/>
  <c r="C121" i="6"/>
  <c r="C154" i="6"/>
  <c r="C120" i="6"/>
  <c r="C148" i="6"/>
  <c r="C140" i="6"/>
  <c r="C124" i="6"/>
  <c r="C53" i="6"/>
  <c r="C92" i="6"/>
  <c r="C83" i="6"/>
  <c r="C96" i="6"/>
  <c r="C113" i="6"/>
  <c r="C99" i="6"/>
  <c r="D118" i="6"/>
  <c r="C82" i="6"/>
  <c r="C110" i="6"/>
  <c r="C111" i="6"/>
  <c r="C91" i="6"/>
  <c r="C105" i="6"/>
  <c r="C102" i="6"/>
  <c r="C85" i="6"/>
  <c r="C115" i="6"/>
  <c r="C98" i="6"/>
  <c r="C86" i="6"/>
  <c r="C106" i="6"/>
  <c r="C100" i="6"/>
  <c r="C52" i="6"/>
  <c r="C112" i="6"/>
  <c r="C101" i="6"/>
  <c r="C95" i="6"/>
  <c r="C87" i="6"/>
  <c r="D117" i="6"/>
  <c r="C97" i="6"/>
  <c r="C89" i="6"/>
  <c r="C109" i="6"/>
  <c r="C104" i="6"/>
  <c r="C107" i="6"/>
  <c r="C81" i="6"/>
  <c r="C93" i="6"/>
  <c r="C103" i="6"/>
  <c r="C116" i="6"/>
  <c r="C108" i="6"/>
  <c r="C114" i="6"/>
  <c r="C84" i="6"/>
  <c r="C88" i="6"/>
  <c r="C94" i="6"/>
  <c r="C90" i="6"/>
  <c r="Q7" i="11" l="1"/>
  <c r="Q8" i="11"/>
  <c r="Q9" i="11"/>
  <c r="Q10" i="11"/>
  <c r="Q11" i="11"/>
  <c r="Q12" i="11"/>
  <c r="Q13" i="11"/>
  <c r="Q14" i="11"/>
  <c r="Q15" i="11"/>
  <c r="Q16" i="11"/>
  <c r="Q17" i="11"/>
  <c r="Q18" i="11"/>
  <c r="Q19" i="11"/>
  <c r="Q6" i="11"/>
  <c r="F7" i="11" l="1"/>
  <c r="F8" i="11"/>
  <c r="F9" i="11"/>
  <c r="F10" i="11"/>
  <c r="F11" i="11"/>
  <c r="F12" i="11"/>
  <c r="F13" i="11"/>
  <c r="F14" i="11"/>
  <c r="F15" i="11"/>
  <c r="F16" i="11"/>
  <c r="F17" i="11"/>
  <c r="F18" i="11"/>
  <c r="F19" i="11"/>
  <c r="F6" i="11"/>
  <c r="D18" i="7" l="1"/>
  <c r="D19" i="7" s="1"/>
  <c r="D20" i="7" s="1"/>
  <c r="T6" i="11"/>
  <c r="H43" i="13" l="1"/>
  <c r="H42" i="13"/>
  <c r="H41" i="13"/>
  <c r="H40" i="13"/>
  <c r="H39" i="13"/>
  <c r="H38" i="13"/>
  <c r="H37" i="13"/>
  <c r="H36" i="13"/>
  <c r="H35" i="13"/>
  <c r="H34" i="13"/>
  <c r="H33" i="13"/>
  <c r="H32" i="13"/>
  <c r="H31" i="13"/>
  <c r="H30" i="13"/>
  <c r="H29" i="13"/>
  <c r="H28" i="13"/>
  <c r="H27" i="13"/>
  <c r="J19" i="11" l="1"/>
  <c r="B7" i="11" l="1"/>
  <c r="B8" i="11"/>
  <c r="B9" i="11"/>
  <c r="B10" i="11"/>
  <c r="B11" i="11"/>
  <c r="B12" i="11"/>
  <c r="B13" i="11"/>
  <c r="B14" i="11"/>
  <c r="B15" i="11"/>
  <c r="B16" i="11"/>
  <c r="B17" i="11"/>
  <c r="B18" i="11"/>
  <c r="B19" i="11"/>
  <c r="V19" i="11" s="1"/>
  <c r="B6" i="11"/>
  <c r="J43" i="13"/>
  <c r="V18" i="11" l="1"/>
  <c r="V16" i="11"/>
  <c r="V17" i="11"/>
  <c r="V15" i="11"/>
  <c r="V14" i="11"/>
  <c r="V6" i="11"/>
  <c r="V13" i="11"/>
  <c r="V9" i="11"/>
  <c r="V7" i="11"/>
  <c r="V10" i="11"/>
  <c r="V12" i="11"/>
  <c r="V8" i="11"/>
  <c r="V11" i="11"/>
  <c r="J42" i="13"/>
  <c r="J41" i="13"/>
  <c r="J40" i="13"/>
  <c r="J39" i="13"/>
  <c r="J38" i="13"/>
  <c r="J37" i="13"/>
  <c r="J36" i="13"/>
  <c r="J35" i="13"/>
  <c r="J34" i="13"/>
  <c r="J33" i="13"/>
  <c r="J31" i="13"/>
  <c r="J30" i="13"/>
  <c r="J29" i="13"/>
  <c r="J28" i="13"/>
  <c r="J27" i="13"/>
  <c r="D21" i="7"/>
  <c r="D22" i="7" s="1"/>
  <c r="D23" i="7" s="1"/>
  <c r="D24" i="7" s="1"/>
  <c r="D53" i="7"/>
  <c r="D54" i="7" s="1"/>
  <c r="D55" i="7" s="1"/>
  <c r="D56" i="7" s="1"/>
  <c r="M19" i="11"/>
  <c r="P7" i="11"/>
  <c r="P8" i="11"/>
  <c r="P9" i="11"/>
  <c r="P10" i="11"/>
  <c r="P11" i="11"/>
  <c r="P12" i="11"/>
  <c r="P13" i="11"/>
  <c r="P14" i="11"/>
  <c r="P15" i="11"/>
  <c r="P16" i="11"/>
  <c r="P17" i="11"/>
  <c r="P18" i="11"/>
  <c r="P19" i="11"/>
  <c r="P6" i="11"/>
  <c r="O7" i="11"/>
  <c r="O8" i="11"/>
  <c r="O9" i="11"/>
  <c r="O10" i="11"/>
  <c r="O11" i="11"/>
  <c r="O12" i="11"/>
  <c r="O13" i="11"/>
  <c r="O14" i="11"/>
  <c r="O15" i="11"/>
  <c r="O16" i="11"/>
  <c r="O17" i="11"/>
  <c r="O18" i="11"/>
  <c r="O19" i="11"/>
  <c r="O6" i="11"/>
  <c r="N7" i="11"/>
  <c r="N8" i="11"/>
  <c r="N9" i="11"/>
  <c r="N10" i="11"/>
  <c r="N11" i="11"/>
  <c r="N12" i="11"/>
  <c r="N13" i="11"/>
  <c r="N14" i="11"/>
  <c r="N15" i="11"/>
  <c r="N16" i="11"/>
  <c r="N17" i="11"/>
  <c r="N18" i="11"/>
  <c r="N19" i="11"/>
  <c r="N6" i="11"/>
  <c r="D10" i="11"/>
  <c r="D14" i="11"/>
  <c r="D18" i="11"/>
  <c r="C10" i="11"/>
  <c r="C14" i="11"/>
  <c r="C18" i="11"/>
  <c r="H6" i="11"/>
  <c r="E10" i="11"/>
  <c r="E14" i="11"/>
  <c r="E18" i="11"/>
  <c r="C8" i="11"/>
  <c r="C16" i="11"/>
  <c r="E8" i="11"/>
  <c r="E16" i="11"/>
  <c r="D11" i="11"/>
  <c r="D19" i="11"/>
  <c r="C7" i="11"/>
  <c r="C11" i="11"/>
  <c r="C19" i="11"/>
  <c r="E11" i="11"/>
  <c r="E19" i="11"/>
  <c r="D9" i="11"/>
  <c r="D13" i="11"/>
  <c r="D17" i="11"/>
  <c r="C9" i="11"/>
  <c r="C13" i="11"/>
  <c r="C17" i="11"/>
  <c r="I6" i="11"/>
  <c r="E9" i="11"/>
  <c r="E13" i="11"/>
  <c r="E17" i="11"/>
  <c r="D8" i="11"/>
  <c r="D12" i="11"/>
  <c r="D16" i="11"/>
  <c r="D6" i="11"/>
  <c r="C12" i="11"/>
  <c r="C6" i="11"/>
  <c r="E12" i="11"/>
  <c r="E6" i="11"/>
  <c r="D7" i="11"/>
  <c r="D15" i="11"/>
  <c r="C15" i="11"/>
  <c r="E7" i="11"/>
  <c r="E15" i="11"/>
  <c r="D26" i="7" l="1"/>
  <c r="D27" i="7" s="1"/>
  <c r="D28" i="7" s="1"/>
  <c r="D29" i="7" s="1"/>
  <c r="D30" i="7" s="1"/>
  <c r="D31" i="7" s="1"/>
  <c r="H33" i="12"/>
  <c r="D45" i="7"/>
  <c r="D46" i="7" s="1"/>
  <c r="M7" i="11"/>
  <c r="M8" i="11"/>
  <c r="M9" i="11"/>
  <c r="M10" i="11"/>
  <c r="M11" i="11"/>
  <c r="M12" i="11"/>
  <c r="M13" i="11"/>
  <c r="M14" i="11"/>
  <c r="M15" i="11"/>
  <c r="M16" i="11"/>
  <c r="M17" i="11"/>
  <c r="M18" i="11"/>
  <c r="M6" i="11"/>
  <c r="J7" i="11"/>
  <c r="J8" i="11"/>
  <c r="J9" i="11"/>
  <c r="J10" i="11"/>
  <c r="J11" i="11"/>
  <c r="J12" i="11"/>
  <c r="J13" i="11"/>
  <c r="J14" i="11"/>
  <c r="J15" i="11"/>
  <c r="J16" i="11"/>
  <c r="J17" i="11"/>
  <c r="J18" i="11"/>
  <c r="J6" i="11"/>
  <c r="D37" i="7" l="1"/>
  <c r="D38" i="7" s="1"/>
  <c r="D39" i="7" s="1"/>
  <c r="H35" i="7" s="1"/>
</calcChain>
</file>

<file path=xl/sharedStrings.xml><?xml version="1.0" encoding="utf-8"?>
<sst xmlns="http://schemas.openxmlformats.org/spreadsheetml/2006/main" count="1171" uniqueCount="699">
  <si>
    <t>Value</t>
  </si>
  <si>
    <t>Memory Type</t>
  </si>
  <si>
    <t>Revision</t>
  </si>
  <si>
    <t>Release Date</t>
  </si>
  <si>
    <t>Author</t>
  </si>
  <si>
    <t>Description</t>
  </si>
  <si>
    <t>Units</t>
  </si>
  <si>
    <t>-</t>
  </si>
  <si>
    <t>MHz</t>
  </si>
  <si>
    <t>Min</t>
  </si>
  <si>
    <t>Max</t>
  </si>
  <si>
    <t>Bits</t>
  </si>
  <si>
    <t>Gb</t>
  </si>
  <si>
    <t>Signal</t>
  </si>
  <si>
    <t>CLK</t>
  </si>
  <si>
    <t>Microstrip</t>
  </si>
  <si>
    <t>Stripline</t>
  </si>
  <si>
    <t>Rtt_Nom</t>
  </si>
  <si>
    <t>Detail</t>
  </si>
  <si>
    <t>DDR Memory Type</t>
  </si>
  <si>
    <t>DDR Memory Frequency</t>
  </si>
  <si>
    <t>TI SOC Part Number</t>
  </si>
  <si>
    <t>Density</t>
  </si>
  <si>
    <t>Width</t>
  </si>
  <si>
    <t>ntCK</t>
  </si>
  <si>
    <t>SOC Part #</t>
  </si>
  <si>
    <t>Speed Bin: Data Rate</t>
  </si>
  <si>
    <t>Frequency</t>
  </si>
  <si>
    <t>Data Rate</t>
  </si>
  <si>
    <t>CL</t>
  </si>
  <si>
    <t>Leveling Technique: "S/W" or "H/W"</t>
  </si>
  <si>
    <t>Memory Details</t>
  </si>
  <si>
    <t>Memory Config Details</t>
  </si>
  <si>
    <t>Driver Imp</t>
  </si>
  <si>
    <t>Rtt_Wr</t>
  </si>
  <si>
    <t>This worksheet is for TI internal purposes only. Do not modify this worksheet.</t>
  </si>
  <si>
    <t>Output Driver Impedance</t>
  </si>
  <si>
    <t>Ohms</t>
  </si>
  <si>
    <t>Required Chip Select Lines</t>
  </si>
  <si>
    <t>Chip Select Lines</t>
  </si>
  <si>
    <t>DRAMs Connected to EMIF1, Rank 0</t>
  </si>
  <si>
    <t>DRAMs Connected to EMIF1, Rank 1</t>
  </si>
  <si>
    <t>DRAMs Connected to EMIF2, Rank 0</t>
  </si>
  <si>
    <t>ODT / Rtt_Nom</t>
  </si>
  <si>
    <t>Dynamic ODT / Rtt_Wr</t>
  </si>
  <si>
    <t>ODT</t>
  </si>
  <si>
    <t>Slew Rate: Addr/Ctrl/Clk</t>
  </si>
  <si>
    <t>Slew Rate: Data/Strobe</t>
  </si>
  <si>
    <t>Output Driver Impedance: Addr/Ctrl/Clk</t>
  </si>
  <si>
    <t>Output Driver Impedance: Data/Strobe</t>
  </si>
  <si>
    <t>Required EMIF Interfaces</t>
  </si>
  <si>
    <t>Enable ECC (May not apply to all EMIFs)</t>
  </si>
  <si>
    <t>EMIFs</t>
  </si>
  <si>
    <t>DRAMs Connected to EMIF2, Rank 1</t>
  </si>
  <si>
    <t>CKE minimum pulse width</t>
  </si>
  <si>
    <t>tCKE</t>
  </si>
  <si>
    <t>tCK</t>
  </si>
  <si>
    <t>tRAS</t>
  </si>
  <si>
    <t>tRC</t>
  </si>
  <si>
    <t>Active to read or write delay</t>
  </si>
  <si>
    <t>tRCD</t>
  </si>
  <si>
    <t>tRFC</t>
  </si>
  <si>
    <t>Precharge command period</t>
  </si>
  <si>
    <t>tRP</t>
  </si>
  <si>
    <t>tRRD</t>
  </si>
  <si>
    <t>Write recovery time</t>
  </si>
  <si>
    <t>tWR</t>
  </si>
  <si>
    <t>tWTR</t>
  </si>
  <si>
    <t>tXP</t>
  </si>
  <si>
    <t>tRTP</t>
  </si>
  <si>
    <t>tZQCS</t>
  </si>
  <si>
    <t>Parameter</t>
  </si>
  <si>
    <t>tCKESR</t>
  </si>
  <si>
    <t>ns</t>
  </si>
  <si>
    <t>Datasheet Values</t>
  </si>
  <si>
    <t xml:space="preserve">                Directions:</t>
  </si>
  <si>
    <t>DQSn</t>
  </si>
  <si>
    <t>3A)</t>
  </si>
  <si>
    <t>Enter Values Here!</t>
  </si>
  <si>
    <t>tRAS (max)</t>
  </si>
  <si>
    <t>tREFI</t>
  </si>
  <si>
    <t>Active to Active/Refresh command period</t>
  </si>
  <si>
    <t>Active to Precharge command period</t>
  </si>
  <si>
    <t>Active to Precharge command period (Max Value)</t>
  </si>
  <si>
    <t>Refresh to Active/Refresh command period</t>
  </si>
  <si>
    <t>Average periodic refresh interval</t>
  </si>
  <si>
    <t>tREFI intervals</t>
  </si>
  <si>
    <t>Internal Read to Precharge command delay</t>
  </si>
  <si>
    <t>Internal Write to Read command delay</t>
  </si>
  <si>
    <t>Active Bank to Active Bank command period</t>
  </si>
  <si>
    <t>Exit power down mode to first valid command</t>
  </si>
  <si>
    <t>ZQ short calibration time</t>
  </si>
  <si>
    <t>Minimum CKE low width for Self Refresh entry to exit</t>
  </si>
  <si>
    <t>tXSNR/tXS</t>
  </si>
  <si>
    <t>tXSRD/tXSDLL</t>
  </si>
  <si>
    <t>Exit self refresh to commands not requiring a locked DLL</t>
  </si>
  <si>
    <t>Exit self refresh to commands requiring a locked DLL</t>
  </si>
  <si>
    <t>Enter in your specific system application details for all values. Recommended values are provided for steps 1C and 1D.</t>
  </si>
  <si>
    <t>1)</t>
  </si>
  <si>
    <t>2)</t>
  </si>
  <si>
    <t>3)</t>
  </si>
  <si>
    <t>4)</t>
  </si>
  <si>
    <t>Fill in the required parameters listed in tab 'Step1-SystemDetails'.</t>
  </si>
  <si>
    <t>Fill in the required parameters listed in tab 'Step2-BoardDetails'.</t>
  </si>
  <si>
    <t>Fill in the required parameters listed in tab 'Step3-DDRTimings'.</t>
  </si>
  <si>
    <t>2A)</t>
  </si>
  <si>
    <t>2B)</t>
  </si>
  <si>
    <t>2C)</t>
  </si>
  <si>
    <t>2D)</t>
  </si>
  <si>
    <t>Notes:</t>
  </si>
  <si>
    <t>Not each EMIF channel / rank will be accessible for every SOC. Refer to your SOC device data manual for further details.</t>
  </si>
  <si>
    <t>TEXAS INSTRUMENTS</t>
  </si>
  <si>
    <t>Microstrip' refers to the trace length in MILs routed on the outer PCB layers. 'Stripline' refers to the trace length in MILs routed on the inner PCB layers between two planes.</t>
  </si>
  <si>
    <t>Byte 0</t>
  </si>
  <si>
    <t>Byte 1</t>
  </si>
  <si>
    <t>Byte 2</t>
  </si>
  <si>
    <t>Byte 3</t>
  </si>
  <si>
    <t>Flight skew calculations assumes standard FR-4 material</t>
  </si>
  <si>
    <t>PCB Trace Length in MILs (1/1000 inch)</t>
  </si>
  <si>
    <t>CLICK for diagram.</t>
  </si>
  <si>
    <t>RETURN</t>
  </si>
  <si>
    <t>For each byte lane, the clock trace length should be equal to the routing length from the SOC to the DDR memory associated with the DQSn signal.</t>
  </si>
  <si>
    <t>};</t>
  </si>
  <si>
    <t>Company / Board Name / Revision (Ex: TI_EVM_revC)</t>
  </si>
  <si>
    <t>/*</t>
  </si>
  <si>
    <t>#include "emif4d5_wrapper.h"</t>
  </si>
  <si>
    <t xml:space="preserve"> */</t>
  </si>
  <si>
    <t xml:space="preserve">                    1  Copy and paste the following text into a new source file and add to the project configuration.</t>
  </si>
  <si>
    <t>#include "emif_configurations.h"</t>
  </si>
  <si>
    <t>#include &lt;stddef.h&gt;</t>
  </si>
  <si>
    <t xml:space="preserve"> *  emif_configurations.c</t>
  </si>
  <si>
    <t>struct emif_cfg emif_configurations[] = {</t>
  </si>
  <si>
    <t xml:space="preserve">    },</t>
  </si>
  <si>
    <t xml:space="preserve">    {NULL, NULL, NULL, NULL, NULL, NULL, NULL, NULL}</t>
  </si>
  <si>
    <t xml:space="preserve"> *  emif_configurations.h</t>
  </si>
  <si>
    <t>#ifndef EMIF_CONFIGURATIONS_H_</t>
  </si>
  <si>
    <t>#define EMIF_CONFIGURATIONS_H_</t>
  </si>
  <si>
    <t>#endif /* EMIF_CONFIGURATIONS_H_ */</t>
  </si>
  <si>
    <t>SYS_CLK1 Frequency</t>
  </si>
  <si>
    <t xml:space="preserve">     Results: EMIF Register Configuration Values</t>
  </si>
  <si>
    <t xml:space="preserve"> * DLL Ratio Values are an estimate based on trace lengths. Either </t>
  </si>
  <si>
    <t xml:space="preserve"> * software leveling or hardware leveling should be performed to</t>
  </si>
  <si>
    <t xml:space="preserve"> * determine final DLL values.</t>
  </si>
  <si>
    <t>DDR Data Bus Width Per EMIF</t>
  </si>
  <si>
    <t>Fill in the trace lengths for the associated clock and data strobe signals for each appropriate EMIF channel / rank. Lengths should be measured in MILs (1/1000 in.)</t>
  </si>
  <si>
    <t>Leveling</t>
  </si>
  <si>
    <t>ECC</t>
  </si>
  <si>
    <t>EMIF IO SR</t>
  </si>
  <si>
    <t xml:space="preserve">    {"DRA75x_DDR3L_532MHz_TI_EVM_revG3",</t>
  </si>
  <si>
    <t xml:space="preserve">        1,</t>
  </si>
  <si>
    <t xml:space="preserve">        &amp;DRA75x_DDR3L_532MHz_TI_EVM_revG3_pll_params,</t>
  </si>
  <si>
    <t xml:space="preserve">        &amp;DRA75x_DDR3L_532MHz_TI_EVM_revG3_ctrl_ioregs,</t>
  </si>
  <si>
    <t xml:space="preserve">        &amp;DRA75x_DDR3L_532MHz_TI_EVM_revG3_dmm_regs,</t>
  </si>
  <si>
    <t xml:space="preserve">        &amp;DRA75x_DDR3L_532MHz_TI_EVM_revG3_emif_regs,</t>
  </si>
  <si>
    <t xml:space="preserve">        &amp;DRA75x_DDR3L_532MHz_TI_EVM_revG3_emif1_ext_phy_regs,</t>
  </si>
  <si>
    <t xml:space="preserve">        &amp;DRA75x_DDR3L_532MHz_TI_EVM_revG3_emif2_ext_phy_regs</t>
  </si>
  <si>
    <t xml:space="preserve">    {"DRA72x_DDR3L_666MHz_TI_EVM_revB",</t>
  </si>
  <si>
    <t xml:space="preserve">        0,</t>
  </si>
  <si>
    <t xml:space="preserve">        &amp;DRA72x_DDR3L_666MHz_TI_EVM_revB_pll_params,</t>
  </si>
  <si>
    <t xml:space="preserve">        &amp;DRA72x_DDR3L_666MHz_TI_EVM_revB_ctrl_ioregs,</t>
  </si>
  <si>
    <t xml:space="preserve">        &amp;DRA72x_DDR3L_666MHz_TI_EVM_revB_dmm_regs,</t>
  </si>
  <si>
    <t xml:space="preserve">        &amp;DRA72x_DDR3L_666MHz_TI_EVM_revB_emif_regs,</t>
  </si>
  <si>
    <t xml:space="preserve">        &amp;DRA72x_DDR3L_666MHz_TI_EVM_revB_emif1_ext_phy_regs,</t>
  </si>
  <si>
    <t xml:space="preserve">        &amp;DRA72x_DDR3L_666MHz_TI_EVM_revB_emif1_ext_phy_regs,  // Unused</t>
  </si>
  <si>
    <t xml:space="preserve">        &amp;TDA3x_DDR3L_532MHz_TI_EVM_revC2_ctrl_ioregs,</t>
  </si>
  <si>
    <t xml:space="preserve">        &amp;TDA3x_DDR3L_532MHz_TI_EVM_revC2_dmm_regs,</t>
  </si>
  <si>
    <t xml:space="preserve">        &amp;TDA3x_DDR3L_532MHz_TI_EVM_revC2_emif_regs,</t>
  </si>
  <si>
    <t xml:space="preserve">        &amp;TDA3x_DDR3L_532MHz_TI_EVM_revC2_emif1_ext_phy_regs,</t>
  </si>
  <si>
    <t xml:space="preserve">        &amp;TDA3x_DDR3L_532MHz_TI_EVM_revC2_emif1_ext_phy_regs,  // Unused</t>
  </si>
  <si>
    <t xml:space="preserve">    {"TDA3x_DDR3L_532MHz_TI_EVM_revC2",</t>
  </si>
  <si>
    <t xml:space="preserve">        &amp;TDA3x_DDR3L_532MHz_TI_EVM_revC2_pll_params,</t>
  </si>
  <si>
    <t xml:space="preserve"> *</t>
  </si>
  <si>
    <t>/* =========================================================================</t>
  </si>
  <si>
    <t xml:space="preserve"> *                  Texas Instruments Pre-Installed Options</t>
  </si>
  <si>
    <t xml:space="preserve"> * ========================================================================= */</t>
  </si>
  <si>
    <t xml:space="preserve"> *   All rights reserved. Property of Texas Instruments Incorporated.</t>
  </si>
  <si>
    <t xml:space="preserve"> *   Restricted rights to use, duplicate or disclose this code are</t>
  </si>
  <si>
    <t xml:space="preserve"> *   granted through contract.</t>
  </si>
  <si>
    <t xml:space="preserve"> *   The program may not be used without the written permission</t>
  </si>
  <si>
    <t xml:space="preserve"> *   of Texas Instruments Incorporated or against the terms and conditions</t>
  </si>
  <si>
    <t xml:space="preserve"> *   stipulated in the agreement under which this program has been</t>
  </si>
  <si>
    <t xml:space="preserve"> *   supplied.</t>
  </si>
  <si>
    <t>struct emif_cfg* emif_configurations[] = {</t>
  </si>
  <si>
    <t>~~~~~~~~ DROP DOWN MENU ~~~~~~~~</t>
  </si>
  <si>
    <t>{</t>
  </si>
  <si>
    <t>}</t>
  </si>
  <si>
    <t>TI Part Numbers:</t>
  </si>
  <si>
    <t>DDR Types:</t>
  </si>
  <si>
    <t>Load / Save User Defined Configurations</t>
  </si>
  <si>
    <t>Pre-defined Configurations</t>
  </si>
  <si>
    <t>Click push buttons to auto-populate worksheets per TI EVMs:</t>
  </si>
  <si>
    <r>
      <t>Workbook Supported Configurations</t>
    </r>
    <r>
      <rPr>
        <vertAlign val="superscript"/>
        <sz val="10"/>
        <color theme="0"/>
        <rFont val="Times New Roman"/>
        <family val="1"/>
      </rPr>
      <t>1</t>
    </r>
  </si>
  <si>
    <r>
      <t>Workbook Usage Notes</t>
    </r>
    <r>
      <rPr>
        <vertAlign val="superscript"/>
        <sz val="10"/>
        <color theme="0"/>
        <rFont val="Times New Roman"/>
        <family val="1"/>
      </rPr>
      <t>2</t>
    </r>
  </si>
  <si>
    <t>Workbook Limitations</t>
  </si>
  <si>
    <t xml:space="preserve">    1 - For further details on supported configurations of the TI processor, please review the corresponding datasheet of the TI part</t>
  </si>
  <si>
    <t>Save the configuration by pressing the 'Save User Config' push button above. Compile, load, and run the accompanying software.</t>
  </si>
  <si>
    <t>Save configurations by clicking the 'Save User Config' push button after filling in all user input from the worksheets with red tabs. Accompanying software auto-populated. The saved configuration name is based on details 1, 2, 5, and 6 from worksheet 'Step1-SystemDetails'.</t>
  </si>
  <si>
    <t>Select the desired configuration from drop down menu, then click the 'Load User Config' push button.</t>
  </si>
  <si>
    <t>Directions</t>
  </si>
  <si>
    <t>1A) System application details:</t>
  </si>
  <si>
    <t>1B) DDR memory specifications:</t>
  </si>
  <si>
    <t>1C) DDR memory I/O settings (termination / output driver impedance):</t>
  </si>
  <si>
    <t>1D) EMIF controller I/O settings (termination / output driver impedance / and slew rate):</t>
  </si>
  <si>
    <r>
      <rPr>
        <b/>
        <u/>
        <sz val="10"/>
        <color rgb="FFFF0000"/>
        <rFont val="Times New Roman"/>
        <family val="1"/>
      </rPr>
      <t>Note</t>
    </r>
    <r>
      <rPr>
        <b/>
        <sz val="10"/>
        <color rgb="FFFF0000"/>
        <rFont val="Times New Roman"/>
        <family val="1"/>
      </rPr>
      <t>: Values shown in red must be changed!</t>
    </r>
  </si>
  <si>
    <r>
      <t>Review the DDR datasheet and provide the "</t>
    </r>
    <r>
      <rPr>
        <i/>
        <sz val="10"/>
        <color theme="0"/>
        <rFont val="Times New Roman"/>
        <family val="1"/>
      </rPr>
      <t>Datasheet Values</t>
    </r>
    <r>
      <rPr>
        <sz val="10"/>
        <color theme="0"/>
        <rFont val="Times New Roman"/>
        <family val="1"/>
      </rPr>
      <t>" for the corresponding parameters listed in the table in Step 3A.</t>
    </r>
  </si>
  <si>
    <r>
      <t>The user is responsible to ensure that the "</t>
    </r>
    <r>
      <rPr>
        <i/>
        <sz val="10"/>
        <color rgb="FFFF0000"/>
        <rFont val="Times New Roman"/>
        <family val="1"/>
      </rPr>
      <t>Datasheet Values</t>
    </r>
    <r>
      <rPr>
        <sz val="10"/>
        <color rgb="FFFF0000"/>
        <rFont val="Times New Roman"/>
        <family val="1"/>
      </rPr>
      <t>" adhere to their DDR device datasheet.</t>
    </r>
  </si>
  <si>
    <r>
      <t>The "</t>
    </r>
    <r>
      <rPr>
        <i/>
        <sz val="10"/>
        <color rgb="FFFF0000"/>
        <rFont val="Times New Roman"/>
        <family val="1"/>
      </rPr>
      <t>Final Bit Field Values</t>
    </r>
    <r>
      <rPr>
        <sz val="10"/>
        <color rgb="FFFF0000"/>
        <rFont val="Times New Roman"/>
        <family val="1"/>
      </rPr>
      <t>" are used to calculate the register values. These are auto-populated based off of the user provided "</t>
    </r>
    <r>
      <rPr>
        <i/>
        <sz val="10"/>
        <color rgb="FFFF0000"/>
        <rFont val="Times New Roman"/>
        <family val="1"/>
      </rPr>
      <t>Datasheet Values</t>
    </r>
    <r>
      <rPr>
        <sz val="10"/>
        <color rgb="FFFF0000"/>
        <rFont val="Times New Roman"/>
        <family val="1"/>
      </rPr>
      <t>"</t>
    </r>
  </si>
  <si>
    <r>
      <t>The "</t>
    </r>
    <r>
      <rPr>
        <i/>
        <sz val="10"/>
        <color rgb="FFFF0000"/>
        <rFont val="Times New Roman"/>
        <family val="1"/>
      </rPr>
      <t>JEDEC Bit Field Values</t>
    </r>
    <r>
      <rPr>
        <sz val="10"/>
        <color rgb="FFFF0000"/>
        <rFont val="Times New Roman"/>
        <family val="1"/>
      </rPr>
      <t>" are dynamically populated based off of the user provided DDR speed grade and frequency operation specified in worksheet '</t>
    </r>
    <r>
      <rPr>
        <i/>
        <sz val="10"/>
        <color rgb="FFFF0000"/>
        <rFont val="Times New Roman"/>
        <family val="1"/>
      </rPr>
      <t>Step1-SystemDetails</t>
    </r>
    <r>
      <rPr>
        <sz val="10"/>
        <color rgb="FFFF0000"/>
        <rFont val="Times New Roman"/>
        <family val="1"/>
      </rPr>
      <t>'.</t>
    </r>
  </si>
  <si>
    <r>
      <t>The "</t>
    </r>
    <r>
      <rPr>
        <i/>
        <sz val="10"/>
        <color rgb="FFFF0000"/>
        <rFont val="Times New Roman"/>
        <family val="1"/>
      </rPr>
      <t>Final Bit Field Values</t>
    </r>
    <r>
      <rPr>
        <sz val="10"/>
        <color rgb="FFFF0000"/>
        <rFont val="Times New Roman"/>
        <family val="1"/>
      </rPr>
      <t>" and "</t>
    </r>
    <r>
      <rPr>
        <i/>
        <sz val="10"/>
        <color rgb="FFFF0000"/>
        <rFont val="Times New Roman"/>
        <family val="1"/>
      </rPr>
      <t>JEDEC Bit Field Values</t>
    </r>
    <r>
      <rPr>
        <sz val="10"/>
        <color rgb="FFFF0000"/>
        <rFont val="Times New Roman"/>
        <family val="1"/>
      </rPr>
      <t>" are provided to allow the user to perform a quick sanity check (Example: check for data possibly entered incorrectly)</t>
    </r>
  </si>
  <si>
    <r>
      <t>Compare the "</t>
    </r>
    <r>
      <rPr>
        <i/>
        <sz val="10"/>
        <color theme="0"/>
        <rFont val="Times New Roman"/>
        <family val="1"/>
      </rPr>
      <t>Final Bit Field Values</t>
    </r>
    <r>
      <rPr>
        <sz val="10"/>
        <color theme="0"/>
        <rFont val="Times New Roman"/>
        <family val="1"/>
      </rPr>
      <t>" to the "</t>
    </r>
    <r>
      <rPr>
        <i/>
        <sz val="10"/>
        <color theme="0"/>
        <rFont val="Times New Roman"/>
        <family val="1"/>
      </rPr>
      <t>JEDEC Bit Field Values</t>
    </r>
    <r>
      <rPr>
        <sz val="10"/>
        <color theme="0"/>
        <rFont val="Times New Roman"/>
        <family val="1"/>
      </rPr>
      <t>". For more details, please review the Avatar EMIF Tools User Guide or the notes listed below.</t>
    </r>
  </si>
  <si>
    <t>Final Bit Field Values</t>
  </si>
  <si>
    <t>OR</t>
  </si>
  <si>
    <r>
      <t>Save the user configuration from the '</t>
    </r>
    <r>
      <rPr>
        <i/>
        <sz val="10"/>
        <color theme="0"/>
        <rFont val="Times New Roman"/>
        <family val="1"/>
      </rPr>
      <t>Title-README</t>
    </r>
    <r>
      <rPr>
        <sz val="10"/>
        <color theme="0"/>
        <rFont val="Times New Roman"/>
        <family val="1"/>
      </rPr>
      <t>' worksheet. Values will be automatically populated in accompanying software.</t>
    </r>
  </si>
  <si>
    <t>Copy and paste the following text into corresponding u-boot source files.</t>
  </si>
  <si>
    <t>Copy and paste the following text into corresponding GEL source files.</t>
  </si>
  <si>
    <t>Note: Additional modifications to existing GEL files will be required to point to the unique function provided below, as well as modify PLL settings (if necessary)</t>
  </si>
  <si>
    <t>EXAMPLE</t>
  </si>
  <si>
    <t>Non conventional memory configurations (as defined by JEDEC standards) may or may not be supportable by this tool.</t>
  </si>
  <si>
    <t>1.0.0</t>
  </si>
  <si>
    <t>Kevin Scholz</t>
  </si>
  <si>
    <t>First release to CDDS</t>
  </si>
  <si>
    <t>Internal / misc release(s)</t>
  </si>
  <si>
    <t>0.x.x</t>
  </si>
  <si>
    <t>NA</t>
  </si>
  <si>
    <t>tFAW</t>
  </si>
  <si>
    <t>Minimum Window for 4 Active Bank commands</t>
  </si>
  <si>
    <t>See tRRD</t>
  </si>
  <si>
    <t>CAS Latency</t>
  </si>
  <si>
    <t>CWL Latency</t>
  </si>
  <si>
    <t>Delay between internal READ command and data ready</t>
  </si>
  <si>
    <t>Delay between internal WRITE command and data ready</t>
  </si>
  <si>
    <t>Enter the numerical values listed in your DDR datasheet into columns F and G for each timing entry.</t>
  </si>
  <si>
    <t>1.1.1</t>
  </si>
  <si>
    <t>No</t>
  </si>
  <si>
    <t>Release to TI.com (catalog) and CDDS (auto)
  - Workbook:
     * Remove pre-defined configuration push buttons (now below)
     * Remove NDA banners
  - Macros: Changed ECC configuration in pre-defined macros
  - Bug #s: 1 (first released in v1.1.0)
  - Enhancement #s: 1, 3, 4, 5</t>
  </si>
  <si>
    <t>DDR2, DDR3, DDR3L, LPDDR2</t>
  </si>
  <si>
    <t>Disabled</t>
  </si>
  <si>
    <t>** NOTE: IBIS models should be used for signal integrity analysis. I/O settings programmed should match simulation settings.</t>
  </si>
  <si>
    <t>TI EVM Values**</t>
  </si>
  <si>
    <t>EMIF_REVISION</t>
  </si>
  <si>
    <t>0x4c000000</t>
  </si>
  <si>
    <t>EMIF_STATUS</t>
  </si>
  <si>
    <t>0x4c000004</t>
  </si>
  <si>
    <t>EMIF_SDRAM_CONFIG</t>
  </si>
  <si>
    <t>0x4c000008</t>
  </si>
  <si>
    <t>EMIF_SDRAM_CONFIG_2</t>
  </si>
  <si>
    <t>0x4c00000c</t>
  </si>
  <si>
    <t>EMIF_SDRAM_REFRESH_CONTROL</t>
  </si>
  <si>
    <t>0x4c000010</t>
  </si>
  <si>
    <t>EMIF_SDRAM_REFRESH_CONTROL_SHADOW</t>
  </si>
  <si>
    <t>0x4c000014</t>
  </si>
  <si>
    <t>EMIF_SDRAM_TIMING_1</t>
  </si>
  <si>
    <t>0x4c000018</t>
  </si>
  <si>
    <t>EMIF_SDRAM_TIMING_1_SHADOW</t>
  </si>
  <si>
    <t>0x4c00001c</t>
  </si>
  <si>
    <t>EMIF_SDRAM_TIMING_2</t>
  </si>
  <si>
    <t>0x4c000020</t>
  </si>
  <si>
    <t>EMIF_SDRAM_TIMING_2_SHADOW</t>
  </si>
  <si>
    <t>0x4c000024</t>
  </si>
  <si>
    <t>EMIF_SDRAM_TIMING_3</t>
  </si>
  <si>
    <t>0x4c000028</t>
  </si>
  <si>
    <t>EMIF_SDRAM_TIMING_3_SHADOW</t>
  </si>
  <si>
    <t>0x4c00002c</t>
  </si>
  <si>
    <t>EMIF_LPDDR2_NVM_TIMING</t>
  </si>
  <si>
    <t>0x4c000030</t>
  </si>
  <si>
    <t>EMIF_LPDDR2_NVM_TIMING_SHADOW</t>
  </si>
  <si>
    <t>0x4c000034</t>
  </si>
  <si>
    <t>EMIF_POWER_MANAGEMENT_CONTROL</t>
  </si>
  <si>
    <t>0x4c000038</t>
  </si>
  <si>
    <t>EMIF_POWER_MANAGEMENT_CONTROL_SHAD OW</t>
  </si>
  <si>
    <t>0x4c00003c</t>
  </si>
  <si>
    <t>RESERVED</t>
  </si>
  <si>
    <t>0x4c000040</t>
  </si>
  <si>
    <t>0x4c000044</t>
  </si>
  <si>
    <t>0x4c000048</t>
  </si>
  <si>
    <t>0x4c00004c</t>
  </si>
  <si>
    <t>0x4c000050</t>
  </si>
  <si>
    <t>EMIF_OCP_CONFIG</t>
  </si>
  <si>
    <t>0x4c000054</t>
  </si>
  <si>
    <t>EMIF_OCP_CONFIG_VALUE_1</t>
  </si>
  <si>
    <t>0x4c000058</t>
  </si>
  <si>
    <t>EMIF_OCP_CONFIG_VALUE_2</t>
  </si>
  <si>
    <t>0x4c00005c</t>
  </si>
  <si>
    <t>EMIF_IODFT_TLGC</t>
  </si>
  <si>
    <t>0x4c000060</t>
  </si>
  <si>
    <t>0x4c000064</t>
  </si>
  <si>
    <t>0x4c000068</t>
  </si>
  <si>
    <t>0x4c00006c</t>
  </si>
  <si>
    <t>0x4c000070</t>
  </si>
  <si>
    <t>0x4c000074</t>
  </si>
  <si>
    <t>0x4c000078</t>
  </si>
  <si>
    <t>0x4c00007c</t>
  </si>
  <si>
    <t>EMIF_PERFORMANCE_COUNTER_1</t>
  </si>
  <si>
    <t>0x4c000080</t>
  </si>
  <si>
    <t>EMIF_PERFORMANCE_COUNTER_2</t>
  </si>
  <si>
    <t>0x4c000084</t>
  </si>
  <si>
    <t>EMIF_PERFORMANCE_COUNTER_CONFIG</t>
  </si>
  <si>
    <t>0x4c000088</t>
  </si>
  <si>
    <t>EMIF_PERFORMANCE_COUNTER_MASTER_REG ION_SELECT</t>
  </si>
  <si>
    <t>0x4c00008c</t>
  </si>
  <si>
    <t>EMIF_PERFORMANCE_COUNTER_TIME</t>
  </si>
  <si>
    <t>0x4c000090</t>
  </si>
  <si>
    <t>EMIF_MISC_REG</t>
  </si>
  <si>
    <t>0x4c000094</t>
  </si>
  <si>
    <t>EMIF_DLL_CALIB_CTRL</t>
  </si>
  <si>
    <t>0x4c000098</t>
  </si>
  <si>
    <t>EMIF_DLL_CALIB_CTRL_SHADOW</t>
  </si>
  <si>
    <t>0x4c00009c</t>
  </si>
  <si>
    <t>EMIF_END_OF_INTERRUPT</t>
  </si>
  <si>
    <t>0x4c0000a0</t>
  </si>
  <si>
    <t>EMIF_SYSTEM_OCP_INTERRUPT_RAW_STATUS</t>
  </si>
  <si>
    <t>0x4c0000a4</t>
  </si>
  <si>
    <t>0x4c0000a8</t>
  </si>
  <si>
    <t>EMIF_SYSTEM_OCP_INTERRUPT_STATUS</t>
  </si>
  <si>
    <t>0x4c0000ac</t>
  </si>
  <si>
    <t>0x4c0000b0</t>
  </si>
  <si>
    <t>EMIF_SYSTEM_OCP_INTERRUPT_ENABLE_SET</t>
  </si>
  <si>
    <t>0x4c0000b4</t>
  </si>
  <si>
    <t>0x4c0000b8</t>
  </si>
  <si>
    <t>EMIF_SYSTEM_OCP_INTERRUPT_ENABLE_CLEA R</t>
  </si>
  <si>
    <t>0x4c0000bc</t>
  </si>
  <si>
    <t>0x4c0000c0</t>
  </si>
  <si>
    <t>0x4c0000c4</t>
  </si>
  <si>
    <t>EMIF_SDRAM_OUTPUT_IMPEDANCE_CALIBRATI ON_CONFIG</t>
  </si>
  <si>
    <t>0x4c0000c8</t>
  </si>
  <si>
    <t>EMIF_TEMP_ALERT_CONFIG</t>
  </si>
  <si>
    <t>0x4c0000cc</t>
  </si>
  <si>
    <t>EMIF_OCP_ERROR_LOG</t>
  </si>
  <si>
    <t>0x4c0000d0</t>
  </si>
  <si>
    <t>EMIF_READ_WRITE_LEVELING_RAMP_WINDOW</t>
  </si>
  <si>
    <t>0x4c0000d4</t>
  </si>
  <si>
    <t>EMIF_READ_WRITE_LEVELING_RAMP_CONTROL</t>
  </si>
  <si>
    <t>0x4c0000d8</t>
  </si>
  <si>
    <t>EMIF_READ_WRITE_LEVELING_CONTROL</t>
  </si>
  <si>
    <t>0x4c0000dc</t>
  </si>
  <si>
    <t>0x4c0000e0</t>
  </si>
  <si>
    <t>EMIF_DDR_PHY_CONTROL_1</t>
  </si>
  <si>
    <t>0x4c0000e4</t>
  </si>
  <si>
    <t>EMIF_DDR_PHY_CONTROL_1_SHADOW</t>
  </si>
  <si>
    <t>0x4c0000e8</t>
  </si>
  <si>
    <t>EMIF_DDR_PHY_CONTROL_2</t>
  </si>
  <si>
    <t>0x4c0000ec</t>
  </si>
  <si>
    <t>0x4c0000f0</t>
  </si>
  <si>
    <t>0x4c0000f4</t>
  </si>
  <si>
    <t>0x4c0000f8</t>
  </si>
  <si>
    <t>0x4c0000fc</t>
  </si>
  <si>
    <t>EMIF_PRIORITY_TO_CLASS_OF_SERVICE_MAPP ING</t>
  </si>
  <si>
    <t>0x4c000100</t>
  </si>
  <si>
    <t>EMIF_CONNECTION_ID_TO_CLASS_OF_SERVIC E_1_MAPPING</t>
  </si>
  <si>
    <t>0x4c000104</t>
  </si>
  <si>
    <t>EMIF_CONNECTION_ID_TO_CLASS_OF_SERVIC E_2_MAPPING</t>
  </si>
  <si>
    <t>0x4c000108</t>
  </si>
  <si>
    <t>0x4c00010c</t>
  </si>
  <si>
    <t>EMIF_ECC_CTRL_REG</t>
  </si>
  <si>
    <t>0x4c000110</t>
  </si>
  <si>
    <t>EMIF_ECC_ADDRESS_RANGE_1</t>
  </si>
  <si>
    <t>0x4c000114</t>
  </si>
  <si>
    <t>EMIF_ECC_ADDRESS_RANGE_2</t>
  </si>
  <si>
    <t>0x4c000118</t>
  </si>
  <si>
    <t>0x4c00011c</t>
  </si>
  <si>
    <t>EMIF_READ_WRITE_EXECUTION_THRESHOLD</t>
  </si>
  <si>
    <t>0x4c000120</t>
  </si>
  <si>
    <t>EMIF_COS_CONFIG</t>
  </si>
  <si>
    <t>0x4c000124</t>
  </si>
  <si>
    <t>0x4c000128</t>
  </si>
  <si>
    <t>0x4c00012c</t>
  </si>
  <si>
    <t>EMIF_1B_ECC_ERR_CNT</t>
  </si>
  <si>
    <t>0x4c000130</t>
  </si>
  <si>
    <t>EMIF_1B_ECC_ERR_THRSH</t>
  </si>
  <si>
    <t>0x4c000134</t>
  </si>
  <si>
    <t>EMIF_1B_ECC_ERR_DIST_1</t>
  </si>
  <si>
    <t>0x4c000138</t>
  </si>
  <si>
    <t>EMIF_1B_ECC_ERR_ADDR_LOG</t>
  </si>
  <si>
    <t>0x4c00013c</t>
  </si>
  <si>
    <t>EMIF_2B_ECC_ERR_ADDR_LOG</t>
  </si>
  <si>
    <t>0x4c000140</t>
  </si>
  <si>
    <t>EMIF_PHY_STATUS_1</t>
  </si>
  <si>
    <t>0x4c000144</t>
  </si>
  <si>
    <t>EMIF_PHY_STATUS_2</t>
  </si>
  <si>
    <t>0x4c000148</t>
  </si>
  <si>
    <t>EMIF_PHY_STATUS_3</t>
  </si>
  <si>
    <t>0x4c00014c</t>
  </si>
  <si>
    <t>EMIF_PHY_STATUS_4</t>
  </si>
  <si>
    <t>0x4c000150</t>
  </si>
  <si>
    <t>EMIF_PHY_STATUS_5</t>
  </si>
  <si>
    <t>0x4c000154</t>
  </si>
  <si>
    <t>EMIF_PHY_STATUS_6</t>
  </si>
  <si>
    <t>0x4c000158</t>
  </si>
  <si>
    <t>EMIF_PHY_STATUS_7</t>
  </si>
  <si>
    <t>0x4c00015c</t>
  </si>
  <si>
    <t>EMIF_PHY_STATUS_8</t>
  </si>
  <si>
    <t>0x4c000160</t>
  </si>
  <si>
    <t>EMIF_PHY_STATUS_9</t>
  </si>
  <si>
    <t>0x4c000164</t>
  </si>
  <si>
    <t>EMIF_PHY_STATUS_10</t>
  </si>
  <si>
    <t>0x4c000168</t>
  </si>
  <si>
    <t>EMIF_PHY_STATUS_11</t>
  </si>
  <si>
    <t>0x4c00016c</t>
  </si>
  <si>
    <t>EMIF_PHY_STATUS_12</t>
  </si>
  <si>
    <t>0x4c000170</t>
  </si>
  <si>
    <t>EMIF_PHY_STATUS_13</t>
  </si>
  <si>
    <t>0x4c000174</t>
  </si>
  <si>
    <t>EMIF_PHY_STATUS_14</t>
  </si>
  <si>
    <t>0x4c000178</t>
  </si>
  <si>
    <t>EMIF_PHY_STATUS_15</t>
  </si>
  <si>
    <t>0x4c00017c</t>
  </si>
  <si>
    <t>EMIF_PHY_STATUS_16</t>
  </si>
  <si>
    <t>0x4c000180</t>
  </si>
  <si>
    <t>EMIF_PHY_STATUS_17</t>
  </si>
  <si>
    <t>0x4c000184</t>
  </si>
  <si>
    <t>EMIF_PHY_STATUS_18</t>
  </si>
  <si>
    <t>0x4c000188</t>
  </si>
  <si>
    <t>EMIF_PHY_STATUS_19</t>
  </si>
  <si>
    <t>0x4c00018c</t>
  </si>
  <si>
    <t>EMIF_PHY_STATUS_20</t>
  </si>
  <si>
    <t>0x4c000190</t>
  </si>
  <si>
    <t>EMIF_PHY_STATUS_21</t>
  </si>
  <si>
    <t>0x4c000194</t>
  </si>
  <si>
    <t>EMIF_PHY_STATUS_22</t>
  </si>
  <si>
    <t>0x4c000198</t>
  </si>
  <si>
    <t>EMIF_PHY_STATUS_23</t>
  </si>
  <si>
    <t>0x4c00019c</t>
  </si>
  <si>
    <t>EMIF_PHY_STATUS_24</t>
  </si>
  <si>
    <t>0x4c0001a0</t>
  </si>
  <si>
    <t>EMIF_PHY_STATUS_25</t>
  </si>
  <si>
    <t>0x4c0001a4</t>
  </si>
  <si>
    <t>EMIF_PHY_STATUS_26</t>
  </si>
  <si>
    <t>0x4c0001a8</t>
  </si>
  <si>
    <t>EMIF_PHY_STATUS_27</t>
  </si>
  <si>
    <t>0x4c0001ac</t>
  </si>
  <si>
    <t>EMIF_PHY_STATUS_28</t>
  </si>
  <si>
    <t>0x4c0001b0</t>
  </si>
  <si>
    <t>0x4c0001b4</t>
  </si>
  <si>
    <t>0x4c0001b8</t>
  </si>
  <si>
    <t>0x4c0001bc</t>
  </si>
  <si>
    <t>0x4c0001c0</t>
  </si>
  <si>
    <t>0x4c0001c4</t>
  </si>
  <si>
    <t>0x4c0001c8</t>
  </si>
  <si>
    <t>0x4c0001cc</t>
  </si>
  <si>
    <t>0x4c0001d0</t>
  </si>
  <si>
    <t>0x4c0001d4</t>
  </si>
  <si>
    <t>0x4c0001d8</t>
  </si>
  <si>
    <t>0x4c0001dc</t>
  </si>
  <si>
    <t>0x4c0001e0</t>
  </si>
  <si>
    <t>0x4c0001e4</t>
  </si>
  <si>
    <t>0x4c0001e8</t>
  </si>
  <si>
    <t>0x4c0001ec</t>
  </si>
  <si>
    <t>0x4c0001f0</t>
  </si>
  <si>
    <t>0x4c0001f4</t>
  </si>
  <si>
    <t>0x4c0001f8</t>
  </si>
  <si>
    <t>0x4c0001fc</t>
  </si>
  <si>
    <t>EMIF_EXT_PHY_CONTROL_1</t>
  </si>
  <si>
    <t>0x4c000200</t>
  </si>
  <si>
    <t>EMIF_EXT_PHY_CONTROL_1_SHADOW</t>
  </si>
  <si>
    <t>0x4c000204</t>
  </si>
  <si>
    <t>EMIF_EXT_PHY_CONTROL_2</t>
  </si>
  <si>
    <t>0x4c000208</t>
  </si>
  <si>
    <t>0x4c00020c</t>
  </si>
  <si>
    <t>EMIF_EXT_PHY_CONTROL_3</t>
  </si>
  <si>
    <t>0x4c000210</t>
  </si>
  <si>
    <t>0x4c000214</t>
  </si>
  <si>
    <t>EMIF_EXT_PHY_CONTROL_4</t>
  </si>
  <si>
    <t>0x4c000218</t>
  </si>
  <si>
    <t>0x4c00021c</t>
  </si>
  <si>
    <t>EMIF_EXT_PHY_CONTROL_5</t>
  </si>
  <si>
    <t>0x4c000220</t>
  </si>
  <si>
    <t>0x4c000224</t>
  </si>
  <si>
    <t>EMIF_EXT_PHY_CONTROL_6</t>
  </si>
  <si>
    <t>0x4c000228</t>
  </si>
  <si>
    <t>0x4c00022c</t>
  </si>
  <si>
    <t>EMIF_EXT_PHY_CONTROL_7</t>
  </si>
  <si>
    <t>0x4c000230</t>
  </si>
  <si>
    <t>0x4c000234</t>
  </si>
  <si>
    <t>EMIF_EXT_PHY_CONTROL_8</t>
  </si>
  <si>
    <t>0x4c000238</t>
  </si>
  <si>
    <t>0x4c00023c</t>
  </si>
  <si>
    <t>EMIF_EXT_PHY_CONTROL_9</t>
  </si>
  <si>
    <t>0x4c000240</t>
  </si>
  <si>
    <t>0x4c000244</t>
  </si>
  <si>
    <t>EMIF_EXT_PHY_CONTROL_10</t>
  </si>
  <si>
    <t>0x4c000248</t>
  </si>
  <si>
    <t>0x4c00024c</t>
  </si>
  <si>
    <t>EMIF_EXT_PHY_CONTROL_11</t>
  </si>
  <si>
    <t>0x4c000250</t>
  </si>
  <si>
    <t>0x4c000254</t>
  </si>
  <si>
    <t>EMIF_EXT_PHY_CONTROL_12</t>
  </si>
  <si>
    <t>0x4c000258</t>
  </si>
  <si>
    <t>0x4c00025c</t>
  </si>
  <si>
    <t>EMIF_EXT_PHY_CONTROL_13</t>
  </si>
  <si>
    <t>0x4c000260</t>
  </si>
  <si>
    <t>0x4c000264</t>
  </si>
  <si>
    <t>EMIF_EXT_PHY_CONTROL_14</t>
  </si>
  <si>
    <t>0x4c000268</t>
  </si>
  <si>
    <t>0x4c00026c</t>
  </si>
  <si>
    <t>EMIF_EXT_PHY_CONTROL_15</t>
  </si>
  <si>
    <t>0x4c000270</t>
  </si>
  <si>
    <t>0x4c000274</t>
  </si>
  <si>
    <t>EMIF_EXT_PHY_CONTROL_16</t>
  </si>
  <si>
    <t>0x4c000278</t>
  </si>
  <si>
    <t>0x4c00027c</t>
  </si>
  <si>
    <t>EMIF_EXT_PHY_CONTROL_17</t>
  </si>
  <si>
    <t>0x4c000280</t>
  </si>
  <si>
    <t>0x4c000284</t>
  </si>
  <si>
    <t>EMIF_EXT_PHY_CONTROL_18</t>
  </si>
  <si>
    <t>0x4c000288</t>
  </si>
  <si>
    <t>0x4c00028c</t>
  </si>
  <si>
    <t>EMIF_EXT_PHY_CONTROL_19</t>
  </si>
  <si>
    <t>0x4c000290</t>
  </si>
  <si>
    <t>0x4c000294</t>
  </si>
  <si>
    <t>EMIF_EXT_PHY_CONTROL_20</t>
  </si>
  <si>
    <t>0x4c000298</t>
  </si>
  <si>
    <t>0x4c00029c</t>
  </si>
  <si>
    <t>EMIF_EXT_PHY_CONTROL_21</t>
  </si>
  <si>
    <t>0x4c0002a0</t>
  </si>
  <si>
    <t>0x4c0002a4</t>
  </si>
  <si>
    <t>EMIF_EXT_PHY_CONTROL_22</t>
  </si>
  <si>
    <t>0x4c0002a8</t>
  </si>
  <si>
    <t>0x4c0002ac</t>
  </si>
  <si>
    <t>EMIF_EXT_PHY_CONTROL_23</t>
  </si>
  <si>
    <t>0x4c0002b0</t>
  </si>
  <si>
    <t>0x4c0002b4</t>
  </si>
  <si>
    <t>EMIF_EXT_PHY_CONTROL_24</t>
  </si>
  <si>
    <t>0x4c0002b8</t>
  </si>
  <si>
    <t>0x4c0002bc</t>
  </si>
  <si>
    <t>EMIF_EXT_PHY_CONTROL_25</t>
  </si>
  <si>
    <t>0x4c0002c0</t>
  </si>
  <si>
    <t>0x4c0002c4</t>
  </si>
  <si>
    <t>EMIF_EXT_PHY_CONTROL_26</t>
  </si>
  <si>
    <t>0x4c0002c8</t>
  </si>
  <si>
    <t>0x4c0002cc</t>
  </si>
  <si>
    <t>EMIF_EXT_PHY_CONTROL_27</t>
  </si>
  <si>
    <t>0x4c0002d0</t>
  </si>
  <si>
    <t>0x4c0002d4</t>
  </si>
  <si>
    <t>EMIF_EXT_PHY_CONTROL_28</t>
  </si>
  <si>
    <t>0x4c0002d8</t>
  </si>
  <si>
    <t>0x4c0002dc</t>
  </si>
  <si>
    <t>EMIF_EXT_PHY_CONTROL_29</t>
  </si>
  <si>
    <t>0x4c0002e0</t>
  </si>
  <si>
    <t>0x4c0002e4</t>
  </si>
  <si>
    <t>EMIF_EXT_PHY_CONTROL_30</t>
  </si>
  <si>
    <t>0x4c0002e8</t>
  </si>
  <si>
    <t>0x4c0002ec</t>
  </si>
  <si>
    <t>EMIF_EXT_PHY_CONTROL_31</t>
  </si>
  <si>
    <t>0x4c0002f0</t>
  </si>
  <si>
    <t>0x4c0002f4</t>
  </si>
  <si>
    <t>EMIF_EXT_PHY_CONTROL_32</t>
  </si>
  <si>
    <t>0x4c0002f8</t>
  </si>
  <si>
    <t>0x4c0002fc</t>
  </si>
  <si>
    <t>EMIF_EXT_PHY_CONTROL_33</t>
  </si>
  <si>
    <t>0x4c000300</t>
  </si>
  <si>
    <t>0x4c000304</t>
  </si>
  <si>
    <t>EMIF_EXT_PHY_CONTROL_34</t>
  </si>
  <si>
    <t>0x4c000308</t>
  </si>
  <si>
    <t>0x4c00030c</t>
  </si>
  <si>
    <t>EMIF_EXT_PHY_CONTROL_35</t>
  </si>
  <si>
    <t>0x4c000310</t>
  </si>
  <si>
    <t>0x4c000314</t>
  </si>
  <si>
    <t>EMIF_EXT_PHY_CONTROL_36</t>
  </si>
  <si>
    <t>0x4c000318</t>
  </si>
  <si>
    <t>0x4c00031c</t>
  </si>
  <si>
    <t>CTRL_CORE_CONTROL_DDRCACH1_0</t>
  </si>
  <si>
    <t>0x4a002e30</t>
  </si>
  <si>
    <t>CTRL_CORE_CONTROL_DDRCACH2_0</t>
  </si>
  <si>
    <t>0x4a002e34</t>
  </si>
  <si>
    <t>CTRL_CORE_CONTROL_DDRCH1_0</t>
  </si>
  <si>
    <t>0x4a002e38</t>
  </si>
  <si>
    <t>CTRL_CORE_CONTROL_DDRCH1_1</t>
  </si>
  <si>
    <t>0x4a002e3c</t>
  </si>
  <si>
    <t>CTRL_CORE_CONTROL_DDRCH2_0</t>
  </si>
  <si>
    <t>0x4a002e40</t>
  </si>
  <si>
    <t>CTRL_CORE_CONTROL_DDRCH2_1</t>
  </si>
  <si>
    <t>0x4a002e44</t>
  </si>
  <si>
    <t>CTRL_CORE_CONTROL_DDRCH1_2</t>
  </si>
  <si>
    <t>0x4a002e48</t>
  </si>
  <si>
    <t>0x4a002e4c</t>
  </si>
  <si>
    <t>CTRL_CORE_CONTROL_DDRIO_0</t>
  </si>
  <si>
    <t>0x4a002e50</t>
  </si>
  <si>
    <t>CTRL_CORE_CONTROL_DDRIO_1</t>
  </si>
  <si>
    <t>0x4a002e54</t>
  </si>
  <si>
    <t>0x4ae0c144</t>
  </si>
  <si>
    <t>0x4ae0c148</t>
  </si>
  <si>
    <t>0x4a005210</t>
  </si>
  <si>
    <t>0x4a005214</t>
  </si>
  <si>
    <t>0x4a005218</t>
  </si>
  <si>
    <t>0x4a00521c</t>
  </si>
  <si>
    <t>0x4a005220</t>
  </si>
  <si>
    <t>0x4a005224</t>
  </si>
  <si>
    <t>0x4a005228</t>
  </si>
  <si>
    <t>MODULE</t>
  </si>
  <si>
    <t>REGISTER</t>
  </si>
  <si>
    <t>OFFSET</t>
  </si>
  <si>
    <t>VALUE (FINAL)</t>
  </si>
  <si>
    <t>VALUE (INIT)</t>
  </si>
  <si>
    <t>TYPE</t>
  </si>
  <si>
    <t>R</t>
  </si>
  <si>
    <t>EMIF_IODFT_CTRL_MISR_RSLT</t>
  </si>
  <si>
    <t>EMIF_LPDDR2_MODE_REG_DATA</t>
  </si>
  <si>
    <t>EMIF_LPDDR2_MODE_REG_CFG</t>
  </si>
  <si>
    <t>R/W</t>
  </si>
  <si>
    <t>EMIF1 PHY</t>
  </si>
  <si>
    <t>EMIF2 PHY</t>
  </si>
  <si>
    <t>EMIF_EXT_PHY_CONTROL_2_SHADOW</t>
  </si>
  <si>
    <t>EMIF_EXT_PHY_CONTROL_3_SHADOW</t>
  </si>
  <si>
    <t>EMIF_EXT_PHY_CONTROL_4_SHADOW</t>
  </si>
  <si>
    <t>EMIF_EXT_PHY_CONTROL_5_SHADOW</t>
  </si>
  <si>
    <t>EMIF_EXT_PHY_CONTROL_6_SHADOW</t>
  </si>
  <si>
    <t>EMIF_EXT_PHY_CONTROL_7_SHADOW</t>
  </si>
  <si>
    <t>EMIF_EXT_PHY_CONTROL_8_SHADOW</t>
  </si>
  <si>
    <t>EMIF_EXT_PHY_CONTROL_9_SHADOW</t>
  </si>
  <si>
    <t>EMIF_EXT_PHY_CONTROL_10_SHADOW</t>
  </si>
  <si>
    <t>EMIF_EXT_PHY_CONTROL_11_SHADOW</t>
  </si>
  <si>
    <t>EMIF_EXT_PHY_CONTROL_12_SHADOW</t>
  </si>
  <si>
    <t>EMIF_EXT_PHY_CONTROL_13_SHADOW</t>
  </si>
  <si>
    <t>EMIF_EXT_PHY_CONTROL_14_SHADOW</t>
  </si>
  <si>
    <t>EMIF_EXT_PHY_CONTROL_15_SHADOW</t>
  </si>
  <si>
    <t>EMIF_EXT_PHY_CONTROL_16_SHADOW</t>
  </si>
  <si>
    <t>EMIF_EXT_PHY_CONTROL_17_SHADOW</t>
  </si>
  <si>
    <t>EMIF_EXT_PHY_CONTROL_18_SHADOW</t>
  </si>
  <si>
    <t>EMIF_EXT_PHY_CONTROL_19_SHADOW</t>
  </si>
  <si>
    <t>EMIF_EXT_PHY_CONTROL_20_SHADOW</t>
  </si>
  <si>
    <t>EMIF_EXT_PHY_CONTROL_21_SHADOW</t>
  </si>
  <si>
    <t>EMIF_EXT_PHY_CONTROL_22_SHADOW</t>
  </si>
  <si>
    <t>EMIF_EXT_PHY_CONTROL_23_SHADOW</t>
  </si>
  <si>
    <t>EMIF_EXT_PHY_CONTROL_24_SHADOW</t>
  </si>
  <si>
    <t>EMIF_EXT_PHY_CONTROL_25_SHADOW</t>
  </si>
  <si>
    <t>EMIF_EXT_PHY_CONTROL_26_SHADOW</t>
  </si>
  <si>
    <t>EMIF_EXT_PHY_CONTROL_27_SHADOW</t>
  </si>
  <si>
    <t>EMIF_EXT_PHY_CONTROL_28_SHADOW</t>
  </si>
  <si>
    <t>EMIF_EXT_PHY_CONTROL_29_SHADOW</t>
  </si>
  <si>
    <t>EMIF_EXT_PHY_CONTROL_30_SHADOW</t>
  </si>
  <si>
    <t>EMIF_EXT_PHY_CONTROL_31_SHADOW</t>
  </si>
  <si>
    <t>EMIF_EXT_PHY_CONTROL_32_SHADOW</t>
  </si>
  <si>
    <t>EMIF_EXT_PHY_CONTROL_33_SHADOW</t>
  </si>
  <si>
    <t>EMIF_EXT_PHY_CONTROL_34_SHADOW</t>
  </si>
  <si>
    <t>EMIF_EXT_PHY_CONTROL_35_SHADOW</t>
  </si>
  <si>
    <t>EMIF_EXT_PHY_CONTROL_36_SHADOW</t>
  </si>
  <si>
    <t>SDRAM_TYPE</t>
  </si>
  <si>
    <t>IBANK_POS</t>
  </si>
  <si>
    <t>DDR_TERM</t>
  </si>
  <si>
    <t>DYN_ODT</t>
  </si>
  <si>
    <t>SDRAM_DRIVE</t>
  </si>
  <si>
    <t>CWL</t>
  </si>
  <si>
    <t>NARROW_MODE</t>
  </si>
  <si>
    <t>ROWSIZE</t>
  </si>
  <si>
    <t>IBANK</t>
  </si>
  <si>
    <t>EBANK</t>
  </si>
  <si>
    <t>PAGESIZE</t>
  </si>
  <si>
    <t>T_RTW</t>
  </si>
  <si>
    <t>T_RP</t>
  </si>
  <si>
    <t>T_RCD</t>
  </si>
  <si>
    <t>T_WR</t>
  </si>
  <si>
    <t>T_RAS</t>
  </si>
  <si>
    <t>R_TC</t>
  </si>
  <si>
    <t>T_RRD</t>
  </si>
  <si>
    <t>T_WTR</t>
  </si>
  <si>
    <t>EMIF Tools:  Register Configuration</t>
  </si>
  <si>
    <t>EMIF Tools: Register Configuration - Step 1, System Details</t>
  </si>
  <si>
    <t>EMIF Tools: Register Configuration - Step 2, Board Details</t>
  </si>
  <si>
    <t>EMIF Tools: Register Configuration - Step 3, DDR Timings</t>
  </si>
  <si>
    <t>EMIF Tools: Register Configuration - Register Values</t>
  </si>
  <si>
    <t>EMIF Tools: Register Configuration - Register Values (GEL)</t>
  </si>
  <si>
    <t>ECC Region 1: System Start Address</t>
  </si>
  <si>
    <t>ECC Region 1: System End Address</t>
  </si>
  <si>
    <t>ECC Region 2: System Start Address</t>
  </si>
  <si>
    <t>ECC Region 2: System End Address</t>
  </si>
  <si>
    <t>DDR3/L</t>
  </si>
  <si>
    <r>
      <rPr>
        <b/>
        <u/>
        <sz val="7"/>
        <rFont val="Times New Roman"/>
        <family val="1"/>
      </rPr>
      <t>NOTE</t>
    </r>
    <r>
      <rPr>
        <sz val="7"/>
        <rFont val="Times New Roman"/>
        <family val="1"/>
      </rPr>
      <t xml:space="preserve">: Values entered into details 11 - 14 must be a hexadecimal value between "80000000" and "FFFFFFFF". </t>
    </r>
    <r>
      <rPr>
        <b/>
        <u/>
        <sz val="7"/>
        <color rgb="FFFF0000"/>
        <rFont val="Times New Roman"/>
        <family val="1"/>
      </rPr>
      <t>Set start and end address to equal values to disable region.</t>
    </r>
  </si>
  <si>
    <t>°C</t>
  </si>
  <si>
    <t>Max DRAM Operating Temperature</t>
  </si>
  <si>
    <t>RZQ/4</t>
  </si>
  <si>
    <t>RZQ/7</t>
  </si>
  <si>
    <t>Fastest: SR[2:0] = 0b000</t>
  </si>
  <si>
    <t>&lt;= 85</t>
  </si>
  <si>
    <t>H/W</t>
  </si>
  <si>
    <r>
      <t xml:space="preserve">    2 - Detailed steps can be found in corresponding documentation: </t>
    </r>
    <r>
      <rPr>
        <b/>
        <i/>
        <sz val="8"/>
        <rFont val="Times New Roman"/>
        <family val="1"/>
      </rPr>
      <t>EMIF_Tools_UserGuide.pdf</t>
    </r>
  </si>
  <si>
    <t>2.0.0</t>
  </si>
  <si>
    <t xml:space="preserve"> *   Copyright (C) 2017 Texas Instruments Incorporated</t>
  </si>
  <si>
    <t xml:space="preserve"> *   Copyright (C) 2017-2019 Texas Instruments Incorporated</t>
  </si>
  <si>
    <t xml:space="preserve"> * DLL Ratio Values are an estimate based on trace lengths.</t>
  </si>
  <si>
    <t xml:space="preserve"> * final DLL values.</t>
  </si>
  <si>
    <r>
      <rPr>
        <b/>
        <sz val="20"/>
        <rFont val="Times New Roman"/>
        <family val="1"/>
      </rPr>
      <t>Revision:</t>
    </r>
    <r>
      <rPr>
        <sz val="20"/>
        <rFont val="Times New Roman"/>
        <family val="1"/>
      </rPr>
      <t xml:space="preserve"> 2.0.3</t>
    </r>
  </si>
  <si>
    <r>
      <rPr>
        <b/>
        <sz val="20"/>
        <rFont val="Times New Roman"/>
        <family val="1"/>
      </rPr>
      <t>Date:</t>
    </r>
    <r>
      <rPr>
        <sz val="20"/>
        <rFont val="Times New Roman"/>
        <family val="1"/>
      </rPr>
      <t xml:space="preserve"> November 2nd, 2019</t>
    </r>
  </si>
  <si>
    <t>TI_AM574x_IDK</t>
  </si>
  <si>
    <t>AM574x</t>
  </si>
  <si>
    <t>Yes</t>
  </si>
  <si>
    <t>BFFFFFFF</t>
  </si>
  <si>
    <t>AM574x_DDR3L_666MHz_TI_AM574x_IDK</t>
  </si>
  <si>
    <t>TI_AM571x_IDK</t>
  </si>
  <si>
    <t>AM571x</t>
  </si>
  <si>
    <t>AM571x_DDR3L_666MHz_TI_AM571x_IDK</t>
  </si>
  <si>
    <t>TI_AM572x_EVM</t>
  </si>
  <si>
    <t>AM572x</t>
  </si>
  <si>
    <t>AM572x_DDR3L_532MHz_TI_AM572x_EVM</t>
  </si>
  <si>
    <t>TI_AM572x_IDK</t>
  </si>
  <si>
    <t>AM572x_DDR3L_532MHz_TI_AM572x_IDK</t>
  </si>
  <si>
    <t>AMR_SysCtrl</t>
  </si>
  <si>
    <t>AM572x_DDR3L_532MHz_AMR_SysCtrl</t>
  </si>
  <si>
    <t>AM576x</t>
  </si>
  <si>
    <t>AM576x_DDR3L_532MHz_AMR_SysCtrl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</si>
</sst>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name val="Arial"/>
      <family val="2"/>
    </font>
    <font>
      <b/>
      <sz val="16"/>
      <color theme="0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16"/>
      <color rgb="FFFF0000"/>
      <name val="Arial"/>
      <family val="2"/>
    </font>
    <font>
      <b/>
      <sz val="12"/>
      <color theme="0"/>
      <name val="Arial"/>
      <family val="2"/>
    </font>
    <font>
      <b/>
      <u/>
      <sz val="10"/>
      <color rgb="FFFF0000"/>
      <name val="Arial"/>
      <family val="2"/>
    </font>
    <font>
      <sz val="20"/>
      <name val="Times New Roman"/>
      <family val="1"/>
    </font>
    <font>
      <b/>
      <sz val="20"/>
      <name val="Times New Roman"/>
      <family val="1"/>
    </font>
    <font>
      <b/>
      <u/>
      <sz val="36"/>
      <name val="Times New Roman"/>
      <family val="1"/>
    </font>
    <font>
      <u/>
      <sz val="10"/>
      <color theme="10"/>
      <name val="Arial"/>
      <family val="2"/>
    </font>
    <font>
      <sz val="22"/>
      <color rgb="FFFF0000"/>
      <name val="Arial"/>
      <family val="2"/>
    </font>
    <font>
      <b/>
      <sz val="20"/>
      <color rgb="FFFF0000"/>
      <name val="Times New Roman"/>
      <family val="1"/>
    </font>
    <font>
      <b/>
      <sz val="20"/>
      <color rgb="FFFF0000"/>
      <name val="Arial"/>
      <family val="2"/>
    </font>
    <font>
      <sz val="12"/>
      <name val="Arial"/>
      <family val="2"/>
    </font>
    <font>
      <b/>
      <sz val="10"/>
      <color rgb="FF000000"/>
      <name val="Arial"/>
      <family val="2"/>
    </font>
    <font>
      <sz val="10"/>
      <color theme="0"/>
      <name val="Arial"/>
      <family val="2"/>
    </font>
    <font>
      <b/>
      <u/>
      <sz val="10"/>
      <name val="Arial"/>
      <family val="2"/>
    </font>
    <font>
      <sz val="10"/>
      <name val="Times New Roman"/>
      <family val="1"/>
    </font>
    <font>
      <b/>
      <u/>
      <sz val="10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b/>
      <i/>
      <sz val="8"/>
      <name val="Times New Roman"/>
      <family val="1"/>
    </font>
    <font>
      <b/>
      <u/>
      <sz val="20"/>
      <name val="Times New Roman"/>
      <family val="1"/>
    </font>
    <font>
      <b/>
      <u/>
      <sz val="20"/>
      <color theme="0"/>
      <name val="Times New Roman"/>
      <family val="1"/>
    </font>
    <font>
      <b/>
      <u/>
      <sz val="10"/>
      <color theme="0"/>
      <name val="Times New Roman"/>
      <family val="1"/>
    </font>
    <font>
      <vertAlign val="superscript"/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6"/>
      <color theme="0"/>
      <name val="Times New Roman"/>
      <family val="1"/>
    </font>
    <font>
      <sz val="10"/>
      <color rgb="FFFF0000"/>
      <name val="Times New Roman"/>
      <family val="1"/>
    </font>
    <font>
      <b/>
      <u/>
      <sz val="10"/>
      <color rgb="FFFF0000"/>
      <name val="Times New Roman"/>
      <family val="1"/>
    </font>
    <font>
      <b/>
      <u/>
      <sz val="18"/>
      <color theme="0"/>
      <name val="Times New Roman"/>
      <family val="1"/>
    </font>
    <font>
      <sz val="10"/>
      <color theme="0"/>
      <name val="Times New Roman"/>
      <family val="1"/>
    </font>
    <font>
      <u/>
      <sz val="10"/>
      <color rgb="FFFF0000"/>
      <name val="Times New Roman"/>
      <family val="1"/>
    </font>
    <font>
      <b/>
      <u/>
      <sz val="16"/>
      <color theme="0"/>
      <name val="Times New Roman"/>
      <family val="1"/>
    </font>
    <font>
      <i/>
      <sz val="10"/>
      <color rgb="FFFF0000"/>
      <name val="Times New Roman"/>
      <family val="1"/>
    </font>
    <font>
      <i/>
      <sz val="10"/>
      <color theme="0"/>
      <name val="Times New Roman"/>
      <family val="1"/>
    </font>
    <font>
      <b/>
      <u/>
      <sz val="20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7"/>
      <name val="Times New Roman"/>
      <family val="1"/>
    </font>
    <font>
      <b/>
      <u/>
      <sz val="7"/>
      <name val="Times New Roman"/>
      <family val="1"/>
    </font>
    <font>
      <b/>
      <u/>
      <sz val="7"/>
      <color rgb="FFFF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lightUp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1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theme="0"/>
      </left>
      <right/>
      <top style="thin">
        <color theme="0"/>
      </top>
      <bottom style="thick">
        <color auto="1"/>
      </bottom>
      <diagonal/>
    </border>
    <border>
      <left/>
      <right style="thin">
        <color theme="0"/>
      </right>
      <top style="thin">
        <color theme="0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auto="1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ck">
        <color auto="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auto="1"/>
      </right>
      <top style="thick">
        <color auto="1"/>
      </top>
      <bottom style="thin">
        <color theme="0"/>
      </bottom>
      <diagonal/>
    </border>
    <border>
      <left style="thick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auto="1"/>
      </left>
      <right style="thin">
        <color theme="0"/>
      </right>
      <top style="thin">
        <color theme="0"/>
      </top>
      <bottom style="thick">
        <color auto="1"/>
      </bottom>
      <diagonal/>
    </border>
    <border>
      <left style="thin">
        <color theme="0"/>
      </left>
      <right style="thick">
        <color auto="1"/>
      </right>
      <top style="thin">
        <color theme="0"/>
      </top>
      <bottom style="thick">
        <color auto="1"/>
      </bottom>
      <diagonal/>
    </border>
    <border>
      <left style="thin">
        <color theme="0"/>
      </left>
      <right style="thin">
        <color theme="0"/>
      </right>
      <top style="thick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auto="1"/>
      </bottom>
      <diagonal/>
    </border>
    <border>
      <left style="thin">
        <color theme="0"/>
      </left>
      <right style="thick">
        <color auto="1"/>
      </right>
      <top/>
      <bottom style="thin">
        <color theme="0"/>
      </bottom>
      <diagonal/>
    </border>
    <border>
      <left style="thick">
        <color auto="1"/>
      </left>
      <right style="thin">
        <color theme="0"/>
      </right>
      <top style="thick">
        <color auto="1"/>
      </top>
      <bottom style="thin">
        <color theme="0"/>
      </bottom>
      <diagonal/>
    </border>
    <border>
      <left style="thick">
        <color auto="1"/>
      </left>
      <right style="thin">
        <color theme="0"/>
      </right>
      <top/>
      <bottom style="thin">
        <color theme="0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ck">
        <color auto="1"/>
      </top>
      <bottom style="thick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ck">
        <color auto="1"/>
      </top>
      <bottom style="thin">
        <color theme="0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theme="0"/>
      </left>
      <right style="thin">
        <color theme="0"/>
      </right>
      <top/>
      <bottom style="thick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n">
        <color theme="0"/>
      </right>
      <top style="thick">
        <color auto="1"/>
      </top>
      <bottom style="thick">
        <color auto="1"/>
      </bottom>
      <diagonal/>
    </border>
    <border>
      <left style="thin">
        <color theme="0"/>
      </left>
      <right style="thin">
        <color theme="0"/>
      </right>
      <top style="thick">
        <color auto="1"/>
      </top>
      <bottom style="thick">
        <color auto="1"/>
      </bottom>
      <diagonal/>
    </border>
    <border>
      <left style="thin">
        <color theme="0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auto="1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theme="0"/>
      </bottom>
      <diagonal/>
    </border>
    <border>
      <left/>
      <right style="thick">
        <color auto="1"/>
      </right>
      <top style="thick">
        <color auto="1"/>
      </top>
      <bottom style="thin">
        <color theme="0"/>
      </bottom>
      <diagonal/>
    </border>
    <border>
      <left style="thin">
        <color auto="1"/>
      </left>
      <right/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ck">
        <color auto="1"/>
      </right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ck">
        <color auto="1"/>
      </bottom>
      <diagonal/>
    </border>
    <border>
      <left style="thick">
        <color rgb="FFFF0000"/>
      </left>
      <right style="thin">
        <color auto="1"/>
      </right>
      <top style="thick">
        <color rgb="FFFF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rgb="FFFF0000"/>
      </top>
      <bottom style="thin">
        <color auto="1"/>
      </bottom>
      <diagonal/>
    </border>
    <border>
      <left style="thin">
        <color auto="1"/>
      </left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n">
        <color auto="1"/>
      </right>
      <top style="thin">
        <color auto="1"/>
      </top>
      <bottom style="thick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rgb="FFFF0000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n">
        <color auto="1"/>
      </bottom>
      <diagonal/>
    </border>
    <border>
      <left/>
      <right style="thick">
        <color rgb="FFFF0000"/>
      </right>
      <top/>
      <bottom style="thin">
        <color auto="1"/>
      </bottom>
      <diagonal/>
    </border>
    <border>
      <left style="thick">
        <color rgb="FFFF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rgb="FFFF0000"/>
      </right>
      <top style="thin">
        <color auto="1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ck">
        <color theme="0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theme="0"/>
      </right>
      <top style="thin">
        <color theme="0"/>
      </top>
      <bottom/>
      <diagonal/>
    </border>
    <border>
      <left style="thick">
        <color auto="1"/>
      </left>
      <right style="thin">
        <color theme="0"/>
      </right>
      <top/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theme="0"/>
      </left>
      <right style="thick">
        <color auto="1"/>
      </right>
      <top style="thin">
        <color theme="0"/>
      </top>
      <bottom/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555">
    <xf numFmtId="0" fontId="0" fillId="0" borderId="0" xfId="0"/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/>
    <xf numFmtId="0" fontId="5" fillId="0" borderId="9" xfId="0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left" vertical="center" wrapText="1"/>
    </xf>
    <xf numFmtId="14" fontId="5" fillId="0" borderId="3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left" wrapText="1"/>
    </xf>
    <xf numFmtId="14" fontId="5" fillId="0" borderId="10" xfId="0" applyNumberFormat="1" applyFont="1" applyBorder="1"/>
    <xf numFmtId="0" fontId="5" fillId="0" borderId="11" xfId="0" applyFont="1" applyBorder="1"/>
    <xf numFmtId="14" fontId="5" fillId="0" borderId="10" xfId="0" applyNumberFormat="1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3" xfId="0" applyFont="1" applyFill="1" applyBorder="1" applyAlignment="1">
      <alignment horizontal="center" vertical="center"/>
    </xf>
    <xf numFmtId="14" fontId="5" fillId="0" borderId="14" xfId="0" applyNumberFormat="1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Border="1" applyAlignment="1">
      <alignment wrapText="1"/>
    </xf>
    <xf numFmtId="0" fontId="0" fillId="0" borderId="33" xfId="0" applyBorder="1" applyProtection="1">
      <protection hidden="1"/>
    </xf>
    <xf numFmtId="0" fontId="7" fillId="0" borderId="30" xfId="0" applyFont="1" applyFill="1" applyBorder="1" applyAlignment="1" applyProtection="1">
      <alignment vertical="center"/>
      <protection hidden="1"/>
    </xf>
    <xf numFmtId="0" fontId="0" fillId="0" borderId="30" xfId="0" applyBorder="1" applyProtection="1">
      <protection hidden="1"/>
    </xf>
    <xf numFmtId="0" fontId="0" fillId="0" borderId="30" xfId="0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0" fillId="0" borderId="32" xfId="0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50" xfId="0" applyFill="1" applyBorder="1" applyProtection="1">
      <protection hidden="1"/>
    </xf>
    <xf numFmtId="0" fontId="0" fillId="0" borderId="34" xfId="0" applyFill="1" applyBorder="1" applyProtection="1">
      <protection hidden="1"/>
    </xf>
    <xf numFmtId="0" fontId="9" fillId="3" borderId="47" xfId="0" applyFont="1" applyFill="1" applyBorder="1" applyAlignment="1" applyProtection="1">
      <alignment horizontal="center"/>
      <protection hidden="1"/>
    </xf>
    <xf numFmtId="0" fontId="2" fillId="8" borderId="18" xfId="0" applyFont="1" applyFill="1" applyBorder="1" applyProtection="1">
      <protection hidden="1"/>
    </xf>
    <xf numFmtId="0" fontId="2" fillId="8" borderId="18" xfId="0" applyFont="1" applyFill="1" applyBorder="1" applyAlignment="1" applyProtection="1">
      <alignment horizontal="center"/>
      <protection hidden="1"/>
    </xf>
    <xf numFmtId="0" fontId="2" fillId="0" borderId="33" xfId="0" applyFont="1" applyFill="1" applyBorder="1" applyProtection="1">
      <protection hidden="1"/>
    </xf>
    <xf numFmtId="0" fontId="2" fillId="8" borderId="19" xfId="0" applyFont="1" applyFill="1" applyBorder="1" applyProtection="1">
      <protection hidden="1"/>
    </xf>
    <xf numFmtId="0" fontId="2" fillId="8" borderId="20" xfId="0" applyFont="1" applyFill="1" applyBorder="1" applyProtection="1">
      <protection hidden="1"/>
    </xf>
    <xf numFmtId="0" fontId="0" fillId="8" borderId="1" xfId="0" applyFill="1" applyBorder="1" applyAlignment="1" applyProtection="1">
      <alignment horizontal="center"/>
      <protection hidden="1"/>
    </xf>
    <xf numFmtId="0" fontId="2" fillId="8" borderId="20" xfId="0" applyFont="1" applyFill="1" applyBorder="1" applyAlignment="1" applyProtection="1">
      <alignment horizontal="center"/>
      <protection hidden="1"/>
    </xf>
    <xf numFmtId="0" fontId="3" fillId="9" borderId="53" xfId="0" applyFont="1" applyFill="1" applyBorder="1" applyAlignment="1" applyProtection="1">
      <alignment horizontal="center"/>
      <protection hidden="1"/>
    </xf>
    <xf numFmtId="0" fontId="2" fillId="8" borderId="42" xfId="0" applyFont="1" applyFill="1" applyBorder="1" applyProtection="1">
      <protection hidden="1"/>
    </xf>
    <xf numFmtId="0" fontId="2" fillId="8" borderId="43" xfId="0" applyFont="1" applyFill="1" applyBorder="1" applyProtection="1">
      <protection hidden="1"/>
    </xf>
    <xf numFmtId="0" fontId="3" fillId="9" borderId="59" xfId="0" applyFont="1" applyFill="1" applyBorder="1" applyAlignment="1" applyProtection="1">
      <alignment horizontal="center"/>
      <protection hidden="1"/>
    </xf>
    <xf numFmtId="0" fontId="2" fillId="0" borderId="30" xfId="0" applyFont="1" applyFill="1" applyBorder="1" applyProtection="1">
      <protection hidden="1"/>
    </xf>
    <xf numFmtId="0" fontId="0" fillId="0" borderId="51" xfId="0" applyFill="1" applyBorder="1" applyProtection="1">
      <protection hidden="1"/>
    </xf>
    <xf numFmtId="0" fontId="2" fillId="8" borderId="21" xfId="0" applyFont="1" applyFill="1" applyBorder="1" applyProtection="1">
      <protection hidden="1"/>
    </xf>
    <xf numFmtId="0" fontId="2" fillId="8" borderId="23" xfId="0" applyFont="1" applyFill="1" applyBorder="1" applyProtection="1">
      <protection hidden="1"/>
    </xf>
    <xf numFmtId="0" fontId="2" fillId="8" borderId="23" xfId="0" applyFont="1" applyFill="1" applyBorder="1" applyAlignment="1" applyProtection="1">
      <alignment horizontal="center"/>
      <protection hidden="1"/>
    </xf>
    <xf numFmtId="0" fontId="0" fillId="0" borderId="31" xfId="0" applyBorder="1" applyProtection="1">
      <protection hidden="1"/>
    </xf>
    <xf numFmtId="0" fontId="0" fillId="0" borderId="32" xfId="0" applyBorder="1" applyProtection="1">
      <protection hidden="1"/>
    </xf>
    <xf numFmtId="0" fontId="0" fillId="0" borderId="34" xfId="0" applyBorder="1" applyProtection="1">
      <protection hidden="1"/>
    </xf>
    <xf numFmtId="0" fontId="0" fillId="0" borderId="34" xfId="0" applyFill="1" applyBorder="1" applyAlignment="1" applyProtection="1">
      <alignment horizontal="center"/>
      <protection hidden="1"/>
    </xf>
    <xf numFmtId="0" fontId="2" fillId="0" borderId="21" xfId="0" applyFont="1" applyBorder="1" applyAlignment="1" applyProtection="1">
      <alignment horizontal="center"/>
      <protection hidden="1"/>
    </xf>
    <xf numFmtId="0" fontId="2" fillId="0" borderId="22" xfId="0" applyFont="1" applyBorder="1" applyAlignment="1" applyProtection="1">
      <alignment horizontal="center"/>
      <protection hidden="1"/>
    </xf>
    <xf numFmtId="0" fontId="2" fillId="0" borderId="23" xfId="0" applyFont="1" applyBorder="1" applyAlignment="1" applyProtection="1">
      <alignment horizontal="center"/>
      <protection hidden="1"/>
    </xf>
    <xf numFmtId="0" fontId="2" fillId="0" borderId="26" xfId="0" applyFont="1" applyBorder="1" applyAlignment="1" applyProtection="1">
      <alignment horizontal="center"/>
      <protection hidden="1"/>
    </xf>
    <xf numFmtId="0" fontId="0" fillId="0" borderId="64" xfId="0" applyBorder="1" applyProtection="1">
      <protection hidden="1"/>
    </xf>
    <xf numFmtId="0" fontId="2" fillId="0" borderId="24" xfId="0" applyFont="1" applyBorder="1" applyAlignment="1" applyProtection="1">
      <alignment horizontal="center"/>
      <protection hidden="1"/>
    </xf>
    <xf numFmtId="0" fontId="0" fillId="0" borderId="63" xfId="0" applyBorder="1" applyProtection="1"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0" xfId="0" applyBorder="1" applyAlignment="1" applyProtection="1">
      <alignment horizontal="center"/>
      <protection hidden="1"/>
    </xf>
    <xf numFmtId="0" fontId="9" fillId="3" borderId="57" xfId="0" applyFont="1" applyFill="1" applyBorder="1" applyAlignment="1" applyProtection="1">
      <alignment horizontal="center"/>
      <protection hidden="1"/>
    </xf>
    <xf numFmtId="0" fontId="9" fillId="3" borderId="44" xfId="0" applyFont="1" applyFill="1" applyBorder="1" applyAlignment="1" applyProtection="1">
      <alignment horizontal="center"/>
      <protection hidden="1"/>
    </xf>
    <xf numFmtId="0" fontId="9" fillId="3" borderId="54" xfId="0" applyFont="1" applyFill="1" applyBorder="1" applyAlignment="1" applyProtection="1">
      <alignment horizontal="center"/>
      <protection hidden="1"/>
    </xf>
    <xf numFmtId="0" fontId="2" fillId="0" borderId="30" xfId="0" applyFont="1" applyBorder="1" applyProtection="1">
      <protection hidden="1"/>
    </xf>
    <xf numFmtId="0" fontId="2" fillId="8" borderId="16" xfId="0" applyFont="1" applyFill="1" applyBorder="1" applyAlignment="1" applyProtection="1">
      <alignment horizontal="center"/>
      <protection hidden="1"/>
    </xf>
    <xf numFmtId="0" fontId="2" fillId="8" borderId="18" xfId="0" applyFont="1" applyFill="1" applyBorder="1" applyAlignment="1" applyProtection="1">
      <alignment horizontal="left"/>
      <protection hidden="1"/>
    </xf>
    <xf numFmtId="0" fontId="2" fillId="8" borderId="19" xfId="0" applyFont="1" applyFill="1" applyBorder="1" applyAlignment="1" applyProtection="1">
      <alignment horizontal="center"/>
      <protection hidden="1"/>
    </xf>
    <xf numFmtId="0" fontId="2" fillId="8" borderId="20" xfId="0" applyFont="1" applyFill="1" applyBorder="1" applyAlignment="1" applyProtection="1">
      <alignment horizontal="left"/>
      <protection hidden="1"/>
    </xf>
    <xf numFmtId="0" fontId="3" fillId="8" borderId="20" xfId="0" applyFont="1" applyFill="1" applyBorder="1" applyAlignment="1" applyProtection="1">
      <alignment horizontal="center"/>
      <protection hidden="1"/>
    </xf>
    <xf numFmtId="0" fontId="0" fillId="8" borderId="21" xfId="0" applyFont="1" applyFill="1" applyBorder="1" applyAlignment="1" applyProtection="1">
      <alignment horizontal="center"/>
      <protection hidden="1"/>
    </xf>
    <xf numFmtId="0" fontId="0" fillId="0" borderId="32" xfId="0" applyFont="1" applyBorder="1" applyAlignment="1" applyProtection="1">
      <alignment horizontal="center"/>
      <protection hidden="1"/>
    </xf>
    <xf numFmtId="0" fontId="0" fillId="8" borderId="16" xfId="0" applyFill="1" applyBorder="1" applyAlignment="1" applyProtection="1">
      <alignment horizontal="center"/>
      <protection hidden="1"/>
    </xf>
    <xf numFmtId="0" fontId="0" fillId="8" borderId="19" xfId="0" applyFill="1" applyBorder="1" applyAlignment="1" applyProtection="1">
      <alignment horizontal="center"/>
      <protection hidden="1"/>
    </xf>
    <xf numFmtId="0" fontId="0" fillId="8" borderId="21" xfId="0" applyFill="1" applyBorder="1" applyAlignment="1" applyProtection="1">
      <alignment horizontal="center"/>
      <protection hidden="1"/>
    </xf>
    <xf numFmtId="0" fontId="2" fillId="0" borderId="32" xfId="0" applyFont="1" applyBorder="1" applyProtection="1">
      <protection hidden="1"/>
    </xf>
    <xf numFmtId="0" fontId="9" fillId="3" borderId="60" xfId="0" applyFont="1" applyFill="1" applyBorder="1" applyAlignment="1" applyProtection="1">
      <alignment horizontal="center"/>
      <protection hidden="1"/>
    </xf>
    <xf numFmtId="0" fontId="0" fillId="9" borderId="61" xfId="0" applyFill="1" applyBorder="1" applyAlignment="1" applyProtection="1">
      <alignment horizontal="center"/>
      <protection hidden="1"/>
    </xf>
    <xf numFmtId="0" fontId="0" fillId="9" borderId="25" xfId="0" applyFill="1" applyBorder="1" applyAlignment="1" applyProtection="1">
      <alignment horizontal="center"/>
      <protection hidden="1"/>
    </xf>
    <xf numFmtId="0" fontId="0" fillId="9" borderId="24" xfId="0" applyFill="1" applyBorder="1" applyAlignment="1" applyProtection="1">
      <alignment horizontal="center"/>
      <protection hidden="1"/>
    </xf>
    <xf numFmtId="0" fontId="0" fillId="8" borderId="18" xfId="0" applyFill="1" applyBorder="1" applyProtection="1">
      <protection hidden="1"/>
    </xf>
    <xf numFmtId="0" fontId="0" fillId="0" borderId="32" xfId="0" applyBorder="1" applyAlignment="1" applyProtection="1">
      <alignment horizontal="left"/>
      <protection hidden="1"/>
    </xf>
    <xf numFmtId="0" fontId="2" fillId="0" borderId="30" xfId="0" quotePrefix="1" applyFont="1" applyBorder="1" applyProtection="1">
      <protection hidden="1"/>
    </xf>
    <xf numFmtId="0" fontId="0" fillId="0" borderId="30" xfId="0" applyBorder="1" applyAlignment="1" applyProtection="1">
      <alignment horizontal="left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3" fillId="4" borderId="23" xfId="0" applyFont="1" applyFill="1" applyBorder="1" applyAlignment="1" applyProtection="1">
      <alignment horizontal="center" vertical="center"/>
      <protection hidden="1"/>
    </xf>
    <xf numFmtId="0" fontId="3" fillId="5" borderId="21" xfId="0" applyFont="1" applyFill="1" applyBorder="1" applyAlignment="1" applyProtection="1">
      <alignment horizontal="center" vertical="center"/>
      <protection hidden="1"/>
    </xf>
    <xf numFmtId="0" fontId="3" fillId="5" borderId="22" xfId="0" applyFont="1" applyFill="1" applyBorder="1" applyAlignment="1" applyProtection="1">
      <alignment horizontal="center" vertical="center"/>
      <protection hidden="1"/>
    </xf>
    <xf numFmtId="0" fontId="3" fillId="5" borderId="23" xfId="0" applyFont="1" applyFill="1" applyBorder="1" applyAlignment="1" applyProtection="1">
      <alignment horizontal="center" vertical="center"/>
      <protection hidden="1"/>
    </xf>
    <xf numFmtId="0" fontId="3" fillId="6" borderId="40" xfId="0" applyFont="1" applyFill="1" applyBorder="1" applyAlignment="1" applyProtection="1">
      <alignment horizontal="center" vertical="center"/>
      <protection hidden="1"/>
    </xf>
    <xf numFmtId="0" fontId="3" fillId="6" borderId="22" xfId="0" applyFont="1" applyFill="1" applyBorder="1" applyAlignment="1" applyProtection="1">
      <alignment horizontal="center" vertical="center"/>
      <protection hidden="1"/>
    </xf>
    <xf numFmtId="0" fontId="0" fillId="6" borderId="22" xfId="0" applyFill="1" applyBorder="1" applyAlignment="1" applyProtection="1">
      <alignment horizontal="center" vertical="center"/>
      <protection hidden="1"/>
    </xf>
    <xf numFmtId="0" fontId="0" fillId="6" borderId="23" xfId="0" applyFill="1" applyBorder="1" applyAlignment="1" applyProtection="1">
      <alignment horizontal="center" vertical="center"/>
      <protection hidden="1"/>
    </xf>
    <xf numFmtId="0" fontId="0" fillId="0" borderId="27" xfId="0" applyFill="1" applyBorder="1" applyAlignment="1" applyProtection="1">
      <alignment horizontal="center" vertical="center"/>
      <protection hidden="1"/>
    </xf>
    <xf numFmtId="0" fontId="0" fillId="0" borderId="28" xfId="0" applyFill="1" applyBorder="1" applyAlignment="1" applyProtection="1">
      <alignment horizontal="center" vertical="center"/>
      <protection hidden="1"/>
    </xf>
    <xf numFmtId="0" fontId="0" fillId="0" borderId="29" xfId="0" applyFill="1" applyBorder="1" applyAlignment="1" applyProtection="1">
      <alignment horizontal="center" vertical="center"/>
      <protection hidden="1"/>
    </xf>
    <xf numFmtId="0" fontId="2" fillId="0" borderId="41" xfId="0" applyFont="1" applyFill="1" applyBorder="1" applyAlignment="1" applyProtection="1">
      <alignment horizontal="center" vertical="center"/>
      <protection hidden="1"/>
    </xf>
    <xf numFmtId="0" fontId="2" fillId="0" borderId="28" xfId="0" applyFont="1" applyFill="1" applyBorder="1" applyAlignment="1" applyProtection="1">
      <alignment horizontal="center" vertical="center"/>
      <protection hidden="1"/>
    </xf>
    <xf numFmtId="0" fontId="0" fillId="7" borderId="1" xfId="0" applyFill="1" applyBorder="1" applyAlignment="1" applyProtection="1">
      <alignment horizontal="center" vertical="center"/>
      <protection hidden="1"/>
    </xf>
    <xf numFmtId="0" fontId="0" fillId="7" borderId="20" xfId="0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7" borderId="22" xfId="0" applyFill="1" applyBorder="1" applyAlignment="1" applyProtection="1">
      <alignment horizontal="center" vertical="center"/>
      <protection hidden="1"/>
    </xf>
    <xf numFmtId="0" fontId="0" fillId="7" borderId="23" xfId="0" applyFill="1" applyBorder="1" applyAlignment="1" applyProtection="1">
      <alignment horizontal="center" vertical="center"/>
      <protection hidden="1"/>
    </xf>
    <xf numFmtId="0" fontId="0" fillId="0" borderId="22" xfId="0" applyFill="1" applyBorder="1" applyAlignment="1" applyProtection="1">
      <alignment horizontal="center" vertical="center"/>
      <protection hidden="1"/>
    </xf>
    <xf numFmtId="0" fontId="0" fillId="0" borderId="23" xfId="0" applyFill="1" applyBorder="1" applyAlignment="1" applyProtection="1">
      <alignment horizontal="center" vertical="center"/>
      <protection hidden="1"/>
    </xf>
    <xf numFmtId="0" fontId="8" fillId="0" borderId="32" xfId="0" applyFont="1" applyBorder="1" applyProtection="1">
      <protection hidden="1"/>
    </xf>
    <xf numFmtId="0" fontId="0" fillId="0" borderId="36" xfId="0" applyBorder="1" applyProtection="1">
      <protection hidden="1"/>
    </xf>
    <xf numFmtId="0" fontId="0" fillId="0" borderId="36" xfId="0" applyFill="1" applyBorder="1" applyProtection="1">
      <protection hidden="1"/>
    </xf>
    <xf numFmtId="0" fontId="0" fillId="0" borderId="36" xfId="0" applyFill="1" applyBorder="1" applyAlignment="1" applyProtection="1">
      <alignment horizontal="center"/>
      <protection hidden="1"/>
    </xf>
    <xf numFmtId="0" fontId="0" fillId="0" borderId="30" xfId="0" applyFill="1" applyBorder="1" applyAlignment="1" applyProtection="1">
      <alignment horizontal="center"/>
      <protection hidden="1"/>
    </xf>
    <xf numFmtId="0" fontId="16" fillId="0" borderId="36" xfId="2" applyFill="1" applyBorder="1" applyAlignment="1" applyProtection="1">
      <protection hidden="1"/>
    </xf>
    <xf numFmtId="0" fontId="16" fillId="0" borderId="30" xfId="2" applyBorder="1" applyAlignment="1" applyProtection="1">
      <protection hidden="1"/>
    </xf>
    <xf numFmtId="0" fontId="19" fillId="0" borderId="30" xfId="0" applyFont="1" applyFill="1" applyBorder="1" applyAlignment="1" applyProtection="1">
      <alignment vertical="center"/>
      <protection hidden="1"/>
    </xf>
    <xf numFmtId="0" fontId="5" fillId="0" borderId="11" xfId="0" applyFont="1" applyBorder="1" applyAlignment="1">
      <alignment wrapText="1"/>
    </xf>
    <xf numFmtId="0" fontId="0" fillId="0" borderId="67" xfId="0" applyBorder="1" applyProtection="1">
      <protection hidden="1"/>
    </xf>
    <xf numFmtId="0" fontId="2" fillId="0" borderId="67" xfId="0" applyFont="1" applyBorder="1" applyProtection="1">
      <protection hidden="1"/>
    </xf>
    <xf numFmtId="0" fontId="3" fillId="0" borderId="30" xfId="0" applyFont="1" applyFill="1" applyBorder="1" applyAlignment="1" applyProtection="1">
      <alignment horizontal="center"/>
      <protection hidden="1"/>
    </xf>
    <xf numFmtId="0" fontId="2" fillId="0" borderId="30" xfId="0" applyFont="1" applyFill="1" applyBorder="1" applyAlignment="1" applyProtection="1">
      <alignment horizontal="left"/>
      <protection hidden="1"/>
    </xf>
    <xf numFmtId="0" fontId="9" fillId="0" borderId="30" xfId="0" applyFont="1" applyFill="1" applyBorder="1" applyAlignment="1" applyProtection="1">
      <protection hidden="1"/>
    </xf>
    <xf numFmtId="0" fontId="3" fillId="0" borderId="30" xfId="0" applyFont="1" applyBorder="1" applyAlignment="1" applyProtection="1">
      <alignment horizontal="center"/>
      <protection hidden="1"/>
    </xf>
    <xf numFmtId="0" fontId="2" fillId="0" borderId="30" xfId="0" applyFont="1" applyFill="1" applyBorder="1" applyAlignment="1" applyProtection="1"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0" borderId="70" xfId="0" applyBorder="1" applyProtection="1">
      <protection hidden="1"/>
    </xf>
    <xf numFmtId="0" fontId="0" fillId="0" borderId="66" xfId="0" applyBorder="1" applyProtection="1">
      <protection hidden="1"/>
    </xf>
    <xf numFmtId="0" fontId="0" fillId="0" borderId="71" xfId="0" applyBorder="1" applyProtection="1">
      <protection hidden="1"/>
    </xf>
    <xf numFmtId="0" fontId="0" fillId="0" borderId="71" xfId="0" applyBorder="1" applyAlignment="1" applyProtection="1">
      <alignment horizontal="left"/>
      <protection hidden="1"/>
    </xf>
    <xf numFmtId="0" fontId="0" fillId="0" borderId="69" xfId="0" applyBorder="1" applyProtection="1">
      <protection hidden="1"/>
    </xf>
    <xf numFmtId="0" fontId="3" fillId="0" borderId="67" xfId="0" applyFont="1" applyFill="1" applyBorder="1" applyAlignment="1" applyProtection="1">
      <protection hidden="1"/>
    </xf>
    <xf numFmtId="0" fontId="3" fillId="0" borderId="67" xfId="0" applyFont="1" applyFill="1" applyBorder="1" applyAlignment="1" applyProtection="1">
      <alignment horizontal="left"/>
      <protection hidden="1"/>
    </xf>
    <xf numFmtId="0" fontId="3" fillId="0" borderId="67" xfId="0" applyFont="1" applyBorder="1" applyProtection="1">
      <protection hidden="1"/>
    </xf>
    <xf numFmtId="0" fontId="2" fillId="0" borderId="67" xfId="0" applyFont="1" applyFill="1" applyBorder="1" applyAlignment="1" applyProtection="1">
      <alignment horizontal="left"/>
      <protection hidden="1"/>
    </xf>
    <xf numFmtId="0" fontId="2" fillId="0" borderId="67" xfId="0" applyFont="1" applyFill="1" applyBorder="1" applyAlignment="1" applyProtection="1">
      <protection hidden="1"/>
    </xf>
    <xf numFmtId="0" fontId="2" fillId="0" borderId="67" xfId="0" applyFont="1" applyBorder="1" applyAlignment="1" applyProtection="1">
      <alignment horizontal="left"/>
      <protection hidden="1"/>
    </xf>
    <xf numFmtId="0" fontId="0" fillId="0" borderId="67" xfId="0" applyBorder="1" applyAlignment="1" applyProtection="1">
      <alignment horizontal="left"/>
      <protection hidden="1"/>
    </xf>
    <xf numFmtId="0" fontId="2" fillId="0" borderId="64" xfId="0" applyFont="1" applyFill="1" applyBorder="1" applyProtection="1">
      <protection hidden="1"/>
    </xf>
    <xf numFmtId="0" fontId="2" fillId="0" borderId="64" xfId="0" applyFont="1" applyBorder="1" applyProtection="1">
      <protection hidden="1"/>
    </xf>
    <xf numFmtId="0" fontId="2" fillId="0" borderId="68" xfId="0" applyFont="1" applyBorder="1" applyProtection="1">
      <protection hidden="1"/>
    </xf>
    <xf numFmtId="0" fontId="2" fillId="0" borderId="70" xfId="0" applyFont="1" applyBorder="1" applyProtection="1">
      <protection hidden="1"/>
    </xf>
    <xf numFmtId="0" fontId="0" fillId="0" borderId="70" xfId="0" applyBorder="1" applyAlignment="1" applyProtection="1">
      <alignment horizontal="left"/>
      <protection hidden="1"/>
    </xf>
    <xf numFmtId="0" fontId="0" fillId="0" borderId="72" xfId="0" applyBorder="1" applyProtection="1">
      <protection hidden="1"/>
    </xf>
    <xf numFmtId="0" fontId="2" fillId="0" borderId="30" xfId="0" applyNumberFormat="1" applyFont="1" applyBorder="1" applyAlignment="1" applyProtection="1">
      <alignment horizontal="left"/>
      <protection hidden="1"/>
    </xf>
    <xf numFmtId="0" fontId="3" fillId="0" borderId="74" xfId="0" applyFont="1" applyBorder="1" applyProtection="1">
      <protection hidden="1"/>
    </xf>
    <xf numFmtId="0" fontId="7" fillId="0" borderId="65" xfId="0" applyFont="1" applyFill="1" applyBorder="1" applyAlignment="1" applyProtection="1">
      <alignment vertical="center"/>
      <protection hidden="1"/>
    </xf>
    <xf numFmtId="0" fontId="7" fillId="0" borderId="31" xfId="0" applyFont="1" applyFill="1" applyBorder="1" applyAlignment="1" applyProtection="1">
      <alignment vertical="center"/>
      <protection hidden="1"/>
    </xf>
    <xf numFmtId="0" fontId="0" fillId="0" borderId="31" xfId="0" applyBorder="1" applyAlignment="1" applyProtection="1">
      <protection hidden="1"/>
    </xf>
    <xf numFmtId="0" fontId="19" fillId="0" borderId="34" xfId="0" applyFont="1" applyFill="1" applyBorder="1" applyAlignment="1" applyProtection="1">
      <alignment vertical="center"/>
      <protection hidden="1"/>
    </xf>
    <xf numFmtId="0" fontId="0" fillId="0" borderId="50" xfId="0" applyBorder="1" applyProtection="1">
      <protection hidden="1"/>
    </xf>
    <xf numFmtId="0" fontId="8" fillId="3" borderId="19" xfId="0" applyFont="1" applyFill="1" applyBorder="1" applyAlignment="1" applyProtection="1">
      <alignment horizontal="left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0" fillId="3" borderId="1" xfId="0" applyFill="1" applyBorder="1" applyProtection="1">
      <protection hidden="1"/>
    </xf>
    <xf numFmtId="0" fontId="0" fillId="3" borderId="1" xfId="0" applyFill="1" applyBorder="1" applyAlignment="1" applyProtection="1">
      <alignment horizontal="center"/>
      <protection hidden="1"/>
    </xf>
    <xf numFmtId="49" fontId="8" fillId="3" borderId="19" xfId="0" applyNumberFormat="1" applyFont="1" applyFill="1" applyBorder="1" applyAlignment="1" applyProtection="1">
      <alignment horizontal="left"/>
      <protection hidden="1"/>
    </xf>
    <xf numFmtId="0" fontId="8" fillId="3" borderId="1" xfId="0" applyFont="1" applyFill="1" applyBorder="1" applyProtection="1">
      <protection hidden="1"/>
    </xf>
    <xf numFmtId="0" fontId="0" fillId="3" borderId="21" xfId="0" applyFill="1" applyBorder="1" applyProtection="1">
      <protection hidden="1"/>
    </xf>
    <xf numFmtId="0" fontId="0" fillId="3" borderId="22" xfId="0" applyFill="1" applyBorder="1" applyAlignment="1" applyProtection="1">
      <alignment horizontal="left"/>
      <protection hidden="1"/>
    </xf>
    <xf numFmtId="0" fontId="0" fillId="3" borderId="22" xfId="0" applyFill="1" applyBorder="1" applyProtection="1">
      <protection hidden="1"/>
    </xf>
    <xf numFmtId="0" fontId="0" fillId="3" borderId="22" xfId="0" applyFill="1" applyBorder="1" applyAlignment="1" applyProtection="1">
      <alignment horizontal="center"/>
      <protection hidden="1"/>
    </xf>
    <xf numFmtId="0" fontId="6" fillId="0" borderId="30" xfId="0" applyFont="1" applyBorder="1" applyAlignment="1" applyProtection="1">
      <alignment vertical="center"/>
      <protection hidden="1"/>
    </xf>
    <xf numFmtId="0" fontId="20" fillId="0" borderId="30" xfId="0" applyFont="1" applyBorder="1" applyAlignment="1" applyProtection="1">
      <alignment vertical="center" wrapText="1"/>
      <protection hidden="1"/>
    </xf>
    <xf numFmtId="0" fontId="7" fillId="0" borderId="85" xfId="0" applyFont="1" applyFill="1" applyBorder="1" applyAlignment="1" applyProtection="1">
      <alignment vertical="center"/>
      <protection hidden="1"/>
    </xf>
    <xf numFmtId="0" fontId="7" fillId="0" borderId="86" xfId="0" applyFont="1" applyFill="1" applyBorder="1" applyAlignment="1" applyProtection="1">
      <alignment vertical="center"/>
      <protection hidden="1"/>
    </xf>
    <xf numFmtId="0" fontId="7" fillId="0" borderId="87" xfId="0" applyFont="1" applyFill="1" applyBorder="1" applyAlignment="1" applyProtection="1">
      <alignment vertical="center"/>
      <protection hidden="1"/>
    </xf>
    <xf numFmtId="0" fontId="0" fillId="0" borderId="87" xfId="0" applyFill="1" applyBorder="1" applyProtection="1">
      <protection hidden="1"/>
    </xf>
    <xf numFmtId="0" fontId="0" fillId="0" borderId="88" xfId="0" applyFill="1" applyBorder="1" applyProtection="1">
      <protection hidden="1"/>
    </xf>
    <xf numFmtId="0" fontId="0" fillId="0" borderId="89" xfId="0" applyFill="1" applyBorder="1" applyProtection="1">
      <protection hidden="1"/>
    </xf>
    <xf numFmtId="0" fontId="7" fillId="0" borderId="90" xfId="0" applyFont="1" applyFill="1" applyBorder="1" applyAlignment="1" applyProtection="1">
      <alignment vertical="center"/>
      <protection hidden="1"/>
    </xf>
    <xf numFmtId="0" fontId="0" fillId="0" borderId="91" xfId="0" applyFill="1" applyBorder="1" applyProtection="1">
      <protection hidden="1"/>
    </xf>
    <xf numFmtId="0" fontId="0" fillId="3" borderId="20" xfId="0" applyFill="1" applyBorder="1" applyAlignment="1" applyProtection="1">
      <alignment horizontal="center"/>
      <protection hidden="1"/>
    </xf>
    <xf numFmtId="0" fontId="0" fillId="3" borderId="23" xfId="0" applyFill="1" applyBorder="1" applyAlignment="1" applyProtection="1">
      <alignment horizontal="center"/>
      <protection hidden="1"/>
    </xf>
    <xf numFmtId="0" fontId="2" fillId="9" borderId="26" xfId="0" applyFont="1" applyFill="1" applyBorder="1" applyAlignment="1" applyProtection="1">
      <alignment horizontal="center"/>
      <protection hidden="1"/>
    </xf>
    <xf numFmtId="0" fontId="2" fillId="9" borderId="25" xfId="0" applyFont="1" applyFill="1" applyBorder="1" applyAlignment="1" applyProtection="1">
      <alignment horizontal="center"/>
      <protection hidden="1"/>
    </xf>
    <xf numFmtId="0" fontId="2" fillId="9" borderId="24" xfId="0" applyFont="1" applyFill="1" applyBorder="1" applyAlignment="1" applyProtection="1">
      <alignment horizontal="center"/>
      <protection hidden="1"/>
    </xf>
    <xf numFmtId="0" fontId="3" fillId="0" borderId="73" xfId="0" applyFont="1" applyBorder="1" applyProtection="1">
      <protection hidden="1"/>
    </xf>
    <xf numFmtId="0" fontId="0" fillId="0" borderId="65" xfId="0" applyBorder="1" applyProtection="1">
      <protection hidden="1"/>
    </xf>
    <xf numFmtId="0" fontId="0" fillId="0" borderId="68" xfId="0" applyBorder="1" applyProtection="1">
      <protection hidden="1"/>
    </xf>
    <xf numFmtId="0" fontId="0" fillId="0" borderId="62" xfId="0" applyBorder="1" applyAlignment="1" applyProtection="1">
      <alignment horizontal="left"/>
      <protection hidden="1"/>
    </xf>
    <xf numFmtId="0" fontId="0" fillId="0" borderId="62" xfId="0" applyBorder="1" applyProtection="1">
      <protection hidden="1"/>
    </xf>
    <xf numFmtId="0" fontId="0" fillId="0" borderId="95" xfId="0" applyBorder="1" applyAlignment="1" applyProtection="1">
      <alignment horizontal="left"/>
      <protection hidden="1"/>
    </xf>
    <xf numFmtId="0" fontId="0" fillId="0" borderId="95" xfId="0" applyBorder="1" applyProtection="1">
      <protection hidden="1"/>
    </xf>
    <xf numFmtId="0" fontId="2" fillId="0" borderId="73" xfId="0" applyFont="1" applyBorder="1" applyProtection="1">
      <protection hidden="1"/>
    </xf>
    <xf numFmtId="0" fontId="2" fillId="0" borderId="70" xfId="0" applyFont="1" applyBorder="1" applyAlignment="1" applyProtection="1">
      <alignment horizontal="left"/>
      <protection hidden="1"/>
    </xf>
    <xf numFmtId="0" fontId="2" fillId="0" borderId="66" xfId="0" applyFont="1" applyBorder="1" applyProtection="1">
      <protection hidden="1"/>
    </xf>
    <xf numFmtId="0" fontId="2" fillId="0" borderId="74" xfId="0" applyFont="1" applyBorder="1" applyProtection="1">
      <protection hidden="1"/>
    </xf>
    <xf numFmtId="0" fontId="2" fillId="0" borderId="32" xfId="0" applyFont="1" applyBorder="1" applyAlignment="1" applyProtection="1">
      <alignment horizontal="left"/>
      <protection hidden="1"/>
    </xf>
    <xf numFmtId="0" fontId="2" fillId="0" borderId="72" xfId="0" applyFont="1" applyBorder="1" applyProtection="1">
      <protection hidden="1"/>
    </xf>
    <xf numFmtId="0" fontId="2" fillId="0" borderId="30" xfId="0" applyFont="1" applyBorder="1" applyAlignment="1" applyProtection="1">
      <alignment horizontal="left"/>
      <protection hidden="1"/>
    </xf>
    <xf numFmtId="0" fontId="22" fillId="0" borderId="30" xfId="0" applyFont="1" applyFill="1" applyBorder="1" applyAlignment="1" applyProtection="1">
      <protection hidden="1"/>
    </xf>
    <xf numFmtId="0" fontId="2" fillId="0" borderId="30" xfId="0" applyFont="1" applyFill="1" applyBorder="1" applyAlignment="1" applyProtection="1">
      <alignment horizontal="center"/>
      <protection hidden="1"/>
    </xf>
    <xf numFmtId="0" fontId="2" fillId="0" borderId="30" xfId="0" applyFont="1" applyBorder="1" applyAlignment="1" applyProtection="1">
      <alignment horizontal="center"/>
      <protection hidden="1"/>
    </xf>
    <xf numFmtId="0" fontId="2" fillId="0" borderId="71" xfId="0" applyFont="1" applyBorder="1" applyAlignment="1" applyProtection="1">
      <alignment horizontal="left"/>
      <protection hidden="1"/>
    </xf>
    <xf numFmtId="0" fontId="2" fillId="0" borderId="71" xfId="0" applyFont="1" applyBorder="1" applyProtection="1">
      <protection hidden="1"/>
    </xf>
    <xf numFmtId="0" fontId="2" fillId="0" borderId="69" xfId="0" applyFont="1" applyBorder="1" applyProtection="1">
      <protection hidden="1"/>
    </xf>
    <xf numFmtId="0" fontId="2" fillId="0" borderId="33" xfId="0" applyFont="1" applyBorder="1" applyProtection="1">
      <protection hidden="1"/>
    </xf>
    <xf numFmtId="0" fontId="0" fillId="0" borderId="51" xfId="0" applyBorder="1" applyProtection="1">
      <protection hidden="1"/>
    </xf>
    <xf numFmtId="0" fontId="2" fillId="0" borderId="96" xfId="0" applyFont="1" applyBorder="1" applyProtection="1">
      <protection hidden="1"/>
    </xf>
    <xf numFmtId="0" fontId="2" fillId="0" borderId="96" xfId="0" applyFont="1" applyBorder="1" applyAlignment="1" applyProtection="1">
      <alignment horizontal="left"/>
      <protection hidden="1"/>
    </xf>
    <xf numFmtId="0" fontId="2" fillId="0" borderId="62" xfId="0" applyFont="1" applyBorder="1" applyProtection="1">
      <protection hidden="1"/>
    </xf>
    <xf numFmtId="0" fontId="2" fillId="0" borderId="62" xfId="0" applyFont="1" applyBorder="1" applyAlignment="1" applyProtection="1">
      <alignment horizontal="left"/>
      <protection hidden="1"/>
    </xf>
    <xf numFmtId="0" fontId="2" fillId="0" borderId="62" xfId="0" applyFont="1" applyFill="1" applyBorder="1" applyAlignment="1" applyProtection="1">
      <protection hidden="1"/>
    </xf>
    <xf numFmtId="0" fontId="24" fillId="0" borderId="122" xfId="0" applyFont="1" applyFill="1" applyBorder="1" applyAlignment="1" applyProtection="1">
      <alignment vertical="center"/>
      <protection hidden="1"/>
    </xf>
    <xf numFmtId="0" fontId="24" fillId="0" borderId="33" xfId="0" applyFont="1" applyFill="1" applyBorder="1" applyAlignment="1" applyProtection="1">
      <alignment vertical="center"/>
      <protection hidden="1"/>
    </xf>
    <xf numFmtId="0" fontId="24" fillId="0" borderId="31" xfId="0" applyFont="1" applyFill="1" applyBorder="1" applyAlignment="1" applyProtection="1">
      <alignment vertical="center"/>
      <protection hidden="1"/>
    </xf>
    <xf numFmtId="0" fontId="24" fillId="0" borderId="64" xfId="0" applyFont="1" applyFill="1" applyBorder="1" applyAlignment="1" applyProtection="1">
      <alignment vertical="center"/>
      <protection hidden="1"/>
    </xf>
    <xf numFmtId="0" fontId="24" fillId="0" borderId="123" xfId="0" applyFont="1" applyFill="1" applyBorder="1" applyAlignment="1" applyProtection="1">
      <alignment vertical="center"/>
      <protection hidden="1"/>
    </xf>
    <xf numFmtId="0" fontId="24" fillId="0" borderId="71" xfId="0" applyFont="1" applyFill="1" applyBorder="1" applyAlignment="1" applyProtection="1">
      <alignment vertical="center"/>
      <protection hidden="1"/>
    </xf>
    <xf numFmtId="0" fontId="24" fillId="0" borderId="101" xfId="0" applyFont="1" applyFill="1" applyBorder="1" applyAlignment="1" applyProtection="1">
      <alignment vertical="center"/>
      <protection hidden="1"/>
    </xf>
    <xf numFmtId="0" fontId="24" fillId="0" borderId="69" xfId="0" applyFont="1" applyFill="1" applyBorder="1" applyAlignment="1" applyProtection="1">
      <alignment vertical="center"/>
      <protection hidden="1"/>
    </xf>
    <xf numFmtId="0" fontId="25" fillId="0" borderId="67" xfId="0" applyFont="1" applyFill="1" applyBorder="1" applyAlignment="1" applyProtection="1">
      <alignment horizontal="center"/>
      <protection hidden="1"/>
    </xf>
    <xf numFmtId="0" fontId="24" fillId="0" borderId="30" xfId="0" applyFont="1" applyFill="1" applyBorder="1" applyAlignment="1" applyProtection="1">
      <alignment horizontal="left"/>
      <protection hidden="1"/>
    </xf>
    <xf numFmtId="0" fontId="25" fillId="0" borderId="30" xfId="0" applyFont="1" applyFill="1" applyBorder="1" applyAlignment="1" applyProtection="1">
      <alignment horizontal="center"/>
      <protection hidden="1"/>
    </xf>
    <xf numFmtId="0" fontId="25" fillId="0" borderId="64" xfId="0" applyFont="1" applyFill="1" applyBorder="1" applyAlignment="1" applyProtection="1">
      <alignment horizontal="center"/>
      <protection hidden="1"/>
    </xf>
    <xf numFmtId="0" fontId="24" fillId="0" borderId="67" xfId="0" applyFont="1" applyFill="1" applyBorder="1" applyProtection="1">
      <protection hidden="1"/>
    </xf>
    <xf numFmtId="0" fontId="24" fillId="0" borderId="30" xfId="0" applyFont="1" applyFill="1" applyBorder="1" applyProtection="1">
      <protection hidden="1"/>
    </xf>
    <xf numFmtId="0" fontId="24" fillId="0" borderId="64" xfId="0" applyFont="1" applyFill="1" applyBorder="1" applyProtection="1">
      <protection hidden="1"/>
    </xf>
    <xf numFmtId="0" fontId="2" fillId="0" borderId="30" xfId="0" applyFont="1" applyFill="1" applyBorder="1" applyAlignment="1" applyProtection="1">
      <alignment vertical="center"/>
      <protection hidden="1"/>
    </xf>
    <xf numFmtId="0" fontId="2" fillId="0" borderId="33" xfId="0" applyFont="1" applyFill="1" applyBorder="1" applyAlignment="1" applyProtection="1">
      <alignment vertical="center"/>
      <protection hidden="1"/>
    </xf>
    <xf numFmtId="0" fontId="2" fillId="0" borderId="31" xfId="0" applyFont="1" applyFill="1" applyBorder="1" applyAlignment="1" applyProtection="1">
      <alignment vertical="center"/>
      <protection hidden="1"/>
    </xf>
    <xf numFmtId="0" fontId="2" fillId="0" borderId="33" xfId="0" applyFont="1" applyFill="1" applyBorder="1" applyAlignment="1" applyProtection="1">
      <protection hidden="1"/>
    </xf>
    <xf numFmtId="0" fontId="2" fillId="0" borderId="31" xfId="0" applyFont="1" applyFill="1" applyBorder="1" applyAlignment="1" applyProtection="1">
      <protection hidden="1"/>
    </xf>
    <xf numFmtId="0" fontId="2" fillId="0" borderId="30" xfId="0" applyFont="1" applyFill="1" applyBorder="1" applyAlignment="1" applyProtection="1">
      <alignment horizontal="right"/>
      <protection hidden="1"/>
    </xf>
    <xf numFmtId="0" fontId="24" fillId="0" borderId="67" xfId="0" applyFont="1" applyFill="1" applyBorder="1" applyAlignment="1" applyProtection="1">
      <alignment horizontal="right"/>
      <protection hidden="1"/>
    </xf>
    <xf numFmtId="0" fontId="3" fillId="0" borderId="33" xfId="0" applyFont="1" applyFill="1" applyBorder="1" applyAlignment="1" applyProtection="1">
      <alignment horizontal="right"/>
      <protection hidden="1"/>
    </xf>
    <xf numFmtId="0" fontId="24" fillId="0" borderId="104" xfId="0" applyFont="1" applyFill="1" applyBorder="1" applyAlignment="1" applyProtection="1">
      <alignment horizontal="right"/>
      <protection hidden="1"/>
    </xf>
    <xf numFmtId="0" fontId="24" fillId="0" borderId="105" xfId="0" applyFont="1" applyFill="1" applyBorder="1" applyProtection="1">
      <protection hidden="1"/>
    </xf>
    <xf numFmtId="0" fontId="24" fillId="0" borderId="106" xfId="0" applyFont="1" applyFill="1" applyBorder="1" applyProtection="1">
      <protection hidden="1"/>
    </xf>
    <xf numFmtId="0" fontId="3" fillId="0" borderId="30" xfId="0" applyFont="1" applyFill="1" applyBorder="1" applyProtection="1">
      <protection hidden="1"/>
    </xf>
    <xf numFmtId="0" fontId="27" fillId="0" borderId="32" xfId="0" applyFont="1" applyFill="1" applyBorder="1" applyProtection="1">
      <protection hidden="1"/>
    </xf>
    <xf numFmtId="0" fontId="24" fillId="0" borderId="32" xfId="0" applyFont="1" applyFill="1" applyBorder="1" applyProtection="1">
      <protection hidden="1"/>
    </xf>
    <xf numFmtId="0" fontId="27" fillId="0" borderId="30" xfId="0" applyFont="1" applyFill="1" applyBorder="1" applyProtection="1">
      <protection hidden="1"/>
    </xf>
    <xf numFmtId="0" fontId="3" fillId="0" borderId="30" xfId="0" applyFont="1" applyFill="1" applyBorder="1" applyAlignment="1" applyProtection="1">
      <alignment horizontal="left"/>
      <protection hidden="1"/>
    </xf>
    <xf numFmtId="0" fontId="23" fillId="0" borderId="30" xfId="0" applyFont="1" applyFill="1" applyBorder="1" applyAlignment="1" applyProtection="1">
      <alignment vertical="center"/>
      <protection hidden="1"/>
    </xf>
    <xf numFmtId="0" fontId="0" fillId="0" borderId="30" xfId="0" applyFill="1" applyBorder="1" applyAlignment="1" applyProtection="1">
      <protection hidden="1"/>
    </xf>
    <xf numFmtId="0" fontId="0" fillId="0" borderId="48" xfId="0" applyBorder="1" applyProtection="1">
      <protection hidden="1"/>
    </xf>
    <xf numFmtId="0" fontId="24" fillId="0" borderId="30" xfId="0" applyFont="1" applyBorder="1" applyProtection="1">
      <protection hidden="1"/>
    </xf>
    <xf numFmtId="0" fontId="24" fillId="0" borderId="30" xfId="0" applyFont="1" applyBorder="1" applyAlignment="1" applyProtection="1">
      <alignment horizontal="center"/>
      <protection hidden="1"/>
    </xf>
    <xf numFmtId="0" fontId="24" fillId="0" borderId="33" xfId="0" applyFont="1" applyBorder="1" applyProtection="1">
      <protection hidden="1"/>
    </xf>
    <xf numFmtId="0" fontId="18" fillId="0" borderId="30" xfId="0" applyFont="1" applyFill="1" applyBorder="1" applyAlignment="1" applyProtection="1">
      <alignment vertical="center"/>
      <protection hidden="1"/>
    </xf>
    <xf numFmtId="0" fontId="24" fillId="0" borderId="32" xfId="0" applyFont="1" applyBorder="1" applyProtection="1">
      <protection hidden="1"/>
    </xf>
    <xf numFmtId="0" fontId="24" fillId="0" borderId="32" xfId="0" applyFont="1" applyBorder="1" applyAlignment="1" applyProtection="1">
      <alignment horizontal="center"/>
      <protection hidden="1"/>
    </xf>
    <xf numFmtId="0" fontId="18" fillId="0" borderId="31" xfId="0" applyFont="1" applyFill="1" applyBorder="1" applyAlignment="1" applyProtection="1">
      <alignment vertical="center"/>
      <protection hidden="1"/>
    </xf>
    <xf numFmtId="0" fontId="24" fillId="0" borderId="31" xfId="0" applyFont="1" applyFill="1" applyBorder="1" applyProtection="1">
      <protection hidden="1"/>
    </xf>
    <xf numFmtId="0" fontId="24" fillId="0" borderId="51" xfId="0" applyFont="1" applyBorder="1" applyProtection="1">
      <protection hidden="1"/>
    </xf>
    <xf numFmtId="0" fontId="24" fillId="0" borderId="65" xfId="0" applyFont="1" applyFill="1" applyBorder="1" applyProtection="1">
      <protection hidden="1"/>
    </xf>
    <xf numFmtId="0" fontId="35" fillId="3" borderId="1" xfId="0" applyFont="1" applyFill="1" applyBorder="1" applyAlignment="1" applyProtection="1">
      <alignment horizontal="left"/>
      <protection hidden="1"/>
    </xf>
    <xf numFmtId="0" fontId="35" fillId="3" borderId="1" xfId="0" applyFont="1" applyFill="1" applyBorder="1" applyProtection="1">
      <protection hidden="1"/>
    </xf>
    <xf numFmtId="0" fontId="38" fillId="3" borderId="127" xfId="0" applyFont="1" applyFill="1" applyBorder="1" applyAlignment="1" applyProtection="1">
      <alignment horizontal="right"/>
      <protection hidden="1"/>
    </xf>
    <xf numFmtId="0" fontId="38" fillId="3" borderId="1" xfId="0" applyFont="1" applyFill="1" applyBorder="1" applyAlignment="1" applyProtection="1">
      <alignment horizontal="left"/>
      <protection hidden="1"/>
    </xf>
    <xf numFmtId="0" fontId="38" fillId="3" borderId="1" xfId="0" applyFont="1" applyFill="1" applyBorder="1" applyProtection="1">
      <protection hidden="1"/>
    </xf>
    <xf numFmtId="0" fontId="38" fillId="3" borderId="1" xfId="0" applyFont="1" applyFill="1" applyBorder="1" applyAlignment="1" applyProtection="1">
      <alignment horizontal="center"/>
      <protection hidden="1"/>
    </xf>
    <xf numFmtId="0" fontId="38" fillId="3" borderId="128" xfId="0" applyFont="1" applyFill="1" applyBorder="1" applyProtection="1">
      <protection hidden="1"/>
    </xf>
    <xf numFmtId="0" fontId="38" fillId="3" borderId="129" xfId="0" applyFont="1" applyFill="1" applyBorder="1" applyProtection="1">
      <protection hidden="1"/>
    </xf>
    <xf numFmtId="0" fontId="38" fillId="3" borderId="130" xfId="0" applyFont="1" applyFill="1" applyBorder="1" applyAlignment="1" applyProtection="1">
      <alignment horizontal="right"/>
      <protection hidden="1"/>
    </xf>
    <xf numFmtId="0" fontId="38" fillId="3" borderId="130" xfId="0" applyFont="1" applyFill="1" applyBorder="1" applyAlignment="1" applyProtection="1">
      <alignment horizontal="left"/>
      <protection hidden="1"/>
    </xf>
    <xf numFmtId="0" fontId="38" fillId="3" borderId="130" xfId="0" applyFont="1" applyFill="1" applyBorder="1" applyProtection="1">
      <protection hidden="1"/>
    </xf>
    <xf numFmtId="0" fontId="38" fillId="3" borderId="130" xfId="0" applyFont="1" applyFill="1" applyBorder="1" applyAlignment="1" applyProtection="1">
      <alignment horizontal="center"/>
      <protection hidden="1"/>
    </xf>
    <xf numFmtId="0" fontId="38" fillId="3" borderId="131" xfId="0" applyFont="1" applyFill="1" applyBorder="1" applyProtection="1">
      <protection hidden="1"/>
    </xf>
    <xf numFmtId="0" fontId="38" fillId="3" borderId="137" xfId="0" applyFont="1" applyFill="1" applyBorder="1" applyAlignment="1" applyProtection="1">
      <alignment horizontal="right"/>
      <protection hidden="1"/>
    </xf>
    <xf numFmtId="0" fontId="38" fillId="3" borderId="47" xfId="0" applyFont="1" applyFill="1" applyBorder="1" applyAlignment="1" applyProtection="1">
      <alignment horizontal="left"/>
      <protection hidden="1"/>
    </xf>
    <xf numFmtId="0" fontId="38" fillId="3" borderId="47" xfId="0" applyFont="1" applyFill="1" applyBorder="1" applyProtection="1">
      <protection hidden="1"/>
    </xf>
    <xf numFmtId="0" fontId="38" fillId="3" borderId="47" xfId="0" applyFont="1" applyFill="1" applyBorder="1" applyAlignment="1" applyProtection="1">
      <alignment horizontal="center"/>
      <protection hidden="1"/>
    </xf>
    <xf numFmtId="0" fontId="38" fillId="3" borderId="138" xfId="0" applyFont="1" applyFill="1" applyBorder="1" applyProtection="1">
      <protection hidden="1"/>
    </xf>
    <xf numFmtId="0" fontId="33" fillId="3" borderId="47" xfId="0" applyFont="1" applyFill="1" applyBorder="1" applyAlignment="1" applyProtection="1">
      <alignment horizontal="left"/>
      <protection hidden="1"/>
    </xf>
    <xf numFmtId="0" fontId="24" fillId="0" borderId="31" xfId="0" applyFont="1" applyBorder="1" applyProtection="1">
      <protection hidden="1"/>
    </xf>
    <xf numFmtId="0" fontId="24" fillId="0" borderId="32" xfId="0" applyFont="1" applyFill="1" applyBorder="1" applyAlignment="1" applyProtection="1">
      <alignment horizontal="center"/>
      <protection hidden="1"/>
    </xf>
    <xf numFmtId="0" fontId="38" fillId="3" borderId="127" xfId="0" applyFont="1" applyFill="1" applyBorder="1" applyAlignment="1" applyProtection="1">
      <alignment horizontal="right" vertical="center"/>
      <protection hidden="1"/>
    </xf>
    <xf numFmtId="0" fontId="38" fillId="3" borderId="1" xfId="0" applyFont="1" applyFill="1" applyBorder="1" applyAlignment="1" applyProtection="1">
      <alignment horizontal="left" vertical="center"/>
      <protection hidden="1"/>
    </xf>
    <xf numFmtId="0" fontId="37" fillId="3" borderId="1" xfId="0" applyFont="1" applyFill="1" applyBorder="1" applyAlignment="1" applyProtection="1">
      <alignment horizontal="center" vertical="center"/>
      <protection hidden="1"/>
    </xf>
    <xf numFmtId="0" fontId="37" fillId="3" borderId="128" xfId="0" applyFont="1" applyFill="1" applyBorder="1" applyAlignment="1" applyProtection="1">
      <alignment horizontal="center" vertical="center"/>
      <protection hidden="1"/>
    </xf>
    <xf numFmtId="0" fontId="34" fillId="3" borderId="1" xfId="0" applyFont="1" applyFill="1" applyBorder="1" applyAlignment="1" applyProtection="1">
      <alignment horizontal="left" vertical="center"/>
      <protection hidden="1"/>
    </xf>
    <xf numFmtId="0" fontId="39" fillId="3" borderId="1" xfId="0" applyFont="1" applyFill="1" applyBorder="1" applyAlignment="1" applyProtection="1">
      <alignment horizontal="left" vertical="center"/>
      <protection hidden="1"/>
    </xf>
    <xf numFmtId="0" fontId="35" fillId="3" borderId="1" xfId="0" applyFont="1" applyFill="1" applyBorder="1" applyAlignment="1" applyProtection="1">
      <alignment horizontal="center" vertical="center"/>
      <protection hidden="1"/>
    </xf>
    <xf numFmtId="0" fontId="35" fillId="3" borderId="1" xfId="0" quotePrefix="1" applyFont="1" applyFill="1" applyBorder="1" applyAlignment="1" applyProtection="1">
      <alignment horizontal="left" vertical="center"/>
      <protection hidden="1"/>
    </xf>
    <xf numFmtId="0" fontId="35" fillId="3" borderId="1" xfId="0" applyFont="1" applyFill="1" applyBorder="1" applyAlignment="1" applyProtection="1">
      <alignment horizontal="left" vertical="center"/>
      <protection hidden="1"/>
    </xf>
    <xf numFmtId="0" fontId="24" fillId="3" borderId="130" xfId="0" applyFont="1" applyFill="1" applyBorder="1" applyProtection="1">
      <protection hidden="1"/>
    </xf>
    <xf numFmtId="0" fontId="24" fillId="3" borderId="130" xfId="0" applyFont="1" applyFill="1" applyBorder="1" applyAlignment="1" applyProtection="1">
      <alignment horizontal="center"/>
      <protection hidden="1"/>
    </xf>
    <xf numFmtId="0" fontId="24" fillId="3" borderId="127" xfId="0" applyFont="1" applyFill="1" applyBorder="1" applyProtection="1">
      <protection hidden="1"/>
    </xf>
    <xf numFmtId="0" fontId="24" fillId="3" borderId="128" xfId="0" applyFont="1" applyFill="1" applyBorder="1" applyProtection="1">
      <protection hidden="1"/>
    </xf>
    <xf numFmtId="0" fontId="24" fillId="3" borderId="129" xfId="0" applyFont="1" applyFill="1" applyBorder="1" applyProtection="1">
      <protection hidden="1"/>
    </xf>
    <xf numFmtId="0" fontId="24" fillId="3" borderId="131" xfId="0" applyFont="1" applyFill="1" applyBorder="1" applyProtection="1">
      <protection hidden="1"/>
    </xf>
    <xf numFmtId="0" fontId="35" fillId="3" borderId="1" xfId="0" applyFont="1" applyFill="1" applyBorder="1" applyAlignment="1" applyProtection="1">
      <alignment horizontal="right" vertical="center"/>
      <protection hidden="1"/>
    </xf>
    <xf numFmtId="0" fontId="18" fillId="0" borderId="32" xfId="0" applyFont="1" applyFill="1" applyBorder="1" applyAlignment="1" applyProtection="1">
      <alignment vertical="center"/>
      <protection hidden="1"/>
    </xf>
    <xf numFmtId="0" fontId="34" fillId="0" borderId="32" xfId="0" applyFont="1" applyFill="1" applyBorder="1" applyAlignment="1" applyProtection="1">
      <alignment vertical="center"/>
      <protection hidden="1"/>
    </xf>
    <xf numFmtId="0" fontId="34" fillId="0" borderId="30" xfId="0" applyFont="1" applyFill="1" applyBorder="1" applyAlignment="1" applyProtection="1">
      <alignment vertical="center"/>
      <protection hidden="1"/>
    </xf>
    <xf numFmtId="0" fontId="24" fillId="0" borderId="33" xfId="0" applyFont="1" applyFill="1" applyBorder="1" applyProtection="1">
      <protection hidden="1"/>
    </xf>
    <xf numFmtId="0" fontId="34" fillId="0" borderId="65" xfId="0" applyFont="1" applyFill="1" applyBorder="1" applyAlignment="1" applyProtection="1">
      <alignment vertical="center"/>
      <protection hidden="1"/>
    </xf>
    <xf numFmtId="0" fontId="34" fillId="0" borderId="31" xfId="0" applyFont="1" applyFill="1" applyBorder="1" applyAlignment="1" applyProtection="1">
      <alignment vertical="center"/>
      <protection hidden="1"/>
    </xf>
    <xf numFmtId="0" fontId="38" fillId="3" borderId="1" xfId="0" applyFont="1" applyFill="1" applyBorder="1" applyAlignment="1" applyProtection="1">
      <alignment vertical="center"/>
      <protection hidden="1"/>
    </xf>
    <xf numFmtId="0" fontId="34" fillId="3" borderId="1" xfId="0" applyFont="1" applyFill="1" applyBorder="1" applyAlignment="1" applyProtection="1">
      <alignment vertical="center"/>
      <protection hidden="1"/>
    </xf>
    <xf numFmtId="0" fontId="34" fillId="3" borderId="128" xfId="0" applyFont="1" applyFill="1" applyBorder="1" applyAlignment="1" applyProtection="1">
      <alignment vertical="center"/>
      <protection hidden="1"/>
    </xf>
    <xf numFmtId="0" fontId="35" fillId="3" borderId="1" xfId="0" applyFont="1" applyFill="1" applyBorder="1" applyAlignment="1" applyProtection="1">
      <alignment vertical="top" wrapText="1"/>
      <protection hidden="1"/>
    </xf>
    <xf numFmtId="0" fontId="35" fillId="3" borderId="1" xfId="0" applyFont="1" applyFill="1" applyBorder="1" applyAlignment="1" applyProtection="1">
      <alignment horizontal="right"/>
      <protection hidden="1"/>
    </xf>
    <xf numFmtId="0" fontId="24" fillId="3" borderId="1" xfId="0" applyFont="1" applyFill="1" applyBorder="1" applyProtection="1">
      <protection hidden="1"/>
    </xf>
    <xf numFmtId="0" fontId="35" fillId="3" borderId="1" xfId="0" applyFont="1" applyFill="1" applyBorder="1" applyAlignment="1" applyProtection="1">
      <alignment vertical="top"/>
      <protection hidden="1"/>
    </xf>
    <xf numFmtId="0" fontId="39" fillId="3" borderId="1" xfId="0" applyFont="1" applyFill="1" applyBorder="1" applyProtection="1">
      <protection hidden="1"/>
    </xf>
    <xf numFmtId="0" fontId="24" fillId="3" borderId="137" xfId="0" applyFont="1" applyFill="1" applyBorder="1" applyProtection="1">
      <protection hidden="1"/>
    </xf>
    <xf numFmtId="0" fontId="35" fillId="3" borderId="47" xfId="0" applyFont="1" applyFill="1" applyBorder="1" applyAlignment="1" applyProtection="1">
      <alignment horizontal="left"/>
      <protection hidden="1"/>
    </xf>
    <xf numFmtId="0" fontId="35" fillId="3" borderId="47" xfId="0" applyFont="1" applyFill="1" applyBorder="1" applyAlignment="1" applyProtection="1">
      <alignment vertical="top" wrapText="1"/>
      <protection hidden="1"/>
    </xf>
    <xf numFmtId="0" fontId="24" fillId="3" borderId="138" xfId="0" applyFont="1" applyFill="1" applyBorder="1" applyProtection="1">
      <protection hidden="1"/>
    </xf>
    <xf numFmtId="0" fontId="24" fillId="3" borderId="1" xfId="0" applyFont="1" applyFill="1" applyBorder="1" applyAlignment="1" applyProtection="1">
      <alignment horizontal="center"/>
      <protection hidden="1"/>
    </xf>
    <xf numFmtId="49" fontId="38" fillId="3" borderId="1" xfId="0" applyNumberFormat="1" applyFont="1" applyFill="1" applyBorder="1" applyAlignment="1" applyProtection="1">
      <alignment horizontal="left"/>
      <protection hidden="1"/>
    </xf>
    <xf numFmtId="0" fontId="24" fillId="3" borderId="130" xfId="0" applyFont="1" applyFill="1" applyBorder="1" applyAlignment="1" applyProtection="1">
      <alignment horizontal="left"/>
      <protection hidden="1"/>
    </xf>
    <xf numFmtId="0" fontId="2" fillId="8" borderId="19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9" xfId="0" applyFont="1" applyFill="1" applyBorder="1" applyAlignment="1" applyProtection="1">
      <alignment horizontal="center"/>
      <protection locked="0"/>
    </xf>
    <xf numFmtId="0" fontId="2" fillId="8" borderId="1" xfId="0" applyFont="1" applyFill="1" applyBorder="1" applyAlignment="1" applyProtection="1">
      <alignment horizontal="center"/>
      <protection locked="0"/>
    </xf>
    <xf numFmtId="0" fontId="0" fillId="0" borderId="19" xfId="0" applyFill="1" applyBorder="1" applyAlignment="1" applyProtection="1">
      <alignment horizontal="center"/>
      <protection locked="0"/>
    </xf>
    <xf numFmtId="0" fontId="0" fillId="8" borderId="1" xfId="0" applyFill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vertical="center"/>
      <protection hidden="1"/>
    </xf>
    <xf numFmtId="0" fontId="17" fillId="0" borderId="31" xfId="0" applyFont="1" applyBorder="1" applyAlignment="1" applyProtection="1">
      <alignment vertical="center"/>
      <protection hidden="1"/>
    </xf>
    <xf numFmtId="0" fontId="0" fillId="0" borderId="73" xfId="0" applyBorder="1" applyProtection="1">
      <protection hidden="1"/>
    </xf>
    <xf numFmtId="0" fontId="2" fillId="0" borderId="16" xfId="0" applyFont="1" applyFill="1" applyBorder="1" applyAlignment="1" applyProtection="1">
      <alignment horizontal="center"/>
      <protection locked="0"/>
    </xf>
    <xf numFmtId="0" fontId="2" fillId="0" borderId="19" xfId="0" applyFont="1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3" fillId="5" borderId="40" xfId="0" applyFont="1" applyFill="1" applyBorder="1" applyAlignment="1" applyProtection="1">
      <alignment horizontal="center" vertical="center"/>
      <protection hidden="1"/>
    </xf>
    <xf numFmtId="0" fontId="0" fillId="0" borderId="41" xfId="0" applyFill="1" applyBorder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0" fillId="0" borderId="0" xfId="0" applyProtection="1">
      <protection hidden="1"/>
    </xf>
    <xf numFmtId="0" fontId="0" fillId="8" borderId="42" xfId="0" applyFill="1" applyBorder="1" applyAlignment="1" applyProtection="1">
      <alignment horizontal="center"/>
      <protection locked="0"/>
    </xf>
    <xf numFmtId="0" fontId="0" fillId="0" borderId="47" xfId="0" applyFill="1" applyBorder="1" applyAlignment="1" applyProtection="1">
      <alignment horizontal="center"/>
      <protection locked="0"/>
    </xf>
    <xf numFmtId="0" fontId="0" fillId="8" borderId="47" xfId="0" applyFill="1" applyBorder="1" applyAlignment="1" applyProtection="1">
      <alignment horizontal="center"/>
      <protection hidden="1"/>
    </xf>
    <xf numFmtId="0" fontId="2" fillId="8" borderId="43" xfId="0" applyFont="1" applyFill="1" applyBorder="1" applyAlignment="1" applyProtection="1">
      <alignment horizontal="center"/>
      <protection hidden="1"/>
    </xf>
    <xf numFmtId="0" fontId="3" fillId="9" borderId="143" xfId="0" applyFont="1" applyFill="1" applyBorder="1" applyAlignment="1" applyProtection="1">
      <alignment horizontal="center"/>
      <protection hidden="1"/>
    </xf>
    <xf numFmtId="0" fontId="2" fillId="8" borderId="22" xfId="0" applyFont="1" applyFill="1" applyBorder="1" applyAlignment="1" applyProtection="1">
      <alignment horizontal="center"/>
      <protection hidden="1"/>
    </xf>
    <xf numFmtId="0" fontId="0" fillId="8" borderId="21" xfId="0" applyFill="1" applyBorder="1" applyAlignment="1" applyProtection="1">
      <alignment horizontal="center"/>
      <protection locked="0" hidden="1"/>
    </xf>
    <xf numFmtId="0" fontId="0" fillId="0" borderId="22" xfId="0" applyFill="1" applyBorder="1" applyAlignment="1" applyProtection="1">
      <alignment horizontal="center"/>
      <protection locked="0" hidden="1"/>
    </xf>
    <xf numFmtId="0" fontId="44" fillId="0" borderId="30" xfId="0" applyFont="1" applyFill="1" applyBorder="1" applyAlignment="1" applyProtection="1">
      <alignment horizontal="left"/>
      <protection hidden="1"/>
    </xf>
    <xf numFmtId="0" fontId="2" fillId="8" borderId="19" xfId="0" applyFont="1" applyFill="1" applyBorder="1" applyAlignment="1" applyProtection="1">
      <alignment horizontal="left" vertical="center"/>
      <protection hidden="1"/>
    </xf>
    <xf numFmtId="0" fontId="2" fillId="8" borderId="1" xfId="0" applyFont="1" applyFill="1" applyBorder="1" applyAlignment="1" applyProtection="1">
      <alignment horizontal="center"/>
      <protection hidden="1"/>
    </xf>
    <xf numFmtId="0" fontId="2" fillId="8" borderId="20" xfId="0" applyFont="1" applyFill="1" applyBorder="1" applyAlignment="1" applyProtection="1">
      <alignment horizontal="left" vertical="center"/>
      <protection hidden="1"/>
    </xf>
    <xf numFmtId="0" fontId="3" fillId="9" borderId="25" xfId="0" applyFont="1" applyFill="1" applyBorder="1" applyAlignment="1" applyProtection="1">
      <alignment horizontal="center" wrapText="1"/>
      <protection hidden="1"/>
    </xf>
    <xf numFmtId="0" fontId="2" fillId="0" borderId="19" xfId="0" applyFont="1" applyFill="1" applyBorder="1" applyAlignment="1" applyProtection="1">
      <alignment horizontal="center"/>
      <protection locked="0" hidden="1"/>
    </xf>
    <xf numFmtId="0" fontId="3" fillId="9" borderId="144" xfId="0" applyFont="1" applyFill="1" applyBorder="1" applyAlignment="1" applyProtection="1">
      <alignment horizontal="center"/>
      <protection hidden="1"/>
    </xf>
    <xf numFmtId="0" fontId="5" fillId="0" borderId="11" xfId="0" applyFont="1" applyBorder="1" applyAlignment="1">
      <alignment vertical="top" wrapText="1"/>
    </xf>
    <xf numFmtId="0" fontId="44" fillId="0" borderId="30" xfId="0" applyFont="1" applyBorder="1" applyProtection="1"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7" borderId="28" xfId="0" applyFill="1" applyBorder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 vertical="center"/>
      <protection hidden="1"/>
    </xf>
    <xf numFmtId="0" fontId="0" fillId="8" borderId="19" xfId="0" applyFont="1" applyFill="1" applyBorder="1" applyAlignment="1" applyProtection="1">
      <alignment horizontal="center"/>
      <protection hidden="1"/>
    </xf>
    <xf numFmtId="0" fontId="0" fillId="8" borderId="42" xfId="0" applyFont="1" applyFill="1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center"/>
      <protection locked="0"/>
    </xf>
    <xf numFmtId="0" fontId="0" fillId="8" borderId="43" xfId="0" applyFill="1" applyBorder="1" applyAlignment="1" applyProtection="1">
      <alignment horizontal="center"/>
      <protection hidden="1"/>
    </xf>
    <xf numFmtId="0" fontId="2" fillId="0" borderId="110" xfId="0" applyFont="1" applyBorder="1" applyAlignment="1" applyProtection="1">
      <alignment horizontal="center"/>
      <protection locked="0"/>
    </xf>
    <xf numFmtId="0" fontId="2" fillId="0" borderId="40" xfId="0" applyFont="1" applyBorder="1" applyAlignment="1" applyProtection="1">
      <alignment horizontal="center"/>
      <protection locked="0"/>
    </xf>
    <xf numFmtId="0" fontId="2" fillId="0" borderId="145" xfId="0" applyFont="1" applyBorder="1" applyProtection="1"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148" xfId="0" applyBorder="1" applyProtection="1">
      <protection hidden="1"/>
    </xf>
    <xf numFmtId="0" fontId="2" fillId="0" borderId="110" xfId="0" applyNumberFormat="1" applyFont="1" applyBorder="1" applyAlignment="1" applyProtection="1">
      <alignment horizontal="center"/>
      <protection locked="0"/>
    </xf>
    <xf numFmtId="0" fontId="2" fillId="8" borderId="42" xfId="0" applyFont="1" applyFill="1" applyBorder="1" applyAlignment="1" applyProtection="1">
      <alignment horizontal="center"/>
      <protection hidden="1"/>
    </xf>
    <xf numFmtId="0" fontId="2" fillId="8" borderId="43" xfId="0" applyFont="1" applyFill="1" applyBorder="1" applyAlignment="1" applyProtection="1">
      <alignment horizontal="left"/>
      <protection hidden="1"/>
    </xf>
    <xf numFmtId="0" fontId="3" fillId="4" borderId="22" xfId="0" applyFont="1" applyFill="1" applyBorder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46" fillId="0" borderId="0" xfId="0" applyFont="1" applyAlignment="1" applyProtection="1">
      <alignment horizontal="center" vertical="center"/>
      <protection hidden="1"/>
    </xf>
    <xf numFmtId="0" fontId="46" fillId="0" borderId="0" xfId="0" applyFont="1" applyProtection="1">
      <protection hidden="1"/>
    </xf>
    <xf numFmtId="0" fontId="46" fillId="0" borderId="0" xfId="0" applyFont="1" applyAlignment="1" applyProtection="1">
      <alignment horizontal="center"/>
      <protection hidden="1"/>
    </xf>
    <xf numFmtId="0" fontId="46" fillId="10" borderId="0" xfId="0" applyFont="1" applyFill="1" applyAlignment="1" applyProtection="1">
      <alignment horizontal="center"/>
      <protection hidden="1"/>
    </xf>
    <xf numFmtId="0" fontId="46" fillId="0" borderId="0" xfId="0" applyFont="1" applyBorder="1" applyAlignment="1" applyProtection="1">
      <alignment horizontal="center"/>
      <protection hidden="1"/>
    </xf>
    <xf numFmtId="0" fontId="46" fillId="5" borderId="0" xfId="0" applyFont="1" applyFill="1" applyProtection="1">
      <protection hidden="1"/>
    </xf>
    <xf numFmtId="0" fontId="46" fillId="0" borderId="0" xfId="0" applyFont="1" applyFill="1" applyAlignment="1" applyProtection="1">
      <alignment horizontal="center"/>
      <protection hidden="1"/>
    </xf>
    <xf numFmtId="0" fontId="24" fillId="0" borderId="114" xfId="0" applyFont="1" applyFill="1" applyBorder="1" applyAlignment="1" applyProtection="1">
      <alignment horizontal="center" vertical="center"/>
      <protection hidden="1"/>
    </xf>
    <xf numFmtId="0" fontId="24" fillId="0" borderId="103" xfId="0" applyFont="1" applyFill="1" applyBorder="1" applyAlignment="1" applyProtection="1">
      <alignment horizontal="center" vertical="center"/>
      <protection hidden="1"/>
    </xf>
    <xf numFmtId="0" fontId="24" fillId="0" borderId="59" xfId="0" applyFont="1" applyFill="1" applyBorder="1" applyAlignment="1" applyProtection="1">
      <alignment horizontal="center" vertical="center"/>
      <protection hidden="1"/>
    </xf>
    <xf numFmtId="0" fontId="24" fillId="0" borderId="112" xfId="0" applyFont="1" applyFill="1" applyBorder="1" applyAlignment="1" applyProtection="1">
      <alignment horizontal="center" vertical="center"/>
      <protection hidden="1"/>
    </xf>
    <xf numFmtId="0" fontId="24" fillId="0" borderId="0" xfId="0" applyFont="1" applyFill="1" applyBorder="1" applyAlignment="1" applyProtection="1">
      <alignment horizontal="center" vertical="center"/>
      <protection hidden="1"/>
    </xf>
    <xf numFmtId="0" fontId="24" fillId="0" borderId="79" xfId="0" applyFont="1" applyFill="1" applyBorder="1" applyAlignment="1" applyProtection="1">
      <alignment horizontal="center" vertical="center"/>
      <protection hidden="1"/>
    </xf>
    <xf numFmtId="0" fontId="24" fillId="0" borderId="116" xfId="0" applyFont="1" applyFill="1" applyBorder="1" applyAlignment="1" applyProtection="1">
      <alignment horizontal="center" vertical="center" wrapText="1"/>
      <protection hidden="1"/>
    </xf>
    <xf numFmtId="0" fontId="24" fillId="0" borderId="98" xfId="0" applyFont="1" applyFill="1" applyBorder="1" applyAlignment="1" applyProtection="1">
      <alignment horizontal="center" vertical="center" wrapText="1"/>
      <protection hidden="1"/>
    </xf>
    <xf numFmtId="0" fontId="24" fillId="0" borderId="117" xfId="0" applyFont="1" applyFill="1" applyBorder="1" applyAlignment="1" applyProtection="1">
      <alignment horizontal="center" vertical="center" wrapText="1"/>
      <protection hidden="1"/>
    </xf>
    <xf numFmtId="0" fontId="24" fillId="0" borderId="118" xfId="0" applyFont="1" applyFill="1" applyBorder="1" applyAlignment="1" applyProtection="1">
      <alignment horizontal="center" vertical="center" wrapText="1"/>
      <protection hidden="1"/>
    </xf>
    <xf numFmtId="0" fontId="24" fillId="0" borderId="97" xfId="0" applyFont="1" applyFill="1" applyBorder="1" applyAlignment="1" applyProtection="1">
      <alignment horizontal="center" vertical="center" wrapText="1"/>
      <protection hidden="1"/>
    </xf>
    <xf numFmtId="0" fontId="24" fillId="0" borderId="113" xfId="0" applyFont="1" applyFill="1" applyBorder="1" applyAlignment="1" applyProtection="1">
      <alignment horizontal="center" vertical="center" wrapText="1"/>
      <protection hidden="1"/>
    </xf>
    <xf numFmtId="0" fontId="24" fillId="0" borderId="104" xfId="0" applyFont="1" applyFill="1" applyBorder="1" applyAlignment="1" applyProtection="1">
      <alignment horizontal="center" vertical="center"/>
      <protection locked="0"/>
    </xf>
    <xf numFmtId="0" fontId="24" fillId="0" borderId="105" xfId="0" applyFont="1" applyFill="1" applyBorder="1" applyAlignment="1" applyProtection="1">
      <alignment horizontal="center" vertical="center"/>
      <protection locked="0"/>
    </xf>
    <xf numFmtId="0" fontId="24" fillId="0" borderId="106" xfId="0" applyFont="1" applyFill="1" applyBorder="1" applyAlignment="1" applyProtection="1">
      <alignment horizontal="center" vertical="center"/>
      <protection locked="0"/>
    </xf>
    <xf numFmtId="0" fontId="31" fillId="3" borderId="92" xfId="0" applyFont="1" applyFill="1" applyBorder="1" applyAlignment="1" applyProtection="1">
      <alignment horizontal="center"/>
      <protection hidden="1"/>
    </xf>
    <xf numFmtId="0" fontId="31" fillId="3" borderId="93" xfId="0" applyFont="1" applyFill="1" applyBorder="1" applyAlignment="1" applyProtection="1">
      <alignment horizontal="center"/>
      <protection hidden="1"/>
    </xf>
    <xf numFmtId="0" fontId="31" fillId="3" borderId="94" xfId="0" applyFont="1" applyFill="1" applyBorder="1" applyAlignment="1" applyProtection="1">
      <alignment horizontal="center"/>
      <protection hidden="1"/>
    </xf>
    <xf numFmtId="0" fontId="31" fillId="3" borderId="92" xfId="0" applyFont="1" applyFill="1" applyBorder="1" applyAlignment="1" applyProtection="1">
      <alignment horizontal="center" vertical="center"/>
      <protection hidden="1"/>
    </xf>
    <xf numFmtId="0" fontId="31" fillId="3" borderId="93" xfId="0" applyFont="1" applyFill="1" applyBorder="1" applyAlignment="1" applyProtection="1">
      <alignment horizontal="center" vertical="center"/>
      <protection hidden="1"/>
    </xf>
    <xf numFmtId="0" fontId="31" fillId="3" borderId="94" xfId="0" applyFont="1" applyFill="1" applyBorder="1" applyAlignment="1" applyProtection="1">
      <alignment horizontal="center" vertical="center"/>
      <protection hidden="1"/>
    </xf>
    <xf numFmtId="0" fontId="14" fillId="0" borderId="30" xfId="0" applyNumberFormat="1" applyFont="1" applyFill="1" applyBorder="1" applyAlignment="1" applyProtection="1">
      <alignment horizontal="center" vertical="center"/>
      <protection hidden="1"/>
    </xf>
    <xf numFmtId="0" fontId="13" fillId="0" borderId="30" xfId="0" applyNumberFormat="1" applyFont="1" applyFill="1" applyBorder="1" applyAlignment="1" applyProtection="1">
      <alignment horizontal="center" vertical="center"/>
      <protection hidden="1"/>
    </xf>
    <xf numFmtId="0" fontId="18" fillId="0" borderId="48" xfId="0" applyFont="1" applyFill="1" applyBorder="1" applyAlignment="1" applyProtection="1">
      <alignment horizontal="center" vertical="center"/>
      <protection hidden="1"/>
    </xf>
    <xf numFmtId="0" fontId="18" fillId="0" borderId="49" xfId="0" applyFont="1" applyFill="1" applyBorder="1" applyAlignment="1" applyProtection="1">
      <alignment horizontal="center" vertical="center"/>
      <protection hidden="1"/>
    </xf>
    <xf numFmtId="0" fontId="18" fillId="0" borderId="50" xfId="0" applyFont="1" applyFill="1" applyBorder="1" applyAlignment="1" applyProtection="1">
      <alignment horizontal="center" vertical="center"/>
      <protection hidden="1"/>
    </xf>
    <xf numFmtId="0" fontId="18" fillId="0" borderId="51" xfId="0" applyFont="1" applyFill="1" applyBorder="1" applyAlignment="1" applyProtection="1">
      <alignment horizontal="center" vertical="center"/>
      <protection hidden="1"/>
    </xf>
    <xf numFmtId="0" fontId="18" fillId="0" borderId="52" xfId="0" applyFont="1" applyFill="1" applyBorder="1" applyAlignment="1" applyProtection="1">
      <alignment horizontal="center" vertical="center"/>
      <protection hidden="1"/>
    </xf>
    <xf numFmtId="0" fontId="18" fillId="0" borderId="65" xfId="0" applyFont="1" applyFill="1" applyBorder="1" applyAlignment="1" applyProtection="1">
      <alignment horizontal="center" vertical="center"/>
      <protection hidden="1"/>
    </xf>
    <xf numFmtId="0" fontId="15" fillId="0" borderId="35" xfId="0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horizontal="center" vertical="center"/>
      <protection hidden="1"/>
    </xf>
    <xf numFmtId="0" fontId="15" fillId="0" borderId="46" xfId="0" applyFont="1" applyFill="1" applyBorder="1" applyAlignment="1" applyProtection="1">
      <alignment horizontal="center" vertical="center"/>
      <protection hidden="1"/>
    </xf>
    <xf numFmtId="0" fontId="30" fillId="3" borderId="75" xfId="0" applyFont="1" applyFill="1" applyBorder="1" applyAlignment="1" applyProtection="1">
      <alignment horizontal="center" vertical="center"/>
      <protection hidden="1"/>
    </xf>
    <xf numFmtId="0" fontId="30" fillId="3" borderId="76" xfId="0" applyFont="1" applyFill="1" applyBorder="1" applyAlignment="1" applyProtection="1">
      <alignment horizontal="center" vertical="center"/>
      <protection hidden="1"/>
    </xf>
    <xf numFmtId="0" fontId="30" fillId="3" borderId="77" xfId="0" applyFont="1" applyFill="1" applyBorder="1" applyAlignment="1" applyProtection="1">
      <alignment horizontal="center" vertical="center"/>
      <protection hidden="1"/>
    </xf>
    <xf numFmtId="0" fontId="30" fillId="3" borderId="80" xfId="0" applyFont="1" applyFill="1" applyBorder="1" applyAlignment="1" applyProtection="1">
      <alignment horizontal="center" vertical="center"/>
      <protection hidden="1"/>
    </xf>
    <xf numFmtId="0" fontId="30" fillId="3" borderId="39" xfId="0" applyFont="1" applyFill="1" applyBorder="1" applyAlignment="1" applyProtection="1">
      <alignment horizontal="center" vertical="center"/>
      <protection hidden="1"/>
    </xf>
    <xf numFmtId="0" fontId="30" fillId="3" borderId="81" xfId="0" applyFont="1" applyFill="1" applyBorder="1" applyAlignment="1" applyProtection="1">
      <alignment horizontal="center" vertical="center"/>
      <protection hidden="1"/>
    </xf>
    <xf numFmtId="0" fontId="24" fillId="0" borderId="108" xfId="0" applyFont="1" applyFill="1" applyBorder="1" applyAlignment="1" applyProtection="1">
      <alignment horizontal="center"/>
      <protection hidden="1"/>
    </xf>
    <xf numFmtId="0" fontId="24" fillId="0" borderId="109" xfId="0" applyFont="1" applyFill="1" applyBorder="1" applyAlignment="1" applyProtection="1">
      <alignment horizontal="center"/>
      <protection hidden="1"/>
    </xf>
    <xf numFmtId="0" fontId="24" fillId="0" borderId="110" xfId="0" applyFont="1" applyFill="1" applyBorder="1" applyAlignment="1" applyProtection="1">
      <alignment horizontal="center"/>
      <protection hidden="1"/>
    </xf>
    <xf numFmtId="0" fontId="24" fillId="0" borderId="99" xfId="0" applyFont="1" applyFill="1" applyBorder="1" applyAlignment="1" applyProtection="1">
      <alignment horizontal="center"/>
      <protection hidden="1"/>
    </xf>
    <xf numFmtId="0" fontId="24" fillId="0" borderId="100" xfId="0" applyFont="1" applyFill="1" applyBorder="1" applyAlignment="1" applyProtection="1">
      <alignment horizontal="center"/>
      <protection hidden="1"/>
    </xf>
    <xf numFmtId="0" fontId="24" fillId="0" borderId="40" xfId="0" applyFont="1" applyFill="1" applyBorder="1" applyAlignment="1" applyProtection="1">
      <alignment horizontal="center"/>
      <protection hidden="1"/>
    </xf>
    <xf numFmtId="0" fontId="13" fillId="0" borderId="30" xfId="0" applyFont="1" applyFill="1" applyBorder="1" applyAlignment="1" applyProtection="1">
      <alignment horizontal="center" vertical="center"/>
      <protection hidden="1"/>
    </xf>
    <xf numFmtId="0" fontId="26" fillId="0" borderId="102" xfId="0" applyFont="1" applyFill="1" applyBorder="1" applyAlignment="1" applyProtection="1">
      <alignment horizontal="center" vertical="center"/>
      <protection hidden="1"/>
    </xf>
    <xf numFmtId="0" fontId="26" fillId="0" borderId="103" xfId="0" applyFont="1" applyFill="1" applyBorder="1" applyAlignment="1" applyProtection="1">
      <alignment horizontal="center" vertical="center"/>
      <protection hidden="1"/>
    </xf>
    <xf numFmtId="0" fontId="26" fillId="0" borderId="115" xfId="0" applyFont="1" applyFill="1" applyBorder="1" applyAlignment="1" applyProtection="1">
      <alignment horizontal="center" vertical="center"/>
      <protection hidden="1"/>
    </xf>
    <xf numFmtId="0" fontId="24" fillId="0" borderId="147" xfId="0" applyFont="1" applyFill="1" applyBorder="1" applyAlignment="1" applyProtection="1">
      <alignment horizontal="center" vertical="center" wrapText="1"/>
      <protection hidden="1"/>
    </xf>
    <xf numFmtId="0" fontId="24" fillId="0" borderId="37" xfId="0" applyFont="1" applyFill="1" applyBorder="1" applyAlignment="1" applyProtection="1">
      <alignment horizontal="center" vertical="center" wrapText="1"/>
      <protection hidden="1"/>
    </xf>
    <xf numFmtId="0" fontId="24" fillId="0" borderId="38" xfId="0" applyFont="1" applyFill="1" applyBorder="1" applyAlignment="1" applyProtection="1">
      <alignment horizontal="center" vertical="center" wrapText="1"/>
      <protection hidden="1"/>
    </xf>
    <xf numFmtId="0" fontId="26" fillId="0" borderId="75" xfId="0" applyFont="1" applyFill="1" applyBorder="1" applyAlignment="1" applyProtection="1">
      <alignment horizontal="center" vertical="center"/>
      <protection hidden="1"/>
    </xf>
    <xf numFmtId="0" fontId="26" fillId="0" borderId="76" xfId="0" applyFont="1" applyFill="1" applyBorder="1" applyAlignment="1" applyProtection="1">
      <alignment horizontal="center" vertical="center"/>
      <protection hidden="1"/>
    </xf>
    <xf numFmtId="0" fontId="26" fillId="0" borderId="107" xfId="0" applyFont="1" applyFill="1" applyBorder="1" applyAlignment="1" applyProtection="1">
      <alignment horizontal="center" vertical="center"/>
      <protection hidden="1"/>
    </xf>
    <xf numFmtId="0" fontId="24" fillId="0" borderId="75" xfId="0" applyFont="1" applyFill="1" applyBorder="1" applyAlignment="1" applyProtection="1">
      <alignment horizontal="center"/>
      <protection hidden="1"/>
    </xf>
    <xf numFmtId="0" fontId="24" fillId="0" borderId="76" xfId="0" applyFont="1" applyFill="1" applyBorder="1" applyAlignment="1" applyProtection="1">
      <alignment horizontal="center"/>
      <protection hidden="1"/>
    </xf>
    <xf numFmtId="0" fontId="24" fillId="0" borderId="107" xfId="0" applyFont="1" applyFill="1" applyBorder="1" applyAlignment="1" applyProtection="1">
      <alignment horizontal="center"/>
      <protection hidden="1"/>
    </xf>
    <xf numFmtId="0" fontId="24" fillId="0" borderId="78" xfId="0" applyFont="1" applyFill="1" applyBorder="1" applyAlignment="1" applyProtection="1">
      <alignment horizontal="center"/>
      <protection hidden="1"/>
    </xf>
    <xf numFmtId="0" fontId="24" fillId="0" borderId="0" xfId="0" applyFont="1" applyFill="1" applyBorder="1" applyAlignment="1" applyProtection="1">
      <alignment horizontal="center"/>
      <protection hidden="1"/>
    </xf>
    <xf numFmtId="0" fontId="24" fillId="0" borderId="111" xfId="0" applyFont="1" applyFill="1" applyBorder="1" applyAlignment="1" applyProtection="1">
      <alignment horizontal="center"/>
      <protection hidden="1"/>
    </xf>
    <xf numFmtId="0" fontId="24" fillId="0" borderId="82" xfId="0" applyFont="1" applyFill="1" applyBorder="1" applyAlignment="1" applyProtection="1">
      <alignment horizontal="center"/>
      <protection hidden="1"/>
    </xf>
    <xf numFmtId="0" fontId="24" fillId="0" borderId="83" xfId="0" applyFont="1" applyFill="1" applyBorder="1" applyAlignment="1" applyProtection="1">
      <alignment horizontal="center"/>
      <protection hidden="1"/>
    </xf>
    <xf numFmtId="0" fontId="24" fillId="0" borderId="41" xfId="0" applyFont="1" applyFill="1" applyBorder="1" applyAlignment="1" applyProtection="1">
      <alignment horizontal="center"/>
      <protection hidden="1"/>
    </xf>
    <xf numFmtId="0" fontId="33" fillId="0" borderId="119" xfId="0" applyFont="1" applyFill="1" applyBorder="1" applyAlignment="1" applyProtection="1">
      <alignment horizontal="center" vertical="center" wrapText="1"/>
      <protection hidden="1"/>
    </xf>
    <xf numFmtId="0" fontId="33" fillId="0" borderId="120" xfId="0" applyFont="1" applyFill="1" applyBorder="1" applyAlignment="1" applyProtection="1">
      <alignment horizontal="center" vertical="center" wrapText="1"/>
      <protection hidden="1"/>
    </xf>
    <xf numFmtId="0" fontId="33" fillId="0" borderId="121" xfId="0" applyFont="1" applyFill="1" applyBorder="1" applyAlignment="1" applyProtection="1">
      <alignment horizontal="center" vertical="center" wrapText="1"/>
      <protection hidden="1"/>
    </xf>
    <xf numFmtId="0" fontId="26" fillId="0" borderId="33" xfId="0" applyFont="1" applyBorder="1" applyAlignment="1" applyProtection="1">
      <alignment horizontal="center"/>
      <protection hidden="1"/>
    </xf>
    <xf numFmtId="0" fontId="26" fillId="0" borderId="97" xfId="0" applyFont="1" applyBorder="1" applyAlignment="1" applyProtection="1">
      <alignment horizontal="center"/>
      <protection hidden="1"/>
    </xf>
    <xf numFmtId="0" fontId="26" fillId="0" borderId="31" xfId="0" applyFont="1" applyBorder="1" applyAlignment="1" applyProtection="1">
      <alignment horizontal="center"/>
      <protection hidden="1"/>
    </xf>
    <xf numFmtId="0" fontId="6" fillId="0" borderId="48" xfId="0" applyFont="1" applyBorder="1" applyAlignment="1" applyProtection="1">
      <alignment horizontal="left" vertical="center"/>
      <protection hidden="1"/>
    </xf>
    <xf numFmtId="0" fontId="6" fillId="0" borderId="49" xfId="0" applyFont="1" applyBorder="1" applyAlignment="1" applyProtection="1">
      <alignment horizontal="left" vertical="center"/>
      <protection hidden="1"/>
    </xf>
    <xf numFmtId="0" fontId="6" fillId="0" borderId="50" xfId="0" applyFont="1" applyBorder="1" applyAlignment="1" applyProtection="1">
      <alignment horizontal="left" vertical="center"/>
      <protection hidden="1"/>
    </xf>
    <xf numFmtId="0" fontId="6" fillId="0" borderId="35" xfId="0" applyFont="1" applyBorder="1" applyAlignment="1" applyProtection="1">
      <alignment horizontal="left" vertical="center"/>
      <protection hidden="1"/>
    </xf>
    <xf numFmtId="0" fontId="6" fillId="0" borderId="0" xfId="0" applyFont="1" applyBorder="1" applyAlignment="1" applyProtection="1">
      <alignment horizontal="left" vertical="center"/>
      <protection hidden="1"/>
    </xf>
    <xf numFmtId="0" fontId="6" fillId="0" borderId="46" xfId="0" applyFont="1" applyBorder="1" applyAlignment="1" applyProtection="1">
      <alignment horizontal="left" vertical="center"/>
      <protection hidden="1"/>
    </xf>
    <xf numFmtId="0" fontId="29" fillId="0" borderId="48" xfId="0" applyFont="1" applyFill="1" applyBorder="1" applyAlignment="1" applyProtection="1">
      <alignment horizontal="center" vertical="center"/>
      <protection hidden="1"/>
    </xf>
    <xf numFmtId="0" fontId="29" fillId="0" borderId="49" xfId="0" applyFont="1" applyFill="1" applyBorder="1" applyAlignment="1" applyProtection="1">
      <alignment horizontal="center" vertical="center"/>
      <protection hidden="1"/>
    </xf>
    <xf numFmtId="0" fontId="29" fillId="0" borderId="50" xfId="0" applyFont="1" applyFill="1" applyBorder="1" applyAlignment="1" applyProtection="1">
      <alignment horizontal="center" vertical="center"/>
      <protection hidden="1"/>
    </xf>
    <xf numFmtId="0" fontId="29" fillId="0" borderId="35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horizontal="center" vertical="center"/>
      <protection hidden="1"/>
    </xf>
    <xf numFmtId="0" fontId="29" fillId="0" borderId="46" xfId="0" applyFont="1" applyFill="1" applyBorder="1" applyAlignment="1" applyProtection="1">
      <alignment horizontal="center" vertical="center"/>
      <protection hidden="1"/>
    </xf>
    <xf numFmtId="0" fontId="37" fillId="3" borderId="132" xfId="0" applyFont="1" applyFill="1" applyBorder="1" applyAlignment="1" applyProtection="1">
      <alignment horizontal="center" vertical="center"/>
      <protection hidden="1"/>
    </xf>
    <xf numFmtId="0" fontId="37" fillId="3" borderId="133" xfId="0" applyFont="1" applyFill="1" applyBorder="1" applyAlignment="1" applyProtection="1">
      <alignment horizontal="center" vertical="center"/>
      <protection hidden="1"/>
    </xf>
    <xf numFmtId="0" fontId="37" fillId="3" borderId="134" xfId="0" applyFont="1" applyFill="1" applyBorder="1" applyAlignment="1" applyProtection="1">
      <alignment horizontal="center" vertical="center"/>
      <protection hidden="1"/>
    </xf>
    <xf numFmtId="0" fontId="37" fillId="3" borderId="135" xfId="0" applyFont="1" applyFill="1" applyBorder="1" applyAlignment="1" applyProtection="1">
      <alignment horizontal="center" vertical="center"/>
      <protection hidden="1"/>
    </xf>
    <xf numFmtId="0" fontId="37" fillId="3" borderId="83" xfId="0" applyFont="1" applyFill="1" applyBorder="1" applyAlignment="1" applyProtection="1">
      <alignment horizontal="center" vertical="center"/>
      <protection hidden="1"/>
    </xf>
    <xf numFmtId="0" fontId="37" fillId="3" borderId="136" xfId="0" applyFont="1" applyFill="1" applyBorder="1" applyAlignment="1" applyProtection="1">
      <alignment horizontal="center" vertical="center"/>
      <protection hidden="1"/>
    </xf>
    <xf numFmtId="0" fontId="27" fillId="0" borderId="145" xfId="0" applyFont="1" applyBorder="1" applyAlignment="1" applyProtection="1">
      <alignment horizontal="center" vertical="center" wrapText="1"/>
      <protection hidden="1"/>
    </xf>
    <xf numFmtId="0" fontId="27" fillId="0" borderId="146" xfId="0" applyFont="1" applyBorder="1" applyAlignment="1" applyProtection="1">
      <alignment horizontal="center" vertical="center" wrapText="1"/>
      <protection hidden="1"/>
    </xf>
    <xf numFmtId="0" fontId="27" fillId="0" borderId="74" xfId="0" applyFont="1" applyBorder="1" applyAlignment="1" applyProtection="1">
      <alignment horizontal="center" vertical="center" wrapText="1"/>
      <protection hidden="1"/>
    </xf>
    <xf numFmtId="0" fontId="47" fillId="0" borderId="145" xfId="0" applyFont="1" applyBorder="1" applyAlignment="1" applyProtection="1">
      <alignment horizontal="center" vertical="center" wrapText="1"/>
      <protection hidden="1"/>
    </xf>
    <xf numFmtId="0" fontId="47" fillId="0" borderId="146" xfId="0" applyFont="1" applyBorder="1" applyAlignment="1" applyProtection="1">
      <alignment horizontal="center" vertical="center" wrapText="1"/>
      <protection hidden="1"/>
    </xf>
    <xf numFmtId="0" fontId="47" fillId="0" borderId="74" xfId="0" applyFont="1" applyBorder="1" applyAlignment="1" applyProtection="1">
      <alignment horizontal="center" vertical="center" wrapText="1"/>
      <protection hidden="1"/>
    </xf>
    <xf numFmtId="0" fontId="43" fillId="0" borderId="48" xfId="0" applyFont="1" applyBorder="1" applyAlignment="1" applyProtection="1">
      <alignment horizontal="center" vertical="center"/>
      <protection hidden="1"/>
    </xf>
    <xf numFmtId="0" fontId="43" fillId="0" borderId="49" xfId="0" applyFont="1" applyBorder="1" applyAlignment="1" applyProtection="1">
      <alignment horizontal="center" vertical="center"/>
      <protection hidden="1"/>
    </xf>
    <xf numFmtId="0" fontId="43" fillId="0" borderId="50" xfId="0" applyFont="1" applyBorder="1" applyAlignment="1" applyProtection="1">
      <alignment horizontal="center" vertical="center"/>
      <protection hidden="1"/>
    </xf>
    <xf numFmtId="0" fontId="43" fillId="0" borderId="51" xfId="0" applyFont="1" applyBorder="1" applyAlignment="1" applyProtection="1">
      <alignment horizontal="center" vertical="center"/>
      <protection hidden="1"/>
    </xf>
    <xf numFmtId="0" fontId="43" fillId="0" borderId="52" xfId="0" applyFont="1" applyBorder="1" applyAlignment="1" applyProtection="1">
      <alignment horizontal="center" vertical="center"/>
      <protection hidden="1"/>
    </xf>
    <xf numFmtId="0" fontId="43" fillId="0" borderId="65" xfId="0" applyFont="1" applyBorder="1" applyAlignment="1" applyProtection="1">
      <alignment horizontal="center" vertical="center"/>
      <protection hidden="1"/>
    </xf>
    <xf numFmtId="0" fontId="6" fillId="0" borderId="139" xfId="0" applyFont="1" applyBorder="1" applyAlignment="1" applyProtection="1">
      <alignment horizontal="left" vertical="center"/>
      <protection hidden="1"/>
    </xf>
    <xf numFmtId="0" fontId="6" fillId="0" borderId="141" xfId="0" applyFont="1" applyBorder="1" applyAlignment="1" applyProtection="1">
      <alignment horizontal="left" vertical="center"/>
      <protection hidden="1"/>
    </xf>
    <xf numFmtId="0" fontId="6" fillId="0" borderId="62" xfId="0" applyFont="1" applyFill="1" applyBorder="1" applyAlignment="1" applyProtection="1">
      <alignment horizontal="left" vertical="center"/>
      <protection hidden="1"/>
    </xf>
    <xf numFmtId="0" fontId="11" fillId="3" borderId="16" xfId="0" applyFont="1" applyFill="1" applyBorder="1" applyAlignment="1" applyProtection="1">
      <alignment horizontal="center" vertical="center"/>
      <protection hidden="1"/>
    </xf>
    <xf numFmtId="0" fontId="11" fillId="3" borderId="17" xfId="0" applyFont="1" applyFill="1" applyBorder="1" applyAlignment="1" applyProtection="1">
      <alignment horizontal="center" vertical="center"/>
      <protection hidden="1"/>
    </xf>
    <xf numFmtId="0" fontId="11" fillId="3" borderId="18" xfId="0" applyFont="1" applyFill="1" applyBorder="1" applyAlignment="1" applyProtection="1">
      <alignment horizontal="center" vertical="center"/>
      <protection hidden="1"/>
    </xf>
    <xf numFmtId="0" fontId="11" fillId="3" borderId="21" xfId="0" applyFont="1" applyFill="1" applyBorder="1" applyAlignment="1" applyProtection="1">
      <alignment horizontal="center" vertical="center"/>
      <protection hidden="1"/>
    </xf>
    <xf numFmtId="0" fontId="11" fillId="3" borderId="22" xfId="0" applyFont="1" applyFill="1" applyBorder="1" applyAlignment="1" applyProtection="1">
      <alignment horizontal="center" vertical="center"/>
      <protection hidden="1"/>
    </xf>
    <xf numFmtId="0" fontId="11" fillId="3" borderId="23" xfId="0" applyFont="1" applyFill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3" fillId="0" borderId="16" xfId="0" applyFont="1" applyBorder="1" applyAlignment="1" applyProtection="1">
      <alignment horizontal="center"/>
      <protection hidden="1"/>
    </xf>
    <xf numFmtId="0" fontId="3" fillId="0" borderId="17" xfId="0" applyFont="1" applyBorder="1" applyAlignment="1" applyProtection="1">
      <alignment horizontal="center"/>
      <protection hidden="1"/>
    </xf>
    <xf numFmtId="0" fontId="3" fillId="0" borderId="18" xfId="0" applyFont="1" applyBorder="1" applyAlignment="1" applyProtection="1">
      <alignment horizontal="center"/>
      <protection hidden="1"/>
    </xf>
    <xf numFmtId="0" fontId="2" fillId="0" borderId="19" xfId="0" applyFont="1" applyBorder="1" applyAlignment="1" applyProtection="1">
      <alignment horizontal="center"/>
      <protection hidden="1"/>
    </xf>
    <xf numFmtId="0" fontId="29" fillId="0" borderId="35" xfId="0" applyFont="1" applyBorder="1" applyAlignment="1" applyProtection="1">
      <alignment horizontal="center" vertical="center"/>
      <protection hidden="1"/>
    </xf>
    <xf numFmtId="0" fontId="29" fillId="0" borderId="0" xfId="0" applyFont="1" applyBorder="1" applyAlignment="1" applyProtection="1">
      <alignment horizontal="center" vertical="center"/>
      <protection hidden="1"/>
    </xf>
    <xf numFmtId="0" fontId="29" fillId="0" borderId="46" xfId="0" applyFont="1" applyBorder="1" applyAlignment="1" applyProtection="1">
      <alignment horizontal="center" vertical="center"/>
      <protection hidden="1"/>
    </xf>
    <xf numFmtId="0" fontId="37" fillId="3" borderId="124" xfId="0" applyFont="1" applyFill="1" applyBorder="1" applyAlignment="1" applyProtection="1">
      <alignment horizontal="center" vertical="center"/>
      <protection hidden="1"/>
    </xf>
    <xf numFmtId="0" fontId="37" fillId="3" borderId="125" xfId="0" applyFont="1" applyFill="1" applyBorder="1" applyAlignment="1" applyProtection="1">
      <alignment horizontal="center" vertical="center"/>
      <protection hidden="1"/>
    </xf>
    <xf numFmtId="0" fontId="37" fillId="3" borderId="126" xfId="0" applyFont="1" applyFill="1" applyBorder="1" applyAlignment="1" applyProtection="1">
      <alignment horizontal="center" vertical="center"/>
      <protection hidden="1"/>
    </xf>
    <xf numFmtId="0" fontId="37" fillId="3" borderId="127" xfId="0" applyFont="1" applyFill="1" applyBorder="1" applyAlignment="1" applyProtection="1">
      <alignment horizontal="center" vertical="center"/>
      <protection hidden="1"/>
    </xf>
    <xf numFmtId="0" fontId="37" fillId="3" borderId="1" xfId="0" applyFont="1" applyFill="1" applyBorder="1" applyAlignment="1" applyProtection="1">
      <alignment horizontal="center" vertical="center"/>
      <protection hidden="1"/>
    </xf>
    <xf numFmtId="0" fontId="37" fillId="3" borderId="128" xfId="0" applyFont="1" applyFill="1" applyBorder="1" applyAlignment="1" applyProtection="1">
      <alignment horizontal="center" vertical="center"/>
      <protection hidden="1"/>
    </xf>
    <xf numFmtId="0" fontId="6" fillId="0" borderId="140" xfId="0" applyFont="1" applyBorder="1" applyAlignment="1" applyProtection="1">
      <alignment horizontal="left" vertical="center"/>
      <protection hidden="1"/>
    </xf>
    <xf numFmtId="0" fontId="9" fillId="3" borderId="17" xfId="0" applyFont="1" applyFill="1" applyBorder="1" applyAlignment="1" applyProtection="1">
      <alignment horizontal="center"/>
      <protection hidden="1"/>
    </xf>
    <xf numFmtId="0" fontId="9" fillId="3" borderId="54" xfId="0" applyFont="1" applyFill="1" applyBorder="1" applyAlignment="1" applyProtection="1">
      <alignment horizontal="center" wrapText="1"/>
      <protection hidden="1"/>
    </xf>
    <xf numFmtId="0" fontId="9" fillId="3" borderId="58" xfId="0" applyFont="1" applyFill="1" applyBorder="1" applyAlignment="1" applyProtection="1">
      <alignment horizontal="center" wrapText="1"/>
      <protection hidden="1"/>
    </xf>
    <xf numFmtId="0" fontId="12" fillId="0" borderId="55" xfId="0" applyFont="1" applyFill="1" applyBorder="1" applyAlignment="1" applyProtection="1">
      <alignment horizontal="center"/>
      <protection hidden="1"/>
    </xf>
    <xf numFmtId="0" fontId="12" fillId="0" borderId="56" xfId="0" applyFont="1" applyFill="1" applyBorder="1" applyAlignment="1" applyProtection="1">
      <alignment horizontal="center"/>
      <protection hidden="1"/>
    </xf>
    <xf numFmtId="0" fontId="6" fillId="0" borderId="34" xfId="0" applyFont="1" applyFill="1" applyBorder="1" applyAlignment="1" applyProtection="1">
      <alignment horizontal="left" vertical="center"/>
      <protection hidden="1"/>
    </xf>
    <xf numFmtId="0" fontId="6" fillId="0" borderId="32" xfId="0" applyFont="1" applyFill="1" applyBorder="1" applyAlignment="1" applyProtection="1">
      <alignment horizontal="left" vertical="center"/>
      <protection hidden="1"/>
    </xf>
    <xf numFmtId="0" fontId="9" fillId="3" borderId="16" xfId="0" applyFont="1" applyFill="1" applyBorder="1" applyAlignment="1" applyProtection="1">
      <alignment horizontal="center" vertical="center"/>
      <protection hidden="1"/>
    </xf>
    <xf numFmtId="0" fontId="9" fillId="3" borderId="42" xfId="0" applyFont="1" applyFill="1" applyBorder="1" applyAlignment="1" applyProtection="1">
      <alignment horizontal="center" vertical="center"/>
      <protection hidden="1"/>
    </xf>
    <xf numFmtId="0" fontId="9" fillId="3" borderId="17" xfId="0" applyFont="1" applyFill="1" applyBorder="1" applyAlignment="1" applyProtection="1">
      <alignment horizontal="center" vertical="center"/>
      <protection hidden="1"/>
    </xf>
    <xf numFmtId="0" fontId="9" fillId="3" borderId="47" xfId="0" applyFont="1" applyFill="1" applyBorder="1" applyAlignment="1" applyProtection="1">
      <alignment horizontal="center" vertical="center"/>
      <protection hidden="1"/>
    </xf>
    <xf numFmtId="0" fontId="6" fillId="0" borderId="48" xfId="0" applyFont="1" applyFill="1" applyBorder="1" applyAlignment="1" applyProtection="1">
      <alignment horizontal="left" vertical="center"/>
      <protection hidden="1"/>
    </xf>
    <xf numFmtId="0" fontId="6" fillId="0" borderId="49" xfId="0" applyFont="1" applyFill="1" applyBorder="1" applyAlignment="1" applyProtection="1">
      <alignment horizontal="left" vertical="center"/>
      <protection hidden="1"/>
    </xf>
    <xf numFmtId="0" fontId="6" fillId="0" borderId="51" xfId="0" applyFont="1" applyFill="1" applyBorder="1" applyAlignment="1" applyProtection="1">
      <alignment horizontal="left" vertical="center"/>
      <protection hidden="1"/>
    </xf>
    <xf numFmtId="0" fontId="6" fillId="0" borderId="52" xfId="0" applyFont="1" applyFill="1" applyBorder="1" applyAlignment="1" applyProtection="1">
      <alignment horizontal="left" vertical="center"/>
      <protection hidden="1"/>
    </xf>
    <xf numFmtId="0" fontId="46" fillId="0" borderId="17" xfId="0" applyFont="1" applyBorder="1" applyAlignment="1" applyProtection="1">
      <alignment horizontal="center"/>
      <protection hidden="1"/>
    </xf>
    <xf numFmtId="0" fontId="46" fillId="0" borderId="18" xfId="0" applyFont="1" applyBorder="1" applyAlignment="1" applyProtection="1">
      <alignment horizontal="center"/>
      <protection hidden="1"/>
    </xf>
    <xf numFmtId="0" fontId="46" fillId="0" borderId="21" xfId="0" applyFont="1" applyBorder="1" applyAlignment="1" applyProtection="1">
      <alignment horizontal="center"/>
      <protection hidden="1"/>
    </xf>
    <xf numFmtId="0" fontId="46" fillId="0" borderId="22" xfId="0" applyFont="1" applyBorder="1" applyAlignment="1" applyProtection="1">
      <alignment horizontal="center"/>
      <protection hidden="1"/>
    </xf>
    <xf numFmtId="0" fontId="46" fillId="0" borderId="23" xfId="0" applyFont="1" applyBorder="1" applyAlignment="1" applyProtection="1">
      <alignment horizontal="center"/>
      <protection hidden="1"/>
    </xf>
    <xf numFmtId="0" fontId="46" fillId="0" borderId="16" xfId="0" applyFont="1" applyBorder="1" applyAlignment="1" applyProtection="1">
      <alignment horizontal="center"/>
      <protection hidden="1"/>
    </xf>
    <xf numFmtId="0" fontId="46" fillId="0" borderId="0" xfId="0" applyFont="1" applyAlignment="1" applyProtection="1">
      <alignment horizontal="center" vertical="center"/>
      <protection hidden="1"/>
    </xf>
    <xf numFmtId="0" fontId="46" fillId="0" borderId="0" xfId="0" applyFont="1" applyAlignment="1" applyProtection="1">
      <alignment horizontal="center"/>
      <protection hidden="1"/>
    </xf>
    <xf numFmtId="0" fontId="29" fillId="0" borderId="48" xfId="0" applyFont="1" applyBorder="1" applyAlignment="1" applyProtection="1">
      <alignment horizontal="center" vertical="center"/>
      <protection hidden="1"/>
    </xf>
    <xf numFmtId="0" fontId="29" fillId="0" borderId="49" xfId="0" applyFont="1" applyBorder="1" applyAlignment="1" applyProtection="1">
      <alignment horizontal="center" vertical="center"/>
      <protection hidden="1"/>
    </xf>
    <xf numFmtId="0" fontId="29" fillId="0" borderId="50" xfId="0" applyFont="1" applyBorder="1" applyAlignment="1" applyProtection="1">
      <alignment horizontal="center" vertical="center"/>
      <protection hidden="1"/>
    </xf>
    <xf numFmtId="0" fontId="40" fillId="3" borderId="124" xfId="0" applyFont="1" applyFill="1" applyBorder="1" applyAlignment="1" applyProtection="1">
      <alignment horizontal="center" vertical="center"/>
      <protection hidden="1"/>
    </xf>
    <xf numFmtId="0" fontId="40" fillId="3" borderId="125" xfId="0" applyFont="1" applyFill="1" applyBorder="1" applyAlignment="1" applyProtection="1">
      <alignment horizontal="center" vertical="center"/>
      <protection hidden="1"/>
    </xf>
    <xf numFmtId="0" fontId="40" fillId="3" borderId="126" xfId="0" applyFont="1" applyFill="1" applyBorder="1" applyAlignment="1" applyProtection="1">
      <alignment horizontal="center" vertical="center"/>
      <protection hidden="1"/>
    </xf>
    <xf numFmtId="0" fontId="40" fillId="3" borderId="127" xfId="0" applyFont="1" applyFill="1" applyBorder="1" applyAlignment="1" applyProtection="1">
      <alignment horizontal="center" vertical="center"/>
      <protection hidden="1"/>
    </xf>
    <xf numFmtId="0" fontId="40" fillId="3" borderId="1" xfId="0" applyFont="1" applyFill="1" applyBorder="1" applyAlignment="1" applyProtection="1">
      <alignment horizontal="center" vertical="center"/>
      <protection hidden="1"/>
    </xf>
    <xf numFmtId="0" fontId="40" fillId="3" borderId="128" xfId="0" applyFont="1" applyFill="1" applyBorder="1" applyAlignment="1" applyProtection="1">
      <alignment horizontal="center" vertical="center"/>
      <protection hidden="1"/>
    </xf>
    <xf numFmtId="0" fontId="19" fillId="0" borderId="30" xfId="0" applyFont="1" applyFill="1" applyBorder="1" applyAlignment="1" applyProtection="1">
      <alignment horizontal="center" vertical="center"/>
      <protection hidden="1"/>
    </xf>
    <xf numFmtId="0" fontId="19" fillId="0" borderId="34" xfId="0" applyFont="1" applyFill="1" applyBorder="1" applyAlignment="1" applyProtection="1">
      <alignment horizontal="center" vertical="center"/>
      <protection hidden="1"/>
    </xf>
    <xf numFmtId="0" fontId="7" fillId="3" borderId="75" xfId="0" applyFont="1" applyFill="1" applyBorder="1" applyAlignment="1" applyProtection="1">
      <alignment horizontal="left" vertical="center"/>
      <protection hidden="1"/>
    </xf>
    <xf numFmtId="0" fontId="7" fillId="3" borderId="76" xfId="0" applyFont="1" applyFill="1" applyBorder="1" applyAlignment="1" applyProtection="1">
      <alignment horizontal="left" vertical="center"/>
      <protection hidden="1"/>
    </xf>
    <xf numFmtId="0" fontId="7" fillId="3" borderId="77" xfId="0" applyFont="1" applyFill="1" applyBorder="1" applyAlignment="1" applyProtection="1">
      <alignment horizontal="left" vertical="center"/>
      <protection hidden="1"/>
    </xf>
    <xf numFmtId="0" fontId="7" fillId="3" borderId="78" xfId="0" applyFont="1" applyFill="1" applyBorder="1" applyAlignment="1" applyProtection="1">
      <alignment horizontal="left" vertical="center"/>
      <protection hidden="1"/>
    </xf>
    <xf numFmtId="0" fontId="7" fillId="3" borderId="0" xfId="0" applyFont="1" applyFill="1" applyBorder="1" applyAlignment="1" applyProtection="1">
      <alignment horizontal="left" vertical="center"/>
      <protection hidden="1"/>
    </xf>
    <xf numFmtId="0" fontId="7" fillId="3" borderId="79" xfId="0" applyFont="1" applyFill="1" applyBorder="1" applyAlignment="1" applyProtection="1">
      <alignment horizontal="left" vertical="center"/>
      <protection hidden="1"/>
    </xf>
    <xf numFmtId="0" fontId="7" fillId="3" borderId="82" xfId="0" applyFont="1" applyFill="1" applyBorder="1" applyAlignment="1" applyProtection="1">
      <alignment horizontal="left" vertical="center"/>
      <protection hidden="1"/>
    </xf>
    <xf numFmtId="0" fontId="7" fillId="3" borderId="83" xfId="0" applyFont="1" applyFill="1" applyBorder="1" applyAlignment="1" applyProtection="1">
      <alignment horizontal="left" vertical="center"/>
      <protection hidden="1"/>
    </xf>
    <xf numFmtId="0" fontId="7" fillId="3" borderId="84" xfId="0" applyFont="1" applyFill="1" applyBorder="1" applyAlignment="1" applyProtection="1">
      <alignment horizontal="left" vertical="center"/>
      <protection hidden="1"/>
    </xf>
    <xf numFmtId="0" fontId="3" fillId="6" borderId="37" xfId="0" applyFont="1" applyFill="1" applyBorder="1" applyAlignment="1" applyProtection="1">
      <alignment horizontal="center" vertical="center"/>
      <protection hidden="1"/>
    </xf>
    <xf numFmtId="0" fontId="3" fillId="6" borderId="38" xfId="0" applyFont="1" applyFill="1" applyBorder="1" applyAlignment="1" applyProtection="1">
      <alignment horizontal="center" vertic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0" fillId="3" borderId="39" xfId="0" applyFont="1" applyFill="1" applyBorder="1" applyAlignment="1" applyProtection="1">
      <alignment horizontal="center" vertical="center"/>
      <protection hidden="1"/>
    </xf>
    <xf numFmtId="0" fontId="3" fillId="4" borderId="17" xfId="0" applyFont="1" applyFill="1" applyBorder="1" applyAlignment="1" applyProtection="1">
      <alignment horizontal="center" vertical="center"/>
      <protection hidden="1"/>
    </xf>
    <xf numFmtId="0" fontId="3" fillId="4" borderId="18" xfId="0" applyFont="1" applyFill="1" applyBorder="1" applyAlignment="1" applyProtection="1">
      <alignment horizontal="center" vertical="center"/>
      <protection hidden="1"/>
    </xf>
    <xf numFmtId="0" fontId="3" fillId="4" borderId="22" xfId="0" applyFont="1" applyFill="1" applyBorder="1" applyAlignment="1" applyProtection="1">
      <alignment horizontal="center" vertical="center"/>
      <protection hidden="1"/>
    </xf>
    <xf numFmtId="0" fontId="3" fillId="4" borderId="16" xfId="0" applyFont="1" applyFill="1" applyBorder="1" applyAlignment="1" applyProtection="1">
      <alignment horizontal="center" vertical="center"/>
      <protection hidden="1"/>
    </xf>
    <xf numFmtId="0" fontId="3" fillId="4" borderId="21" xfId="0" applyFont="1" applyFill="1" applyBorder="1" applyAlignment="1" applyProtection="1">
      <alignment horizontal="center" vertical="center"/>
      <protection hidden="1"/>
    </xf>
    <xf numFmtId="0" fontId="3" fillId="5" borderId="16" xfId="0" applyFont="1" applyFill="1" applyBorder="1" applyAlignment="1" applyProtection="1">
      <alignment horizontal="center" vertical="center"/>
      <protection hidden="1"/>
    </xf>
    <xf numFmtId="0" fontId="3" fillId="5" borderId="142" xfId="0" applyFont="1" applyFill="1" applyBorder="1" applyAlignment="1" applyProtection="1">
      <alignment horizontal="center" vertical="center"/>
      <protection hidden="1"/>
    </xf>
    <xf numFmtId="0" fontId="3" fillId="5" borderId="17" xfId="0" applyFont="1" applyFill="1" applyBorder="1" applyAlignment="1" applyProtection="1">
      <alignment horizontal="center" vertical="center"/>
      <protection hidden="1"/>
    </xf>
    <xf numFmtId="0" fontId="3" fillId="5" borderId="18" xfId="0" applyFont="1" applyFill="1" applyBorder="1" applyAlignment="1" applyProtection="1">
      <alignment horizontal="center" vertical="center"/>
      <protection hidden="1"/>
    </xf>
    <xf numFmtId="0" fontId="3" fillId="4" borderId="44" xfId="0" applyFont="1" applyFill="1" applyBorder="1" applyAlignment="1" applyProtection="1">
      <alignment horizontal="center" vertical="center"/>
      <protection hidden="1"/>
    </xf>
    <xf numFmtId="0" fontId="3" fillId="4" borderId="45" xfId="0" applyFont="1" applyFill="1" applyBorder="1" applyAlignment="1" applyProtection="1">
      <alignment horizontal="center" vertical="center"/>
      <protection hidden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37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AFC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704850</xdr:colOff>
          <xdr:row>16</xdr:row>
          <xdr:rowOff>133350</xdr:rowOff>
        </xdr:from>
        <xdr:to>
          <xdr:col>4</xdr:col>
          <xdr:colOff>736600</xdr:colOff>
          <xdr:row>18</xdr:row>
          <xdr:rowOff>107950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DRA75x EVM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1079500</xdr:colOff>
          <xdr:row>16</xdr:row>
          <xdr:rowOff>133350</xdr:rowOff>
        </xdr:from>
        <xdr:to>
          <xdr:col>4</xdr:col>
          <xdr:colOff>2565400</xdr:colOff>
          <xdr:row>18</xdr:row>
          <xdr:rowOff>107950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0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DRA72x EVM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2908300</xdr:colOff>
          <xdr:row>16</xdr:row>
          <xdr:rowOff>133350</xdr:rowOff>
        </xdr:from>
        <xdr:to>
          <xdr:col>4</xdr:col>
          <xdr:colOff>4394200</xdr:colOff>
          <xdr:row>18</xdr:row>
          <xdr:rowOff>107950</xdr:rowOff>
        </xdr:to>
        <xdr:sp macro="" textlink="">
          <xdr:nvSpPr>
            <xdr:cNvPr id="9219" name="Button 3" descr="TDA3x EVM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0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TDA3x EVM (DDR3L)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508000</xdr:colOff>
          <xdr:row>19</xdr:row>
          <xdr:rowOff>12700</xdr:rowOff>
        </xdr:from>
        <xdr:to>
          <xdr:col>6</xdr:col>
          <xdr:colOff>165100</xdr:colOff>
          <xdr:row>20</xdr:row>
          <xdr:rowOff>146050</xdr:rowOff>
        </xdr:to>
        <xdr:sp macro="" textlink="">
          <xdr:nvSpPr>
            <xdr:cNvPr id="6155" name="Button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1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Save User Config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23</xdr:row>
          <xdr:rowOff>38100</xdr:rowOff>
        </xdr:from>
        <xdr:to>
          <xdr:col>6</xdr:col>
          <xdr:colOff>152400</xdr:colOff>
          <xdr:row>24</xdr:row>
          <xdr:rowOff>165100</xdr:rowOff>
        </xdr:to>
        <xdr:sp macro="" textlink="">
          <xdr:nvSpPr>
            <xdr:cNvPr id="6175" name="Button 31" hidden="1">
              <a:extLst>
                <a:ext uri="{63B3BB69-23CF-44E3-9099-C40C66FF867C}">
                  <a14:compatExt spid="_x0000_s6175"/>
                </a:ext>
                <a:ext uri="{FF2B5EF4-FFF2-40B4-BE49-F238E27FC236}">
                  <a16:creationId xmlns:a16="http://schemas.microsoft.com/office/drawing/2014/main" id="{00000000-0008-0000-0100-00001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Load User Config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161925</xdr:colOff>
      <xdr:row>70</xdr:row>
      <xdr:rowOff>47625</xdr:rowOff>
    </xdr:from>
    <xdr:to>
      <xdr:col>13</xdr:col>
      <xdr:colOff>733425</xdr:colOff>
      <xdr:row>103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3750" t="27408" r="18333" b="20000"/>
        <a:stretch>
          <a:fillRect/>
        </a:stretch>
      </xdr:blipFill>
      <xdr:spPr bwMode="auto">
        <a:xfrm>
          <a:off x="1381125" y="12106275"/>
          <a:ext cx="8763000" cy="541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428624</xdr:colOff>
      <xdr:row>64</xdr:row>
      <xdr:rowOff>19050</xdr:rowOff>
    </xdr:from>
    <xdr:to>
      <xdr:col>12</xdr:col>
      <xdr:colOff>495299</xdr:colOff>
      <xdr:row>71</xdr:row>
      <xdr:rowOff>130509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l="38382" t="44706" r="23897" b="43529"/>
        <a:stretch>
          <a:fillRect/>
        </a:stretch>
      </xdr:blipFill>
      <xdr:spPr bwMode="auto">
        <a:xfrm>
          <a:off x="2028824" y="11106150"/>
          <a:ext cx="7096125" cy="1244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6</xdr:col>
      <xdr:colOff>839281</xdr:colOff>
      <xdr:row>3</xdr:row>
      <xdr:rowOff>142963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0"/>
          <a:ext cx="7744906" cy="62873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594835</xdr:colOff>
      <xdr:row>39</xdr:row>
      <xdr:rowOff>8188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71635" cy="63232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image" Target="../media/image1.png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image" Target="../media/image1.png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4" Type="http://schemas.openxmlformats.org/officeDocument/2006/relationships/image" Target="../media/image1.png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E11"/>
  <sheetViews>
    <sheetView workbookViewId="0">
      <selection activeCell="E8" sqref="E8"/>
    </sheetView>
  </sheetViews>
  <sheetFormatPr defaultRowHeight="12.5" x14ac:dyDescent="0.25"/>
  <cols>
    <col min="2" max="2" width="7.453125" bestFit="1" customWidth="1"/>
    <col min="3" max="3" width="11.1796875" bestFit="1" customWidth="1"/>
    <col min="4" max="4" width="10.7265625" bestFit="1" customWidth="1"/>
    <col min="5" max="5" width="142.7265625" customWidth="1"/>
  </cols>
  <sheetData>
    <row r="1" spans="2:5" ht="13" thickBot="1" x14ac:dyDescent="0.3"/>
    <row r="2" spans="2:5" ht="14" thickTop="1" thickBot="1" x14ac:dyDescent="0.35">
      <c r="B2" s="1" t="s">
        <v>2</v>
      </c>
      <c r="C2" s="2" t="s">
        <v>3</v>
      </c>
      <c r="D2" s="2" t="s">
        <v>4</v>
      </c>
      <c r="E2" s="3" t="s">
        <v>5</v>
      </c>
    </row>
    <row r="3" spans="2:5" ht="13.5" thickBot="1" x14ac:dyDescent="0.35">
      <c r="B3" s="4" t="s">
        <v>222</v>
      </c>
      <c r="C3" s="5" t="s">
        <v>223</v>
      </c>
      <c r="D3" s="6" t="s">
        <v>219</v>
      </c>
      <c r="E3" s="7" t="s">
        <v>221</v>
      </c>
    </row>
    <row r="4" spans="2:5" ht="13.5" thickBot="1" x14ac:dyDescent="0.35">
      <c r="B4" s="8" t="s">
        <v>218</v>
      </c>
      <c r="C4" s="9">
        <v>42333</v>
      </c>
      <c r="D4" s="10" t="s">
        <v>219</v>
      </c>
      <c r="E4" s="116" t="s">
        <v>220</v>
      </c>
    </row>
    <row r="5" spans="2:5" ht="108.75" customHeight="1" thickBot="1" x14ac:dyDescent="0.3">
      <c r="B5" s="8" t="s">
        <v>232</v>
      </c>
      <c r="C5" s="9">
        <v>42425</v>
      </c>
      <c r="D5" s="10" t="s">
        <v>219</v>
      </c>
      <c r="E5" s="342" t="s">
        <v>234</v>
      </c>
    </row>
    <row r="6" spans="2:5" ht="13.5" thickBot="1" x14ac:dyDescent="0.3">
      <c r="B6" s="11" t="s">
        <v>675</v>
      </c>
      <c r="C6" s="9">
        <v>42822</v>
      </c>
      <c r="D6" s="12" t="s">
        <v>219</v>
      </c>
      <c r="E6" s="13"/>
    </row>
    <row r="7" spans="2:5" ht="13.5" thickBot="1" x14ac:dyDescent="0.35">
      <c r="B7" s="11"/>
      <c r="C7" s="14"/>
      <c r="D7" s="12"/>
      <c r="E7" s="15"/>
    </row>
    <row r="8" spans="2:5" ht="13.5" thickBot="1" x14ac:dyDescent="0.35">
      <c r="B8" s="11"/>
      <c r="C8" s="16"/>
      <c r="D8" s="12"/>
      <c r="E8" s="17"/>
    </row>
    <row r="9" spans="2:5" ht="13.5" thickBot="1" x14ac:dyDescent="0.3">
      <c r="B9" s="11"/>
      <c r="C9" s="18"/>
      <c r="D9" s="12"/>
      <c r="E9" s="19"/>
    </row>
    <row r="10" spans="2:5" ht="13.5" thickBot="1" x14ac:dyDescent="0.35">
      <c r="B10" s="20"/>
      <c r="C10" s="21"/>
      <c r="D10" s="22"/>
      <c r="E10" s="23"/>
    </row>
    <row r="11" spans="2:5" ht="13" thickTop="1" x14ac:dyDescent="0.25"/>
  </sheetData>
  <sheetProtection password="D41E" sheet="1" objects="1" scenarios="1"/>
  <pageMargins left="0.7" right="0.7" top="0.75" bottom="0.75" header="0.3" footer="0.3"/>
  <pageSetup orientation="portrait" r:id="rId1"/>
  <drawing r:id="rId2"/>
  <legacyDrawing r:id="rId3"/>
  <picture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5" name="Button 1">
              <controlPr defaultSize="0" print="0" autoFill="0" autoPict="0" macro="[0]!DRA75x_TI_EVM_revG3">
                <anchor moveWithCells="1">
                  <from>
                    <xdr:col>2</xdr:col>
                    <xdr:colOff>704850</xdr:colOff>
                    <xdr:row>16</xdr:row>
                    <xdr:rowOff>133350</xdr:rowOff>
                  </from>
                  <to>
                    <xdr:col>4</xdr:col>
                    <xdr:colOff>736600</xdr:colOff>
                    <xdr:row>18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6" name="Button 2">
              <controlPr defaultSize="0" print="0" autoFill="0" autoPict="0" macro="[0]!DRA72x_TI_EVM_revB">
                <anchor moveWithCells="1">
                  <from>
                    <xdr:col>4</xdr:col>
                    <xdr:colOff>1079500</xdr:colOff>
                    <xdr:row>16</xdr:row>
                    <xdr:rowOff>133350</xdr:rowOff>
                  </from>
                  <to>
                    <xdr:col>4</xdr:col>
                    <xdr:colOff>2565400</xdr:colOff>
                    <xdr:row>18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7" name="Button 3">
              <controlPr defaultSize="0" print="0" autoFill="0" autoPict="0" macro="[0]!TDA3x_TI_EVM_revC2" altText="TDA3x EVM">
                <anchor moveWithCells="1">
                  <from>
                    <xdr:col>4</xdr:col>
                    <xdr:colOff>2908300</xdr:colOff>
                    <xdr:row>16</xdr:row>
                    <xdr:rowOff>133350</xdr:rowOff>
                  </from>
                  <to>
                    <xdr:col>4</xdr:col>
                    <xdr:colOff>4394200</xdr:colOff>
                    <xdr:row>18</xdr:row>
                    <xdr:rowOff>107950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theme="1"/>
  </sheetPr>
  <dimension ref="B1:AD34"/>
  <sheetViews>
    <sheetView workbookViewId="0">
      <selection activeCell="C6" sqref="C6"/>
    </sheetView>
  </sheetViews>
  <sheetFormatPr defaultColWidth="9.1796875" defaultRowHeight="12.5" x14ac:dyDescent="0.25"/>
  <cols>
    <col min="1" max="1" width="9.1796875" style="86"/>
    <col min="2" max="2" width="13.54296875" style="86" bestFit="1" customWidth="1"/>
    <col min="3" max="3" width="13.453125" style="86" bestFit="1" customWidth="1"/>
    <col min="4" max="4" width="6.26953125" style="86" bestFit="1" customWidth="1"/>
    <col min="5" max="5" width="17" style="86" bestFit="1" customWidth="1"/>
    <col min="6" max="6" width="11.7265625" style="86" customWidth="1"/>
    <col min="7" max="7" width="10.54296875" style="86" customWidth="1"/>
    <col min="8" max="9" width="9.1796875" style="86"/>
    <col min="10" max="11" width="11.453125" style="86" customWidth="1"/>
    <col min="12" max="12" width="10.81640625" style="86" customWidth="1"/>
    <col min="13" max="15" width="9.1796875" style="86"/>
    <col min="16" max="16" width="10.453125" style="86" bestFit="1" customWidth="1"/>
    <col min="17" max="17" width="22.453125" style="86" bestFit="1" customWidth="1"/>
    <col min="18" max="21" width="9.1796875" style="86"/>
    <col min="22" max="22" width="14" style="86" bestFit="1" customWidth="1"/>
    <col min="23" max="16384" width="9.1796875" style="86"/>
  </cols>
  <sheetData>
    <row r="1" spans="2:30" x14ac:dyDescent="0.25">
      <c r="B1" s="542" t="s">
        <v>35</v>
      </c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42"/>
      <c r="S1" s="542"/>
      <c r="T1" s="542"/>
      <c r="U1" s="542"/>
      <c r="V1" s="542"/>
      <c r="W1" s="542"/>
      <c r="X1" s="542"/>
      <c r="Y1" s="542"/>
      <c r="Z1" s="542"/>
      <c r="AA1" s="542"/>
      <c r="AB1" s="542"/>
      <c r="AC1" s="542"/>
      <c r="AD1" s="542"/>
    </row>
    <row r="2" spans="2:30" x14ac:dyDescent="0.25">
      <c r="B2" s="542"/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  <c r="P2" s="542"/>
      <c r="Q2" s="542"/>
      <c r="R2" s="542"/>
      <c r="S2" s="542"/>
      <c r="T2" s="542"/>
      <c r="U2" s="542"/>
      <c r="V2" s="542"/>
      <c r="W2" s="542"/>
      <c r="X2" s="542"/>
      <c r="Y2" s="542"/>
      <c r="Z2" s="542"/>
      <c r="AA2" s="542"/>
      <c r="AB2" s="542"/>
      <c r="AC2" s="542"/>
      <c r="AD2" s="542"/>
    </row>
    <row r="3" spans="2:30" ht="13" thickBot="1" x14ac:dyDescent="0.3"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543"/>
      <c r="M3" s="543"/>
      <c r="N3" s="543"/>
      <c r="O3" s="543"/>
      <c r="P3" s="543"/>
      <c r="Q3" s="543"/>
      <c r="R3" s="543"/>
      <c r="S3" s="543"/>
      <c r="T3" s="543"/>
      <c r="U3" s="543"/>
      <c r="V3" s="543"/>
      <c r="W3" s="543"/>
      <c r="X3" s="543"/>
      <c r="Y3" s="543"/>
      <c r="Z3" s="543"/>
      <c r="AA3" s="543"/>
      <c r="AB3" s="543"/>
      <c r="AC3" s="543"/>
      <c r="AD3" s="543"/>
    </row>
    <row r="4" spans="2:30" ht="13.5" thickTop="1" x14ac:dyDescent="0.25">
      <c r="B4" s="547" t="s">
        <v>25</v>
      </c>
      <c r="C4" s="544" t="s">
        <v>1</v>
      </c>
      <c r="D4" s="553" t="s">
        <v>52</v>
      </c>
      <c r="E4" s="553" t="s">
        <v>39</v>
      </c>
      <c r="F4" s="553" t="s">
        <v>145</v>
      </c>
      <c r="G4" s="553" t="s">
        <v>146</v>
      </c>
      <c r="H4" s="544" t="s">
        <v>27</v>
      </c>
      <c r="I4" s="545"/>
      <c r="J4" s="549" t="s">
        <v>31</v>
      </c>
      <c r="K4" s="550"/>
      <c r="L4" s="551"/>
      <c r="M4" s="552"/>
      <c r="N4" s="540" t="s">
        <v>32</v>
      </c>
      <c r="O4" s="540"/>
      <c r="P4" s="540"/>
      <c r="Q4" s="540"/>
      <c r="R4" s="540"/>
      <c r="S4" s="540"/>
      <c r="T4" s="540"/>
      <c r="U4" s="540"/>
      <c r="V4" s="540"/>
      <c r="W4" s="540"/>
      <c r="X4" s="540"/>
      <c r="Y4" s="540"/>
      <c r="Z4" s="540"/>
      <c r="AA4" s="540"/>
      <c r="AB4" s="540"/>
      <c r="AC4" s="540"/>
      <c r="AD4" s="541"/>
    </row>
    <row r="5" spans="2:30" ht="13.5" thickBot="1" x14ac:dyDescent="0.3">
      <c r="B5" s="548"/>
      <c r="C5" s="546"/>
      <c r="D5" s="554"/>
      <c r="E5" s="554"/>
      <c r="F5" s="554"/>
      <c r="G5" s="554"/>
      <c r="H5" s="359" t="s">
        <v>9</v>
      </c>
      <c r="I5" s="87" t="s">
        <v>10</v>
      </c>
      <c r="J5" s="88" t="s">
        <v>28</v>
      </c>
      <c r="K5" s="323" t="s">
        <v>23</v>
      </c>
      <c r="L5" s="89" t="s">
        <v>29</v>
      </c>
      <c r="M5" s="90" t="s">
        <v>22</v>
      </c>
      <c r="N5" s="91" t="s">
        <v>17</v>
      </c>
      <c r="O5" s="92" t="s">
        <v>34</v>
      </c>
      <c r="P5" s="92" t="s">
        <v>33</v>
      </c>
      <c r="Q5" s="92" t="s">
        <v>147</v>
      </c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4"/>
    </row>
    <row r="6" spans="2:30" ht="13" thickTop="1" x14ac:dyDescent="0.25">
      <c r="B6" s="95" t="str">
        <f t="shared" ref="B6:B33" si="0">IFERROR(INDEX(_soc_partnum_list,ROW()-5),"")</f>
        <v>AM570x</v>
      </c>
      <c r="C6" s="96" t="str">
        <f t="shared" ref="C6:C33" si="1">IFERROR(INDEX(_dyn_user_memtype_list,ROW()-5),"")</f>
        <v>DDR3/L</v>
      </c>
      <c r="D6" s="96">
        <f t="shared" ref="D6:D33" si="2">IFERROR(INDEX(_dyn_user_emifs_list,ROW()-5),"")</f>
        <v>1</v>
      </c>
      <c r="E6" s="96">
        <f t="shared" ref="E6:E33" si="3">IFERROR(INDEX(_dyn_user_cs_list,ROW()-5),"")</f>
        <v>1</v>
      </c>
      <c r="F6" s="96" t="str">
        <f t="shared" ref="F6:F33" si="4">IFERROR(INDEX(_dyn_user_sdram_lvl_list,ROW()-5),"")</f>
        <v>H/W</v>
      </c>
      <c r="G6" s="96" t="str">
        <f t="shared" ref="G6:G33" si="5">IFERROR(INDEX(_dyn_user_ecc_list,ROW()-5),"")</f>
        <v>Yes</v>
      </c>
      <c r="H6" s="96">
        <f>_dyn_user_freqmin_list</f>
        <v>303</v>
      </c>
      <c r="I6" s="97">
        <f>_dyn_user_freqmax_list</f>
        <v>667</v>
      </c>
      <c r="J6" s="95">
        <f t="shared" ref="J6:J33" si="6">IFERROR(INDEX(_dyn_user_sdram_data_list,ROW()-5),"")</f>
        <v>800</v>
      </c>
      <c r="K6" s="324">
        <f>IFERROR(INDEX(_dyn_user_sdram_width_list,ROW()-5),"")</f>
        <v>8</v>
      </c>
      <c r="L6" s="96">
        <f t="array" aca="1" ref="L6" ca="1">IFERROR(INDEX(_sdram_sb_lookup,SMALL(_sdram_sb_list,ROW(1:1)))-_sdram_data_rate,"")</f>
        <v>8</v>
      </c>
      <c r="M6" s="97">
        <f t="shared" ref="M6:M33" si="7">IFERROR(INDEX(_dyn_user_sdram_density_list,ROW()-5),"")</f>
        <v>0.5</v>
      </c>
      <c r="N6" s="98" t="str">
        <f t="shared" ref="N6:N33" si="8">IFERROR(INDEX(_dyn_user_sdram_rtt_list,ROW()-5),"")</f>
        <v>Disabled</v>
      </c>
      <c r="O6" s="99" t="str">
        <f t="shared" ref="O6:O33" si="9">IFERROR(INDEX(_dyn_user_sdram_rttwr_list,ROW()-5),"")</f>
        <v>Disabled</v>
      </c>
      <c r="P6" s="99" t="str">
        <f t="shared" ref="P6:P33" si="10">IFERROR(INDEX(_dyn_user_sdram_drivimp_list,ROW()-5),"")</f>
        <v>RZQ/6</v>
      </c>
      <c r="Q6" s="96" t="str">
        <f t="shared" ref="Q6:Q33" si="11">IFERROR(INDEX(_emif_io_sr,ROW()-5),"")</f>
        <v>Fastest: SR[2:0] = 0b000</v>
      </c>
      <c r="R6" s="345"/>
      <c r="S6" s="345"/>
      <c r="T6" s="96" t="b">
        <f>_company_project_invalid</f>
        <v>0</v>
      </c>
      <c r="U6" s="345"/>
      <c r="V6" s="96" t="str">
        <f>IF(B6="","",IF(B7="",B6,CONCATENATE(B6,", ")))</f>
        <v xml:space="preserve">AM570x, </v>
      </c>
      <c r="W6" s="96"/>
      <c r="X6" s="96"/>
      <c r="Y6" s="96"/>
      <c r="Z6" s="96"/>
      <c r="AA6" s="96"/>
      <c r="AB6" s="96"/>
      <c r="AC6" s="96"/>
      <c r="AD6" s="97"/>
    </row>
    <row r="7" spans="2:30" x14ac:dyDescent="0.25">
      <c r="B7" s="95" t="str">
        <f t="shared" si="0"/>
        <v>AM571x</v>
      </c>
      <c r="C7" s="96" t="str">
        <f t="shared" si="1"/>
        <v/>
      </c>
      <c r="D7" s="96">
        <f t="shared" si="2"/>
        <v>2</v>
      </c>
      <c r="E7" s="96" t="str">
        <f t="shared" si="3"/>
        <v/>
      </c>
      <c r="F7" s="96" t="str">
        <f t="shared" si="4"/>
        <v/>
      </c>
      <c r="G7" s="96" t="str">
        <f t="shared" si="5"/>
        <v>No</v>
      </c>
      <c r="H7" s="100"/>
      <c r="I7" s="101"/>
      <c r="J7" s="95">
        <f t="shared" si="6"/>
        <v>1066</v>
      </c>
      <c r="K7" s="324">
        <f>IFERROR(INDEX(_dyn_user_sdram_width_list,ROW()-5),"")</f>
        <v>16</v>
      </c>
      <c r="L7" s="96">
        <f t="array" aca="1" ref="L7" ca="1">IFERROR(INDEX(_sdram_sb_lookup,SMALL(_sdram_sb_list,ROW(2:2)))-_sdram_data_rate,"")</f>
        <v>9</v>
      </c>
      <c r="M7" s="97">
        <f t="shared" si="7"/>
        <v>1</v>
      </c>
      <c r="N7" s="98" t="str">
        <f t="shared" si="8"/>
        <v>RZQ/4</v>
      </c>
      <c r="O7" s="99" t="str">
        <f t="shared" si="9"/>
        <v>RZQ/4</v>
      </c>
      <c r="P7" s="99" t="str">
        <f t="shared" si="10"/>
        <v>RZQ/7</v>
      </c>
      <c r="Q7" s="96" t="str">
        <f t="shared" si="11"/>
        <v>SR[2:0] = 0b001</v>
      </c>
      <c r="R7" s="100"/>
      <c r="S7" s="100"/>
      <c r="T7" s="102">
        <f>MIN(_t_cl_user_max,CHOOSE(MATCH(_user_sdram_type,_emif4d5e_sdram_types,0),0,0,5,11,8))</f>
        <v>11</v>
      </c>
      <c r="U7" s="100"/>
      <c r="V7" s="96" t="str">
        <f t="shared" ref="V7:V33" si="12">IF(B7="","",IF(B8="",B7,CONCATENATE(B7,", ")))</f>
        <v xml:space="preserve">AM571x, </v>
      </c>
      <c r="W7" s="102"/>
      <c r="X7" s="102"/>
      <c r="Y7" s="102"/>
      <c r="Z7" s="102"/>
      <c r="AA7" s="102"/>
      <c r="AB7" s="102"/>
      <c r="AC7" s="102"/>
      <c r="AD7" s="103"/>
    </row>
    <row r="8" spans="2:30" x14ac:dyDescent="0.25">
      <c r="B8" s="95" t="str">
        <f t="shared" si="0"/>
        <v>AM572x</v>
      </c>
      <c r="C8" s="96" t="str">
        <f t="shared" si="1"/>
        <v/>
      </c>
      <c r="D8" s="96" t="str">
        <f t="shared" si="2"/>
        <v/>
      </c>
      <c r="E8" s="96" t="str">
        <f t="shared" si="3"/>
        <v/>
      </c>
      <c r="F8" s="96" t="str">
        <f t="shared" si="4"/>
        <v/>
      </c>
      <c r="G8" s="96" t="str">
        <f t="shared" si="5"/>
        <v/>
      </c>
      <c r="H8" s="100"/>
      <c r="I8" s="101"/>
      <c r="J8" s="95">
        <f t="shared" si="6"/>
        <v>1333</v>
      </c>
      <c r="K8" s="324" t="str">
        <f>IFERROR(INDEX(_dyn_user_sdram_width_list,ROW()-5),"")</f>
        <v/>
      </c>
      <c r="L8" s="96">
        <f t="array" aca="1" ref="L8" ca="1">IFERROR(INDEX(_sdram_sb_lookup,SMALL(_sdram_sb_list,ROW(3:3)))-_sdram_data_rate,"")</f>
        <v>10</v>
      </c>
      <c r="M8" s="97">
        <f t="shared" si="7"/>
        <v>2</v>
      </c>
      <c r="N8" s="98" t="str">
        <f t="shared" si="8"/>
        <v>RZQ/2</v>
      </c>
      <c r="O8" s="99" t="str">
        <f t="shared" si="9"/>
        <v>RZQ/2</v>
      </c>
      <c r="P8" s="99" t="str">
        <f t="shared" si="10"/>
        <v/>
      </c>
      <c r="Q8" s="96" t="str">
        <f t="shared" si="11"/>
        <v>SR[2:0] = 0b010</v>
      </c>
      <c r="R8" s="100"/>
      <c r="S8" s="100"/>
      <c r="T8" s="102">
        <f>MAX(_t_cl_user_min,CHOOSE(MATCH(_user_sdram_type,_emif4d5e_sdram_types,0),0,0,2,5,3))</f>
        <v>5</v>
      </c>
      <c r="U8" s="100"/>
      <c r="V8" s="96" t="str">
        <f t="shared" si="12"/>
        <v xml:space="preserve">AM572x, </v>
      </c>
      <c r="W8" s="102"/>
      <c r="X8" s="102"/>
      <c r="Y8" s="102"/>
      <c r="Z8" s="102"/>
      <c r="AA8" s="102"/>
      <c r="AB8" s="102"/>
      <c r="AC8" s="102"/>
      <c r="AD8" s="103"/>
    </row>
    <row r="9" spans="2:30" x14ac:dyDescent="0.25">
      <c r="B9" s="95" t="str">
        <f t="shared" si="0"/>
        <v>AM574x</v>
      </c>
      <c r="C9" s="96" t="str">
        <f t="shared" si="1"/>
        <v/>
      </c>
      <c r="D9" s="96" t="str">
        <f t="shared" si="2"/>
        <v/>
      </c>
      <c r="E9" s="96" t="str">
        <f t="shared" si="3"/>
        <v/>
      </c>
      <c r="F9" s="96" t="str">
        <f t="shared" si="4"/>
        <v/>
      </c>
      <c r="G9" s="96" t="str">
        <f t="shared" si="5"/>
        <v/>
      </c>
      <c r="H9" s="100"/>
      <c r="I9" s="101"/>
      <c r="J9" s="95">
        <f t="shared" si="6"/>
        <v>1600</v>
      </c>
      <c r="K9" s="324" t="str">
        <f>IFERROR(INDEX(_dyn_user_sdram_width_list,ROW()-5),"")</f>
        <v/>
      </c>
      <c r="L9" s="96">
        <f t="array" aca="1" ref="L9" ca="1">IFERROR(INDEX(_sdram_sb_lookup,SMALL(_sdram_sb_list,ROW(4:4)))-_sdram_data_rate,"")</f>
        <v>11</v>
      </c>
      <c r="M9" s="97">
        <f t="shared" si="7"/>
        <v>4</v>
      </c>
      <c r="N9" s="98" t="str">
        <f t="shared" si="8"/>
        <v>RZQ/6</v>
      </c>
      <c r="O9" s="99" t="str">
        <f t="shared" si="9"/>
        <v/>
      </c>
      <c r="P9" s="99" t="str">
        <f t="shared" si="10"/>
        <v/>
      </c>
      <c r="Q9" s="96" t="str">
        <f t="shared" si="11"/>
        <v>SR[2:0] = 0b011</v>
      </c>
      <c r="R9" s="100"/>
      <c r="S9" s="100"/>
      <c r="T9" s="100"/>
      <c r="U9" s="100"/>
      <c r="V9" s="96" t="str">
        <f t="shared" si="12"/>
        <v xml:space="preserve">AM574x, </v>
      </c>
      <c r="W9" s="102"/>
      <c r="X9" s="102"/>
      <c r="Y9" s="102"/>
      <c r="Z9" s="102"/>
      <c r="AA9" s="102"/>
      <c r="AB9" s="102"/>
      <c r="AC9" s="102"/>
      <c r="AD9" s="103"/>
    </row>
    <row r="10" spans="2:30" x14ac:dyDescent="0.25">
      <c r="B10" s="95" t="str">
        <f t="shared" si="0"/>
        <v>AM576x</v>
      </c>
      <c r="C10" s="96" t="str">
        <f t="shared" si="1"/>
        <v/>
      </c>
      <c r="D10" s="96" t="str">
        <f t="shared" si="2"/>
        <v/>
      </c>
      <c r="E10" s="96" t="str">
        <f t="shared" si="3"/>
        <v/>
      </c>
      <c r="F10" s="96" t="str">
        <f t="shared" si="4"/>
        <v/>
      </c>
      <c r="G10" s="96" t="str">
        <f t="shared" si="5"/>
        <v/>
      </c>
      <c r="H10" s="100"/>
      <c r="I10" s="101"/>
      <c r="J10" s="95">
        <f t="shared" si="6"/>
        <v>1866</v>
      </c>
      <c r="K10" s="324" t="str">
        <f>IFERROR(INDEX(_dyn_user_sdram_width_list,ROW()-5),"")</f>
        <v/>
      </c>
      <c r="L10" s="96" t="str">
        <f t="array" aca="1" ref="L10" ca="1">IFERROR(INDEX(_sdram_sb_lookup,SMALL(_sdram_sb_list,ROW(5:5)))-_sdram_data_rate,"")</f>
        <v/>
      </c>
      <c r="M10" s="97">
        <f t="shared" si="7"/>
        <v>8</v>
      </c>
      <c r="N10" s="98" t="str">
        <f t="shared" si="8"/>
        <v>RZQ/12</v>
      </c>
      <c r="O10" s="99" t="str">
        <f t="shared" si="9"/>
        <v/>
      </c>
      <c r="P10" s="99" t="str">
        <f t="shared" si="10"/>
        <v/>
      </c>
      <c r="Q10" s="96" t="str">
        <f t="shared" si="11"/>
        <v>SR[2:0] = 0b100</v>
      </c>
      <c r="R10" s="100"/>
      <c r="S10" s="100"/>
      <c r="T10" s="100"/>
      <c r="U10" s="100"/>
      <c r="V10" s="96" t="str">
        <f t="shared" si="12"/>
        <v xml:space="preserve">AM576x, </v>
      </c>
      <c r="W10" s="102"/>
      <c r="X10" s="102"/>
      <c r="Y10" s="102"/>
      <c r="Z10" s="102"/>
      <c r="AA10" s="102"/>
      <c r="AB10" s="102"/>
      <c r="AC10" s="102"/>
      <c r="AD10" s="103"/>
    </row>
    <row r="11" spans="2:30" x14ac:dyDescent="0.25">
      <c r="B11" s="95" t="str">
        <f t="shared" si="0"/>
        <v>DM50x_ABE</v>
      </c>
      <c r="C11" s="96" t="str">
        <f t="shared" si="1"/>
        <v/>
      </c>
      <c r="D11" s="96" t="str">
        <f t="shared" si="2"/>
        <v/>
      </c>
      <c r="E11" s="96" t="str">
        <f t="shared" si="3"/>
        <v/>
      </c>
      <c r="F11" s="96" t="str">
        <f t="shared" si="4"/>
        <v/>
      </c>
      <c r="G11" s="96" t="str">
        <f t="shared" si="5"/>
        <v/>
      </c>
      <c r="H11" s="100"/>
      <c r="I11" s="101"/>
      <c r="J11" s="95">
        <f t="shared" si="6"/>
        <v>2133</v>
      </c>
      <c r="K11" s="324" t="str">
        <f>IFERROR(INDEX(_dyn_user_sdram_width_list,ROW()-5),"")</f>
        <v/>
      </c>
      <c r="L11" s="96" t="str">
        <f t="array" aca="1" ref="L11" ca="1">IFERROR(INDEX(_sdram_sb_lookup,SMALL(_sdram_sb_list,ROW(6:6)))-_sdram_data_rate,"")</f>
        <v/>
      </c>
      <c r="M11" s="97" t="str">
        <f t="shared" si="7"/>
        <v/>
      </c>
      <c r="N11" s="98" t="str">
        <f t="shared" si="8"/>
        <v>RZQ/8</v>
      </c>
      <c r="O11" s="99" t="str">
        <f t="shared" si="9"/>
        <v/>
      </c>
      <c r="P11" s="99" t="str">
        <f t="shared" si="10"/>
        <v/>
      </c>
      <c r="Q11" s="96" t="str">
        <f t="shared" si="11"/>
        <v>SR[2:0] = 0b101</v>
      </c>
      <c r="R11" s="100"/>
      <c r="S11" s="100"/>
      <c r="T11" s="100"/>
      <c r="U11" s="100"/>
      <c r="V11" s="96" t="str">
        <f t="shared" si="12"/>
        <v xml:space="preserve">DM50x_ABE, </v>
      </c>
      <c r="W11" s="102"/>
      <c r="X11" s="102"/>
      <c r="Y11" s="102"/>
      <c r="Z11" s="102"/>
      <c r="AA11" s="102"/>
      <c r="AB11" s="102"/>
      <c r="AC11" s="102"/>
      <c r="AD11" s="103"/>
    </row>
    <row r="12" spans="2:30" x14ac:dyDescent="0.25">
      <c r="B12" s="95" t="str">
        <f t="shared" si="0"/>
        <v>DM50x_ABF</v>
      </c>
      <c r="C12" s="96" t="str">
        <f t="shared" si="1"/>
        <v/>
      </c>
      <c r="D12" s="96" t="str">
        <f t="shared" si="2"/>
        <v/>
      </c>
      <c r="E12" s="96" t="str">
        <f t="shared" si="3"/>
        <v/>
      </c>
      <c r="F12" s="96" t="str">
        <f t="shared" si="4"/>
        <v/>
      </c>
      <c r="G12" s="96" t="str">
        <f t="shared" si="5"/>
        <v/>
      </c>
      <c r="H12" s="100"/>
      <c r="I12" s="101"/>
      <c r="J12" s="95" t="str">
        <f t="shared" si="6"/>
        <v/>
      </c>
      <c r="K12" s="324" t="str">
        <f>IFERROR(INDEX(_dyn_user_sdram_width_list,ROW()-5),"")</f>
        <v/>
      </c>
      <c r="L12" s="96" t="str">
        <f t="array" aca="1" ref="L12" ca="1">IFERROR(INDEX(_sdram_sb_lookup,SMALL(_sdram_sb_list,ROW(7:7)))-_sdram_data_rate,"")</f>
        <v/>
      </c>
      <c r="M12" s="97" t="str">
        <f t="shared" si="7"/>
        <v/>
      </c>
      <c r="N12" s="98" t="str">
        <f t="shared" si="8"/>
        <v/>
      </c>
      <c r="O12" s="99" t="str">
        <f t="shared" si="9"/>
        <v/>
      </c>
      <c r="P12" s="99" t="str">
        <f t="shared" si="10"/>
        <v/>
      </c>
      <c r="Q12" s="96" t="str">
        <f t="shared" si="11"/>
        <v>SR[2:0] = 0b110</v>
      </c>
      <c r="R12" s="100"/>
      <c r="S12" s="100"/>
      <c r="T12" s="100"/>
      <c r="U12" s="100"/>
      <c r="V12" s="96" t="str">
        <f t="shared" si="12"/>
        <v xml:space="preserve">DM50x_ABF, </v>
      </c>
      <c r="W12" s="102"/>
      <c r="X12" s="102"/>
      <c r="Y12" s="102"/>
      <c r="Z12" s="102"/>
      <c r="AA12" s="102"/>
      <c r="AB12" s="102"/>
      <c r="AC12" s="102"/>
      <c r="AD12" s="103"/>
    </row>
    <row r="13" spans="2:30" x14ac:dyDescent="0.25">
      <c r="B13" s="95" t="str">
        <f t="shared" si="0"/>
        <v>DRA71x</v>
      </c>
      <c r="C13" s="96" t="str">
        <f t="shared" si="1"/>
        <v/>
      </c>
      <c r="D13" s="96" t="str">
        <f t="shared" si="2"/>
        <v/>
      </c>
      <c r="E13" s="96" t="str">
        <f t="shared" si="3"/>
        <v/>
      </c>
      <c r="F13" s="96" t="str">
        <f t="shared" si="4"/>
        <v/>
      </c>
      <c r="G13" s="96" t="str">
        <f t="shared" si="5"/>
        <v/>
      </c>
      <c r="H13" s="100"/>
      <c r="I13" s="101"/>
      <c r="J13" s="95" t="str">
        <f t="shared" si="6"/>
        <v/>
      </c>
      <c r="K13" s="324" t="str">
        <f>IFERROR(INDEX(_dyn_user_sdram_width_list,ROW()-5),"")</f>
        <v/>
      </c>
      <c r="L13" s="96" t="str">
        <f t="array" aca="1" ref="L13" ca="1">IFERROR(INDEX(_sdram_sb_lookup,SMALL(_sdram_sb_list,ROW(8:8)))-_sdram_data_rate,"")</f>
        <v/>
      </c>
      <c r="M13" s="97" t="str">
        <f t="shared" si="7"/>
        <v/>
      </c>
      <c r="N13" s="98" t="str">
        <f t="shared" si="8"/>
        <v/>
      </c>
      <c r="O13" s="99" t="str">
        <f t="shared" si="9"/>
        <v/>
      </c>
      <c r="P13" s="99" t="str">
        <f t="shared" si="10"/>
        <v/>
      </c>
      <c r="Q13" s="96" t="str">
        <f t="shared" si="11"/>
        <v>Slowest: SR[2:0] = 0b111</v>
      </c>
      <c r="R13" s="100"/>
      <c r="S13" s="100"/>
      <c r="T13" s="100"/>
      <c r="U13" s="100"/>
      <c r="V13" s="96" t="str">
        <f t="shared" si="12"/>
        <v xml:space="preserve">DRA71x, </v>
      </c>
      <c r="W13" s="102"/>
      <c r="X13" s="102"/>
      <c r="Y13" s="102"/>
      <c r="Z13" s="102"/>
      <c r="AA13" s="102"/>
      <c r="AB13" s="102"/>
      <c r="AC13" s="102"/>
      <c r="AD13" s="103"/>
    </row>
    <row r="14" spans="2:30" x14ac:dyDescent="0.25">
      <c r="B14" s="95" t="str">
        <f t="shared" si="0"/>
        <v>DRA72x</v>
      </c>
      <c r="C14" s="96" t="str">
        <f t="shared" si="1"/>
        <v/>
      </c>
      <c r="D14" s="96" t="str">
        <f t="shared" si="2"/>
        <v/>
      </c>
      <c r="E14" s="96" t="str">
        <f t="shared" si="3"/>
        <v/>
      </c>
      <c r="F14" s="96" t="str">
        <f t="shared" si="4"/>
        <v/>
      </c>
      <c r="G14" s="96" t="str">
        <f t="shared" si="5"/>
        <v/>
      </c>
      <c r="H14" s="100"/>
      <c r="I14" s="101"/>
      <c r="J14" s="95" t="str">
        <f t="shared" si="6"/>
        <v/>
      </c>
      <c r="K14" s="324" t="str">
        <f>IFERROR(INDEX(_dyn_user_sdram_width_list,ROW()-5),"")</f>
        <v/>
      </c>
      <c r="L14" s="96" t="str">
        <f t="array" aca="1" ref="L14" ca="1">IFERROR(INDEX(_sdram_sb_lookup,SMALL(_sdram_sb_list,ROW(9:9)))-_sdram_data_rate,"")</f>
        <v/>
      </c>
      <c r="M14" s="97" t="str">
        <f t="shared" si="7"/>
        <v/>
      </c>
      <c r="N14" s="98" t="str">
        <f t="shared" si="8"/>
        <v/>
      </c>
      <c r="O14" s="99" t="str">
        <f t="shared" si="9"/>
        <v/>
      </c>
      <c r="P14" s="99" t="str">
        <f t="shared" si="10"/>
        <v/>
      </c>
      <c r="Q14" s="96" t="str">
        <f t="shared" si="11"/>
        <v/>
      </c>
      <c r="R14" s="100"/>
      <c r="S14" s="100"/>
      <c r="T14" s="100"/>
      <c r="U14" s="100"/>
      <c r="V14" s="96" t="str">
        <f t="shared" si="12"/>
        <v xml:space="preserve">DRA72x, </v>
      </c>
      <c r="W14" s="102"/>
      <c r="X14" s="102"/>
      <c r="Y14" s="102"/>
      <c r="Z14" s="102"/>
      <c r="AA14" s="102"/>
      <c r="AB14" s="102"/>
      <c r="AC14" s="102"/>
      <c r="AD14" s="103"/>
    </row>
    <row r="15" spans="2:30" x14ac:dyDescent="0.25">
      <c r="B15" s="95" t="str">
        <f t="shared" si="0"/>
        <v>DRA74x</v>
      </c>
      <c r="C15" s="96" t="str">
        <f t="shared" si="1"/>
        <v/>
      </c>
      <c r="D15" s="96" t="str">
        <f t="shared" si="2"/>
        <v/>
      </c>
      <c r="E15" s="96" t="str">
        <f t="shared" si="3"/>
        <v/>
      </c>
      <c r="F15" s="96" t="str">
        <f t="shared" si="4"/>
        <v/>
      </c>
      <c r="G15" s="96" t="str">
        <f t="shared" si="5"/>
        <v/>
      </c>
      <c r="H15" s="100"/>
      <c r="I15" s="101"/>
      <c r="J15" s="95" t="str">
        <f t="shared" si="6"/>
        <v/>
      </c>
      <c r="K15" s="324" t="str">
        <f>IFERROR(INDEX(_dyn_user_sdram_width_list,ROW()-5),"")</f>
        <v/>
      </c>
      <c r="L15" s="96" t="str">
        <f t="array" aca="1" ref="L15" ca="1">IFERROR(INDEX(_sdram_sb_lookup,SMALL(_sdram_sb_list,ROW(10:10)))-_sdram_data_rate,"")</f>
        <v/>
      </c>
      <c r="M15" s="97" t="str">
        <f t="shared" si="7"/>
        <v/>
      </c>
      <c r="N15" s="98" t="str">
        <f t="shared" si="8"/>
        <v/>
      </c>
      <c r="O15" s="99" t="str">
        <f t="shared" si="9"/>
        <v/>
      </c>
      <c r="P15" s="99" t="str">
        <f t="shared" si="10"/>
        <v/>
      </c>
      <c r="Q15" s="96" t="str">
        <f t="shared" si="11"/>
        <v/>
      </c>
      <c r="R15" s="100"/>
      <c r="S15" s="100"/>
      <c r="T15" s="100"/>
      <c r="U15" s="100"/>
      <c r="V15" s="96" t="str">
        <f t="shared" si="12"/>
        <v xml:space="preserve">DRA74x, </v>
      </c>
      <c r="W15" s="102"/>
      <c r="X15" s="102"/>
      <c r="Y15" s="102"/>
      <c r="Z15" s="102"/>
      <c r="AA15" s="102"/>
      <c r="AB15" s="102"/>
      <c r="AC15" s="102"/>
      <c r="AD15" s="103"/>
    </row>
    <row r="16" spans="2:30" x14ac:dyDescent="0.25">
      <c r="B16" s="95" t="str">
        <f t="shared" si="0"/>
        <v>DRA74xP</v>
      </c>
      <c r="C16" s="96" t="str">
        <f t="shared" si="1"/>
        <v/>
      </c>
      <c r="D16" s="96" t="str">
        <f t="shared" si="2"/>
        <v/>
      </c>
      <c r="E16" s="96" t="str">
        <f t="shared" si="3"/>
        <v/>
      </c>
      <c r="F16" s="96" t="str">
        <f t="shared" si="4"/>
        <v/>
      </c>
      <c r="G16" s="96" t="str">
        <f t="shared" si="5"/>
        <v/>
      </c>
      <c r="H16" s="100"/>
      <c r="I16" s="101"/>
      <c r="J16" s="95" t="str">
        <f t="shared" si="6"/>
        <v/>
      </c>
      <c r="K16" s="324" t="str">
        <f>IFERROR(INDEX(_dyn_user_sdram_width_list,ROW()-5),"")</f>
        <v/>
      </c>
      <c r="L16" s="96" t="str">
        <f t="array" aca="1" ref="L16" ca="1">IFERROR(INDEX(_sdram_sb_lookup,SMALL(_sdram_sb_list,ROW(11:11)))-_sdram_data_rate,"")</f>
        <v/>
      </c>
      <c r="M16" s="97" t="str">
        <f t="shared" si="7"/>
        <v/>
      </c>
      <c r="N16" s="98" t="str">
        <f t="shared" si="8"/>
        <v/>
      </c>
      <c r="O16" s="99" t="str">
        <f t="shared" si="9"/>
        <v/>
      </c>
      <c r="P16" s="99" t="str">
        <f t="shared" si="10"/>
        <v/>
      </c>
      <c r="Q16" s="96" t="str">
        <f t="shared" si="11"/>
        <v/>
      </c>
      <c r="R16" s="100"/>
      <c r="S16" s="100"/>
      <c r="T16" s="100"/>
      <c r="U16" s="100"/>
      <c r="V16" s="96" t="str">
        <f t="shared" si="12"/>
        <v xml:space="preserve">DRA74xP, </v>
      </c>
      <c r="W16" s="102"/>
      <c r="X16" s="102"/>
      <c r="Y16" s="102"/>
      <c r="Z16" s="102"/>
      <c r="AA16" s="102"/>
      <c r="AB16" s="102"/>
      <c r="AC16" s="102"/>
      <c r="AD16" s="103"/>
    </row>
    <row r="17" spans="2:30" x14ac:dyDescent="0.25">
      <c r="B17" s="95" t="str">
        <f t="shared" si="0"/>
        <v>DRA75x</v>
      </c>
      <c r="C17" s="96" t="str">
        <f t="shared" si="1"/>
        <v/>
      </c>
      <c r="D17" s="96" t="str">
        <f t="shared" si="2"/>
        <v/>
      </c>
      <c r="E17" s="96" t="str">
        <f t="shared" si="3"/>
        <v/>
      </c>
      <c r="F17" s="96" t="str">
        <f t="shared" si="4"/>
        <v/>
      </c>
      <c r="G17" s="96" t="str">
        <f t="shared" si="5"/>
        <v/>
      </c>
      <c r="H17" s="100"/>
      <c r="I17" s="101"/>
      <c r="J17" s="95" t="str">
        <f t="shared" si="6"/>
        <v/>
      </c>
      <c r="K17" s="324" t="str">
        <f>IFERROR(INDEX(_dyn_user_sdram_width_list,ROW()-5),"")</f>
        <v/>
      </c>
      <c r="L17" s="96" t="str">
        <f t="array" aca="1" ref="L17" ca="1">IFERROR(INDEX(_sdram_sb_lookup,SMALL(_sdram_sb_list,ROW(12:12)))-_sdram_data_rate,"")</f>
        <v/>
      </c>
      <c r="M17" s="97" t="str">
        <f t="shared" si="7"/>
        <v/>
      </c>
      <c r="N17" s="98" t="str">
        <f t="shared" si="8"/>
        <v/>
      </c>
      <c r="O17" s="99" t="str">
        <f t="shared" si="9"/>
        <v/>
      </c>
      <c r="P17" s="99" t="str">
        <f t="shared" si="10"/>
        <v/>
      </c>
      <c r="Q17" s="96" t="str">
        <f t="shared" si="11"/>
        <v/>
      </c>
      <c r="R17" s="100"/>
      <c r="S17" s="100"/>
      <c r="T17" s="100"/>
      <c r="U17" s="100"/>
      <c r="V17" s="96" t="str">
        <f t="shared" si="12"/>
        <v xml:space="preserve">DRA75x, </v>
      </c>
      <c r="W17" s="102"/>
      <c r="X17" s="102"/>
      <c r="Y17" s="102"/>
      <c r="Z17" s="102"/>
      <c r="AA17" s="102"/>
      <c r="AB17" s="102"/>
      <c r="AC17" s="102"/>
      <c r="AD17" s="103"/>
    </row>
    <row r="18" spans="2:30" x14ac:dyDescent="0.25">
      <c r="B18" s="95" t="str">
        <f t="shared" si="0"/>
        <v>DRA75xP</v>
      </c>
      <c r="C18" s="96" t="str">
        <f t="shared" si="1"/>
        <v/>
      </c>
      <c r="D18" s="96" t="str">
        <f t="shared" si="2"/>
        <v/>
      </c>
      <c r="E18" s="96" t="str">
        <f t="shared" si="3"/>
        <v/>
      </c>
      <c r="F18" s="96" t="str">
        <f t="shared" si="4"/>
        <v/>
      </c>
      <c r="G18" s="96" t="str">
        <f t="shared" si="5"/>
        <v/>
      </c>
      <c r="H18" s="100"/>
      <c r="I18" s="101"/>
      <c r="J18" s="95" t="str">
        <f t="shared" si="6"/>
        <v/>
      </c>
      <c r="K18" s="324" t="str">
        <f>IFERROR(INDEX(_dyn_user_sdram_width_list,ROW()-5),"")</f>
        <v/>
      </c>
      <c r="L18" s="96" t="str">
        <f t="array" aca="1" ref="L18" ca="1">IFERROR(INDEX(_sdram_sb_lookup,SMALL(_sdram_sb_list,ROW(13:13)))-_sdram_data_rate,"")</f>
        <v/>
      </c>
      <c r="M18" s="97" t="str">
        <f t="shared" si="7"/>
        <v/>
      </c>
      <c r="N18" s="98" t="str">
        <f t="shared" si="8"/>
        <v/>
      </c>
      <c r="O18" s="99" t="str">
        <f t="shared" si="9"/>
        <v/>
      </c>
      <c r="P18" s="99" t="str">
        <f t="shared" si="10"/>
        <v/>
      </c>
      <c r="Q18" s="96" t="str">
        <f t="shared" si="11"/>
        <v/>
      </c>
      <c r="R18" s="100"/>
      <c r="S18" s="100"/>
      <c r="T18" s="100"/>
      <c r="U18" s="100"/>
      <c r="V18" s="96" t="str">
        <f t="shared" si="12"/>
        <v xml:space="preserve">DRA75xP, </v>
      </c>
      <c r="W18" s="102"/>
      <c r="X18" s="102"/>
      <c r="Y18" s="102"/>
      <c r="Z18" s="102"/>
      <c r="AA18" s="102"/>
      <c r="AB18" s="102"/>
      <c r="AC18" s="102"/>
      <c r="AD18" s="103"/>
    </row>
    <row r="19" spans="2:30" ht="13" thickBot="1" x14ac:dyDescent="0.3">
      <c r="B19" s="95" t="str">
        <f t="shared" si="0"/>
        <v>DRA76x</v>
      </c>
      <c r="C19" s="96" t="str">
        <f t="shared" si="1"/>
        <v/>
      </c>
      <c r="D19" s="96" t="str">
        <f t="shared" si="2"/>
        <v/>
      </c>
      <c r="E19" s="96" t="str">
        <f t="shared" si="3"/>
        <v/>
      </c>
      <c r="F19" s="96" t="str">
        <f t="shared" si="4"/>
        <v/>
      </c>
      <c r="G19" s="96" t="str">
        <f t="shared" si="5"/>
        <v/>
      </c>
      <c r="H19" s="104"/>
      <c r="I19" s="105"/>
      <c r="J19" s="95" t="str">
        <f t="shared" si="6"/>
        <v/>
      </c>
      <c r="K19" s="324" t="str">
        <f>IFERROR(INDEX(_dyn_user_sdram_width_list,ROW()-5),"")</f>
        <v/>
      </c>
      <c r="L19" s="96" t="str">
        <f t="array" aca="1" ref="L19" ca="1">IFERROR(INDEX(_sdram_sb_lookup,SMALL(_sdram_sb_list,ROW(14:14)))-_sdram_data_rate,"")</f>
        <v/>
      </c>
      <c r="M19" s="97" t="str">
        <f t="shared" si="7"/>
        <v/>
      </c>
      <c r="N19" s="98" t="str">
        <f t="shared" si="8"/>
        <v/>
      </c>
      <c r="O19" s="99" t="str">
        <f t="shared" si="9"/>
        <v/>
      </c>
      <c r="P19" s="99" t="str">
        <f t="shared" si="10"/>
        <v/>
      </c>
      <c r="Q19" s="96" t="str">
        <f t="shared" si="11"/>
        <v/>
      </c>
      <c r="R19" s="104"/>
      <c r="S19" s="104"/>
      <c r="T19" s="104"/>
      <c r="U19" s="104"/>
      <c r="V19" s="96" t="str">
        <f t="shared" si="12"/>
        <v xml:space="preserve">DRA76x, </v>
      </c>
      <c r="W19" s="106"/>
      <c r="X19" s="106"/>
      <c r="Y19" s="106"/>
      <c r="Z19" s="106"/>
      <c r="AA19" s="106"/>
      <c r="AB19" s="106"/>
      <c r="AC19" s="106"/>
      <c r="AD19" s="107"/>
    </row>
    <row r="20" spans="2:30" ht="13" thickTop="1" x14ac:dyDescent="0.25">
      <c r="B20" s="95" t="str">
        <f t="shared" si="0"/>
        <v>DRA77x</v>
      </c>
      <c r="C20" s="96" t="str">
        <f t="shared" si="1"/>
        <v/>
      </c>
      <c r="D20" s="96" t="str">
        <f t="shared" si="2"/>
        <v/>
      </c>
      <c r="E20" s="96" t="str">
        <f t="shared" si="3"/>
        <v/>
      </c>
      <c r="F20" s="96" t="str">
        <f t="shared" si="4"/>
        <v/>
      </c>
      <c r="G20" s="96" t="str">
        <f t="shared" si="5"/>
        <v/>
      </c>
      <c r="H20" s="344"/>
      <c r="I20" s="344"/>
      <c r="J20" s="95" t="str">
        <f t="shared" si="6"/>
        <v/>
      </c>
      <c r="K20" s="324" t="str">
        <f>IFERROR(INDEX(_dyn_user_sdram_width_list,ROW()-5),"")</f>
        <v/>
      </c>
      <c r="L20" s="96" t="str">
        <f t="array" aca="1" ref="L20" ca="1">IFERROR(INDEX(_sdram_sb_lookup,SMALL(_sdram_sb_list,ROW(15:15)))-_sdram_data_rate,"")</f>
        <v/>
      </c>
      <c r="M20" s="97" t="str">
        <f t="shared" si="7"/>
        <v/>
      </c>
      <c r="N20" s="98" t="str">
        <f t="shared" si="8"/>
        <v/>
      </c>
      <c r="O20" s="99" t="str">
        <f t="shared" si="9"/>
        <v/>
      </c>
      <c r="P20" s="99" t="str">
        <f t="shared" si="10"/>
        <v/>
      </c>
      <c r="Q20" s="96" t="str">
        <f t="shared" si="11"/>
        <v/>
      </c>
      <c r="R20" s="345"/>
      <c r="S20" s="345"/>
      <c r="T20" s="345"/>
      <c r="U20" s="346"/>
      <c r="V20" s="96" t="str">
        <f>IF(B20="","",IF(B21="",B20,CONCATENATE(B20,", ")))</f>
        <v xml:space="preserve">DRA77x, </v>
      </c>
      <c r="W20" s="344"/>
      <c r="X20" s="344"/>
      <c r="Y20" s="344"/>
      <c r="Z20" s="344"/>
      <c r="AA20" s="344"/>
      <c r="AB20" s="344"/>
      <c r="AC20" s="344"/>
      <c r="AD20" s="344"/>
    </row>
    <row r="21" spans="2:30" x14ac:dyDescent="0.25">
      <c r="B21" s="95" t="str">
        <f t="shared" si="0"/>
        <v>DRA78x</v>
      </c>
      <c r="C21" s="96" t="str">
        <f t="shared" si="1"/>
        <v/>
      </c>
      <c r="D21" s="96" t="str">
        <f t="shared" si="2"/>
        <v/>
      </c>
      <c r="E21" s="96" t="str">
        <f t="shared" si="3"/>
        <v/>
      </c>
      <c r="F21" s="96" t="str">
        <f t="shared" si="4"/>
        <v/>
      </c>
      <c r="G21" s="96" t="str">
        <f t="shared" si="5"/>
        <v/>
      </c>
      <c r="H21" s="344"/>
      <c r="I21" s="344"/>
      <c r="J21" s="95" t="str">
        <f t="shared" si="6"/>
        <v/>
      </c>
      <c r="K21" s="324" t="str">
        <f>IFERROR(INDEX(_dyn_user_sdram_width_list,ROW()-5),"")</f>
        <v/>
      </c>
      <c r="L21" s="96" t="str">
        <f t="array" aca="1" ref="L21" ca="1">IFERROR(INDEX(_sdram_sb_lookup,SMALL(_sdram_sb_list,ROW(16:16)))-_sdram_data_rate,"")</f>
        <v/>
      </c>
      <c r="M21" s="97" t="str">
        <f t="shared" si="7"/>
        <v/>
      </c>
      <c r="N21" s="98" t="str">
        <f t="shared" si="8"/>
        <v/>
      </c>
      <c r="O21" s="99" t="str">
        <f t="shared" si="9"/>
        <v/>
      </c>
      <c r="P21" s="99" t="str">
        <f t="shared" si="10"/>
        <v/>
      </c>
      <c r="Q21" s="96" t="str">
        <f t="shared" si="11"/>
        <v/>
      </c>
      <c r="R21" s="100"/>
      <c r="S21" s="100"/>
      <c r="T21" s="100"/>
      <c r="U21" s="346"/>
      <c r="V21" s="96" t="str">
        <f t="shared" si="12"/>
        <v xml:space="preserve">DRA78x, </v>
      </c>
      <c r="W21" s="344"/>
      <c r="X21" s="344"/>
      <c r="Y21" s="344"/>
      <c r="Z21" s="344"/>
      <c r="AA21" s="344"/>
      <c r="AB21" s="344"/>
      <c r="AC21" s="344"/>
      <c r="AD21" s="344"/>
    </row>
    <row r="22" spans="2:30" x14ac:dyDescent="0.25">
      <c r="B22" s="95" t="str">
        <f t="shared" si="0"/>
        <v>DRA79x</v>
      </c>
      <c r="C22" s="96" t="str">
        <f t="shared" si="1"/>
        <v/>
      </c>
      <c r="D22" s="96" t="str">
        <f t="shared" si="2"/>
        <v/>
      </c>
      <c r="E22" s="96" t="str">
        <f t="shared" si="3"/>
        <v/>
      </c>
      <c r="F22" s="96" t="str">
        <f t="shared" si="4"/>
        <v/>
      </c>
      <c r="G22" s="96" t="str">
        <f t="shared" si="5"/>
        <v/>
      </c>
      <c r="H22" s="344"/>
      <c r="I22" s="344"/>
      <c r="J22" s="95" t="str">
        <f t="shared" si="6"/>
        <v/>
      </c>
      <c r="K22" s="324" t="str">
        <f>IFERROR(INDEX(_dyn_user_sdram_width_list,ROW()-5),"")</f>
        <v/>
      </c>
      <c r="L22" s="96" t="str">
        <f t="array" aca="1" ref="L22" ca="1">IFERROR(INDEX(_sdram_sb_lookup,SMALL(_sdram_sb_list,ROW(17:17)))-_sdram_data_rate,"")</f>
        <v/>
      </c>
      <c r="M22" s="97" t="str">
        <f t="shared" si="7"/>
        <v/>
      </c>
      <c r="N22" s="98" t="str">
        <f t="shared" si="8"/>
        <v/>
      </c>
      <c r="O22" s="99" t="str">
        <f t="shared" si="9"/>
        <v/>
      </c>
      <c r="P22" s="99" t="str">
        <f t="shared" si="10"/>
        <v/>
      </c>
      <c r="Q22" s="96" t="str">
        <f t="shared" si="11"/>
        <v/>
      </c>
      <c r="R22" s="100"/>
      <c r="S22" s="100"/>
      <c r="T22" s="100"/>
      <c r="U22" s="346"/>
      <c r="V22" s="96" t="str">
        <f t="shared" si="12"/>
        <v xml:space="preserve">DRA79x, </v>
      </c>
      <c r="W22" s="344"/>
      <c r="X22" s="344"/>
      <c r="Y22" s="344"/>
      <c r="Z22" s="344"/>
      <c r="AA22" s="344"/>
      <c r="AB22" s="344"/>
      <c r="AC22" s="344"/>
      <c r="AD22" s="344"/>
    </row>
    <row r="23" spans="2:30" x14ac:dyDescent="0.25">
      <c r="B23" s="95" t="str">
        <f t="shared" si="0"/>
        <v>TDA2Ex_ABC</v>
      </c>
      <c r="C23" s="96" t="str">
        <f t="shared" si="1"/>
        <v/>
      </c>
      <c r="D23" s="96" t="str">
        <f t="shared" si="2"/>
        <v/>
      </c>
      <c r="E23" s="96" t="str">
        <f t="shared" si="3"/>
        <v/>
      </c>
      <c r="F23" s="96" t="str">
        <f t="shared" si="4"/>
        <v/>
      </c>
      <c r="G23" s="96" t="str">
        <f t="shared" si="5"/>
        <v/>
      </c>
      <c r="H23" s="344"/>
      <c r="I23" s="344"/>
      <c r="J23" s="95" t="str">
        <f t="shared" si="6"/>
        <v/>
      </c>
      <c r="K23" s="324" t="str">
        <f>IFERROR(INDEX(_dyn_user_sdram_width_list,ROW()-5),"")</f>
        <v/>
      </c>
      <c r="L23" s="96" t="str">
        <f t="array" aca="1" ref="L23" ca="1">IFERROR(INDEX(_sdram_sb_lookup,SMALL(_sdram_sb_list,ROW(18:18)))-_sdram_data_rate,"")</f>
        <v/>
      </c>
      <c r="M23" s="97" t="str">
        <f t="shared" si="7"/>
        <v/>
      </c>
      <c r="N23" s="98" t="str">
        <f t="shared" si="8"/>
        <v/>
      </c>
      <c r="O23" s="99" t="str">
        <f t="shared" si="9"/>
        <v/>
      </c>
      <c r="P23" s="99" t="str">
        <f t="shared" si="10"/>
        <v/>
      </c>
      <c r="Q23" s="96" t="str">
        <f t="shared" si="11"/>
        <v/>
      </c>
      <c r="R23" s="100"/>
      <c r="S23" s="100"/>
      <c r="T23" s="100"/>
      <c r="U23" s="346"/>
      <c r="V23" s="96" t="str">
        <f t="shared" si="12"/>
        <v xml:space="preserve">TDA2Ex_ABC, </v>
      </c>
      <c r="W23" s="344"/>
      <c r="X23" s="344"/>
      <c r="Y23" s="344"/>
      <c r="Z23" s="344"/>
      <c r="AA23" s="344"/>
      <c r="AB23" s="344"/>
      <c r="AC23" s="344"/>
      <c r="AD23" s="344"/>
    </row>
    <row r="24" spans="2:30" x14ac:dyDescent="0.25">
      <c r="B24" s="95" t="str">
        <f t="shared" si="0"/>
        <v>TDA2Ex_CBD</v>
      </c>
      <c r="C24" s="96" t="str">
        <f t="shared" si="1"/>
        <v/>
      </c>
      <c r="D24" s="96" t="str">
        <f t="shared" si="2"/>
        <v/>
      </c>
      <c r="E24" s="96" t="str">
        <f t="shared" si="3"/>
        <v/>
      </c>
      <c r="F24" s="96" t="str">
        <f t="shared" si="4"/>
        <v/>
      </c>
      <c r="G24" s="96" t="str">
        <f t="shared" si="5"/>
        <v/>
      </c>
      <c r="H24" s="344"/>
      <c r="I24" s="344"/>
      <c r="J24" s="95" t="str">
        <f t="shared" si="6"/>
        <v/>
      </c>
      <c r="K24" s="324" t="str">
        <f>IFERROR(INDEX(_dyn_user_sdram_width_list,ROW()-5),"")</f>
        <v/>
      </c>
      <c r="L24" s="96" t="str">
        <f t="array" aca="1" ref="L24" ca="1">IFERROR(INDEX(_sdram_sb_lookup,SMALL(_sdram_sb_list,ROW(19:19)))-_sdram_data_rate,"")</f>
        <v/>
      </c>
      <c r="M24" s="97" t="str">
        <f t="shared" si="7"/>
        <v/>
      </c>
      <c r="N24" s="98" t="str">
        <f t="shared" si="8"/>
        <v/>
      </c>
      <c r="O24" s="99" t="str">
        <f t="shared" si="9"/>
        <v/>
      </c>
      <c r="P24" s="99" t="str">
        <f t="shared" si="10"/>
        <v/>
      </c>
      <c r="Q24" s="96" t="str">
        <f t="shared" si="11"/>
        <v/>
      </c>
      <c r="R24" s="100"/>
      <c r="S24" s="100"/>
      <c r="T24" s="100"/>
      <c r="U24" s="346"/>
      <c r="V24" s="96" t="str">
        <f t="shared" si="12"/>
        <v xml:space="preserve">TDA2Ex_CBD, </v>
      </c>
      <c r="W24" s="344"/>
      <c r="X24" s="344"/>
      <c r="Y24" s="344"/>
      <c r="Z24" s="344"/>
      <c r="AA24" s="344"/>
      <c r="AB24" s="344"/>
      <c r="AC24" s="344"/>
      <c r="AD24" s="344"/>
    </row>
    <row r="25" spans="2:30" x14ac:dyDescent="0.25">
      <c r="B25" s="95" t="str">
        <f t="shared" si="0"/>
        <v>TDA2Px</v>
      </c>
      <c r="C25" s="96" t="str">
        <f t="shared" si="1"/>
        <v/>
      </c>
      <c r="D25" s="96" t="str">
        <f t="shared" si="2"/>
        <v/>
      </c>
      <c r="E25" s="96" t="str">
        <f t="shared" si="3"/>
        <v/>
      </c>
      <c r="F25" s="96" t="str">
        <f t="shared" si="4"/>
        <v/>
      </c>
      <c r="G25" s="96" t="str">
        <f t="shared" si="5"/>
        <v/>
      </c>
      <c r="H25" s="344"/>
      <c r="I25" s="344"/>
      <c r="J25" s="95" t="str">
        <f t="shared" si="6"/>
        <v/>
      </c>
      <c r="K25" s="324" t="str">
        <f>IFERROR(INDEX(_dyn_user_sdram_width_list,ROW()-5),"")</f>
        <v/>
      </c>
      <c r="L25" s="96" t="str">
        <f t="array" aca="1" ref="L25" ca="1">IFERROR(INDEX(_sdram_sb_lookup,SMALL(_sdram_sb_list,ROW(20:20)))-_sdram_data_rate,"")</f>
        <v/>
      </c>
      <c r="M25" s="97" t="str">
        <f t="shared" si="7"/>
        <v/>
      </c>
      <c r="N25" s="98" t="str">
        <f t="shared" si="8"/>
        <v/>
      </c>
      <c r="O25" s="99" t="str">
        <f t="shared" si="9"/>
        <v/>
      </c>
      <c r="P25" s="99" t="str">
        <f t="shared" si="10"/>
        <v/>
      </c>
      <c r="Q25" s="96" t="str">
        <f t="shared" si="11"/>
        <v/>
      </c>
      <c r="R25" s="100"/>
      <c r="S25" s="100"/>
      <c r="T25" s="100"/>
      <c r="U25" s="346"/>
      <c r="V25" s="96" t="str">
        <f t="shared" si="12"/>
        <v xml:space="preserve">TDA2Px, </v>
      </c>
      <c r="W25" s="344"/>
      <c r="X25" s="344"/>
      <c r="Y25" s="344"/>
      <c r="Z25" s="344"/>
      <c r="AA25" s="344"/>
      <c r="AB25" s="344"/>
      <c r="AC25" s="344"/>
      <c r="AD25" s="344"/>
    </row>
    <row r="26" spans="2:30" x14ac:dyDescent="0.25">
      <c r="B26" s="95" t="str">
        <f t="shared" si="0"/>
        <v>TDA2x</v>
      </c>
      <c r="C26" s="96" t="str">
        <f t="shared" si="1"/>
        <v/>
      </c>
      <c r="D26" s="96" t="str">
        <f t="shared" si="2"/>
        <v/>
      </c>
      <c r="E26" s="96" t="str">
        <f t="shared" si="3"/>
        <v/>
      </c>
      <c r="F26" s="96" t="str">
        <f t="shared" si="4"/>
        <v/>
      </c>
      <c r="G26" s="96" t="str">
        <f t="shared" si="5"/>
        <v/>
      </c>
      <c r="H26" s="344"/>
      <c r="I26" s="344"/>
      <c r="J26" s="95" t="str">
        <f t="shared" si="6"/>
        <v/>
      </c>
      <c r="K26" s="324" t="str">
        <f>IFERROR(INDEX(_dyn_user_sdram_width_list,ROW()-5),"")</f>
        <v/>
      </c>
      <c r="L26" s="96" t="str">
        <f t="array" aca="1" ref="L26" ca="1">IFERROR(INDEX(_sdram_sb_lookup,SMALL(_sdram_sb_list,ROW(21:21)))-_sdram_data_rate,"")</f>
        <v/>
      </c>
      <c r="M26" s="97" t="str">
        <f t="shared" si="7"/>
        <v/>
      </c>
      <c r="N26" s="98" t="str">
        <f t="shared" si="8"/>
        <v/>
      </c>
      <c r="O26" s="99" t="str">
        <f t="shared" si="9"/>
        <v/>
      </c>
      <c r="P26" s="99" t="str">
        <f t="shared" si="10"/>
        <v/>
      </c>
      <c r="Q26" s="96" t="str">
        <f t="shared" si="11"/>
        <v/>
      </c>
      <c r="R26" s="100"/>
      <c r="S26" s="100"/>
      <c r="T26" s="100"/>
      <c r="U26" s="346"/>
      <c r="V26" s="96" t="str">
        <f t="shared" si="12"/>
        <v xml:space="preserve">TDA2x, </v>
      </c>
      <c r="W26" s="344"/>
      <c r="X26" s="344"/>
      <c r="Y26" s="344"/>
      <c r="Z26" s="344"/>
      <c r="AA26" s="344"/>
      <c r="AB26" s="344"/>
      <c r="AC26" s="344"/>
      <c r="AD26" s="344"/>
    </row>
    <row r="27" spans="2:30" x14ac:dyDescent="0.25">
      <c r="B27" s="95" t="str">
        <f t="shared" si="0"/>
        <v>TDA3x_ABE</v>
      </c>
      <c r="C27" s="96" t="str">
        <f t="shared" si="1"/>
        <v/>
      </c>
      <c r="D27" s="96" t="str">
        <f t="shared" si="2"/>
        <v/>
      </c>
      <c r="E27" s="96" t="str">
        <f t="shared" si="3"/>
        <v/>
      </c>
      <c r="F27" s="96" t="str">
        <f t="shared" si="4"/>
        <v/>
      </c>
      <c r="G27" s="96" t="str">
        <f t="shared" si="5"/>
        <v/>
      </c>
      <c r="H27" s="344"/>
      <c r="I27" s="344"/>
      <c r="J27" s="95" t="str">
        <f t="shared" si="6"/>
        <v/>
      </c>
      <c r="K27" s="324" t="str">
        <f>IFERROR(INDEX(_dyn_user_sdram_width_list,ROW()-5),"")</f>
        <v/>
      </c>
      <c r="L27" s="96" t="str">
        <f t="array" aca="1" ref="L27" ca="1">IFERROR(INDEX(_sdram_sb_lookup,SMALL(_sdram_sb_list,ROW(22:22)))-_sdram_data_rate,"")</f>
        <v/>
      </c>
      <c r="M27" s="97" t="str">
        <f t="shared" si="7"/>
        <v/>
      </c>
      <c r="N27" s="98" t="str">
        <f t="shared" si="8"/>
        <v/>
      </c>
      <c r="O27" s="99" t="str">
        <f t="shared" si="9"/>
        <v/>
      </c>
      <c r="P27" s="99" t="str">
        <f t="shared" si="10"/>
        <v/>
      </c>
      <c r="Q27" s="96" t="str">
        <f t="shared" si="11"/>
        <v/>
      </c>
      <c r="R27" s="100"/>
      <c r="S27" s="100"/>
      <c r="T27" s="100"/>
      <c r="U27" s="346"/>
      <c r="V27" s="96" t="str">
        <f t="shared" si="12"/>
        <v xml:space="preserve">TDA3x_ABE, </v>
      </c>
      <c r="W27" s="344"/>
      <c r="X27" s="344"/>
      <c r="Y27" s="344"/>
      <c r="Z27" s="344"/>
      <c r="AA27" s="344"/>
      <c r="AB27" s="344"/>
      <c r="AC27" s="344"/>
      <c r="AD27" s="344"/>
    </row>
    <row r="28" spans="2:30" x14ac:dyDescent="0.25">
      <c r="B28" s="95" t="str">
        <f t="shared" si="0"/>
        <v>TDA3x_ABF</v>
      </c>
      <c r="C28" s="96" t="str">
        <f t="shared" si="1"/>
        <v/>
      </c>
      <c r="D28" s="96" t="str">
        <f t="shared" si="2"/>
        <v/>
      </c>
      <c r="E28" s="96" t="str">
        <f t="shared" si="3"/>
        <v/>
      </c>
      <c r="F28" s="96" t="str">
        <f t="shared" si="4"/>
        <v/>
      </c>
      <c r="G28" s="96" t="str">
        <f t="shared" si="5"/>
        <v/>
      </c>
      <c r="H28" s="344"/>
      <c r="I28" s="344"/>
      <c r="J28" s="95" t="str">
        <f t="shared" si="6"/>
        <v/>
      </c>
      <c r="K28" s="324" t="str">
        <f>IFERROR(INDEX(_dyn_user_sdram_width_list,ROW()-5),"")</f>
        <v/>
      </c>
      <c r="L28" s="96" t="str">
        <f t="array" aca="1" ref="L28" ca="1">IFERROR(INDEX(_sdram_sb_lookup,SMALL(_sdram_sb_list,ROW(23:23)))-_sdram_data_rate,"")</f>
        <v/>
      </c>
      <c r="M28" s="97" t="str">
        <f t="shared" si="7"/>
        <v/>
      </c>
      <c r="N28" s="98" t="str">
        <f t="shared" si="8"/>
        <v/>
      </c>
      <c r="O28" s="99" t="str">
        <f t="shared" si="9"/>
        <v/>
      </c>
      <c r="P28" s="99" t="str">
        <f t="shared" si="10"/>
        <v/>
      </c>
      <c r="Q28" s="96" t="str">
        <f t="shared" si="11"/>
        <v/>
      </c>
      <c r="R28" s="100"/>
      <c r="S28" s="100"/>
      <c r="T28" s="100"/>
      <c r="U28" s="346"/>
      <c r="V28" s="96" t="str">
        <f t="shared" si="12"/>
        <v>TDA3x_ABF</v>
      </c>
      <c r="W28" s="344"/>
      <c r="X28" s="344"/>
      <c r="Y28" s="344"/>
      <c r="Z28" s="344"/>
      <c r="AA28" s="344"/>
      <c r="AB28" s="344"/>
      <c r="AC28" s="344"/>
      <c r="AD28" s="344"/>
    </row>
    <row r="29" spans="2:30" x14ac:dyDescent="0.25">
      <c r="B29" s="95" t="str">
        <f t="shared" si="0"/>
        <v/>
      </c>
      <c r="C29" s="96" t="str">
        <f t="shared" si="1"/>
        <v/>
      </c>
      <c r="D29" s="96" t="str">
        <f t="shared" si="2"/>
        <v/>
      </c>
      <c r="E29" s="96" t="str">
        <f t="shared" si="3"/>
        <v/>
      </c>
      <c r="F29" s="96" t="str">
        <f t="shared" si="4"/>
        <v/>
      </c>
      <c r="G29" s="96" t="str">
        <f t="shared" si="5"/>
        <v/>
      </c>
      <c r="H29" s="344"/>
      <c r="I29" s="344"/>
      <c r="J29" s="95" t="str">
        <f t="shared" si="6"/>
        <v/>
      </c>
      <c r="K29" s="324" t="str">
        <f>IFERROR(INDEX(_dyn_user_sdram_width_list,ROW()-5),"")</f>
        <v/>
      </c>
      <c r="L29" s="96" t="str">
        <f t="array" aca="1" ref="L29" ca="1">IFERROR(INDEX(_sdram_sb_lookup,SMALL(_sdram_sb_list,ROW(24:24)))-_sdram_data_rate,"")</f>
        <v/>
      </c>
      <c r="M29" s="97" t="str">
        <f t="shared" si="7"/>
        <v/>
      </c>
      <c r="N29" s="98" t="str">
        <f t="shared" si="8"/>
        <v/>
      </c>
      <c r="O29" s="99" t="str">
        <f t="shared" si="9"/>
        <v/>
      </c>
      <c r="P29" s="99" t="str">
        <f t="shared" si="10"/>
        <v/>
      </c>
      <c r="Q29" s="96" t="str">
        <f t="shared" si="11"/>
        <v/>
      </c>
      <c r="R29" s="100"/>
      <c r="S29" s="100"/>
      <c r="T29" s="100"/>
      <c r="U29" s="346"/>
      <c r="V29" s="96" t="str">
        <f>IF(B29="","",IF(B30="",B29,CONCATENATE(B29,", ")))</f>
        <v/>
      </c>
      <c r="W29" s="344"/>
      <c r="X29" s="344"/>
      <c r="Y29" s="344"/>
      <c r="Z29" s="344"/>
      <c r="AA29" s="344"/>
      <c r="AB29" s="344"/>
      <c r="AC29" s="344"/>
      <c r="AD29" s="344"/>
    </row>
    <row r="30" spans="2:30" x14ac:dyDescent="0.25">
      <c r="B30" s="95" t="str">
        <f t="shared" si="0"/>
        <v/>
      </c>
      <c r="C30" s="96" t="str">
        <f t="shared" si="1"/>
        <v/>
      </c>
      <c r="D30" s="96" t="str">
        <f t="shared" si="2"/>
        <v/>
      </c>
      <c r="E30" s="96" t="str">
        <f t="shared" si="3"/>
        <v/>
      </c>
      <c r="F30" s="96" t="str">
        <f t="shared" si="4"/>
        <v/>
      </c>
      <c r="G30" s="96" t="str">
        <f t="shared" si="5"/>
        <v/>
      </c>
      <c r="H30" s="344"/>
      <c r="I30" s="344"/>
      <c r="J30" s="95" t="str">
        <f t="shared" si="6"/>
        <v/>
      </c>
      <c r="K30" s="324" t="str">
        <f>IFERROR(INDEX(_dyn_user_sdram_width_list,ROW()-5),"")</f>
        <v/>
      </c>
      <c r="L30" s="96" t="str">
        <f t="array" aca="1" ref="L30" ca="1">IFERROR(INDEX(_sdram_sb_lookup,SMALL(_sdram_sb_list,ROW(25:25)))-_sdram_data_rate,"")</f>
        <v/>
      </c>
      <c r="M30" s="97" t="str">
        <f t="shared" si="7"/>
        <v/>
      </c>
      <c r="N30" s="98" t="str">
        <f t="shared" si="8"/>
        <v/>
      </c>
      <c r="O30" s="99" t="str">
        <f t="shared" si="9"/>
        <v/>
      </c>
      <c r="P30" s="99" t="str">
        <f t="shared" si="10"/>
        <v/>
      </c>
      <c r="Q30" s="96" t="str">
        <f t="shared" si="11"/>
        <v/>
      </c>
      <c r="R30" s="100"/>
      <c r="S30" s="100"/>
      <c r="T30" s="100"/>
      <c r="U30" s="346"/>
      <c r="V30" s="96" t="str">
        <f t="shared" si="12"/>
        <v/>
      </c>
      <c r="W30" s="344"/>
      <c r="X30" s="344"/>
      <c r="Y30" s="344"/>
      <c r="Z30" s="344"/>
      <c r="AA30" s="344"/>
      <c r="AB30" s="344"/>
      <c r="AC30" s="344"/>
      <c r="AD30" s="344"/>
    </row>
    <row r="31" spans="2:30" x14ac:dyDescent="0.25">
      <c r="B31" s="95" t="str">
        <f t="shared" si="0"/>
        <v/>
      </c>
      <c r="C31" s="96" t="str">
        <f t="shared" si="1"/>
        <v/>
      </c>
      <c r="D31" s="96" t="str">
        <f t="shared" si="2"/>
        <v/>
      </c>
      <c r="E31" s="96" t="str">
        <f t="shared" si="3"/>
        <v/>
      </c>
      <c r="F31" s="96" t="str">
        <f t="shared" si="4"/>
        <v/>
      </c>
      <c r="G31" s="96" t="str">
        <f t="shared" si="5"/>
        <v/>
      </c>
      <c r="H31" s="344"/>
      <c r="I31" s="344"/>
      <c r="J31" s="95" t="str">
        <f t="shared" si="6"/>
        <v/>
      </c>
      <c r="K31" s="324" t="str">
        <f>IFERROR(INDEX(_dyn_user_sdram_width_list,ROW()-5),"")</f>
        <v/>
      </c>
      <c r="L31" s="96" t="str">
        <f t="array" aca="1" ref="L31" ca="1">IFERROR(INDEX(_sdram_sb_lookup,SMALL(_sdram_sb_list,ROW(26:26)))-_sdram_data_rate,"")</f>
        <v/>
      </c>
      <c r="M31" s="97" t="str">
        <f t="shared" si="7"/>
        <v/>
      </c>
      <c r="N31" s="98" t="str">
        <f t="shared" si="8"/>
        <v/>
      </c>
      <c r="O31" s="99" t="str">
        <f t="shared" si="9"/>
        <v/>
      </c>
      <c r="P31" s="99" t="str">
        <f t="shared" si="10"/>
        <v/>
      </c>
      <c r="Q31" s="96" t="str">
        <f t="shared" si="11"/>
        <v/>
      </c>
      <c r="R31" s="100"/>
      <c r="S31" s="100"/>
      <c r="T31" s="100"/>
      <c r="U31" s="346"/>
      <c r="V31" s="96" t="str">
        <f t="shared" si="12"/>
        <v/>
      </c>
      <c r="W31" s="344"/>
      <c r="X31" s="344"/>
      <c r="Y31" s="344"/>
      <c r="Z31" s="344"/>
      <c r="AA31" s="344"/>
      <c r="AB31" s="344"/>
      <c r="AC31" s="344"/>
      <c r="AD31" s="344"/>
    </row>
    <row r="32" spans="2:30" x14ac:dyDescent="0.25">
      <c r="B32" s="95" t="str">
        <f t="shared" si="0"/>
        <v/>
      </c>
      <c r="C32" s="96" t="str">
        <f t="shared" si="1"/>
        <v/>
      </c>
      <c r="D32" s="96" t="str">
        <f t="shared" si="2"/>
        <v/>
      </c>
      <c r="E32" s="96" t="str">
        <f t="shared" si="3"/>
        <v/>
      </c>
      <c r="F32" s="96" t="str">
        <f t="shared" si="4"/>
        <v/>
      </c>
      <c r="G32" s="96" t="str">
        <f t="shared" si="5"/>
        <v/>
      </c>
      <c r="H32" s="344"/>
      <c r="I32" s="344"/>
      <c r="J32" s="95" t="str">
        <f t="shared" si="6"/>
        <v/>
      </c>
      <c r="K32" s="324" t="str">
        <f>IFERROR(INDEX(_dyn_user_sdram_width_list,ROW()-5),"")</f>
        <v/>
      </c>
      <c r="L32" s="96" t="str">
        <f t="array" aca="1" ref="L32" ca="1">IFERROR(INDEX(_sdram_sb_lookup,SMALL(_sdram_sb_list,ROW(27:27)))-_sdram_data_rate,"")</f>
        <v/>
      </c>
      <c r="M32" s="97" t="str">
        <f t="shared" si="7"/>
        <v/>
      </c>
      <c r="N32" s="98" t="str">
        <f t="shared" si="8"/>
        <v/>
      </c>
      <c r="O32" s="99" t="str">
        <f t="shared" si="9"/>
        <v/>
      </c>
      <c r="P32" s="99" t="str">
        <f t="shared" si="10"/>
        <v/>
      </c>
      <c r="Q32" s="96" t="str">
        <f t="shared" si="11"/>
        <v/>
      </c>
      <c r="R32" s="100"/>
      <c r="S32" s="100"/>
      <c r="T32" s="100"/>
      <c r="U32" s="346"/>
      <c r="V32" s="96" t="str">
        <f t="shared" si="12"/>
        <v/>
      </c>
      <c r="W32" s="344"/>
      <c r="X32" s="344"/>
      <c r="Y32" s="344"/>
      <c r="Z32" s="344"/>
      <c r="AA32" s="344"/>
      <c r="AB32" s="344"/>
      <c r="AC32" s="344"/>
      <c r="AD32" s="344"/>
    </row>
    <row r="33" spans="2:30" ht="13" thickBot="1" x14ac:dyDescent="0.3">
      <c r="B33" s="95" t="str">
        <f t="shared" si="0"/>
        <v/>
      </c>
      <c r="C33" s="96" t="str">
        <f t="shared" si="1"/>
        <v/>
      </c>
      <c r="D33" s="96" t="str">
        <f t="shared" si="2"/>
        <v/>
      </c>
      <c r="E33" s="96" t="str">
        <f t="shared" si="3"/>
        <v/>
      </c>
      <c r="F33" s="96" t="str">
        <f t="shared" si="4"/>
        <v/>
      </c>
      <c r="G33" s="96" t="str">
        <f t="shared" si="5"/>
        <v/>
      </c>
      <c r="H33" s="344"/>
      <c r="I33" s="344"/>
      <c r="J33" s="95" t="str">
        <f t="shared" si="6"/>
        <v/>
      </c>
      <c r="K33" s="324" t="str">
        <f>IFERROR(INDEX(_dyn_user_sdram_width_list,ROW()-5),"")</f>
        <v/>
      </c>
      <c r="L33" s="96" t="str">
        <f t="array" aca="1" ref="L33" ca="1">IFERROR(INDEX(_sdram_sb_lookup,SMALL(_sdram_sb_list,ROW(28:28)))-_sdram_data_rate,"")</f>
        <v/>
      </c>
      <c r="M33" s="97" t="str">
        <f t="shared" si="7"/>
        <v/>
      </c>
      <c r="N33" s="98" t="str">
        <f t="shared" si="8"/>
        <v/>
      </c>
      <c r="O33" s="99" t="str">
        <f t="shared" si="9"/>
        <v/>
      </c>
      <c r="P33" s="99" t="str">
        <f t="shared" si="10"/>
        <v/>
      </c>
      <c r="Q33" s="96" t="str">
        <f t="shared" si="11"/>
        <v/>
      </c>
      <c r="R33" s="104"/>
      <c r="S33" s="104"/>
      <c r="T33" s="104"/>
      <c r="U33" s="346"/>
      <c r="V33" s="96" t="str">
        <f t="shared" si="12"/>
        <v/>
      </c>
      <c r="W33" s="344"/>
      <c r="X33" s="344"/>
      <c r="Y33" s="344"/>
      <c r="Z33" s="344"/>
      <c r="AA33" s="344"/>
      <c r="AB33" s="344"/>
      <c r="AC33" s="344"/>
      <c r="AD33" s="344"/>
    </row>
    <row r="34" spans="2:30" ht="13" thickTop="1" x14ac:dyDescent="0.25"/>
  </sheetData>
  <sheetProtection password="D41E" sheet="1" objects="1" scenarios="1"/>
  <sortState ref="B6:B15">
    <sortCondition ref="B6:B15"/>
  </sortState>
  <mergeCells count="10">
    <mergeCell ref="N4:AD4"/>
    <mergeCell ref="B1:AD3"/>
    <mergeCell ref="H4:I4"/>
    <mergeCell ref="C4:C5"/>
    <mergeCell ref="B4:B5"/>
    <mergeCell ref="J4:M4"/>
    <mergeCell ref="E4:E5"/>
    <mergeCell ref="D4:D5"/>
    <mergeCell ref="G4:G5"/>
    <mergeCell ref="F4:F5"/>
  </mergeCells>
  <pageMargins left="0.7" right="0.7" top="0.75" bottom="0.75" header="0.3" footer="0.3"/>
  <pageSetup orientation="portrait" r:id="rId1"/>
  <picture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"/>
  <sheetViews>
    <sheetView workbookViewId="0">
      <selection activeCell="A4" sqref="A4"/>
    </sheetView>
  </sheetViews>
  <sheetFormatPr defaultRowHeight="12.5" x14ac:dyDescent="0.25"/>
  <sheetData/>
  <sheetProtection password="D41E" sheet="1" objects="1" scenario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G146"/>
  <sheetViews>
    <sheetView workbookViewId="0">
      <selection activeCell="B2" sqref="B2"/>
    </sheetView>
  </sheetViews>
  <sheetFormatPr defaultColWidth="9.1796875" defaultRowHeight="12.5" x14ac:dyDescent="0.25"/>
  <cols>
    <col min="1" max="1" width="36.7265625" style="326" bestFit="1" customWidth="1"/>
    <col min="2" max="16384" width="9.1796875" style="326"/>
  </cols>
  <sheetData>
    <row r="1" spans="1:7" x14ac:dyDescent="0.25">
      <c r="A1" s="325" t="s">
        <v>183</v>
      </c>
      <c r="B1" s="325" t="s">
        <v>686</v>
      </c>
      <c r="C1" s="325" t="s">
        <v>689</v>
      </c>
      <c r="D1" s="326" t="s">
        <v>692</v>
      </c>
      <c r="E1" s="326" t="s">
        <v>694</v>
      </c>
      <c r="F1" s="326" t="s">
        <v>696</v>
      </c>
      <c r="G1" s="326" t="s">
        <v>698</v>
      </c>
    </row>
    <row r="2" spans="1:7" x14ac:dyDescent="0.25">
      <c r="A2" s="326" t="str">
        <f t="array" ref="A2">IFERROR(INDEX($B$1:INDEX($B$1:$Z$1,COUNTIF($B$1:$Z$1,"?*")), MATCH(SMALL(COUNTIF($B$1:INDEX($B$1:$Z$1,COUNTIF($B$1:$Z$1,"?*")), "&lt;"&amp;$B$1:INDEX($B$1:$Z$1,COUNTIF($B$1:$Z$1,"?*"))), ROW(1:1)), COUNTIF($B$1:INDEX($B$1:$Z$1,COUNTIF($B$1:$Z$1,"?*")), "&lt;"&amp;$B$1:INDEX($B$1:$Z$1,COUNTIF($B$1:$Z$1,"?*"))), 0)),$B$1)</f>
        <v>AM571x_DDR3L_666MHz_TI_AM571x_IDK</v>
      </c>
      <c r="B2" s="326" t="s">
        <v>682</v>
      </c>
      <c r="C2" s="326" t="s">
        <v>687</v>
      </c>
      <c r="D2" s="326" t="s">
        <v>690</v>
      </c>
      <c r="E2" s="326" t="s">
        <v>693</v>
      </c>
      <c r="F2" s="326" t="s">
        <v>695</v>
      </c>
      <c r="G2" s="326" t="s">
        <v>695</v>
      </c>
    </row>
    <row r="3" spans="1:7" x14ac:dyDescent="0.25">
      <c r="A3" s="326" t="str">
        <f t="array" ref="A3">IFERROR(INDEX($B$1:INDEX($B$1:$Z$1,COUNTIF($B$1:$Z$1,"?*")), MATCH(SMALL(COUNTIF($B$1:INDEX($B$1:$Z$1,COUNTIF($B$1:$Z$1,"?*")), "&lt;"&amp;$B$1:INDEX($B$1:$Z$1,COUNTIF($B$1:$Z$1,"?*"))), ROW(2:2)), COUNTIF($B$1:INDEX($B$1:$Z$1,COUNTIF($B$1:$Z$1,"?*")), "&lt;"&amp;$B$1:INDEX($B$1:$Z$1,COUNTIF($B$1:$Z$1,"?*"))), 0)),"")</f>
        <v>AM572x_DDR3L_532MHz_AMR_SysCtrl</v>
      </c>
      <c r="B3" s="326" t="s">
        <v>683</v>
      </c>
      <c r="C3" s="326" t="s">
        <v>688</v>
      </c>
      <c r="D3" s="326" t="s">
        <v>691</v>
      </c>
      <c r="E3" s="326" t="s">
        <v>691</v>
      </c>
      <c r="F3" s="326" t="s">
        <v>691</v>
      </c>
      <c r="G3" s="326" t="s">
        <v>697</v>
      </c>
    </row>
    <row r="4" spans="1:7" x14ac:dyDescent="0.25">
      <c r="A4" s="326" t="str">
        <f t="array" ref="A4">IFERROR(INDEX($B$1:INDEX($B$1:$Z$1,COUNTIF($B$1:$Z$1,"?*")), MATCH(SMALL(COUNTIF($B$1:INDEX($B$1:$Z$1,COUNTIF($B$1:$Z$1,"?*")), "&lt;"&amp;$B$1:INDEX($B$1:$Z$1,COUNTIF($B$1:$Z$1,"?*"))), ROW(3:3)), COUNTIF($B$1:INDEX($B$1:$Z$1,COUNTIF($B$1:$Z$1,"?*")), "&lt;"&amp;$B$1:INDEX($B$1:$Z$1,COUNTIF($B$1:$Z$1,"?*"))), 0)),"")</f>
        <v>AM572x_DDR3L_532MHz_TI_AM572x_EVM</v>
      </c>
      <c r="B4" s="326">
        <v>2</v>
      </c>
      <c r="C4" s="326">
        <v>1</v>
      </c>
      <c r="D4" s="326">
        <v>2</v>
      </c>
      <c r="E4" s="326">
        <v>2</v>
      </c>
      <c r="F4" s="326">
        <v>1</v>
      </c>
      <c r="G4" s="326">
        <v>1</v>
      </c>
    </row>
    <row r="5" spans="1:7" x14ac:dyDescent="0.25">
      <c r="A5" s="326" t="str">
        <f t="array" ref="A5">IFERROR(INDEX($B$1:INDEX($B$1:$Z$1,COUNTIF($B$1:$Z$1,"?*")), MATCH(SMALL(COUNTIF($B$1:INDEX($B$1:$Z$1,COUNTIF($B$1:$Z$1,"?*")), "&lt;"&amp;$B$1:INDEX($B$1:$Z$1,COUNTIF($B$1:$Z$1,"?*"))), ROW(4:4)), COUNTIF($B$1:INDEX($B$1:$Z$1,COUNTIF($B$1:$Z$1,"?*")), "&lt;"&amp;$B$1:INDEX($B$1:$Z$1,COUNTIF($B$1:$Z$1,"?*"))), 0)),"")</f>
        <v>AM572x_DDR3L_532MHz_TI_AM572x_IDK</v>
      </c>
      <c r="B5" s="326" t="s">
        <v>665</v>
      </c>
      <c r="C5" s="326" t="s">
        <v>665</v>
      </c>
      <c r="D5" s="326" t="s">
        <v>665</v>
      </c>
      <c r="E5" s="326" t="s">
        <v>665</v>
      </c>
      <c r="F5" s="326" t="s">
        <v>665</v>
      </c>
      <c r="G5" s="326" t="s">
        <v>665</v>
      </c>
    </row>
    <row r="6" spans="1:7" x14ac:dyDescent="0.25">
      <c r="A6" s="326" t="str">
        <f t="array" ref="A6">IFERROR(INDEX($B$1:INDEX($B$1:$Z$1,COUNTIF($B$1:$Z$1,"?*")), MATCH(SMALL(COUNTIF($B$1:INDEX($B$1:$Z$1,COUNTIF($B$1:$Z$1,"?*")), "&lt;"&amp;$B$1:INDEX($B$1:$Z$1,COUNTIF($B$1:$Z$1,"?*"))), ROW(5:5)), COUNTIF($B$1:INDEX($B$1:$Z$1,COUNTIF($B$1:$Z$1,"?*")), "&lt;"&amp;$B$1:INDEX($B$1:$Z$1,COUNTIF($B$1:$Z$1,"?*"))), 0)),"")</f>
        <v>AM574x_DDR3L_666MHz_TI_AM574x_IDK</v>
      </c>
      <c r="B6" s="326">
        <v>666</v>
      </c>
      <c r="C6" s="326">
        <v>666</v>
      </c>
      <c r="D6" s="326">
        <v>532</v>
      </c>
      <c r="E6" s="326">
        <v>532</v>
      </c>
      <c r="F6" s="326">
        <v>532</v>
      </c>
      <c r="G6" s="326">
        <v>532</v>
      </c>
    </row>
    <row r="7" spans="1:7" x14ac:dyDescent="0.25">
      <c r="A7" s="326" t="str">
        <f t="array" ref="A7">IFERROR(INDEX($B$1:INDEX($B$1:$Z$1,COUNTIF($B$1:$Z$1,"?*")), MATCH(SMALL(COUNTIF($B$1:INDEX($B$1:$Z$1,COUNTIF($B$1:$Z$1,"?*")), "&lt;"&amp;$B$1:INDEX($B$1:$Z$1,COUNTIF($B$1:$Z$1,"?*"))), ROW(6:6)), COUNTIF($B$1:INDEX($B$1:$Z$1,COUNTIF($B$1:$Z$1,"?*")), "&lt;"&amp;$B$1:INDEX($B$1:$Z$1,COUNTIF($B$1:$Z$1,"?*"))), 0)),"")</f>
        <v>AM576x_DDR3L_532MHz_AMR_SysCtrl</v>
      </c>
      <c r="B7" s="326">
        <v>32</v>
      </c>
      <c r="C7" s="326">
        <v>32</v>
      </c>
      <c r="D7" s="326">
        <v>32</v>
      </c>
      <c r="E7" s="326">
        <v>32</v>
      </c>
      <c r="F7" s="326">
        <v>32</v>
      </c>
      <c r="G7" s="326">
        <v>32</v>
      </c>
    </row>
    <row r="8" spans="1:7" x14ac:dyDescent="0.25">
      <c r="A8" s="326" t="str">
        <f t="array" ref="A8">IFERROR(INDEX($B$1:INDEX($B$1:$Z$1,COUNTIF($B$1:$Z$1,"?*")), MATCH(SMALL(COUNTIF($B$1:INDEX($B$1:$Z$1,COUNTIF($B$1:$Z$1,"?*")), "&lt;"&amp;$B$1:INDEX($B$1:$Z$1,COUNTIF($B$1:$Z$1,"?*"))), ROW(7:7)), COUNTIF($B$1:INDEX($B$1:$Z$1,COUNTIF($B$1:$Z$1,"?*")), "&lt;"&amp;$B$1:INDEX($B$1:$Z$1,COUNTIF($B$1:$Z$1,"?*"))), 0)),"")</f>
        <v/>
      </c>
      <c r="B8" s="326">
        <v>1</v>
      </c>
      <c r="C8" s="326">
        <v>1</v>
      </c>
      <c r="D8" s="326">
        <v>1</v>
      </c>
      <c r="E8" s="326">
        <v>1</v>
      </c>
      <c r="F8" s="326">
        <v>1</v>
      </c>
      <c r="G8" s="326">
        <v>1</v>
      </c>
    </row>
    <row r="9" spans="1:7" x14ac:dyDescent="0.25">
      <c r="A9" s="326" t="str">
        <f t="array" ref="A9">IFERROR(INDEX($B$1:INDEX($B$1:$Z$1,COUNTIF($B$1:$Z$1,"?*")), MATCH(SMALL(COUNTIF($B$1:INDEX($B$1:$Z$1,COUNTIF($B$1:$Z$1,"?*")), "&lt;"&amp;$B$1:INDEX($B$1:$Z$1,COUNTIF($B$1:$Z$1,"?*"))), ROW(8:8)), COUNTIF($B$1:INDEX($B$1:$Z$1,COUNTIF($B$1:$Z$1,"?*")), "&lt;"&amp;$B$1:INDEX($B$1:$Z$1,COUNTIF($B$1:$Z$1,"?*"))), 0)),"")</f>
        <v/>
      </c>
      <c r="B9" s="326" t="s">
        <v>673</v>
      </c>
      <c r="C9" s="326" t="s">
        <v>673</v>
      </c>
      <c r="D9" s="326" t="s">
        <v>673</v>
      </c>
      <c r="E9" s="326" t="s">
        <v>673</v>
      </c>
      <c r="F9" s="326" t="s">
        <v>673</v>
      </c>
      <c r="G9" s="326" t="s">
        <v>673</v>
      </c>
    </row>
    <row r="10" spans="1:7" x14ac:dyDescent="0.25">
      <c r="A10" s="326" t="str">
        <f t="array" ref="A10">IFERROR(INDEX($B$1:INDEX($B$1:$Z$1,COUNTIF($B$1:$Z$1,"?*")), MATCH(SMALL(COUNTIF($B$1:INDEX($B$1:$Z$1,COUNTIF($B$1:$Z$1,"?*")), "&lt;"&amp;$B$1:INDEX($B$1:$Z$1,COUNTIF($B$1:$Z$1,"?*"))), ROW(9:9)), COUNTIF($B$1:INDEX($B$1:$Z$1,COUNTIF($B$1:$Z$1,"?*")), "&lt;"&amp;$B$1:INDEX($B$1:$Z$1,COUNTIF($B$1:$Z$1,"?*"))), 0)),"")</f>
        <v/>
      </c>
      <c r="B10" s="326" t="s">
        <v>684</v>
      </c>
      <c r="C10" s="326" t="s">
        <v>233</v>
      </c>
      <c r="D10" s="326" t="s">
        <v>233</v>
      </c>
      <c r="E10" s="326" t="s">
        <v>233</v>
      </c>
      <c r="F10" s="326" t="s">
        <v>233</v>
      </c>
      <c r="G10" s="326" t="s">
        <v>233</v>
      </c>
    </row>
    <row r="11" spans="1:7" x14ac:dyDescent="0.25">
      <c r="A11" s="326" t="str">
        <f t="array" ref="A11">IFERROR(INDEX($B$1:INDEX($B$1:$Z$1,COUNTIF($B$1:$Z$1,"?*")), MATCH(SMALL(COUNTIF($B$1:INDEX($B$1:$Z$1,COUNTIF($B$1:$Z$1,"?*")), "&lt;"&amp;$B$1:INDEX($B$1:$Z$1,COUNTIF($B$1:$Z$1,"?*"))), ROW(10:10)), COUNTIF($B$1:INDEX($B$1:$Z$1,COUNTIF($B$1:$Z$1,"?*")), "&lt;"&amp;$B$1:INDEX($B$1:$Z$1,COUNTIF($B$1:$Z$1,"?*"))), 0)),"")</f>
        <v/>
      </c>
      <c r="B11" s="326">
        <v>1600</v>
      </c>
      <c r="C11" s="326">
        <v>1600</v>
      </c>
      <c r="D11" s="326">
        <v>1600</v>
      </c>
      <c r="E11" s="326">
        <v>1600</v>
      </c>
      <c r="F11" s="326">
        <v>1066</v>
      </c>
      <c r="G11" s="326">
        <v>1600</v>
      </c>
    </row>
    <row r="12" spans="1:7" x14ac:dyDescent="0.25">
      <c r="A12" s="326" t="str">
        <f t="array" ref="A12">IFERROR(INDEX($B$1:INDEX($B$1:$Z$1,COUNTIF($B$1:$Z$1,"?*")), MATCH(SMALL(COUNTIF($B$1:INDEX($B$1:$Z$1,COUNTIF($B$1:$Z$1,"?*")), "&lt;"&amp;$B$1:INDEX($B$1:$Z$1,COUNTIF($B$1:$Z$1,"?*"))), ROW(11:11)), COUNTIF($B$1:INDEX($B$1:$Z$1,COUNTIF($B$1:$Z$1,"?*")), "&lt;"&amp;$B$1:INDEX($B$1:$Z$1,COUNTIF($B$1:$Z$1,"?*"))), 0)),"")</f>
        <v/>
      </c>
      <c r="B12" s="326">
        <v>4</v>
      </c>
      <c r="C12" s="326">
        <v>4</v>
      </c>
      <c r="D12" s="326">
        <v>4</v>
      </c>
      <c r="E12" s="326">
        <v>4</v>
      </c>
      <c r="F12" s="326">
        <v>8</v>
      </c>
      <c r="G12" s="326">
        <v>8</v>
      </c>
    </row>
    <row r="13" spans="1:7" x14ac:dyDescent="0.25">
      <c r="A13" s="326" t="str">
        <f t="array" ref="A13">IFERROR(INDEX($B$1:INDEX($B$1:$Z$1,COUNTIF($B$1:$Z$1,"?*")), MATCH(SMALL(COUNTIF($B$1:INDEX($B$1:$Z$1,COUNTIF($B$1:$Z$1,"?*")), "&lt;"&amp;$B$1:INDEX($B$1:$Z$1,COUNTIF($B$1:$Z$1,"?*"))), ROW(12:12)), COUNTIF($B$1:INDEX($B$1:$Z$1,COUNTIF($B$1:$Z$1,"?*")), "&lt;"&amp;$B$1:INDEX($B$1:$Z$1,COUNTIF($B$1:$Z$1,"?*"))), 0)),"")</f>
        <v/>
      </c>
      <c r="B13" s="326">
        <v>16</v>
      </c>
      <c r="C13" s="326">
        <v>16</v>
      </c>
      <c r="D13" s="326">
        <v>16</v>
      </c>
      <c r="E13" s="326">
        <v>16</v>
      </c>
      <c r="F13" s="326">
        <v>16</v>
      </c>
      <c r="G13" s="326">
        <v>16</v>
      </c>
    </row>
    <row r="14" spans="1:7" x14ac:dyDescent="0.25">
      <c r="A14" s="326" t="str">
        <f t="array" ref="A14">IFERROR(INDEX($B$1:INDEX($B$1:$Z$1,COUNTIF($B$1:$Z$1,"?*")), MATCH(SMALL(COUNTIF($B$1:INDEX($B$1:$Z$1,COUNTIF($B$1:$Z$1,"?*")), "&lt;"&amp;$B$1:INDEX($B$1:$Z$1,COUNTIF($B$1:$Z$1,"?*"))), ROW(13:13)), COUNTIF($B$1:INDEX($B$1:$Z$1,COUNTIF($B$1:$Z$1,"?*")), "&lt;"&amp;$B$1:INDEX($B$1:$Z$1,COUNTIF($B$1:$Z$1,"?*"))), 0)),"")</f>
        <v/>
      </c>
      <c r="B14" s="326">
        <v>9</v>
      </c>
      <c r="C14" s="326">
        <v>9</v>
      </c>
      <c r="D14" s="326">
        <v>8</v>
      </c>
      <c r="E14" s="326">
        <v>8</v>
      </c>
      <c r="F14" s="326">
        <v>6</v>
      </c>
      <c r="G14" s="326">
        <v>11</v>
      </c>
    </row>
    <row r="15" spans="1:7" x14ac:dyDescent="0.25">
      <c r="A15" s="326" t="str">
        <f t="array" ref="A15">IFERROR(INDEX($B$1:INDEX($B$1:$Z$1,COUNTIF($B$1:$Z$1,"?*")), MATCH(SMALL(COUNTIF($B$1:INDEX($B$1:$Z$1,COUNTIF($B$1:$Z$1,"?*")), "&lt;"&amp;$B$1:INDEX($B$1:$Z$1,COUNTIF($B$1:$Z$1,"?*"))), ROW(14:14)), COUNTIF($B$1:INDEX($B$1:$Z$1,COUNTIF($B$1:$Z$1,"?*")), "&lt;"&amp;$B$1:INDEX($B$1:$Z$1,COUNTIF($B$1:$Z$1,"?*"))), 0)),"")</f>
        <v/>
      </c>
      <c r="B15" s="326" t="s">
        <v>669</v>
      </c>
      <c r="C15" s="326" t="s">
        <v>669</v>
      </c>
      <c r="D15" s="326" t="s">
        <v>669</v>
      </c>
      <c r="E15" s="326" t="s">
        <v>669</v>
      </c>
      <c r="F15" s="326" t="s">
        <v>669</v>
      </c>
      <c r="G15" s="326" t="s">
        <v>669</v>
      </c>
    </row>
    <row r="16" spans="1:7" x14ac:dyDescent="0.25">
      <c r="A16" s="326" t="str">
        <f t="array" ref="A16">IFERROR(INDEX($B$1:INDEX($B$1:$Z$1,COUNTIF($B$1:$Z$1,"?*")), MATCH(SMALL(COUNTIF($B$1:INDEX($B$1:$Z$1,COUNTIF($B$1:$Z$1,"?*")), "&lt;"&amp;$B$1:INDEX($B$1:$Z$1,COUNTIF($B$1:$Z$1,"?*"))), ROW(15:15)), COUNTIF($B$1:INDEX($B$1:$Z$1,COUNTIF($B$1:$Z$1,"?*")), "&lt;"&amp;$B$1:INDEX($B$1:$Z$1,COUNTIF($B$1:$Z$1,"?*"))), 0)),"")</f>
        <v/>
      </c>
      <c r="B16" s="326" t="s">
        <v>236</v>
      </c>
      <c r="C16" s="326" t="s">
        <v>236</v>
      </c>
      <c r="D16" s="326" t="s">
        <v>236</v>
      </c>
      <c r="E16" s="326" t="s">
        <v>236</v>
      </c>
      <c r="F16" s="326" t="s">
        <v>236</v>
      </c>
      <c r="G16" s="326" t="s">
        <v>236</v>
      </c>
    </row>
    <row r="17" spans="1:7" x14ac:dyDescent="0.25">
      <c r="A17" s="326" t="str">
        <f t="array" ref="A17">IFERROR(INDEX($B$1:INDEX($B$1:$Z$1,COUNTIF($B$1:$Z$1,"?*")), MATCH(SMALL(COUNTIF($B$1:INDEX($B$1:$Z$1,COUNTIF($B$1:$Z$1,"?*")), "&lt;"&amp;$B$1:INDEX($B$1:$Z$1,COUNTIF($B$1:$Z$1,"?*"))), ROW(16:16)), COUNTIF($B$1:INDEX($B$1:$Z$1,COUNTIF($B$1:$Z$1,"?*")), "&lt;"&amp;$B$1:INDEX($B$1:$Z$1,COUNTIF($B$1:$Z$1,"?*"))), 0)),"")</f>
        <v/>
      </c>
      <c r="B17" s="326" t="s">
        <v>670</v>
      </c>
      <c r="C17" s="326" t="s">
        <v>670</v>
      </c>
      <c r="D17" s="326" t="s">
        <v>670</v>
      </c>
      <c r="E17" s="326" t="s">
        <v>670</v>
      </c>
      <c r="F17" s="326" t="s">
        <v>670</v>
      </c>
      <c r="G17" s="326" t="s">
        <v>670</v>
      </c>
    </row>
    <row r="18" spans="1:7" x14ac:dyDescent="0.25">
      <c r="A18" s="326" t="str">
        <f t="array" ref="A18">IFERROR(INDEX($B$1:INDEX($B$1:$Z$1,COUNTIF($B$1:$Z$1,"?*")), MATCH(SMALL(COUNTIF($B$1:INDEX($B$1:$Z$1,COUNTIF($B$1:$Z$1,"?*")), "&lt;"&amp;$B$1:INDEX($B$1:$Z$1,COUNTIF($B$1:$Z$1,"?*"))), ROW(17:17)), COUNTIF($B$1:INDEX($B$1:$Z$1,COUNTIF($B$1:$Z$1,"?*")), "&lt;"&amp;$B$1:INDEX($B$1:$Z$1,COUNTIF($B$1:$Z$1,"?*"))), 0)),"")</f>
        <v/>
      </c>
      <c r="B18" s="326">
        <v>60</v>
      </c>
      <c r="C18" s="326">
        <v>60</v>
      </c>
      <c r="D18" s="326">
        <v>60</v>
      </c>
      <c r="E18" s="326">
        <v>60</v>
      </c>
      <c r="F18" s="326">
        <v>60</v>
      </c>
      <c r="G18" s="326">
        <v>60</v>
      </c>
    </row>
    <row r="19" spans="1:7" x14ac:dyDescent="0.25">
      <c r="A19" s="326" t="str">
        <f t="array" ref="A19">IFERROR(INDEX($B$1:INDEX($B$1:$Z$1,COUNTIF($B$1:$Z$1,"?*")), MATCH(SMALL(COUNTIF($B$1:INDEX($B$1:$Z$1,COUNTIF($B$1:$Z$1,"?*")), "&lt;"&amp;$B$1:INDEX($B$1:$Z$1,COUNTIF($B$1:$Z$1,"?*"))), ROW(18:18)), COUNTIF($B$1:INDEX($B$1:$Z$1,COUNTIF($B$1:$Z$1,"?*")), "&lt;"&amp;$B$1:INDEX($B$1:$Z$1,COUNTIF($B$1:$Z$1,"?*"))), 0)),"")</f>
        <v/>
      </c>
      <c r="B19" s="326" t="s">
        <v>671</v>
      </c>
      <c r="C19" s="326" t="s">
        <v>671</v>
      </c>
      <c r="D19" s="326" t="s">
        <v>671</v>
      </c>
      <c r="E19" s="326" t="s">
        <v>671</v>
      </c>
      <c r="F19" s="326" t="s">
        <v>671</v>
      </c>
      <c r="G19" s="326" t="s">
        <v>671</v>
      </c>
    </row>
    <row r="20" spans="1:7" x14ac:dyDescent="0.25">
      <c r="A20" s="326" t="str">
        <f t="array" ref="A20">IFERROR(INDEX($B$1:INDEX($B$1:$Z$1,COUNTIF($B$1:$Z$1,"?*")), MATCH(SMALL(COUNTIF($B$1:INDEX($B$1:$Z$1,COUNTIF($B$1:$Z$1,"?*")), "&lt;"&amp;$B$1:INDEX($B$1:$Z$1,COUNTIF($B$1:$Z$1,"?*"))), ROW(19:19)), COUNTIF($B$1:INDEX($B$1:$Z$1,COUNTIF($B$1:$Z$1,"?*")), "&lt;"&amp;$B$1:INDEX($B$1:$Z$1,COUNTIF($B$1:$Z$1,"?*"))), 0)),"")</f>
        <v/>
      </c>
      <c r="B20" s="326" t="s">
        <v>671</v>
      </c>
      <c r="C20" s="326" t="s">
        <v>671</v>
      </c>
      <c r="D20" s="326" t="s">
        <v>671</v>
      </c>
      <c r="E20" s="326" t="s">
        <v>671</v>
      </c>
      <c r="F20" s="326" t="s">
        <v>671</v>
      </c>
      <c r="G20" s="326" t="s">
        <v>671</v>
      </c>
    </row>
    <row r="21" spans="1:7" x14ac:dyDescent="0.25">
      <c r="A21" s="326" t="str">
        <f t="array" ref="A21">IFERROR(INDEX($B$1:INDEX($B$1:$Z$1,COUNTIF($B$1:$Z$1,"?*")), MATCH(SMALL(COUNTIF($B$1:INDEX($B$1:$Z$1,COUNTIF($B$1:$Z$1,"?*")), "&lt;"&amp;$B$1:INDEX($B$1:$Z$1,COUNTIF($B$1:$Z$1,"?*"))), ROW(20:20)), COUNTIF($B$1:INDEX($B$1:$Z$1,COUNTIF($B$1:$Z$1,"?*")), "&lt;"&amp;$B$1:INDEX($B$1:$Z$1,COUNTIF($B$1:$Z$1,"?*"))), 0)),"")</f>
        <v/>
      </c>
      <c r="B21" s="326">
        <v>34</v>
      </c>
      <c r="C21" s="326">
        <v>40</v>
      </c>
      <c r="D21" s="326">
        <v>34</v>
      </c>
      <c r="E21" s="326">
        <v>34</v>
      </c>
      <c r="F21" s="326">
        <v>34</v>
      </c>
      <c r="G21" s="326">
        <v>34</v>
      </c>
    </row>
    <row r="22" spans="1:7" x14ac:dyDescent="0.25">
      <c r="A22" s="326" t="str">
        <f t="array" ref="A22">IFERROR(INDEX($B$1:INDEX($B$1:$Z$1,COUNTIF($B$1:$Z$1,"?*")), MATCH(SMALL(COUNTIF($B$1:INDEX($B$1:$Z$1,COUNTIF($B$1:$Z$1,"?*")), "&lt;"&amp;$B$1:INDEX($B$1:$Z$1,COUNTIF($B$1:$Z$1,"?*"))), ROW(21:21)), COUNTIF($B$1:INDEX($B$1:$Z$1,COUNTIF($B$1:$Z$1,"?*")), "&lt;"&amp;$B$1:INDEX($B$1:$Z$1,COUNTIF($B$1:$Z$1,"?*"))), 0)),"")</f>
        <v/>
      </c>
      <c r="B22" s="326">
        <v>48</v>
      </c>
      <c r="C22" s="326">
        <v>48</v>
      </c>
      <c r="D22" s="326">
        <v>48</v>
      </c>
      <c r="E22" s="326">
        <v>48</v>
      </c>
      <c r="F22" s="326">
        <v>48</v>
      </c>
      <c r="G22" s="326">
        <v>48</v>
      </c>
    </row>
    <row r="23" spans="1:7" x14ac:dyDescent="0.25">
      <c r="A23" s="326" t="str">
        <f t="array" ref="A23">IFERROR(INDEX($B$1:INDEX($B$1:$Z$1,COUNTIF($B$1:$Z$1,"?*")), MATCH(SMALL(COUNTIF($B$1:INDEX($B$1:$Z$1,COUNTIF($B$1:$Z$1,"?*")), "&lt;"&amp;$B$1:INDEX($B$1:$Z$1,COUNTIF($B$1:$Z$1,"?*"))), ROW(22:22)), COUNTIF($B$1:INDEX($B$1:$Z$1,COUNTIF($B$1:$Z$1,"?*")), "&lt;"&amp;$B$1:INDEX($B$1:$Z$1,COUNTIF($B$1:$Z$1,"?*"))), 0)),"")</f>
        <v/>
      </c>
      <c r="B23" s="326">
        <v>4417</v>
      </c>
      <c r="C23" s="326">
        <v>4417</v>
      </c>
      <c r="D23" s="326">
        <v>1475</v>
      </c>
      <c r="E23" s="326">
        <v>4417</v>
      </c>
      <c r="F23" s="326">
        <v>44</v>
      </c>
      <c r="G23" s="326">
        <v>44</v>
      </c>
    </row>
    <row r="24" spans="1:7" x14ac:dyDescent="0.25">
      <c r="A24" s="326" t="str">
        <f t="array" ref="A24">IFERROR(INDEX($B$1:INDEX($B$1:$Z$1,COUNTIF($B$1:$Z$1,"?*")), MATCH(SMALL(COUNTIF($B$1:INDEX($B$1:$Z$1,COUNTIF($B$1:$Z$1,"?*")), "&lt;"&amp;$B$1:INDEX($B$1:$Z$1,COUNTIF($B$1:$Z$1,"?*"))), ROW(23:23)), COUNTIF($B$1:INDEX($B$1:$Z$1,COUNTIF($B$1:$Z$1,"?*")), "&lt;"&amp;$B$1:INDEX($B$1:$Z$1,COUNTIF($B$1:$Z$1,"?*"))), 0)),"")</f>
        <v/>
      </c>
      <c r="B24" s="326">
        <v>0</v>
      </c>
      <c r="C24" s="326">
        <v>0</v>
      </c>
      <c r="D24" s="326">
        <v>0</v>
      </c>
      <c r="E24" s="326">
        <v>0</v>
      </c>
      <c r="F24" s="326">
        <v>2035</v>
      </c>
      <c r="G24" s="326">
        <v>2035</v>
      </c>
    </row>
    <row r="25" spans="1:7" x14ac:dyDescent="0.25">
      <c r="A25" s="326" t="str">
        <f t="array" ref="A25">IFERROR(INDEX($B$1:INDEX($B$1:$Z$1,COUNTIF($B$1:$Z$1,"?*")), MATCH(SMALL(COUNTIF($B$1:INDEX($B$1:$Z$1,COUNTIF($B$1:$Z$1,"?*")), "&lt;"&amp;$B$1:INDEX($B$1:$Z$1,COUNTIF($B$1:$Z$1,"?*"))), ROW(24:24)), COUNTIF($B$1:INDEX($B$1:$Z$1,COUNTIF($B$1:$Z$1,"?*")), "&lt;"&amp;$B$1:INDEX($B$1:$Z$1,COUNTIF($B$1:$Z$1,"?*"))), 0)),"")</f>
        <v/>
      </c>
      <c r="B25" s="326">
        <v>4417</v>
      </c>
      <c r="C25" s="326">
        <v>4417</v>
      </c>
      <c r="D25" s="326">
        <v>1475</v>
      </c>
      <c r="E25" s="326">
        <v>4417</v>
      </c>
      <c r="F25" s="326">
        <v>44</v>
      </c>
      <c r="G25" s="326">
        <v>44</v>
      </c>
    </row>
    <row r="26" spans="1:7" x14ac:dyDescent="0.25">
      <c r="A26" s="326" t="str">
        <f t="array" ref="A26">IFERROR(INDEX($B$1:INDEX($B$1:$Z$1,COUNTIF($B$1:$Z$1,"?*")), MATCH(SMALL(COUNTIF($B$1:INDEX($B$1:$Z$1,COUNTIF($B$1:$Z$1,"?*")), "&lt;"&amp;$B$1:INDEX($B$1:$Z$1,COUNTIF($B$1:$Z$1,"?*"))), ROW(25:25)), COUNTIF($B$1:INDEX($B$1:$Z$1,COUNTIF($B$1:$Z$1,"?*")), "&lt;"&amp;$B$1:INDEX($B$1:$Z$1,COUNTIF($B$1:$Z$1,"?*"))), 0)),"")</f>
        <v/>
      </c>
      <c r="B26" s="326">
        <v>0</v>
      </c>
      <c r="C26" s="326">
        <v>0</v>
      </c>
      <c r="D26" s="326">
        <v>0</v>
      </c>
      <c r="E26" s="326">
        <v>0</v>
      </c>
      <c r="F26" s="326">
        <v>2035</v>
      </c>
      <c r="G26" s="326">
        <v>2035</v>
      </c>
    </row>
    <row r="27" spans="1:7" x14ac:dyDescent="0.25">
      <c r="A27" s="326" t="str">
        <f t="array" ref="A27">IFERROR(INDEX($B$1:INDEX($B$1:$Z$1,COUNTIF($B$1:$Z$1,"?*")), MATCH(SMALL(COUNTIF($B$1:INDEX($B$1:$Z$1,COUNTIF($B$1:$Z$1,"?*")), "&lt;"&amp;$B$1:INDEX($B$1:$Z$1,COUNTIF($B$1:$Z$1,"?*"))), ROW(26:26)), COUNTIF($B$1:INDEX($B$1:$Z$1,COUNTIF($B$1:$Z$1,"?*")), "&lt;"&amp;$B$1:INDEX($B$1:$Z$1,COUNTIF($B$1:$Z$1,"?*"))), 0)),"")</f>
        <v/>
      </c>
      <c r="B27" s="326">
        <v>4420</v>
      </c>
      <c r="C27" s="326">
        <v>4420</v>
      </c>
      <c r="D27" s="326">
        <v>2015</v>
      </c>
      <c r="E27" s="326">
        <v>4420</v>
      </c>
      <c r="F27" s="326">
        <v>44</v>
      </c>
      <c r="G27" s="326">
        <v>44</v>
      </c>
    </row>
    <row r="28" spans="1:7" x14ac:dyDescent="0.25">
      <c r="A28" s="326" t="str">
        <f t="array" ref="A28">IFERROR(INDEX($B$1:INDEX($B$1:$Z$1,COUNTIF($B$1:$Z$1,"?*")), MATCH(SMALL(COUNTIF($B$1:INDEX($B$1:$Z$1,COUNTIF($B$1:$Z$1,"?*")), "&lt;"&amp;$B$1:INDEX($B$1:$Z$1,COUNTIF($B$1:$Z$1,"?*"))), ROW(27:27)), COUNTIF($B$1:INDEX($B$1:$Z$1,COUNTIF($B$1:$Z$1,"?*")), "&lt;"&amp;$B$1:INDEX($B$1:$Z$1,COUNTIF($B$1:$Z$1,"?*"))), 0)),"")</f>
        <v/>
      </c>
      <c r="B28" s="326">
        <v>668</v>
      </c>
      <c r="C28" s="326">
        <v>668</v>
      </c>
      <c r="D28" s="326">
        <v>0</v>
      </c>
      <c r="E28" s="326">
        <v>668</v>
      </c>
      <c r="F28" s="326">
        <v>2611</v>
      </c>
      <c r="G28" s="326">
        <v>2611</v>
      </c>
    </row>
    <row r="29" spans="1:7" x14ac:dyDescent="0.25">
      <c r="A29" s="326" t="str">
        <f t="array" ref="A29">IFERROR(INDEX($B$1:INDEX($B$1:$Z$1,COUNTIF($B$1:$Z$1,"?*")), MATCH(SMALL(COUNTIF($B$1:INDEX($B$1:$Z$1,COUNTIF($B$1:$Z$1,"?*")), "&lt;"&amp;$B$1:INDEX($B$1:$Z$1,COUNTIF($B$1:$Z$1,"?*"))), ROW(28:28)), COUNTIF($B$1:INDEX($B$1:$Z$1,COUNTIF($B$1:$Z$1,"?*")), "&lt;"&amp;$B$1:INDEX($B$1:$Z$1,COUNTIF($B$1:$Z$1,"?*"))), 0)),"")</f>
        <v/>
      </c>
      <c r="B29" s="326">
        <v>4420</v>
      </c>
      <c r="C29" s="326">
        <v>4420</v>
      </c>
      <c r="D29" s="326">
        <v>2015</v>
      </c>
      <c r="E29" s="326">
        <v>4420</v>
      </c>
      <c r="F29" s="326">
        <v>44</v>
      </c>
      <c r="G29" s="326">
        <v>44</v>
      </c>
    </row>
    <row r="30" spans="1:7" x14ac:dyDescent="0.25">
      <c r="A30" s="326" t="str">
        <f t="array" ref="A30">IFERROR(INDEX($B$1:INDEX($B$1:$Z$1,COUNTIF($B$1:$Z$1,"?*")), MATCH(SMALL(COUNTIF($B$1:INDEX($B$1:$Z$1,COUNTIF($B$1:$Z$1,"?*")), "&lt;"&amp;$B$1:INDEX($B$1:$Z$1,COUNTIF($B$1:$Z$1,"?*"))), ROW(29:29)), COUNTIF($B$1:INDEX($B$1:$Z$1,COUNTIF($B$1:$Z$1,"?*")), "&lt;"&amp;$B$1:INDEX($B$1:$Z$1,COUNTIF($B$1:$Z$1,"?*"))), 0)),"")</f>
        <v/>
      </c>
      <c r="B30" s="326">
        <v>668</v>
      </c>
      <c r="C30" s="326">
        <v>668</v>
      </c>
      <c r="E30" s="326">
        <v>668</v>
      </c>
      <c r="F30" s="326">
        <v>2611</v>
      </c>
      <c r="G30" s="326">
        <v>2611</v>
      </c>
    </row>
    <row r="31" spans="1:7" x14ac:dyDescent="0.25">
      <c r="A31" s="326" t="str">
        <f t="array" ref="A31">IFERROR(INDEX($B$1:INDEX($B$1:$Z$1,COUNTIF($B$1:$Z$1,"?*")), MATCH(SMALL(COUNTIF($B$1:INDEX($B$1:$Z$1,COUNTIF($B$1:$Z$1,"?*")), "&lt;"&amp;$B$1:INDEX($B$1:$Z$1,COUNTIF($B$1:$Z$1,"?*"))), ROW(30:30)), COUNTIF($B$1:INDEX($B$1:$Z$1,COUNTIF($B$1:$Z$1,"?*")), "&lt;"&amp;$B$1:INDEX($B$1:$Z$1,COUNTIF($B$1:$Z$1,"?*"))), 0)),"")</f>
        <v/>
      </c>
      <c r="B31" s="326">
        <v>4420</v>
      </c>
      <c r="C31" s="326">
        <v>4420</v>
      </c>
      <c r="E31" s="326">
        <v>4420</v>
      </c>
    </row>
    <row r="32" spans="1:7" x14ac:dyDescent="0.25">
      <c r="A32" s="326" t="str">
        <f t="array" ref="A32">IFERROR(INDEX($B$1:INDEX($B$1:$Z$1,COUNTIF($B$1:$Z$1,"?*")), MATCH(SMALL(COUNTIF($B$1:INDEX($B$1:$Z$1,COUNTIF($B$1:$Z$1,"?*")), "&lt;"&amp;$B$1:INDEX($B$1:$Z$1,COUNTIF($B$1:$Z$1,"?*"))), ROW(31:31)), COUNTIF($B$1:INDEX($B$1:$Z$1,COUNTIF($B$1:$Z$1,"?*")), "&lt;"&amp;$B$1:INDEX($B$1:$Z$1,COUNTIF($B$1:$Z$1,"?*"))), 0)),"")</f>
        <v/>
      </c>
      <c r="B32" s="326">
        <v>1336</v>
      </c>
      <c r="C32" s="326">
        <v>1336</v>
      </c>
      <c r="E32" s="326">
        <v>1336</v>
      </c>
    </row>
    <row r="33" spans="1:7" x14ac:dyDescent="0.25">
      <c r="A33" s="326" t="str">
        <f t="array" ref="A33">IFERROR(INDEX($B$1:INDEX($B$1:$Z$1,COUNTIF($B$1:$Z$1,"?*")), MATCH(SMALL(COUNTIF($B$1:INDEX($B$1:$Z$1,COUNTIF($B$1:$Z$1,"?*")), "&lt;"&amp;$B$1:INDEX($B$1:$Z$1,COUNTIF($B$1:$Z$1,"?*"))), ROW(32:32)), COUNTIF($B$1:INDEX($B$1:$Z$1,COUNTIF($B$1:$Z$1,"?*")), "&lt;"&amp;$B$1:INDEX($B$1:$Z$1,COUNTIF($B$1:$Z$1,"?*"))), 0)),"")</f>
        <v/>
      </c>
      <c r="B33" s="326">
        <v>45</v>
      </c>
      <c r="C33" s="326">
        <v>45</v>
      </c>
      <c r="D33" s="326">
        <v>945</v>
      </c>
      <c r="E33" s="326">
        <v>45</v>
      </c>
      <c r="F33" s="326">
        <v>44</v>
      </c>
      <c r="G33" s="326">
        <v>44</v>
      </c>
    </row>
    <row r="34" spans="1:7" x14ac:dyDescent="0.25">
      <c r="A34" s="326" t="str">
        <f t="array" ref="A34">IFERROR(INDEX($B$1:INDEX($B$1:$Z$1,COUNTIF($B$1:$Z$1,"?*")), MATCH(SMALL(COUNTIF($B$1:INDEX($B$1:$Z$1,COUNTIF($B$1:$Z$1,"?*")), "&lt;"&amp;$B$1:INDEX($B$1:$Z$1,COUNTIF($B$1:$Z$1,"?*"))), ROW(33:33)), COUNTIF($B$1:INDEX($B$1:$Z$1,COUNTIF($B$1:$Z$1,"?*")), "&lt;"&amp;$B$1:INDEX($B$1:$Z$1,COUNTIF($B$1:$Z$1,"?*"))), 0)),"")</f>
        <v/>
      </c>
      <c r="B34" s="326">
        <v>2303</v>
      </c>
      <c r="C34" s="326">
        <v>2303</v>
      </c>
      <c r="D34" s="326">
        <v>0</v>
      </c>
      <c r="E34" s="326">
        <v>2303</v>
      </c>
      <c r="F34" s="326">
        <v>1775</v>
      </c>
      <c r="G34" s="326">
        <v>1775</v>
      </c>
    </row>
    <row r="35" spans="1:7" x14ac:dyDescent="0.25">
      <c r="A35" s="326" t="str">
        <f t="array" ref="A35">IFERROR(INDEX($B$1:INDEX($B$1:$Z$1,COUNTIF($B$1:$Z$1,"?*")), MATCH(SMALL(COUNTIF($B$1:INDEX($B$1:$Z$1,COUNTIF($B$1:$Z$1,"?*")), "&lt;"&amp;$B$1:INDEX($B$1:$Z$1,COUNTIF($B$1:$Z$1,"?*"))), ROW(34:34)), COUNTIF($B$1:INDEX($B$1:$Z$1,COUNTIF($B$1:$Z$1,"?*")), "&lt;"&amp;$B$1:INDEX($B$1:$Z$1,COUNTIF($B$1:$Z$1,"?*"))), 0)),"")</f>
        <v/>
      </c>
      <c r="B35" s="326">
        <v>180</v>
      </c>
      <c r="C35" s="326">
        <v>180</v>
      </c>
      <c r="D35" s="326">
        <v>834</v>
      </c>
      <c r="E35" s="326">
        <v>180</v>
      </c>
      <c r="F35" s="326">
        <v>44</v>
      </c>
      <c r="G35" s="326">
        <v>44</v>
      </c>
    </row>
    <row r="36" spans="1:7" x14ac:dyDescent="0.25">
      <c r="A36" s="326" t="str">
        <f t="array" ref="A36">IFERROR(INDEX($B$1:INDEX($B$1:$Z$1,COUNTIF($B$1:$Z$1,"?*")), MATCH(SMALL(COUNTIF($B$1:INDEX($B$1:$Z$1,COUNTIF($B$1:$Z$1,"?*")), "&lt;"&amp;$B$1:INDEX($B$1:$Z$1,COUNTIF($B$1:$Z$1,"?*"))), ROW(35:35)), COUNTIF($B$1:INDEX($B$1:$Z$1,COUNTIF($B$1:$Z$1,"?*")), "&lt;"&amp;$B$1:INDEX($B$1:$Z$1,COUNTIF($B$1:$Z$1,"?*"))), 0)),"")</f>
        <v/>
      </c>
      <c r="B36" s="326">
        <v>1909</v>
      </c>
      <c r="C36" s="326">
        <v>1909</v>
      </c>
      <c r="D36" s="326">
        <v>0</v>
      </c>
      <c r="E36" s="326">
        <v>1909</v>
      </c>
      <c r="F36" s="326">
        <v>1476</v>
      </c>
      <c r="G36" s="326">
        <v>1476</v>
      </c>
    </row>
    <row r="37" spans="1:7" x14ac:dyDescent="0.25">
      <c r="A37" s="326" t="str">
        <f t="array" ref="A37">IFERROR(INDEX($B$1:INDEX($B$1:$Z$1,COUNTIF($B$1:$Z$1,"?*")), MATCH(SMALL(COUNTIF($B$1:INDEX($B$1:$Z$1,COUNTIF($B$1:$Z$1,"?*")), "&lt;"&amp;$B$1:INDEX($B$1:$Z$1,COUNTIF($B$1:$Z$1,"?*"))), ROW(36:36)), COUNTIF($B$1:INDEX($B$1:$Z$1,COUNTIF($B$1:$Z$1,"?*")), "&lt;"&amp;$B$1:INDEX($B$1:$Z$1,COUNTIF($B$1:$Z$1,"?*"))), 0)),"")</f>
        <v/>
      </c>
      <c r="B37" s="326">
        <v>367</v>
      </c>
      <c r="C37" s="326">
        <v>367</v>
      </c>
      <c r="D37" s="326">
        <v>982</v>
      </c>
      <c r="E37" s="326">
        <v>367</v>
      </c>
      <c r="F37" s="326">
        <v>44</v>
      </c>
      <c r="G37" s="326">
        <v>44</v>
      </c>
    </row>
    <row r="38" spans="1:7" x14ac:dyDescent="0.25">
      <c r="A38" s="326" t="str">
        <f t="array" ref="A38">IFERROR(INDEX($B$1:INDEX($B$1:$Z$1,COUNTIF($B$1:$Z$1,"?*")), MATCH(SMALL(COUNTIF($B$1:INDEX($B$1:$Z$1,COUNTIF($B$1:$Z$1,"?*")), "&lt;"&amp;$B$1:INDEX($B$1:$Z$1,COUNTIF($B$1:$Z$1,"?*"))), ROW(37:37)), COUNTIF($B$1:INDEX($B$1:$Z$1,COUNTIF($B$1:$Z$1,"?*")), "&lt;"&amp;$B$1:INDEX($B$1:$Z$1,COUNTIF($B$1:$Z$1,"?*"))), 0)),"")</f>
        <v/>
      </c>
      <c r="B38" s="326">
        <v>1854</v>
      </c>
      <c r="C38" s="326">
        <v>1854</v>
      </c>
      <c r="D38" s="326">
        <v>0</v>
      </c>
      <c r="E38" s="326">
        <v>1854</v>
      </c>
      <c r="F38" s="326">
        <v>2336</v>
      </c>
      <c r="G38" s="326">
        <v>2336</v>
      </c>
    </row>
    <row r="39" spans="1:7" x14ac:dyDescent="0.25">
      <c r="A39" s="326" t="str">
        <f t="array" ref="A39">IFERROR(INDEX($B$1:INDEX($B$1:$Z$1,COUNTIF($B$1:$Z$1,"?*")), MATCH(SMALL(COUNTIF($B$1:INDEX($B$1:$Z$1,COUNTIF($B$1:$Z$1,"?*")), "&lt;"&amp;$B$1:INDEX($B$1:$Z$1,COUNTIF($B$1:$Z$1,"?*"))), ROW(38:38)), COUNTIF($B$1:INDEX($B$1:$Z$1,COUNTIF($B$1:$Z$1,"?*")), "&lt;"&amp;$B$1:INDEX($B$1:$Z$1,COUNTIF($B$1:$Z$1,"?*"))), 0)),"")</f>
        <v/>
      </c>
      <c r="B39" s="326">
        <v>253</v>
      </c>
      <c r="C39" s="326">
        <v>253</v>
      </c>
      <c r="D39" s="326">
        <v>759</v>
      </c>
      <c r="E39" s="326">
        <v>253</v>
      </c>
      <c r="F39" s="326">
        <v>44</v>
      </c>
      <c r="G39" s="326">
        <v>44</v>
      </c>
    </row>
    <row r="40" spans="1:7" x14ac:dyDescent="0.25">
      <c r="A40" s="326" t="str">
        <f t="array" ref="A40">IFERROR(INDEX($B$1:INDEX($B$1:$Z$1,COUNTIF($B$1:$Z$1,"?*")), MATCH(SMALL(COUNTIF($B$1:INDEX($B$1:$Z$1,COUNTIF($B$1:$Z$1,"?*")), "&lt;"&amp;$B$1:INDEX($B$1:$Z$1,COUNTIF($B$1:$Z$1,"?*"))), ROW(39:39)), COUNTIF($B$1:INDEX($B$1:$Z$1,COUNTIF($B$1:$Z$1,"?*")), "&lt;"&amp;$B$1:INDEX($B$1:$Z$1,COUNTIF($B$1:$Z$1,"?*"))), 0)),"")</f>
        <v/>
      </c>
      <c r="B40" s="326">
        <v>1665</v>
      </c>
      <c r="C40" s="326">
        <v>1665</v>
      </c>
      <c r="D40" s="326">
        <v>0</v>
      </c>
      <c r="E40" s="326">
        <v>1665</v>
      </c>
      <c r="F40" s="326">
        <v>1856</v>
      </c>
      <c r="G40" s="326">
        <v>1856</v>
      </c>
    </row>
    <row r="41" spans="1:7" x14ac:dyDescent="0.25">
      <c r="A41" s="326" t="str">
        <f t="array" ref="A41">IFERROR(INDEX($B$1:INDEX($B$1:$Z$1,COUNTIF($B$1:$Z$1,"?*")), MATCH(SMALL(COUNTIF($B$1:INDEX($B$1:$Z$1,COUNTIF($B$1:$Z$1,"?*")), "&lt;"&amp;$B$1:INDEX($B$1:$Z$1,COUNTIF($B$1:$Z$1,"?*"))), ROW(40:40)), COUNTIF($B$1:INDEX($B$1:$Z$1,COUNTIF($B$1:$Z$1,"?*")), "&lt;"&amp;$B$1:INDEX($B$1:$Z$1,COUNTIF($B$1:$Z$1,"?*"))), 0)),"")</f>
        <v/>
      </c>
      <c r="B41" s="326">
        <v>393</v>
      </c>
      <c r="C41" s="326">
        <v>393</v>
      </c>
      <c r="D41" s="326">
        <v>0</v>
      </c>
      <c r="E41" s="326">
        <v>393</v>
      </c>
    </row>
    <row r="42" spans="1:7" x14ac:dyDescent="0.25">
      <c r="A42" s="326" t="str">
        <f t="array" ref="A42">IFERROR(INDEX($B$1:INDEX($B$1:$Z$1,COUNTIF($B$1:$Z$1,"?*")), MATCH(SMALL(COUNTIF($B$1:INDEX($B$1:$Z$1,COUNTIF($B$1:$Z$1,"?*")), "&lt;"&amp;$B$1:INDEX($B$1:$Z$1,COUNTIF($B$1:$Z$1,"?*"))), ROW(41:41)), COUNTIF($B$1:INDEX($B$1:$Z$1,COUNTIF($B$1:$Z$1,"?*")), "&lt;"&amp;$B$1:INDEX($B$1:$Z$1,COUNTIF($B$1:$Z$1,"?*"))), 0)),"")</f>
        <v/>
      </c>
      <c r="B42" s="326">
        <v>1908</v>
      </c>
      <c r="C42" s="326">
        <v>1908</v>
      </c>
      <c r="D42" s="326">
        <v>0</v>
      </c>
      <c r="E42" s="326">
        <v>1908</v>
      </c>
    </row>
    <row r="43" spans="1:7" x14ac:dyDescent="0.25">
      <c r="A43" s="326" t="str">
        <f t="array" ref="A43">IFERROR(INDEX($B$1:INDEX($B$1:$Z$1,COUNTIF($B$1:$Z$1,"?*")), MATCH(SMALL(COUNTIF($B$1:INDEX($B$1:$Z$1,COUNTIF($B$1:$Z$1,"?*")), "&lt;"&amp;$B$1:INDEX($B$1:$Z$1,COUNTIF($B$1:$Z$1,"?*"))), ROW(42:42)), COUNTIF($B$1:INDEX($B$1:$Z$1,COUNTIF($B$1:$Z$1,"?*")), "&lt;"&amp;$B$1:INDEX($B$1:$Z$1,COUNTIF($B$1:$Z$1,"?*"))), 0)),"")</f>
        <v/>
      </c>
      <c r="B43" s="326">
        <v>4531</v>
      </c>
      <c r="D43" s="326">
        <v>1924</v>
      </c>
      <c r="E43" s="326">
        <v>4531</v>
      </c>
    </row>
    <row r="44" spans="1:7" x14ac:dyDescent="0.25">
      <c r="A44" s="326" t="str">
        <f t="array" ref="A44">IFERROR(INDEX($B$1:INDEX($B$1:$Z$1,COUNTIF($B$1:$Z$1,"?*")), MATCH(SMALL(COUNTIF($B$1:INDEX($B$1:$Z$1,COUNTIF($B$1:$Z$1,"?*")), "&lt;"&amp;$B$1:INDEX($B$1:$Z$1,COUNTIF($B$1:$Z$1,"?*"))), ROW(43:43)), COUNTIF($B$1:INDEX($B$1:$Z$1,COUNTIF($B$1:$Z$1,"?*")), "&lt;"&amp;$B$1:INDEX($B$1:$Z$1,COUNTIF($B$1:$Z$1,"?*"))), 0)),"")</f>
        <v/>
      </c>
      <c r="B44" s="326">
        <v>0</v>
      </c>
      <c r="D44" s="326">
        <v>0</v>
      </c>
      <c r="E44" s="326">
        <v>0</v>
      </c>
    </row>
    <row r="45" spans="1:7" x14ac:dyDescent="0.25">
      <c r="B45" s="326">
        <v>4531</v>
      </c>
      <c r="D45" s="326">
        <v>1924</v>
      </c>
      <c r="E45" s="326">
        <v>4531</v>
      </c>
    </row>
    <row r="46" spans="1:7" x14ac:dyDescent="0.25">
      <c r="B46" s="326">
        <v>0</v>
      </c>
      <c r="D46" s="326">
        <v>0</v>
      </c>
      <c r="E46" s="326">
        <v>0</v>
      </c>
    </row>
    <row r="47" spans="1:7" x14ac:dyDescent="0.25">
      <c r="B47" s="326">
        <v>5249</v>
      </c>
      <c r="D47" s="326">
        <v>1384</v>
      </c>
      <c r="E47" s="326">
        <v>5249</v>
      </c>
    </row>
    <row r="48" spans="1:7" x14ac:dyDescent="0.25">
      <c r="B48" s="326">
        <v>0</v>
      </c>
      <c r="D48" s="326">
        <v>0</v>
      </c>
      <c r="E48" s="326">
        <v>0</v>
      </c>
    </row>
    <row r="49" spans="2:5" x14ac:dyDescent="0.25">
      <c r="B49" s="326">
        <v>5249</v>
      </c>
      <c r="D49" s="326">
        <v>1384</v>
      </c>
      <c r="E49" s="326">
        <v>5249</v>
      </c>
    </row>
    <row r="50" spans="2:5" x14ac:dyDescent="0.25">
      <c r="B50" s="326">
        <v>0</v>
      </c>
      <c r="D50" s="326">
        <v>0</v>
      </c>
      <c r="E50" s="326">
        <v>0</v>
      </c>
    </row>
    <row r="51" spans="2:5" x14ac:dyDescent="0.25">
      <c r="B51" s="326">
        <v>0</v>
      </c>
      <c r="D51" s="326">
        <v>0</v>
      </c>
      <c r="E51" s="326">
        <v>0</v>
      </c>
    </row>
    <row r="52" spans="2:5" x14ac:dyDescent="0.25">
      <c r="B52" s="326">
        <v>0</v>
      </c>
      <c r="D52" s="326">
        <v>0</v>
      </c>
      <c r="E52" s="326">
        <v>0</v>
      </c>
    </row>
    <row r="53" spans="2:5" x14ac:dyDescent="0.25">
      <c r="B53" s="326">
        <v>128</v>
      </c>
      <c r="D53" s="326">
        <v>792</v>
      </c>
      <c r="E53" s="326">
        <v>128</v>
      </c>
    </row>
    <row r="54" spans="2:5" x14ac:dyDescent="0.25">
      <c r="B54" s="326">
        <v>1867</v>
      </c>
      <c r="D54" s="326">
        <v>0</v>
      </c>
      <c r="E54" s="326">
        <v>1867</v>
      </c>
    </row>
    <row r="55" spans="2:5" x14ac:dyDescent="0.25">
      <c r="B55" s="326">
        <v>190</v>
      </c>
      <c r="D55" s="326">
        <v>1118</v>
      </c>
      <c r="E55" s="326">
        <v>190</v>
      </c>
    </row>
    <row r="56" spans="2:5" x14ac:dyDescent="0.25">
      <c r="B56" s="326">
        <v>1749</v>
      </c>
      <c r="D56" s="326">
        <v>0</v>
      </c>
      <c r="E56" s="326">
        <v>1749</v>
      </c>
    </row>
    <row r="57" spans="2:5" x14ac:dyDescent="0.25">
      <c r="B57" s="326">
        <v>313</v>
      </c>
      <c r="D57" s="326">
        <v>809</v>
      </c>
      <c r="E57" s="326">
        <v>313</v>
      </c>
    </row>
    <row r="58" spans="2:5" x14ac:dyDescent="0.25">
      <c r="B58" s="326">
        <v>1902</v>
      </c>
      <c r="D58" s="326">
        <v>0</v>
      </c>
      <c r="E58" s="326">
        <v>1902</v>
      </c>
    </row>
    <row r="59" spans="2:5" x14ac:dyDescent="0.25">
      <c r="B59" s="326">
        <v>141</v>
      </c>
      <c r="D59" s="326">
        <v>952</v>
      </c>
      <c r="E59" s="326">
        <v>141</v>
      </c>
    </row>
    <row r="60" spans="2:5" x14ac:dyDescent="0.25">
      <c r="B60" s="326">
        <v>1826</v>
      </c>
      <c r="D60" s="326">
        <v>0</v>
      </c>
      <c r="E60" s="326">
        <v>1826</v>
      </c>
    </row>
    <row r="61" spans="2:5" x14ac:dyDescent="0.25">
      <c r="B61" s="326">
        <v>0</v>
      </c>
      <c r="D61" s="326">
        <v>0</v>
      </c>
      <c r="E61" s="326">
        <v>0</v>
      </c>
    </row>
    <row r="62" spans="2:5" x14ac:dyDescent="0.25">
      <c r="B62" s="326">
        <v>0</v>
      </c>
      <c r="D62" s="326">
        <v>0</v>
      </c>
      <c r="E62" s="326">
        <v>0</v>
      </c>
    </row>
    <row r="104" spans="2:7" x14ac:dyDescent="0.25">
      <c r="B104" s="326">
        <v>13.91</v>
      </c>
      <c r="C104" s="326">
        <v>13.91</v>
      </c>
      <c r="D104" s="326">
        <v>13.91</v>
      </c>
      <c r="E104" s="326">
        <v>13.91</v>
      </c>
      <c r="F104" s="326">
        <v>13.125</v>
      </c>
      <c r="G104" s="326">
        <v>13.75</v>
      </c>
    </row>
    <row r="106" spans="2:7" x14ac:dyDescent="0.25">
      <c r="B106" s="326">
        <v>13.91</v>
      </c>
      <c r="C106" s="326">
        <v>13.91</v>
      </c>
      <c r="D106" s="326">
        <v>13.91</v>
      </c>
      <c r="E106" s="326">
        <v>13.91</v>
      </c>
      <c r="F106" s="326">
        <v>13.125</v>
      </c>
      <c r="G106" s="326">
        <v>13.75</v>
      </c>
    </row>
    <row r="108" spans="2:7" x14ac:dyDescent="0.25">
      <c r="B108" s="326">
        <v>15</v>
      </c>
      <c r="C108" s="326">
        <v>15</v>
      </c>
      <c r="D108" s="326">
        <v>15</v>
      </c>
      <c r="E108" s="326">
        <v>15</v>
      </c>
      <c r="F108" s="326">
        <v>15</v>
      </c>
      <c r="G108" s="326">
        <v>15</v>
      </c>
    </row>
    <row r="110" spans="2:7" x14ac:dyDescent="0.25">
      <c r="B110" s="326">
        <v>35</v>
      </c>
      <c r="C110" s="326">
        <v>35</v>
      </c>
      <c r="D110" s="326">
        <v>35</v>
      </c>
      <c r="E110" s="326">
        <v>35</v>
      </c>
      <c r="F110" s="326">
        <v>37.5</v>
      </c>
      <c r="G110" s="326">
        <v>35</v>
      </c>
    </row>
    <row r="112" spans="2:7" x14ac:dyDescent="0.25">
      <c r="B112" s="326">
        <v>48.75</v>
      </c>
      <c r="C112" s="326">
        <v>48.75</v>
      </c>
      <c r="D112" s="326">
        <v>48.75</v>
      </c>
      <c r="E112" s="326">
        <v>48.75</v>
      </c>
      <c r="F112" s="326">
        <v>50.625</v>
      </c>
      <c r="G112" s="326">
        <v>48.75</v>
      </c>
    </row>
    <row r="113" spans="2:7" x14ac:dyDescent="0.25">
      <c r="B113" s="326">
        <v>4</v>
      </c>
      <c r="C113" s="326">
        <v>4</v>
      </c>
      <c r="D113" s="326">
        <v>4</v>
      </c>
      <c r="E113" s="326">
        <v>4</v>
      </c>
      <c r="F113" s="326">
        <v>4</v>
      </c>
      <c r="G113" s="326">
        <v>4</v>
      </c>
    </row>
    <row r="114" spans="2:7" x14ac:dyDescent="0.25">
      <c r="B114" s="326">
        <v>7.5</v>
      </c>
      <c r="C114" s="326">
        <v>7.5</v>
      </c>
      <c r="D114" s="326">
        <v>7.5</v>
      </c>
      <c r="E114" s="326">
        <v>7.5</v>
      </c>
      <c r="F114" s="326">
        <v>10</v>
      </c>
      <c r="G114" s="326">
        <v>10</v>
      </c>
    </row>
    <row r="115" spans="2:7" x14ac:dyDescent="0.25">
      <c r="B115" s="326">
        <v>4</v>
      </c>
      <c r="C115" s="326">
        <v>4</v>
      </c>
      <c r="D115" s="326">
        <v>4</v>
      </c>
      <c r="E115" s="326">
        <v>4</v>
      </c>
      <c r="F115" s="326">
        <v>4</v>
      </c>
      <c r="G115" s="326">
        <v>4</v>
      </c>
    </row>
    <row r="116" spans="2:7" x14ac:dyDescent="0.25">
      <c r="B116" s="326">
        <v>7.5</v>
      </c>
      <c r="C116" s="326">
        <v>7.5</v>
      </c>
      <c r="D116" s="326">
        <v>7.5</v>
      </c>
      <c r="E116" s="326">
        <v>7.5</v>
      </c>
      <c r="F116" s="326">
        <v>7.5</v>
      </c>
      <c r="G116" s="326">
        <v>7.5</v>
      </c>
    </row>
    <row r="117" spans="2:7" x14ac:dyDescent="0.25">
      <c r="B117" s="326">
        <v>3</v>
      </c>
      <c r="C117" s="326">
        <v>3</v>
      </c>
      <c r="D117" s="326">
        <v>3</v>
      </c>
      <c r="E117" s="326">
        <v>3</v>
      </c>
      <c r="F117" s="326">
        <v>3</v>
      </c>
      <c r="G117" s="326">
        <v>3</v>
      </c>
    </row>
    <row r="118" spans="2:7" x14ac:dyDescent="0.25">
      <c r="B118" s="326">
        <v>6</v>
      </c>
      <c r="C118" s="326">
        <v>6</v>
      </c>
      <c r="D118" s="326">
        <v>6</v>
      </c>
      <c r="E118" s="326">
        <v>6</v>
      </c>
      <c r="F118" s="326">
        <v>7.5</v>
      </c>
      <c r="G118" s="326">
        <v>7.5</v>
      </c>
    </row>
    <row r="119" spans="2:7" x14ac:dyDescent="0.25">
      <c r="B119" s="326">
        <v>5</v>
      </c>
      <c r="C119" s="326">
        <v>5</v>
      </c>
      <c r="D119" s="326">
        <v>5</v>
      </c>
      <c r="E119" s="326">
        <v>5</v>
      </c>
      <c r="F119" s="326">
        <v>5</v>
      </c>
      <c r="G119" s="326">
        <v>5</v>
      </c>
    </row>
    <row r="120" spans="2:7" x14ac:dyDescent="0.25">
      <c r="B120" s="326">
        <v>270</v>
      </c>
      <c r="C120" s="326">
        <v>270</v>
      </c>
      <c r="D120" s="326">
        <v>270</v>
      </c>
      <c r="E120" s="326">
        <v>270</v>
      </c>
      <c r="F120" s="326">
        <v>360</v>
      </c>
      <c r="G120" s="326">
        <v>360</v>
      </c>
    </row>
    <row r="121" spans="2:7" x14ac:dyDescent="0.25">
      <c r="B121" s="326">
        <v>512</v>
      </c>
      <c r="C121" s="326">
        <v>512</v>
      </c>
      <c r="D121" s="326">
        <v>512</v>
      </c>
      <c r="E121" s="326">
        <v>512</v>
      </c>
      <c r="F121" s="326">
        <v>512</v>
      </c>
      <c r="G121" s="326">
        <v>512</v>
      </c>
    </row>
    <row r="123" spans="2:7" x14ac:dyDescent="0.25">
      <c r="B123" s="326">
        <v>4</v>
      </c>
      <c r="C123" s="326">
        <v>4</v>
      </c>
      <c r="D123" s="326">
        <v>4</v>
      </c>
      <c r="E123" s="326">
        <v>4</v>
      </c>
      <c r="F123" s="326">
        <v>4</v>
      </c>
      <c r="G123" s="326">
        <v>4</v>
      </c>
    </row>
    <row r="124" spans="2:7" x14ac:dyDescent="0.25">
      <c r="B124" s="326">
        <v>7.5</v>
      </c>
      <c r="C124" s="326">
        <v>7.5</v>
      </c>
      <c r="D124" s="326">
        <v>7.5</v>
      </c>
      <c r="E124" s="326">
        <v>7.5</v>
      </c>
      <c r="F124" s="326">
        <v>7.5</v>
      </c>
      <c r="G124" s="326">
        <v>7.5</v>
      </c>
    </row>
    <row r="125" spans="2:7" x14ac:dyDescent="0.25">
      <c r="B125" s="326">
        <v>3</v>
      </c>
      <c r="C125" s="326">
        <v>3</v>
      </c>
      <c r="D125" s="326">
        <v>3</v>
      </c>
      <c r="E125" s="326">
        <v>3</v>
      </c>
      <c r="F125" s="326">
        <v>3</v>
      </c>
      <c r="G125" s="326">
        <v>3</v>
      </c>
    </row>
    <row r="126" spans="2:7" x14ac:dyDescent="0.25">
      <c r="B126" s="326">
        <v>5</v>
      </c>
      <c r="C126" s="326">
        <v>5</v>
      </c>
      <c r="D126" s="326">
        <v>5</v>
      </c>
      <c r="E126" s="326">
        <v>5</v>
      </c>
      <c r="F126" s="326">
        <v>5.625</v>
      </c>
      <c r="G126" s="326">
        <v>5.625</v>
      </c>
    </row>
    <row r="127" spans="2:7" x14ac:dyDescent="0.25">
      <c r="B127" s="326">
        <v>4</v>
      </c>
      <c r="C127" s="326">
        <v>4</v>
      </c>
      <c r="D127" s="326">
        <v>4</v>
      </c>
      <c r="E127" s="326">
        <v>4</v>
      </c>
      <c r="F127" s="326">
        <v>4</v>
      </c>
      <c r="G127" s="326">
        <v>4</v>
      </c>
    </row>
    <row r="129" spans="2:7" x14ac:dyDescent="0.25">
      <c r="B129" s="326">
        <v>64</v>
      </c>
      <c r="C129" s="326">
        <v>64</v>
      </c>
      <c r="D129" s="326">
        <v>64</v>
      </c>
      <c r="E129" s="326">
        <v>64</v>
      </c>
      <c r="F129" s="326">
        <v>64</v>
      </c>
      <c r="G129" s="326">
        <v>64</v>
      </c>
    </row>
    <row r="130" spans="2:7" x14ac:dyDescent="0.25">
      <c r="B130" s="326">
        <v>80</v>
      </c>
      <c r="C130" s="326">
        <v>80</v>
      </c>
      <c r="D130" s="326">
        <v>80</v>
      </c>
      <c r="E130" s="326">
        <v>80</v>
      </c>
    </row>
    <row r="132" spans="2:7" x14ac:dyDescent="0.25">
      <c r="B132" s="326">
        <v>260</v>
      </c>
      <c r="C132" s="326">
        <v>260</v>
      </c>
      <c r="D132" s="326">
        <v>260</v>
      </c>
      <c r="E132" s="326">
        <v>260</v>
      </c>
      <c r="F132" s="326">
        <v>350</v>
      </c>
      <c r="G132" s="326">
        <v>350</v>
      </c>
    </row>
    <row r="134" spans="2:7" x14ac:dyDescent="0.25">
      <c r="B134" s="326">
        <v>70200</v>
      </c>
      <c r="C134" s="326">
        <v>70200</v>
      </c>
      <c r="D134" s="326">
        <v>70200</v>
      </c>
      <c r="E134" s="326">
        <v>70200</v>
      </c>
      <c r="F134" s="326">
        <v>70200</v>
      </c>
      <c r="G134" s="326">
        <v>70200</v>
      </c>
    </row>
    <row r="136" spans="2:7" x14ac:dyDescent="0.25">
      <c r="B136" s="326">
        <v>7800</v>
      </c>
      <c r="C136" s="326">
        <v>7800</v>
      </c>
      <c r="D136" s="326">
        <v>7800</v>
      </c>
      <c r="E136" s="326">
        <v>7800</v>
      </c>
      <c r="F136" s="326">
        <v>7800</v>
      </c>
      <c r="G136" s="326">
        <v>7800</v>
      </c>
    </row>
    <row r="138" spans="2:7" x14ac:dyDescent="0.25">
      <c r="B138" s="326">
        <v>40</v>
      </c>
      <c r="C138" s="326">
        <v>40</v>
      </c>
      <c r="D138" s="326">
        <v>40</v>
      </c>
      <c r="E138" s="326">
        <v>40</v>
      </c>
      <c r="F138" s="326">
        <v>50</v>
      </c>
      <c r="G138" s="326">
        <v>50</v>
      </c>
    </row>
    <row r="139" spans="2:7" x14ac:dyDescent="0.25">
      <c r="B139" s="326">
        <v>20</v>
      </c>
      <c r="C139" s="326">
        <v>20</v>
      </c>
      <c r="D139" s="326">
        <v>20</v>
      </c>
      <c r="E139" s="326">
        <v>20</v>
      </c>
      <c r="F139" s="326">
        <v>20</v>
      </c>
      <c r="G139" s="326">
        <v>20</v>
      </c>
    </row>
    <row r="140" spans="2:7" x14ac:dyDescent="0.25">
      <c r="B140" s="326">
        <v>9</v>
      </c>
      <c r="C140" s="326">
        <v>9</v>
      </c>
      <c r="D140" s="326">
        <v>8</v>
      </c>
      <c r="E140" s="326">
        <v>9</v>
      </c>
      <c r="F140" s="326">
        <v>6</v>
      </c>
      <c r="G140" s="326">
        <v>11</v>
      </c>
    </row>
    <row r="141" spans="2:7" x14ac:dyDescent="0.25">
      <c r="B141" s="326">
        <v>7</v>
      </c>
      <c r="C141" s="326">
        <v>7</v>
      </c>
      <c r="D141" s="326">
        <v>6</v>
      </c>
      <c r="E141" s="326">
        <v>7</v>
      </c>
      <c r="F141" s="326">
        <v>5</v>
      </c>
      <c r="G141" s="326">
        <v>8</v>
      </c>
    </row>
    <row r="142" spans="2:7" x14ac:dyDescent="0.25">
      <c r="B142" s="326" t="s">
        <v>672</v>
      </c>
      <c r="C142" s="326" t="s">
        <v>672</v>
      </c>
      <c r="D142" s="326" t="s">
        <v>672</v>
      </c>
      <c r="E142" s="326" t="s">
        <v>672</v>
      </c>
      <c r="F142" s="326" t="s">
        <v>672</v>
      </c>
      <c r="G142" s="326" t="s">
        <v>672</v>
      </c>
    </row>
    <row r="143" spans="2:7" x14ac:dyDescent="0.25">
      <c r="B143" s="326">
        <v>80000000</v>
      </c>
      <c r="C143" s="326">
        <v>80000000</v>
      </c>
      <c r="D143" s="326">
        <v>80000000</v>
      </c>
      <c r="E143" s="326">
        <v>80000000</v>
      </c>
      <c r="F143" s="326">
        <v>80000000</v>
      </c>
      <c r="G143" s="326">
        <v>80000000</v>
      </c>
    </row>
    <row r="144" spans="2:7" x14ac:dyDescent="0.25">
      <c r="B144" s="326" t="s">
        <v>685</v>
      </c>
      <c r="C144" s="326" t="s">
        <v>685</v>
      </c>
      <c r="D144" s="326" t="s">
        <v>685</v>
      </c>
      <c r="E144" s="326" t="s">
        <v>685</v>
      </c>
      <c r="F144" s="326" t="s">
        <v>685</v>
      </c>
      <c r="G144" s="326" t="s">
        <v>685</v>
      </c>
    </row>
    <row r="145" spans="2:7" x14ac:dyDescent="0.25">
      <c r="B145" s="326">
        <v>80000000</v>
      </c>
      <c r="C145" s="326">
        <v>80000000</v>
      </c>
      <c r="D145" s="326">
        <v>80000000</v>
      </c>
      <c r="E145" s="326">
        <v>80000000</v>
      </c>
      <c r="F145" s="326">
        <v>80000000</v>
      </c>
      <c r="G145" s="326">
        <v>80000000</v>
      </c>
    </row>
    <row r="146" spans="2:7" x14ac:dyDescent="0.25">
      <c r="B146" s="326">
        <v>80000000</v>
      </c>
      <c r="C146" s="326">
        <v>80000000</v>
      </c>
      <c r="D146" s="326">
        <v>80000000</v>
      </c>
      <c r="E146" s="326">
        <v>80000000</v>
      </c>
      <c r="F146" s="326">
        <v>80000000</v>
      </c>
      <c r="G146" s="326">
        <v>80000000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"/>
  <sheetViews>
    <sheetView workbookViewId="0">
      <selection activeCell="J1" sqref="J1"/>
    </sheetView>
  </sheetViews>
  <sheetFormatPr defaultColWidth="9.1796875" defaultRowHeight="12.5" x14ac:dyDescent="0.25"/>
  <cols>
    <col min="1" max="16384" width="9.1796875" style="326"/>
  </cols>
  <sheetData/>
  <sheetProtection password="D41E" sheet="1" objects="1" scenarios="1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rgb="FF00B050"/>
  </sheetPr>
  <dimension ref="A1:N190"/>
  <sheetViews>
    <sheetView zoomScaleNormal="100" workbookViewId="0">
      <pane ySplit="13" topLeftCell="A14" activePane="bottomLeft" state="frozen"/>
      <selection pane="bottomLeft"/>
    </sheetView>
  </sheetViews>
  <sheetFormatPr defaultColWidth="20.7265625" defaultRowHeight="12.5" x14ac:dyDescent="0.25"/>
  <cols>
    <col min="1" max="1" width="9.1796875" style="24" customWidth="1"/>
    <col min="2" max="2" width="9.1796875" style="26" customWidth="1"/>
    <col min="3" max="3" width="20.7265625" style="26"/>
    <col min="4" max="4" width="20.7265625" style="85"/>
    <col min="5" max="8" width="20.7265625" style="26"/>
    <col min="9" max="9" width="9.1796875" style="26" customWidth="1"/>
    <col min="10" max="16384" width="20.7265625" style="26"/>
  </cols>
  <sheetData>
    <row r="1" spans="1:14" ht="12.75" customHeight="1" x14ac:dyDescent="0.3">
      <c r="A1" s="236"/>
      <c r="B1" s="236"/>
      <c r="C1" s="239"/>
      <c r="D1" s="239"/>
      <c r="E1" s="239"/>
      <c r="F1" s="239"/>
      <c r="G1" s="239"/>
      <c r="H1" s="239"/>
      <c r="I1" s="239"/>
      <c r="J1" s="115"/>
      <c r="K1" s="115"/>
      <c r="L1" s="115"/>
      <c r="M1" s="115"/>
      <c r="N1" s="50"/>
    </row>
    <row r="2" spans="1:14" ht="12.75" customHeight="1" x14ac:dyDescent="0.3">
      <c r="A2" s="236"/>
      <c r="B2" s="435" t="str">
        <f>'Title-README'!$B$9</f>
        <v>Date: November 2nd, 2019</v>
      </c>
      <c r="C2" s="436"/>
      <c r="D2" s="436"/>
      <c r="E2" s="436"/>
      <c r="F2" s="436"/>
      <c r="G2" s="436"/>
      <c r="H2" s="436"/>
      <c r="I2" s="437"/>
      <c r="J2" s="115"/>
      <c r="K2" s="115"/>
      <c r="L2" s="115"/>
      <c r="M2" s="115"/>
      <c r="N2" s="50"/>
    </row>
    <row r="3" spans="1:14" ht="12.75" customHeight="1" x14ac:dyDescent="0.3">
      <c r="A3" s="236"/>
      <c r="B3" s="435" t="str">
        <f>'Title-README'!$B$11</f>
        <v>Revision: 2.0.3</v>
      </c>
      <c r="C3" s="436"/>
      <c r="D3" s="436"/>
      <c r="E3" s="436"/>
      <c r="F3" s="436"/>
      <c r="G3" s="436"/>
      <c r="H3" s="436"/>
      <c r="I3" s="437"/>
      <c r="J3" s="115"/>
      <c r="K3" s="115"/>
      <c r="L3" s="115"/>
      <c r="M3" s="115"/>
      <c r="N3" s="50"/>
    </row>
    <row r="4" spans="1:14" ht="12.75" customHeight="1" x14ac:dyDescent="0.3">
      <c r="A4" s="236"/>
      <c r="B4" s="520" t="s">
        <v>659</v>
      </c>
      <c r="C4" s="521"/>
      <c r="D4" s="521"/>
      <c r="E4" s="521"/>
      <c r="F4" s="521"/>
      <c r="G4" s="521"/>
      <c r="H4" s="521"/>
      <c r="I4" s="522"/>
      <c r="J4" s="115"/>
      <c r="K4" s="115"/>
      <c r="L4" s="115"/>
      <c r="M4" s="115"/>
      <c r="N4" s="50"/>
    </row>
    <row r="5" spans="1:14" ht="12.75" customHeight="1" x14ac:dyDescent="0.3">
      <c r="A5" s="236"/>
      <c r="B5" s="487"/>
      <c r="C5" s="488"/>
      <c r="D5" s="488"/>
      <c r="E5" s="488"/>
      <c r="F5" s="488"/>
      <c r="G5" s="488"/>
      <c r="H5" s="488"/>
      <c r="I5" s="489"/>
      <c r="J5" s="115"/>
      <c r="K5" s="115"/>
      <c r="L5" s="115"/>
      <c r="M5" s="115"/>
      <c r="N5" s="50"/>
    </row>
    <row r="6" spans="1:14" ht="12.75" customHeight="1" thickBot="1" x14ac:dyDescent="0.35">
      <c r="A6" s="236"/>
      <c r="B6" s="487"/>
      <c r="C6" s="488"/>
      <c r="D6" s="488"/>
      <c r="E6" s="488"/>
      <c r="F6" s="488"/>
      <c r="G6" s="488"/>
      <c r="H6" s="488"/>
      <c r="I6" s="489"/>
      <c r="J6" s="115"/>
      <c r="K6" s="115"/>
      <c r="L6" s="115"/>
      <c r="M6" s="115"/>
      <c r="N6" s="50"/>
    </row>
    <row r="7" spans="1:14" ht="12.75" customHeight="1" thickTop="1" x14ac:dyDescent="0.3">
      <c r="A7" s="244"/>
      <c r="B7" s="523" t="s">
        <v>198</v>
      </c>
      <c r="C7" s="524"/>
      <c r="D7" s="524"/>
      <c r="E7" s="524"/>
      <c r="F7" s="524"/>
      <c r="G7" s="524"/>
      <c r="H7" s="524"/>
      <c r="I7" s="525"/>
      <c r="J7" s="145"/>
      <c r="K7" s="25"/>
      <c r="L7" s="25"/>
      <c r="M7" s="25"/>
      <c r="N7" s="50"/>
    </row>
    <row r="8" spans="1:14" ht="12.75" customHeight="1" x14ac:dyDescent="0.3">
      <c r="A8" s="238"/>
      <c r="B8" s="526"/>
      <c r="C8" s="527"/>
      <c r="D8" s="527"/>
      <c r="E8" s="527"/>
      <c r="F8" s="527"/>
      <c r="G8" s="527"/>
      <c r="H8" s="527"/>
      <c r="I8" s="528"/>
      <c r="J8" s="146"/>
      <c r="K8" s="25"/>
      <c r="L8" s="25"/>
      <c r="M8" s="25"/>
      <c r="N8" s="50"/>
    </row>
    <row r="9" spans="1:14" ht="12.75" customHeight="1" x14ac:dyDescent="0.3">
      <c r="A9" s="238"/>
      <c r="B9" s="248" t="s">
        <v>98</v>
      </c>
      <c r="C9" s="289" t="s">
        <v>212</v>
      </c>
      <c r="D9" s="290"/>
      <c r="E9" s="290"/>
      <c r="F9" s="290"/>
      <c r="G9" s="290"/>
      <c r="H9" s="290"/>
      <c r="I9" s="291"/>
      <c r="J9" s="146"/>
      <c r="K9" s="25"/>
      <c r="L9" s="25"/>
      <c r="M9" s="25"/>
      <c r="N9" s="50"/>
    </row>
    <row r="10" spans="1:14" ht="13" x14ac:dyDescent="0.3">
      <c r="A10" s="238"/>
      <c r="B10" s="278"/>
      <c r="C10" s="246" t="s">
        <v>211</v>
      </c>
      <c r="D10" s="246"/>
      <c r="E10" s="294"/>
      <c r="F10" s="294"/>
      <c r="G10" s="301"/>
      <c r="H10" s="301"/>
      <c r="I10" s="279"/>
      <c r="J10" s="30"/>
      <c r="K10" s="27"/>
      <c r="L10" s="27"/>
      <c r="M10" s="27"/>
      <c r="N10" s="50"/>
    </row>
    <row r="11" spans="1:14" ht="13" x14ac:dyDescent="0.3">
      <c r="A11" s="238"/>
      <c r="B11" s="278"/>
      <c r="C11" s="302" t="s">
        <v>213</v>
      </c>
      <c r="D11" s="246"/>
      <c r="E11" s="247"/>
      <c r="F11" s="294"/>
      <c r="G11" s="301"/>
      <c r="H11" s="301"/>
      <c r="I11" s="279"/>
      <c r="J11" s="30"/>
      <c r="K11" s="27"/>
      <c r="L11" s="27"/>
      <c r="M11" s="27"/>
      <c r="N11" s="50"/>
    </row>
    <row r="12" spans="1:14" ht="13.5" thickBot="1" x14ac:dyDescent="0.35">
      <c r="A12" s="238"/>
      <c r="B12" s="280"/>
      <c r="C12" s="276"/>
      <c r="D12" s="303"/>
      <c r="E12" s="276"/>
      <c r="F12" s="276"/>
      <c r="G12" s="277"/>
      <c r="H12" s="277"/>
      <c r="I12" s="281"/>
      <c r="J12" s="30"/>
      <c r="K12" s="27"/>
      <c r="L12" s="27"/>
      <c r="M12" s="27"/>
      <c r="N12" s="50"/>
    </row>
    <row r="13" spans="1:14" ht="13.5" thickTop="1" thickBot="1" x14ac:dyDescent="0.3">
      <c r="A13" s="235"/>
      <c r="B13" s="51"/>
      <c r="C13" s="109"/>
      <c r="D13" s="124"/>
      <c r="E13" s="109"/>
      <c r="F13" s="109"/>
      <c r="G13" s="109"/>
      <c r="H13" s="109"/>
      <c r="I13" s="51"/>
      <c r="J13" s="51"/>
      <c r="K13" s="51"/>
      <c r="L13" s="51"/>
      <c r="M13" s="51"/>
    </row>
    <row r="14" spans="1:14" ht="13.5" thickTop="1" x14ac:dyDescent="0.3">
      <c r="B14" s="24"/>
      <c r="C14" s="175" t="s">
        <v>172</v>
      </c>
      <c r="D14" s="141"/>
      <c r="E14" s="125"/>
      <c r="F14" s="125"/>
      <c r="G14" s="125"/>
      <c r="H14" s="126"/>
      <c r="I14" s="50"/>
    </row>
    <row r="15" spans="1:14" ht="13" x14ac:dyDescent="0.3">
      <c r="B15" s="24"/>
      <c r="C15" s="144" t="s">
        <v>676</v>
      </c>
      <c r="D15" s="83"/>
      <c r="E15" s="51"/>
      <c r="F15" s="51"/>
      <c r="G15" s="51"/>
      <c r="H15" s="142"/>
      <c r="I15" s="50"/>
    </row>
    <row r="16" spans="1:14" ht="13" x14ac:dyDescent="0.3">
      <c r="B16" s="24"/>
      <c r="C16" s="144" t="s">
        <v>171</v>
      </c>
      <c r="D16" s="83"/>
      <c r="E16" s="51"/>
      <c r="F16" s="51"/>
      <c r="G16" s="51"/>
      <c r="H16" s="142"/>
      <c r="I16" s="50"/>
    </row>
    <row r="17" spans="2:9" ht="13" x14ac:dyDescent="0.3">
      <c r="B17" s="24"/>
      <c r="C17" s="132" t="s">
        <v>175</v>
      </c>
      <c r="D17" s="143"/>
      <c r="H17" s="58"/>
      <c r="I17" s="50"/>
    </row>
    <row r="18" spans="2:9" ht="13" x14ac:dyDescent="0.3">
      <c r="B18" s="24"/>
      <c r="C18" s="132" t="s">
        <v>176</v>
      </c>
      <c r="H18" s="58"/>
      <c r="I18" s="50"/>
    </row>
    <row r="19" spans="2:9" ht="13" x14ac:dyDescent="0.3">
      <c r="B19" s="24"/>
      <c r="C19" s="132" t="s">
        <v>177</v>
      </c>
      <c r="H19" s="58"/>
      <c r="I19" s="50"/>
    </row>
    <row r="20" spans="2:9" ht="13" x14ac:dyDescent="0.3">
      <c r="B20" s="24"/>
      <c r="C20" s="132" t="s">
        <v>171</v>
      </c>
      <c r="H20" s="58"/>
      <c r="I20" s="50"/>
    </row>
    <row r="21" spans="2:9" ht="13" x14ac:dyDescent="0.3">
      <c r="B21" s="24"/>
      <c r="C21" s="132" t="s">
        <v>178</v>
      </c>
      <c r="H21" s="58"/>
      <c r="I21" s="50"/>
    </row>
    <row r="22" spans="2:9" ht="13" x14ac:dyDescent="0.3">
      <c r="B22" s="24"/>
      <c r="C22" s="132" t="s">
        <v>179</v>
      </c>
      <c r="H22" s="58"/>
      <c r="I22" s="50"/>
    </row>
    <row r="23" spans="2:9" ht="13" x14ac:dyDescent="0.3">
      <c r="B23" s="24"/>
      <c r="C23" s="132" t="s">
        <v>180</v>
      </c>
      <c r="D23" s="121"/>
      <c r="H23" s="58"/>
      <c r="I23" s="50"/>
    </row>
    <row r="24" spans="2:9" ht="13" x14ac:dyDescent="0.3">
      <c r="B24" s="24"/>
      <c r="C24" s="130" t="s">
        <v>181</v>
      </c>
      <c r="D24" s="120"/>
      <c r="H24" s="58"/>
      <c r="I24" s="50"/>
    </row>
    <row r="25" spans="2:9" ht="13" x14ac:dyDescent="0.3">
      <c r="B25" s="24"/>
      <c r="C25" s="132" t="s">
        <v>174</v>
      </c>
      <c r="H25" s="58"/>
      <c r="I25" s="50"/>
    </row>
    <row r="26" spans="2:9" x14ac:dyDescent="0.25">
      <c r="B26" s="24"/>
      <c r="C26" s="117"/>
      <c r="H26" s="58"/>
      <c r="I26" s="50"/>
    </row>
    <row r="27" spans="2:9" ht="13" x14ac:dyDescent="0.3">
      <c r="B27" s="24"/>
      <c r="C27" s="144" t="s">
        <v>124</v>
      </c>
      <c r="H27" s="58"/>
      <c r="I27" s="50"/>
    </row>
    <row r="28" spans="2:9" ht="13" x14ac:dyDescent="0.3">
      <c r="B28" s="24"/>
      <c r="C28" s="144" t="str">
        <f>_user_config_name_txt2</f>
        <v xml:space="preserve"> *  AM576x_DDR3L_532MHz_AMR_SysCtrl_config.c</v>
      </c>
      <c r="H28" s="58"/>
      <c r="I28" s="50"/>
    </row>
    <row r="29" spans="2:9" ht="13" x14ac:dyDescent="0.3">
      <c r="B29" s="24"/>
      <c r="C29" s="132" t="str">
        <f ca="1">CONCATENATE(" *     Created on: ",TEXT(TODAY(),"MM/DD/YYYY"))</f>
        <v xml:space="preserve"> *     Created on: 12/01/2020</v>
      </c>
      <c r="H29" s="58"/>
      <c r="I29" s="50"/>
    </row>
    <row r="30" spans="2:9" ht="13" x14ac:dyDescent="0.3">
      <c r="B30" s="24"/>
      <c r="C30" s="132" t="str">
        <f>CONCATENATE(" *     Created with: EMIF_RegisterConfig_v",RIGHT('Title-README'!$B$11,5))</f>
        <v xml:space="preserve"> *     Created with: EMIF_RegisterConfig_v2.0.3</v>
      </c>
      <c r="H30" s="58"/>
      <c r="I30" s="50"/>
    </row>
    <row r="31" spans="2:9" ht="13" x14ac:dyDescent="0.3">
      <c r="B31" s="24"/>
      <c r="C31" s="132" t="s">
        <v>126</v>
      </c>
      <c r="H31" s="58"/>
      <c r="I31" s="50"/>
    </row>
    <row r="32" spans="2:9" x14ac:dyDescent="0.25">
      <c r="B32" s="24"/>
      <c r="C32" s="118"/>
      <c r="H32" s="58"/>
      <c r="I32" s="50"/>
    </row>
    <row r="33" spans="2:9" ht="13" x14ac:dyDescent="0.3">
      <c r="B33" s="24"/>
      <c r="C33" s="132" t="s">
        <v>125</v>
      </c>
      <c r="H33" s="58"/>
      <c r="I33" s="50"/>
    </row>
    <row r="34" spans="2:9" x14ac:dyDescent="0.25">
      <c r="B34" s="24"/>
      <c r="C34" s="118"/>
      <c r="H34" s="58"/>
      <c r="I34" s="50"/>
    </row>
    <row r="35" spans="2:9" ht="13" x14ac:dyDescent="0.3">
      <c r="B35" s="24"/>
      <c r="C35" s="130" t="str">
        <f>_user_config_name_txt3</f>
        <v>const struct dpll_params AM576x_DDR3L_532MHz_AMR_SysCtrl_pll_params = {</v>
      </c>
      <c r="D35" s="121"/>
      <c r="H35" s="58"/>
      <c r="I35" s="50"/>
    </row>
    <row r="36" spans="2:9" ht="13" x14ac:dyDescent="0.3">
      <c r="B36" s="24"/>
      <c r="C36" s="117" t="str">
        <f>CONCATENATE("    .m = ",_ddr_pll_m,",")</f>
        <v xml:space="preserve">    .m = 266,</v>
      </c>
      <c r="D36" s="335" t="str">
        <f>IF(OR(_ddr_pll_m&lt;2,_ddr_pll_m&gt;2047)," // M is out of range! Change DDR frequency","")</f>
        <v/>
      </c>
      <c r="H36" s="58"/>
      <c r="I36" s="50"/>
    </row>
    <row r="37" spans="2:9" ht="13" x14ac:dyDescent="0.3">
      <c r="B37" s="24"/>
      <c r="C37" s="117" t="str">
        <f>CONCATENATE("    .n = ",_ddr_pll_n,",")</f>
        <v xml:space="preserve">    .n = 4,</v>
      </c>
      <c r="D37" s="335" t="str">
        <f>IF(_ddr_pll_n&gt;127," // N is out of range! Change DDR frequency",IF(_ddr_pll_n+1&gt;_user_sysclk1," // REFCLK &lt; 1MHz! Change DDR frequency",""))</f>
        <v/>
      </c>
      <c r="H37" s="58"/>
      <c r="I37" s="50"/>
    </row>
    <row r="38" spans="2:9" x14ac:dyDescent="0.25">
      <c r="B38" s="24"/>
      <c r="C38" s="117" t="str">
        <f>CONCATENATE("    .m2 = ",_ddr_pll_m2,",")</f>
        <v xml:space="preserve">    .m2 = 2,</v>
      </c>
      <c r="H38" s="58"/>
      <c r="I38" s="50"/>
    </row>
    <row r="39" spans="2:9" x14ac:dyDescent="0.25">
      <c r="B39" s="24"/>
      <c r="C39" s="117" t="str">
        <f>CONCATENATE("    .m4_h11 = ",IF(_phy_half_delay=1,IF(_ddr_pll_freq&gt;700,4,8),IF(_ddr_pll_freq&gt;700,2,4)))</f>
        <v xml:space="preserve">    .m4_h11 = 8</v>
      </c>
      <c r="H39" s="58"/>
      <c r="I39" s="50"/>
    </row>
    <row r="40" spans="2:9" x14ac:dyDescent="0.25">
      <c r="B40" s="24"/>
      <c r="C40" s="118" t="s">
        <v>122</v>
      </c>
      <c r="H40" s="58"/>
      <c r="I40" s="50"/>
    </row>
    <row r="41" spans="2:9" x14ac:dyDescent="0.25">
      <c r="B41" s="24"/>
      <c r="C41" s="117"/>
      <c r="H41" s="58"/>
      <c r="I41" s="50"/>
    </row>
    <row r="42" spans="2:9" ht="13" x14ac:dyDescent="0.3">
      <c r="B42" s="24"/>
      <c r="C42" s="131" t="str">
        <f>_user_config_name_txt4</f>
        <v>const struct ctrl_ioregs AM576x_DDR3L_532MHz_AMR_SysCtrl_ctrl_ioregs = {</v>
      </c>
      <c r="H42" s="58"/>
      <c r="I42" s="50"/>
    </row>
    <row r="43" spans="2:9" x14ac:dyDescent="0.25">
      <c r="B43" s="24"/>
      <c r="C43" s="118" t="str">
        <f>CONCATENATE("    .ctrl_ddr3ch = 0x",_CTRL_CORE_CONTROL_DDRCACH1_0_VAL,",")</f>
        <v xml:space="preserve">    .ctrl_ddr3ch = 0x80808080,</v>
      </c>
      <c r="H43" s="58"/>
      <c r="I43" s="50"/>
    </row>
    <row r="44" spans="2:9" x14ac:dyDescent="0.25">
      <c r="B44" s="24"/>
      <c r="C44" s="118" t="str">
        <f>CONCATENATE("    .ctrl_ddrch = 0x",_CTRL_CORE_CONTROL_DDRCH1_0_VAL,",")</f>
        <v xml:space="preserve">    .ctrl_ddrch = 0x40404040,</v>
      </c>
      <c r="H44" s="58"/>
      <c r="I44" s="50"/>
    </row>
    <row r="45" spans="2:9" x14ac:dyDescent="0.25">
      <c r="B45" s="24"/>
      <c r="C45" s="118" t="str">
        <f>CONCATENATE("    .ctrl_ddrio_0 = 0x",_CTRL_CORE_CONTROL_DDRIO_0,",")</f>
        <v xml:space="preserve">    .ctrl_ddrio_0 = 0x00094A40,</v>
      </c>
      <c r="H45" s="58"/>
      <c r="I45" s="50"/>
    </row>
    <row r="46" spans="2:9" x14ac:dyDescent="0.25">
      <c r="B46" s="24"/>
      <c r="C46" s="118" t="str">
        <f>CONCATENATE("    .ctrl_ddrio_1 = 0x",_CTRL_CORE_CONTROL_DDRIO_1,",")</f>
        <v xml:space="preserve">    .ctrl_ddrio_1 = 0x00000000,</v>
      </c>
      <c r="H46" s="58"/>
      <c r="I46" s="50"/>
    </row>
    <row r="47" spans="2:9" x14ac:dyDescent="0.25">
      <c r="B47" s="24"/>
      <c r="C47" s="118" t="str">
        <f>CONCATENATE("    .ctrl_emif_sdram_config_ext = 0x",_CTRL_WKUP_EMIF1_SDRAM_CONFIG_EXT)</f>
        <v xml:space="preserve">    .ctrl_emif_sdram_config_ext = 0x0000C123</v>
      </c>
      <c r="H47" s="58"/>
      <c r="I47" s="50"/>
    </row>
    <row r="48" spans="2:9" x14ac:dyDescent="0.25">
      <c r="B48" s="24"/>
      <c r="C48" s="117" t="s">
        <v>122</v>
      </c>
      <c r="D48" s="123"/>
      <c r="H48" s="58"/>
      <c r="I48" s="50"/>
    </row>
    <row r="49" spans="2:9" ht="13" x14ac:dyDescent="0.3">
      <c r="B49" s="24"/>
      <c r="C49" s="117"/>
      <c r="D49" s="119"/>
      <c r="H49" s="58"/>
      <c r="I49" s="50"/>
    </row>
    <row r="50" spans="2:9" ht="13" x14ac:dyDescent="0.3">
      <c r="B50" s="24"/>
      <c r="C50" s="132" t="str">
        <f>_user_config_name_txt5</f>
        <v>const struct dmm_lisa_map_regs AM576x_DDR3L_532MHz_AMR_SysCtrl_dmm_regs = {</v>
      </c>
      <c r="H50" s="58"/>
      <c r="I50" s="50"/>
    </row>
    <row r="51" spans="2:9" ht="13" x14ac:dyDescent="0.3">
      <c r="B51" s="24"/>
      <c r="C51" s="118" t="str">
        <f>IF(OR(_soc_name="adaslow1",_soc_name="adaslow2"),"",CONCATENATE("    .dmm_lisa_map_0 = 0x",_DMM_LISA_MAP_0_VAL,","))</f>
        <v xml:space="preserve">    .dmm_lisa_map_0 = 0x00000000,</v>
      </c>
      <c r="E51" s="343" t="str">
        <f>IF(TRUE,"",IF(OR(_soc_name="adaslow1",_soc_name="adaslow2"),"/* NOTE: These registers and",""))</f>
        <v/>
      </c>
      <c r="H51" s="58"/>
      <c r="I51" s="50"/>
    </row>
    <row r="52" spans="2:9" ht="13" x14ac:dyDescent="0.3">
      <c r="B52" s="24"/>
      <c r="C52" s="118" t="str">
        <f>IF(OR(_soc_name="adaslow1",_soc_name="adaslow2"),"",CONCATENATE("    .dmm_lisa_map_1 = 0x",_DMM_LISA_MAP_1_VAL,","))</f>
        <v xml:space="preserve">    .dmm_lisa_map_1 = 0x00000000,</v>
      </c>
      <c r="E52" s="343" t="str">
        <f>IF(TRUE,"",IF(OR(_soc_name="adaslow1",_soc_name="adaslow2")," * values are unused on this",""))</f>
        <v/>
      </c>
      <c r="H52" s="58"/>
      <c r="I52" s="50"/>
    </row>
    <row r="53" spans="2:9" ht="13" x14ac:dyDescent="0.3">
      <c r="B53" s="24"/>
      <c r="C53" s="118" t="str">
        <f>IF(OR(_soc_name="adaslow1",_soc_name="adaslow2"),"",CONCATENATE("    .dmm_lisa_map_2 = 0x",_DMM_LISA_MAP_2_VAL,","))</f>
        <v xml:space="preserve">    .dmm_lisa_map_2 = 0x80700100,</v>
      </c>
      <c r="E53" s="343" t="str">
        <f>IF(TRUE,"",IF(OR(_soc_name="adaslow1",_soc_name="adaslow2")," * device. This structure is",""))</f>
        <v/>
      </c>
      <c r="H53" s="58"/>
      <c r="I53" s="50"/>
    </row>
    <row r="54" spans="2:9" ht="13" x14ac:dyDescent="0.3">
      <c r="B54" s="24"/>
      <c r="C54" s="134" t="str">
        <f>IF(OR(_soc_name="adaslow1",_soc_name="adaslow2"),"",CONCATENATE("    .dmm_lisa_map_3 = 0x",_DMM_LISA_MAP_3_VAL,","))</f>
        <v xml:space="preserve">    .dmm_lisa_map_3 = 0xFF020100,</v>
      </c>
      <c r="D54" s="121"/>
      <c r="E54" s="343" t="str">
        <f>IF(TRUE,"",IF(OR(_soc_name="adaslow1",_soc_name="adaslow2")," * here for compatibility",""))</f>
        <v/>
      </c>
      <c r="H54" s="58"/>
      <c r="I54" s="50"/>
    </row>
    <row r="55" spans="2:9" ht="13" x14ac:dyDescent="0.3">
      <c r="B55" s="24"/>
      <c r="C55" s="133" t="str">
        <f>IF(OR(_soc_name="adaslow1",_soc_name="adaslow2"),"",CONCATENATE("    .is_ma_present = 0x",_is_ma_present))</f>
        <v xml:space="preserve">    .is_ma_present = 0x1</v>
      </c>
      <c r="D55" s="122"/>
      <c r="E55" s="343" t="str">
        <f>IF(TRUE,"",IF(OR(_soc_name="adaslow1",_soc_name="adaslow2")," * reasons only. */",""))</f>
        <v/>
      </c>
      <c r="H55" s="58"/>
      <c r="I55" s="50"/>
    </row>
    <row r="56" spans="2:9" x14ac:dyDescent="0.25">
      <c r="B56" s="24"/>
      <c r="C56" s="118" t="str">
        <f>IF(OR(_soc_name="adaslow1",_soc_name="adaslow2"),"","};")</f>
        <v>};</v>
      </c>
      <c r="H56" s="58"/>
      <c r="I56" s="50"/>
    </row>
    <row r="57" spans="2:9" x14ac:dyDescent="0.25">
      <c r="B57" s="24"/>
      <c r="C57" s="118"/>
      <c r="H57" s="58"/>
      <c r="I57" s="50"/>
    </row>
    <row r="58" spans="2:9" ht="13" x14ac:dyDescent="0.3">
      <c r="B58" s="24"/>
      <c r="C58" s="132" t="str">
        <f>_user_config_name_txt6</f>
        <v>const struct emif_regs AM576x_DDR3L_532MHz_AMR_SysCtrl_emif_regs = {</v>
      </c>
      <c r="H58" s="58"/>
      <c r="I58" s="50"/>
    </row>
    <row r="59" spans="2:9" x14ac:dyDescent="0.25">
      <c r="B59" s="24"/>
      <c r="C59" s="118" t="str">
        <f ca="1">CONCATENATE("    .sdram_config_init = 0x",_EMIF_SDRAM_CONFIG_VAL,",")</f>
        <v xml:space="preserve">    .sdram_config_init = 0x61873BB2,</v>
      </c>
      <c r="H59" s="58"/>
      <c r="I59" s="50"/>
    </row>
    <row r="60" spans="2:9" x14ac:dyDescent="0.25">
      <c r="B60" s="24"/>
      <c r="C60" s="117" t="str">
        <f ca="1">CONCATENATE("    .sdram_config = 0x",_EMIF_SDRAM_CONFIG_VAL,",")</f>
        <v xml:space="preserve">    .sdram_config = 0x61873BB2,</v>
      </c>
      <c r="F60" s="84"/>
      <c r="H60" s="58"/>
      <c r="I60" s="50"/>
    </row>
    <row r="61" spans="2:9" x14ac:dyDescent="0.25">
      <c r="B61" s="24"/>
      <c r="C61" s="134" t="str">
        <f>CONCATENATE("    .sdram_config2 = 0x",_EMIF_SDRAM_CONFIG_2_VAL,",")</f>
        <v xml:space="preserve">    .sdram_config2 = 0x00000000,</v>
      </c>
      <c r="F61" s="66"/>
      <c r="H61" s="58"/>
      <c r="I61" s="50"/>
    </row>
    <row r="62" spans="2:9" x14ac:dyDescent="0.25">
      <c r="B62" s="24"/>
      <c r="C62" s="135" t="str">
        <f>CONCATENATE("    .ref_ctrl = 0x",_EMIF_SDRAM_REF_CTRL_INIT_VAL,",")</f>
        <v xml:space="preserve">    .ref_ctrl = 0x000040F1,</v>
      </c>
      <c r="F62" s="66"/>
      <c r="H62" s="58"/>
      <c r="I62" s="50"/>
    </row>
    <row r="63" spans="2:9" x14ac:dyDescent="0.25">
      <c r="B63" s="24"/>
      <c r="C63" s="117" t="str">
        <f>CONCATENATE("    .ref_ctrl_final = 0x",_EMIF_SDRAM_REF_CTRL_VAL,",")</f>
        <v xml:space="preserve">    .ref_ctrl_final = 0x00001035,</v>
      </c>
      <c r="H63" s="58"/>
      <c r="I63" s="50"/>
    </row>
    <row r="64" spans="2:9" x14ac:dyDescent="0.25">
      <c r="B64" s="24"/>
      <c r="C64" s="117" t="str">
        <f>CONCATENATE("    .sdram_tim1 = 0x",_EMIF_SDRAM_TIM_1_VAL,",")</f>
        <v xml:space="preserve">    .sdram_tim1 = 0xCEEF2673,</v>
      </c>
      <c r="H64" s="58"/>
      <c r="I64" s="50"/>
    </row>
    <row r="65" spans="1:9" x14ac:dyDescent="0.25">
      <c r="B65" s="24"/>
      <c r="C65" s="117" t="str">
        <f>CONCATENATE("    .sdram_tim2 = 0x",_EMIF_SDRAM_TIM_2_VAL,",")</f>
        <v xml:space="preserve">    .sdram_tim2 = 0x30BF7FDA,</v>
      </c>
      <c r="H65" s="58"/>
      <c r="I65" s="50"/>
    </row>
    <row r="66" spans="1:9" x14ac:dyDescent="0.25">
      <c r="B66" s="24"/>
      <c r="C66" s="117" t="str">
        <f>CONCATENATE("    .sdram_tim3 = 0x",_EMIF_SDRAM_TIM_3_VAL,",")</f>
        <v xml:space="preserve">    .sdram_tim3 = 0x407F8BA8,</v>
      </c>
      <c r="H66" s="58"/>
      <c r="I66" s="50"/>
    </row>
    <row r="67" spans="1:9" x14ac:dyDescent="0.25">
      <c r="B67" s="24"/>
      <c r="C67" s="117" t="str">
        <f>CONCATENATE("    .read_idle_ctrl = 0x",_EMIF_DLL_CALIB_CTRL_VAL,",")</f>
        <v xml:space="preserve">    .read_idle_ctrl = 0x00050000,</v>
      </c>
      <c r="H67" s="58"/>
      <c r="I67" s="50"/>
    </row>
    <row r="68" spans="1:9" x14ac:dyDescent="0.25">
      <c r="B68" s="24"/>
      <c r="C68" s="117" t="str">
        <f>CONCATENATE("    .zq_config = 0x",_EMIF_ZQ_CONFIG_VAL,",")</f>
        <v xml:space="preserve">    .zq_config = 0x5007190B,</v>
      </c>
      <c r="H68" s="58"/>
      <c r="I68" s="50"/>
    </row>
    <row r="69" spans="1:9" x14ac:dyDescent="0.25">
      <c r="B69" s="24"/>
      <c r="C69" s="117" t="str">
        <f>CONCATENATE("    .temp_alert_config = 0x",_EMIF_TEMP_ALERT_CONFIG_VAL,",")</f>
        <v xml:space="preserve">    .temp_alert_config = 0x00000000,</v>
      </c>
      <c r="H69" s="58"/>
      <c r="I69" s="50"/>
    </row>
    <row r="70" spans="1:9" x14ac:dyDescent="0.25">
      <c r="B70" s="24"/>
      <c r="C70" s="117" t="str">
        <f>CONCATENATE("    .emif_rd_wr_lvl_rmp_ctl = 0x",_EMIF_RDWR_LVL_RMP_CTRL_VAL,",")</f>
        <v xml:space="preserve">    .emif_rd_wr_lvl_rmp_ctl = 0x80000000,</v>
      </c>
      <c r="H70" s="58"/>
      <c r="I70" s="50"/>
    </row>
    <row r="71" spans="1:9" x14ac:dyDescent="0.25">
      <c r="B71" s="24"/>
      <c r="C71" s="117" t="str">
        <f>CONCATENATE("    .emif_rd_wr_lvl_ctl = 0x",_EMIF_RDWR_LVL_CTRL_VAL,",")</f>
        <v xml:space="preserve">    .emif_rd_wr_lvl_ctl = 0x00000000,</v>
      </c>
      <c r="H71" s="58"/>
      <c r="I71" s="50"/>
    </row>
    <row r="72" spans="1:9" x14ac:dyDescent="0.25">
      <c r="B72" s="24"/>
      <c r="C72" s="117" t="str">
        <f ca="1">CONCATENATE("    .emif_ddr_phy_ctlr_1_init = 0x",_EMIF_DDR_PHY_CTRL_1_VAL,",")</f>
        <v xml:space="preserve">    .emif_ddr_phy_ctlr_1_init = 0x0024400F,</v>
      </c>
      <c r="H72" s="58"/>
      <c r="I72" s="50"/>
    </row>
    <row r="73" spans="1:9" x14ac:dyDescent="0.25">
      <c r="B73" s="24"/>
      <c r="C73" s="117" t="str">
        <f ca="1">CONCATENATE("    .emif_ddr_phy_ctlr_1 = 0x",_EMIF_DDR_PHY_CTRL_1_VAL_NOLVL,",")</f>
        <v xml:space="preserve">    .emif_ddr_phy_ctlr_1 = 0x0E24400F,</v>
      </c>
      <c r="H73" s="58"/>
      <c r="I73" s="50"/>
    </row>
    <row r="74" spans="1:9" x14ac:dyDescent="0.25">
      <c r="A74" s="36"/>
      <c r="B74" s="36"/>
      <c r="C74" s="117" t="str">
        <f>CONCATENATE("    .emif_rd_wr_exec_thresh = 0x",_EMIF_RD_WR_EXEC_THRESH_VAL,",")</f>
        <v xml:space="preserve">    .emif_rd_wr_exec_thresh = 0x00000305,</v>
      </c>
      <c r="H74" s="58"/>
      <c r="I74" s="50"/>
    </row>
    <row r="75" spans="1:9" x14ac:dyDescent="0.25">
      <c r="A75" s="36"/>
      <c r="B75" s="36"/>
      <c r="C75" s="117" t="str">
        <f>IF(_soc_market="auto","#ifdef EMIF_ECC_CTRL_REG_ECC_EN_MASK","")</f>
        <v/>
      </c>
      <c r="H75" s="58"/>
      <c r="I75" s="50"/>
    </row>
    <row r="76" spans="1:9" x14ac:dyDescent="0.25">
      <c r="A76" s="36"/>
      <c r="B76" s="36"/>
      <c r="C76" s="118" t="str">
        <f>CONCATENATE("    .emif_ecc_ctrl_reg = 0x",_EMIF_ECC_CTRL,",")</f>
        <v xml:space="preserve">    .emif_ecc_ctrl_reg = 0x00000000,</v>
      </c>
      <c r="H76" s="58"/>
      <c r="I76" s="50"/>
    </row>
    <row r="77" spans="1:9" x14ac:dyDescent="0.25">
      <c r="A77" s="36"/>
      <c r="B77" s="36"/>
      <c r="C77" s="118" t="str">
        <f>CONCATENATE("    .emif_ecc_address_range_1 = 0x",_EMIF_ECC_ADDR_RNG_1_VAL,",")</f>
        <v xml:space="preserve">    .emif_ecc_address_range_1 = 0x3FFF0000,</v>
      </c>
      <c r="H77" s="58"/>
      <c r="I77" s="50"/>
    </row>
    <row r="78" spans="1:9" x14ac:dyDescent="0.25">
      <c r="A78" s="36"/>
      <c r="B78" s="36"/>
      <c r="C78" s="118" t="str">
        <f>CONCATENATE("    .emif_ecc_address_range_2 = 0x",_EMIF_ECC_ADDR_RNG_2_VAL,",")</f>
        <v xml:space="preserve">    .emif_ecc_address_range_2 = 0x00000000,</v>
      </c>
      <c r="H78" s="58"/>
      <c r="I78" s="50"/>
    </row>
    <row r="79" spans="1:9" x14ac:dyDescent="0.25">
      <c r="A79" s="36"/>
      <c r="B79" s="36"/>
      <c r="C79" s="118" t="str">
        <f>IF(_soc_market="auto","#endif","")</f>
        <v/>
      </c>
      <c r="H79" s="58"/>
      <c r="I79" s="50"/>
    </row>
    <row r="80" spans="1:9" x14ac:dyDescent="0.25">
      <c r="A80" s="36"/>
      <c r="B80" s="36"/>
      <c r="C80" s="118" t="s">
        <v>122</v>
      </c>
      <c r="H80" s="58"/>
      <c r="I80" s="50"/>
    </row>
    <row r="81" spans="1:9" x14ac:dyDescent="0.25">
      <c r="A81" s="36"/>
      <c r="B81" s="36"/>
      <c r="C81" s="118"/>
      <c r="H81" s="58"/>
      <c r="I81" s="50"/>
    </row>
    <row r="82" spans="1:9" ht="13" x14ac:dyDescent="0.3">
      <c r="A82" s="36"/>
      <c r="B82" s="36"/>
      <c r="C82" s="132" t="s">
        <v>124</v>
      </c>
      <c r="H82" s="58"/>
      <c r="I82" s="50"/>
    </row>
    <row r="83" spans="1:9" ht="13" x14ac:dyDescent="0.3">
      <c r="A83" s="36"/>
      <c r="B83" s="36"/>
      <c r="C83" s="132" t="s">
        <v>140</v>
      </c>
      <c r="H83" s="58"/>
      <c r="I83" s="50"/>
    </row>
    <row r="84" spans="1:9" ht="13" x14ac:dyDescent="0.3">
      <c r="A84" s="36"/>
      <c r="B84" s="36"/>
      <c r="C84" s="132" t="s">
        <v>141</v>
      </c>
      <c r="H84" s="58"/>
      <c r="I84" s="50"/>
    </row>
    <row r="85" spans="1:9" ht="13" x14ac:dyDescent="0.3">
      <c r="A85" s="36"/>
      <c r="B85" s="36"/>
      <c r="C85" s="132" t="s">
        <v>142</v>
      </c>
      <c r="H85" s="58"/>
      <c r="I85" s="50"/>
    </row>
    <row r="86" spans="1:9" ht="13" x14ac:dyDescent="0.3">
      <c r="A86" s="36"/>
      <c r="B86" s="36"/>
      <c r="C86" s="132" t="s">
        <v>126</v>
      </c>
      <c r="H86" s="58"/>
      <c r="I86" s="50"/>
    </row>
    <row r="87" spans="1:9" ht="13" x14ac:dyDescent="0.3">
      <c r="A87" s="36"/>
      <c r="B87" s="36"/>
      <c r="C87" s="132" t="str">
        <f>_user_config_name_txt7</f>
        <v>const unsigned int AM576x_DDR3L_532MHz_AMR_SysCtrl_emif1_ext_phy_regs [] = {</v>
      </c>
      <c r="H87" s="58"/>
      <c r="I87" s="50"/>
    </row>
    <row r="88" spans="1:9" x14ac:dyDescent="0.25">
      <c r="A88" s="36"/>
      <c r="B88" s="36"/>
      <c r="C88" s="134" t="str">
        <f t="shared" ref="C88:C122" ca="1" si="0">CONCATENATE("    ",_soc_register_value,",")</f>
        <v xml:space="preserve">    ,</v>
      </c>
      <c r="D88" s="123" t="str">
        <f t="shared" ref="D88:D123" si="1">_soc_register_name_ddrphy1</f>
        <v>/* EMIF1_EXT_PHY_CTRL_8 */</v>
      </c>
      <c r="H88" s="58"/>
      <c r="I88" s="50"/>
    </row>
    <row r="89" spans="1:9" x14ac:dyDescent="0.25">
      <c r="A89" s="36"/>
      <c r="B89" s="36"/>
      <c r="C89" s="134" t="str">
        <f t="shared" ca="1" si="0"/>
        <v xml:space="preserve">    ,</v>
      </c>
      <c r="D89" s="123" t="str">
        <f t="shared" si="1"/>
        <v>/* EMIF1_EXT_PHY_CTRL_9 */</v>
      </c>
      <c r="H89" s="58"/>
      <c r="I89" s="50"/>
    </row>
    <row r="90" spans="1:9" x14ac:dyDescent="0.25">
      <c r="A90" s="36"/>
      <c r="B90" s="36"/>
      <c r="C90" s="134" t="str">
        <f t="shared" ca="1" si="0"/>
        <v xml:space="preserve">    ,</v>
      </c>
      <c r="D90" s="123" t="str">
        <f t="shared" si="1"/>
        <v>/* EMIF1_EXT_PHY_CTRL_10 */</v>
      </c>
      <c r="H90" s="58"/>
      <c r="I90" s="50"/>
    </row>
    <row r="91" spans="1:9" x14ac:dyDescent="0.25">
      <c r="A91" s="36"/>
      <c r="B91" s="36"/>
      <c r="C91" s="134" t="str">
        <f t="shared" ca="1" si="0"/>
        <v xml:space="preserve">    ,</v>
      </c>
      <c r="D91" s="123" t="str">
        <f t="shared" si="1"/>
        <v>/* EMIF1_EXT_PHY_CTRL_11 */</v>
      </c>
      <c r="H91" s="58"/>
      <c r="I91" s="50"/>
    </row>
    <row r="92" spans="1:9" x14ac:dyDescent="0.25">
      <c r="A92" s="36"/>
      <c r="B92" s="36"/>
      <c r="C92" s="134" t="str">
        <f t="shared" ca="1" si="0"/>
        <v xml:space="preserve">    ,</v>
      </c>
      <c r="D92" s="123" t="str">
        <f t="shared" si="1"/>
        <v>/* EMIF1_EXT_PHY_CTRL_12 */</v>
      </c>
      <c r="H92" s="58"/>
      <c r="I92" s="50"/>
    </row>
    <row r="93" spans="1:9" x14ac:dyDescent="0.25">
      <c r="A93" s="36"/>
      <c r="B93" s="36"/>
      <c r="C93" s="134" t="str">
        <f t="shared" ca="1" si="0"/>
        <v xml:space="preserve">    ,</v>
      </c>
      <c r="D93" s="123" t="str">
        <f t="shared" si="1"/>
        <v>/* EMIF1_EXT_PHY_CTRL_13 */</v>
      </c>
      <c r="H93" s="58"/>
      <c r="I93" s="50"/>
    </row>
    <row r="94" spans="1:9" x14ac:dyDescent="0.25">
      <c r="A94" s="36"/>
      <c r="B94" s="36"/>
      <c r="C94" s="134" t="str">
        <f t="shared" ca="1" si="0"/>
        <v xml:space="preserve">    ,</v>
      </c>
      <c r="D94" s="123" t="str">
        <f t="shared" si="1"/>
        <v>/* EMIF1_EXT_PHY_CTRL_14 */</v>
      </c>
      <c r="G94" s="66"/>
      <c r="H94" s="58"/>
      <c r="I94" s="50"/>
    </row>
    <row r="95" spans="1:9" x14ac:dyDescent="0.25">
      <c r="A95" s="36"/>
      <c r="B95" s="36"/>
      <c r="C95" s="134" t="str">
        <f t="shared" ca="1" si="0"/>
        <v xml:space="preserve">    ,</v>
      </c>
      <c r="D95" s="123" t="str">
        <f t="shared" si="1"/>
        <v>/* EMIF1_EXT_PHY_CTRL_15 */</v>
      </c>
      <c r="H95" s="58"/>
      <c r="I95" s="50"/>
    </row>
    <row r="96" spans="1:9" x14ac:dyDescent="0.25">
      <c r="A96" s="36"/>
      <c r="B96" s="36"/>
      <c r="C96" s="134" t="str">
        <f t="shared" ca="1" si="0"/>
        <v xml:space="preserve">    ,</v>
      </c>
      <c r="D96" s="123" t="str">
        <f t="shared" si="1"/>
        <v>/* EMIF1_EXT_PHY_CTRL_16 */</v>
      </c>
      <c r="H96" s="58"/>
      <c r="I96" s="50"/>
    </row>
    <row r="97" spans="1:9" x14ac:dyDescent="0.25">
      <c r="A97" s="36"/>
      <c r="B97" s="36"/>
      <c r="C97" s="134" t="str">
        <f t="shared" ca="1" si="0"/>
        <v xml:space="preserve">    ,</v>
      </c>
      <c r="D97" s="123" t="str">
        <f t="shared" si="1"/>
        <v>/* EMIF1_EXT_PHY_CTRL_17 */</v>
      </c>
      <c r="H97" s="58"/>
      <c r="I97" s="50"/>
    </row>
    <row r="98" spans="1:9" x14ac:dyDescent="0.25">
      <c r="A98" s="36"/>
      <c r="B98" s="36"/>
      <c r="C98" s="134" t="str">
        <f t="shared" ca="1" si="0"/>
        <v xml:space="preserve">    ,</v>
      </c>
      <c r="D98" s="123" t="str">
        <f t="shared" si="1"/>
        <v>/* EMIF1_EXT_PHY_CTRL_18 */</v>
      </c>
      <c r="H98" s="58"/>
      <c r="I98" s="50"/>
    </row>
    <row r="99" spans="1:9" x14ac:dyDescent="0.25">
      <c r="A99" s="36"/>
      <c r="B99" s="36"/>
      <c r="C99" s="134" t="str">
        <f t="shared" ca="1" si="0"/>
        <v xml:space="preserve">    ,</v>
      </c>
      <c r="D99" s="123" t="str">
        <f t="shared" si="1"/>
        <v>/* EMIF1_EXT_PHY_CTRL_19 */</v>
      </c>
      <c r="H99" s="58"/>
      <c r="I99" s="50"/>
    </row>
    <row r="100" spans="1:9" x14ac:dyDescent="0.25">
      <c r="A100" s="36"/>
      <c r="B100" s="36"/>
      <c r="C100" s="134" t="str">
        <f t="shared" ca="1" si="0"/>
        <v xml:space="preserve">    ,</v>
      </c>
      <c r="D100" s="123" t="str">
        <f t="shared" si="1"/>
        <v>/* EMIF1_EXT_PHY_CTRL_20 */</v>
      </c>
      <c r="H100" s="58"/>
      <c r="I100" s="50"/>
    </row>
    <row r="101" spans="1:9" x14ac:dyDescent="0.25">
      <c r="A101" s="36"/>
      <c r="B101" s="36"/>
      <c r="C101" s="134" t="str">
        <f t="shared" ca="1" si="0"/>
        <v xml:space="preserve">    ,</v>
      </c>
      <c r="D101" s="123" t="str">
        <f t="shared" si="1"/>
        <v>/* EMIF1_EXT_PHY_CTRL_21 */</v>
      </c>
      <c r="H101" s="58"/>
      <c r="I101" s="50"/>
    </row>
    <row r="102" spans="1:9" x14ac:dyDescent="0.25">
      <c r="A102" s="195"/>
      <c r="B102" s="195"/>
      <c r="C102" s="134" t="str">
        <f t="shared" ca="1" si="0"/>
        <v xml:space="preserve">    ,</v>
      </c>
      <c r="D102" s="123" t="str">
        <f t="shared" si="1"/>
        <v>/* EMIF1_EXT_PHY_CTRL_22 */</v>
      </c>
      <c r="H102" s="58"/>
      <c r="I102" s="50"/>
    </row>
    <row r="103" spans="1:9" x14ac:dyDescent="0.25">
      <c r="A103" s="195"/>
      <c r="B103" s="195"/>
      <c r="C103" s="134" t="str">
        <f t="shared" ca="1" si="0"/>
        <v xml:space="preserve">    ,</v>
      </c>
      <c r="D103" s="123" t="str">
        <f t="shared" si="1"/>
        <v>/* EMIF1_EXT_PHY_CTRL_23 */</v>
      </c>
      <c r="H103" s="58"/>
      <c r="I103" s="50"/>
    </row>
    <row r="104" spans="1:9" x14ac:dyDescent="0.25">
      <c r="A104" s="195"/>
      <c r="B104" s="195"/>
      <c r="C104" s="134" t="str">
        <f t="shared" ca="1" si="0"/>
        <v xml:space="preserve">    ,</v>
      </c>
      <c r="D104" s="123" t="str">
        <f t="shared" si="1"/>
        <v>/* EMIF1_EXT_PHY_CTRL_24 */</v>
      </c>
      <c r="H104" s="58"/>
      <c r="I104" s="50"/>
    </row>
    <row r="105" spans="1:9" x14ac:dyDescent="0.25">
      <c r="A105" s="195"/>
      <c r="B105" s="195"/>
      <c r="C105" s="134" t="str">
        <f t="shared" ca="1" si="0"/>
        <v xml:space="preserve">    ,</v>
      </c>
      <c r="D105" s="123" t="str">
        <f t="shared" si="1"/>
        <v>/* EMIF1_EXT_PHY_CTRL_25 */</v>
      </c>
      <c r="H105" s="58"/>
      <c r="I105" s="50"/>
    </row>
    <row r="106" spans="1:9" x14ac:dyDescent="0.25">
      <c r="A106" s="195"/>
      <c r="B106" s="195"/>
      <c r="C106" s="134" t="str">
        <f t="shared" ca="1" si="0"/>
        <v xml:space="preserve">    ,</v>
      </c>
      <c r="D106" s="123" t="str">
        <f t="shared" si="1"/>
        <v>/* EMIF1_EXT_PHY_CTRL_26 */</v>
      </c>
      <c r="H106" s="58"/>
      <c r="I106" s="50"/>
    </row>
    <row r="107" spans="1:9" x14ac:dyDescent="0.25">
      <c r="A107" s="195"/>
      <c r="B107" s="195"/>
      <c r="C107" s="134" t="str">
        <f t="shared" ca="1" si="0"/>
        <v xml:space="preserve">    ,</v>
      </c>
      <c r="D107" s="123" t="str">
        <f t="shared" si="1"/>
        <v>/* EMIF1_EXT_PHY_CTRL_27 */</v>
      </c>
      <c r="H107" s="58"/>
      <c r="I107" s="50"/>
    </row>
    <row r="108" spans="1:9" x14ac:dyDescent="0.25">
      <c r="A108" s="195"/>
      <c r="B108" s="195"/>
      <c r="C108" s="134" t="str">
        <f t="shared" ca="1" si="0"/>
        <v xml:space="preserve">    ,</v>
      </c>
      <c r="D108" s="123" t="str">
        <f t="shared" si="1"/>
        <v>/* EMIF1_EXT_PHY_CTRL_28 */</v>
      </c>
      <c r="H108" s="58"/>
      <c r="I108" s="50"/>
    </row>
    <row r="109" spans="1:9" x14ac:dyDescent="0.25">
      <c r="A109" s="195"/>
      <c r="B109" s="195"/>
      <c r="C109" s="134" t="str">
        <f t="shared" ca="1" si="0"/>
        <v xml:space="preserve">    ,</v>
      </c>
      <c r="D109" s="123" t="str">
        <f t="shared" si="1"/>
        <v>/* EMIF1_EXT_PHY_CTRL_29 */</v>
      </c>
      <c r="H109" s="58"/>
      <c r="I109" s="50"/>
    </row>
    <row r="110" spans="1:9" x14ac:dyDescent="0.25">
      <c r="A110" s="195"/>
      <c r="B110" s="195"/>
      <c r="C110" s="134" t="str">
        <f t="shared" ca="1" si="0"/>
        <v xml:space="preserve">    ,</v>
      </c>
      <c r="D110" s="123" t="str">
        <f t="shared" si="1"/>
        <v>/* EMIF1_EXT_PHY_CTRL_30 */</v>
      </c>
      <c r="H110" s="58"/>
      <c r="I110" s="50"/>
    </row>
    <row r="111" spans="1:9" x14ac:dyDescent="0.25">
      <c r="A111" s="195"/>
      <c r="B111" s="195"/>
      <c r="C111" s="134" t="str">
        <f t="shared" ca="1" si="0"/>
        <v xml:space="preserve">    ,</v>
      </c>
      <c r="D111" s="123" t="str">
        <f t="shared" si="1"/>
        <v>/* EMIF1_EXT_PHY_CTRL_31 */</v>
      </c>
      <c r="H111" s="58"/>
      <c r="I111" s="50"/>
    </row>
    <row r="112" spans="1:9" x14ac:dyDescent="0.25">
      <c r="A112" s="195"/>
      <c r="B112" s="195"/>
      <c r="C112" s="134" t="str">
        <f t="shared" ca="1" si="0"/>
        <v xml:space="preserve">    ,</v>
      </c>
      <c r="D112" s="123" t="str">
        <f t="shared" si="1"/>
        <v>/* EMIF1_EXT_PHY_CTRL_32 */</v>
      </c>
      <c r="H112" s="58"/>
      <c r="I112" s="50"/>
    </row>
    <row r="113" spans="1:9" x14ac:dyDescent="0.25">
      <c r="A113" s="195"/>
      <c r="B113" s="195"/>
      <c r="C113" s="134" t="str">
        <f t="shared" ca="1" si="0"/>
        <v xml:space="preserve">    ,</v>
      </c>
      <c r="D113" s="123" t="str">
        <f t="shared" si="1"/>
        <v>/* EMIF1_EXT_PHY_CTRL_33 */</v>
      </c>
      <c r="H113" s="58"/>
      <c r="I113" s="50"/>
    </row>
    <row r="114" spans="1:9" x14ac:dyDescent="0.25">
      <c r="B114" s="24"/>
      <c r="C114" s="134" t="str">
        <f t="shared" ca="1" si="0"/>
        <v xml:space="preserve">    ,</v>
      </c>
      <c r="D114" s="123" t="str">
        <f t="shared" si="1"/>
        <v>/* EMIF1_EXT_PHY_CTRL_34 */</v>
      </c>
      <c r="H114" s="58"/>
      <c r="I114" s="50"/>
    </row>
    <row r="115" spans="1:9" x14ac:dyDescent="0.25">
      <c r="B115" s="24"/>
      <c r="C115" s="134" t="str">
        <f t="shared" ca="1" si="0"/>
        <v xml:space="preserve">    ,</v>
      </c>
      <c r="D115" s="123" t="str">
        <f t="shared" si="1"/>
        <v>/* EMIF1_EXT_PHY_CTRL_35 */</v>
      </c>
      <c r="H115" s="58"/>
      <c r="I115" s="50"/>
    </row>
    <row r="116" spans="1:9" x14ac:dyDescent="0.25">
      <c r="B116" s="24"/>
      <c r="C116" s="134" t="str">
        <f t="shared" ca="1" si="0"/>
        <v xml:space="preserve">    ,</v>
      </c>
      <c r="D116" s="123" t="str">
        <f t="shared" si="1"/>
        <v>/* EMIF1_EXT_PHY_CTRL_36 */</v>
      </c>
      <c r="H116" s="58"/>
      <c r="I116" s="50"/>
    </row>
    <row r="117" spans="1:9" x14ac:dyDescent="0.25">
      <c r="B117" s="24"/>
      <c r="C117" s="134" t="str">
        <f t="shared" ca="1" si="0"/>
        <v xml:space="preserve">    ,</v>
      </c>
      <c r="D117" s="123" t="str">
        <f t="shared" si="1"/>
        <v/>
      </c>
      <c r="H117" s="58"/>
      <c r="I117" s="50"/>
    </row>
    <row r="118" spans="1:9" x14ac:dyDescent="0.25">
      <c r="B118" s="24"/>
      <c r="C118" s="134" t="str">
        <f t="shared" ca="1" si="0"/>
        <v xml:space="preserve">    ,</v>
      </c>
      <c r="D118" s="123" t="str">
        <f t="shared" si="1"/>
        <v/>
      </c>
      <c r="H118" s="58"/>
      <c r="I118" s="50"/>
    </row>
    <row r="119" spans="1:9" x14ac:dyDescent="0.25">
      <c r="B119" s="24"/>
      <c r="C119" s="134" t="str">
        <f t="shared" ca="1" si="0"/>
        <v xml:space="preserve">    ,</v>
      </c>
      <c r="D119" s="123" t="str">
        <f t="shared" si="1"/>
        <v/>
      </c>
      <c r="H119" s="58"/>
      <c r="I119" s="50"/>
    </row>
    <row r="120" spans="1:9" x14ac:dyDescent="0.25">
      <c r="B120" s="24"/>
      <c r="C120" s="134" t="str">
        <f t="shared" ca="1" si="0"/>
        <v xml:space="preserve">    ,</v>
      </c>
      <c r="D120" s="123" t="str">
        <f t="shared" si="1"/>
        <v/>
      </c>
      <c r="H120" s="58"/>
      <c r="I120" s="50"/>
    </row>
    <row r="121" spans="1:9" x14ac:dyDescent="0.25">
      <c r="B121" s="24"/>
      <c r="C121" s="134" t="str">
        <f t="shared" ca="1" si="0"/>
        <v xml:space="preserve">    ,</v>
      </c>
      <c r="D121" s="123" t="str">
        <f t="shared" si="1"/>
        <v/>
      </c>
      <c r="H121" s="58"/>
      <c r="I121" s="50"/>
    </row>
    <row r="122" spans="1:9" x14ac:dyDescent="0.25">
      <c r="B122" s="24"/>
      <c r="C122" s="134" t="str">
        <f t="shared" ca="1" si="0"/>
        <v xml:space="preserve">    ,</v>
      </c>
      <c r="D122" s="123" t="str">
        <f t="shared" si="1"/>
        <v/>
      </c>
      <c r="H122" s="58"/>
      <c r="I122" s="50"/>
    </row>
    <row r="123" spans="1:9" x14ac:dyDescent="0.25">
      <c r="B123" s="24"/>
      <c r="C123" s="134" t="str">
        <f ca="1">CONCATENATE("    ",_soc_register_value)</f>
        <v xml:space="preserve">    </v>
      </c>
      <c r="D123" s="123" t="str">
        <f t="shared" si="1"/>
        <v/>
      </c>
      <c r="H123" s="58"/>
      <c r="I123" s="50"/>
    </row>
    <row r="124" spans="1:9" x14ac:dyDescent="0.25">
      <c r="B124" s="24"/>
      <c r="C124" s="135" t="s">
        <v>122</v>
      </c>
      <c r="D124" s="85" t="str">
        <f t="shared" ref="D124:D125" ca="1" si="2">_soc_register_value</f>
        <v/>
      </c>
      <c r="H124" s="58"/>
      <c r="I124" s="50"/>
    </row>
    <row r="125" spans="1:9" x14ac:dyDescent="0.25">
      <c r="B125" s="24"/>
      <c r="C125" s="136"/>
      <c r="D125" s="85" t="str">
        <f t="shared" ca="1" si="2"/>
        <v/>
      </c>
      <c r="H125" s="58"/>
      <c r="I125" s="50"/>
    </row>
    <row r="126" spans="1:9" ht="13" x14ac:dyDescent="0.3">
      <c r="B126" s="24"/>
      <c r="C126" s="132" t="str">
        <f>_user_config_name_txt8</f>
        <v/>
      </c>
      <c r="H126" s="58"/>
      <c r="I126" s="50"/>
    </row>
    <row r="127" spans="1:9" x14ac:dyDescent="0.25">
      <c r="B127" s="24"/>
      <c r="C127" s="117" t="str">
        <f t="shared" ref="C127:C161" si="3">IF(_user_emifs=1,"",CONCATENATE("    ",_soc_register_value,","))</f>
        <v/>
      </c>
      <c r="D127" s="85" t="str">
        <f>IF(_user_emifs=1,"",_soc_register_name_ddrphy2)</f>
        <v/>
      </c>
      <c r="H127" s="58"/>
      <c r="I127" s="50"/>
    </row>
    <row r="128" spans="1:9" x14ac:dyDescent="0.25">
      <c r="B128" s="24"/>
      <c r="C128" s="117" t="str">
        <f t="shared" si="3"/>
        <v/>
      </c>
      <c r="D128" s="85" t="str">
        <f>IF(_user_emifs=1,"",_soc_register_name_ddrphy2)</f>
        <v/>
      </c>
      <c r="H128" s="58"/>
      <c r="I128" s="50"/>
    </row>
    <row r="129" spans="2:9" x14ac:dyDescent="0.25">
      <c r="B129" s="24"/>
      <c r="C129" s="117" t="str">
        <f t="shared" si="3"/>
        <v/>
      </c>
      <c r="D129" s="85" t="str">
        <f>IF(_user_emifs=1,"",_soc_register_name_ddrphy2)</f>
        <v/>
      </c>
      <c r="H129" s="58"/>
      <c r="I129" s="50"/>
    </row>
    <row r="130" spans="2:9" x14ac:dyDescent="0.25">
      <c r="B130" s="24"/>
      <c r="C130" s="117" t="str">
        <f t="shared" si="3"/>
        <v/>
      </c>
      <c r="D130" s="85" t="str">
        <f>IF(_user_emifs=1,"",_soc_register_name_ddrphy2)</f>
        <v/>
      </c>
      <c r="H130" s="58"/>
      <c r="I130" s="50"/>
    </row>
    <row r="131" spans="2:9" x14ac:dyDescent="0.25">
      <c r="B131" s="24"/>
      <c r="C131" s="117" t="str">
        <f t="shared" si="3"/>
        <v/>
      </c>
      <c r="D131" s="85" t="str">
        <f>IF(_user_emifs=1,"",_soc_register_name_ddrphy2)</f>
        <v/>
      </c>
      <c r="H131" s="58"/>
      <c r="I131" s="50"/>
    </row>
    <row r="132" spans="2:9" x14ac:dyDescent="0.25">
      <c r="B132" s="24"/>
      <c r="C132" s="117" t="str">
        <f t="shared" si="3"/>
        <v/>
      </c>
      <c r="D132" s="85" t="str">
        <f>IF(_user_emifs=1,"",_soc_register_name_ddrphy2)</f>
        <v/>
      </c>
      <c r="H132" s="58"/>
      <c r="I132" s="50"/>
    </row>
    <row r="133" spans="2:9" x14ac:dyDescent="0.25">
      <c r="B133" s="24"/>
      <c r="C133" s="117" t="str">
        <f t="shared" si="3"/>
        <v/>
      </c>
      <c r="D133" s="85" t="str">
        <f>IF(_user_emifs=1,"",_soc_register_name_ddrphy2)</f>
        <v/>
      </c>
      <c r="H133" s="58"/>
      <c r="I133" s="50"/>
    </row>
    <row r="134" spans="2:9" x14ac:dyDescent="0.25">
      <c r="B134" s="24"/>
      <c r="C134" s="117" t="str">
        <f t="shared" si="3"/>
        <v/>
      </c>
      <c r="D134" s="85" t="str">
        <f>IF(_user_emifs=1,"",_soc_register_name_ddrphy2)</f>
        <v/>
      </c>
      <c r="H134" s="58"/>
      <c r="I134" s="50"/>
    </row>
    <row r="135" spans="2:9" x14ac:dyDescent="0.25">
      <c r="B135" s="24"/>
      <c r="C135" s="117" t="str">
        <f t="shared" si="3"/>
        <v/>
      </c>
      <c r="D135" s="85" t="str">
        <f>IF(_user_emifs=1,"",_soc_register_name_ddrphy2)</f>
        <v/>
      </c>
      <c r="H135" s="58"/>
      <c r="I135" s="50"/>
    </row>
    <row r="136" spans="2:9" x14ac:dyDescent="0.25">
      <c r="B136" s="24"/>
      <c r="C136" s="117" t="str">
        <f t="shared" si="3"/>
        <v/>
      </c>
      <c r="D136" s="85" t="str">
        <f>IF(_user_emifs=1,"",_soc_register_name_ddrphy2)</f>
        <v/>
      </c>
      <c r="H136" s="58"/>
      <c r="I136" s="50"/>
    </row>
    <row r="137" spans="2:9" x14ac:dyDescent="0.25">
      <c r="B137" s="24"/>
      <c r="C137" s="117" t="str">
        <f t="shared" si="3"/>
        <v/>
      </c>
      <c r="D137" s="85" t="str">
        <f>IF(_user_emifs=1,"",_soc_register_name_ddrphy2)</f>
        <v/>
      </c>
      <c r="H137" s="58"/>
      <c r="I137" s="50"/>
    </row>
    <row r="138" spans="2:9" x14ac:dyDescent="0.25">
      <c r="B138" s="24"/>
      <c r="C138" s="117" t="str">
        <f t="shared" si="3"/>
        <v/>
      </c>
      <c r="D138" s="85" t="str">
        <f>IF(_user_emifs=1,"",_soc_register_name_ddrphy2)</f>
        <v/>
      </c>
      <c r="H138" s="58"/>
      <c r="I138" s="50"/>
    </row>
    <row r="139" spans="2:9" x14ac:dyDescent="0.25">
      <c r="B139" s="24"/>
      <c r="C139" s="117" t="str">
        <f t="shared" si="3"/>
        <v/>
      </c>
      <c r="D139" s="85" t="str">
        <f>IF(_user_emifs=1,"",_soc_register_name_ddrphy2)</f>
        <v/>
      </c>
      <c r="H139" s="58"/>
      <c r="I139" s="50"/>
    </row>
    <row r="140" spans="2:9" x14ac:dyDescent="0.25">
      <c r="B140" s="24"/>
      <c r="C140" s="117" t="str">
        <f t="shared" si="3"/>
        <v/>
      </c>
      <c r="D140" s="85" t="str">
        <f>IF(_user_emifs=1,"",_soc_register_name_ddrphy2)</f>
        <v/>
      </c>
      <c r="H140" s="58"/>
      <c r="I140" s="50"/>
    </row>
    <row r="141" spans="2:9" x14ac:dyDescent="0.25">
      <c r="B141" s="24"/>
      <c r="C141" s="117" t="str">
        <f t="shared" si="3"/>
        <v/>
      </c>
      <c r="D141" s="85" t="str">
        <f>IF(_user_emifs=1,"",_soc_register_name_ddrphy2)</f>
        <v/>
      </c>
      <c r="H141" s="58"/>
      <c r="I141" s="50"/>
    </row>
    <row r="142" spans="2:9" x14ac:dyDescent="0.25">
      <c r="B142" s="24"/>
      <c r="C142" s="117" t="str">
        <f t="shared" si="3"/>
        <v/>
      </c>
      <c r="D142" s="85" t="str">
        <f>IF(_user_emifs=1,"",_soc_register_name_ddrphy2)</f>
        <v/>
      </c>
      <c r="H142" s="58"/>
      <c r="I142" s="50"/>
    </row>
    <row r="143" spans="2:9" x14ac:dyDescent="0.25">
      <c r="B143" s="24"/>
      <c r="C143" s="117" t="str">
        <f t="shared" si="3"/>
        <v/>
      </c>
      <c r="D143" s="85" t="str">
        <f>IF(_user_emifs=1,"",_soc_register_name_ddrphy2)</f>
        <v/>
      </c>
      <c r="H143" s="58"/>
      <c r="I143" s="50"/>
    </row>
    <row r="144" spans="2:9" x14ac:dyDescent="0.25">
      <c r="B144" s="24"/>
      <c r="C144" s="117" t="str">
        <f t="shared" si="3"/>
        <v/>
      </c>
      <c r="D144" s="85" t="str">
        <f>IF(_user_emifs=1,"",_soc_register_name_ddrphy2)</f>
        <v/>
      </c>
      <c r="H144" s="58"/>
      <c r="I144" s="50"/>
    </row>
    <row r="145" spans="1:9" x14ac:dyDescent="0.25">
      <c r="B145" s="24"/>
      <c r="C145" s="117" t="str">
        <f t="shared" si="3"/>
        <v/>
      </c>
      <c r="D145" s="85" t="str">
        <f>IF(_user_emifs=1,"",_soc_register_name_ddrphy2)</f>
        <v/>
      </c>
      <c r="H145" s="58"/>
      <c r="I145" s="50"/>
    </row>
    <row r="146" spans="1:9" x14ac:dyDescent="0.25">
      <c r="B146" s="24"/>
      <c r="C146" s="117" t="str">
        <f t="shared" si="3"/>
        <v/>
      </c>
      <c r="D146" s="85" t="str">
        <f>IF(_user_emifs=1,"",_soc_register_name_ddrphy2)</f>
        <v/>
      </c>
      <c r="H146" s="58"/>
      <c r="I146" s="50"/>
    </row>
    <row r="147" spans="1:9" x14ac:dyDescent="0.25">
      <c r="B147" s="24"/>
      <c r="C147" s="117" t="str">
        <f t="shared" si="3"/>
        <v/>
      </c>
      <c r="D147" s="85" t="str">
        <f>IF(_user_emifs=1,"",_soc_register_name_ddrphy2)</f>
        <v/>
      </c>
      <c r="H147" s="58"/>
      <c r="I147" s="50"/>
    </row>
    <row r="148" spans="1:9" x14ac:dyDescent="0.25">
      <c r="B148" s="24"/>
      <c r="C148" s="117" t="str">
        <f t="shared" si="3"/>
        <v/>
      </c>
      <c r="D148" s="85" t="str">
        <f>IF(_user_emifs=1,"",_soc_register_name_ddrphy2)</f>
        <v/>
      </c>
      <c r="H148" s="58"/>
      <c r="I148" s="50"/>
    </row>
    <row r="149" spans="1:9" x14ac:dyDescent="0.25">
      <c r="B149" s="24"/>
      <c r="C149" s="117" t="str">
        <f t="shared" si="3"/>
        <v/>
      </c>
      <c r="D149" s="85" t="str">
        <f>IF(_user_emifs=1,"",_soc_register_name_ddrphy2)</f>
        <v/>
      </c>
      <c r="H149" s="58"/>
      <c r="I149" s="50"/>
    </row>
    <row r="150" spans="1:9" x14ac:dyDescent="0.25">
      <c r="B150" s="24"/>
      <c r="C150" s="117" t="str">
        <f t="shared" si="3"/>
        <v/>
      </c>
      <c r="D150" s="85" t="str">
        <f>IF(_user_emifs=1,"",_soc_register_name_ddrphy2)</f>
        <v/>
      </c>
      <c r="H150" s="58"/>
      <c r="I150" s="50"/>
    </row>
    <row r="151" spans="1:9" x14ac:dyDescent="0.25">
      <c r="B151" s="24"/>
      <c r="C151" s="117" t="str">
        <f t="shared" si="3"/>
        <v/>
      </c>
      <c r="D151" s="85" t="str">
        <f>IF(_user_emifs=1,"",_soc_register_name_ddrphy2)</f>
        <v/>
      </c>
      <c r="H151" s="58"/>
      <c r="I151" s="50"/>
    </row>
    <row r="152" spans="1:9" x14ac:dyDescent="0.25">
      <c r="B152" s="24"/>
      <c r="C152" s="117" t="str">
        <f t="shared" si="3"/>
        <v/>
      </c>
      <c r="D152" s="85" t="str">
        <f>IF(_user_emifs=1,"",_soc_register_name_ddrphy2)</f>
        <v/>
      </c>
      <c r="H152" s="58"/>
      <c r="I152" s="50"/>
    </row>
    <row r="153" spans="1:9" x14ac:dyDescent="0.25">
      <c r="B153" s="24"/>
      <c r="C153" s="117" t="str">
        <f t="shared" si="3"/>
        <v/>
      </c>
      <c r="D153" s="85" t="str">
        <f>IF(_user_emifs=1,"",_soc_register_name_ddrphy2)</f>
        <v/>
      </c>
      <c r="H153" s="58"/>
      <c r="I153" s="50"/>
    </row>
    <row r="154" spans="1:9" x14ac:dyDescent="0.25">
      <c r="B154" s="24"/>
      <c r="C154" s="117" t="str">
        <f t="shared" si="3"/>
        <v/>
      </c>
      <c r="D154" s="85" t="str">
        <f>IF(_user_emifs=1,"",_soc_register_name_ddrphy2)</f>
        <v/>
      </c>
      <c r="H154" s="58"/>
      <c r="I154" s="50"/>
    </row>
    <row r="155" spans="1:9" x14ac:dyDescent="0.25">
      <c r="A155" s="196"/>
      <c r="C155" s="117" t="str">
        <f t="shared" si="3"/>
        <v/>
      </c>
      <c r="D155" s="85" t="str">
        <f>IF(_user_emifs=1,"",_soc_register_name_ddrphy2)</f>
        <v/>
      </c>
      <c r="H155" s="58"/>
    </row>
    <row r="156" spans="1:9" x14ac:dyDescent="0.25">
      <c r="C156" s="117" t="str">
        <f t="shared" si="3"/>
        <v/>
      </c>
      <c r="D156" s="85" t="str">
        <f>IF(_user_emifs=1,"",_soc_register_name_ddrphy2)</f>
        <v/>
      </c>
      <c r="H156" s="58"/>
    </row>
    <row r="157" spans="1:9" x14ac:dyDescent="0.25">
      <c r="B157" s="24"/>
      <c r="C157" s="117" t="str">
        <f t="shared" si="3"/>
        <v/>
      </c>
      <c r="D157" s="85" t="str">
        <f>IF(_user_emifs=1,"",_soc_register_name_ddrphy2)</f>
        <v/>
      </c>
      <c r="H157" s="58"/>
    </row>
    <row r="158" spans="1:9" x14ac:dyDescent="0.25">
      <c r="B158" s="24"/>
      <c r="C158" s="117" t="str">
        <f t="shared" si="3"/>
        <v/>
      </c>
      <c r="D158" s="85" t="str">
        <f>IF(_user_emifs=1,"",_soc_register_name_ddrphy2)</f>
        <v/>
      </c>
      <c r="H158" s="58"/>
    </row>
    <row r="159" spans="1:9" x14ac:dyDescent="0.25">
      <c r="B159" s="24"/>
      <c r="C159" s="117" t="str">
        <f t="shared" si="3"/>
        <v/>
      </c>
      <c r="D159" s="85" t="str">
        <f>IF(_user_emifs=1,"",_soc_register_name_ddrphy2)</f>
        <v/>
      </c>
      <c r="H159" s="58"/>
    </row>
    <row r="160" spans="1:9" x14ac:dyDescent="0.25">
      <c r="B160" s="24"/>
      <c r="C160" s="117" t="str">
        <f t="shared" si="3"/>
        <v/>
      </c>
      <c r="D160" s="85" t="str">
        <f>IF(_user_emifs=1,"",_soc_register_name_ddrphy2)</f>
        <v/>
      </c>
      <c r="H160" s="58"/>
    </row>
    <row r="161" spans="2:9" x14ac:dyDescent="0.25">
      <c r="B161" s="24"/>
      <c r="C161" s="117" t="str">
        <f t="shared" si="3"/>
        <v/>
      </c>
      <c r="D161" s="85" t="str">
        <f>IF(_user_emifs=1,"",_soc_register_name_ddrphy2)</f>
        <v/>
      </c>
      <c r="H161" s="58"/>
    </row>
    <row r="162" spans="2:9" x14ac:dyDescent="0.25">
      <c r="B162" s="24"/>
      <c r="C162" s="117" t="str">
        <f>IF(_user_emifs=1,"",CONCATENATE("    ",_soc_register_value))</f>
        <v/>
      </c>
      <c r="D162" s="85" t="str">
        <f>IF(_user_emifs=1,"",_soc_register_name_ddrphy2)</f>
        <v/>
      </c>
      <c r="H162" s="58"/>
    </row>
    <row r="163" spans="2:9" x14ac:dyDescent="0.25">
      <c r="B163" s="24"/>
      <c r="C163" s="118" t="str">
        <f>IF(_user_emifs=1,"","};")</f>
        <v/>
      </c>
      <c r="H163" s="58"/>
    </row>
    <row r="164" spans="2:9" x14ac:dyDescent="0.25">
      <c r="B164" s="24"/>
      <c r="C164" s="118"/>
      <c r="H164" s="58"/>
      <c r="I164" s="50"/>
    </row>
    <row r="165" spans="2:9" ht="13" x14ac:dyDescent="0.3">
      <c r="B165" s="24"/>
      <c r="C165" s="132" t="str">
        <f>_user_config_name_txt9</f>
        <v>struct emif_cfg AM576x_DDR3L_532MHz_AMR_SysCtrl = {</v>
      </c>
      <c r="H165" s="58"/>
      <c r="I165" s="50"/>
    </row>
    <row r="166" spans="2:9" x14ac:dyDescent="0.25">
      <c r="B166" s="24"/>
      <c r="C166" s="117" t="str">
        <f>_user_config_name_txt10</f>
        <v xml:space="preserve">    .platform = "AM576x_DDR3L_532MHz_AMR_SysCtrl",</v>
      </c>
      <c r="H166" s="58"/>
      <c r="I166" s="50"/>
    </row>
    <row r="167" spans="2:9" x14ac:dyDescent="0.25">
      <c r="B167" s="24"/>
      <c r="C167" s="117" t="str">
        <f>CONCATENATE("    .EMIF2_DEFINED = ",_user_emifs-1,",")</f>
        <v xml:space="preserve">    .EMIF2_DEFINED = 0,</v>
      </c>
      <c r="H167" s="58"/>
      <c r="I167" s="50"/>
    </row>
    <row r="168" spans="2:9" x14ac:dyDescent="0.25">
      <c r="B168" s="24"/>
      <c r="C168" s="117" t="str">
        <f>_user_config_name_txt11</f>
        <v xml:space="preserve">    .pll_regs = &amp;AM576x_DDR3L_532MHz_AMR_SysCtrl_pll_params,</v>
      </c>
      <c r="H168" s="58"/>
      <c r="I168" s="50"/>
    </row>
    <row r="169" spans="2:9" x14ac:dyDescent="0.25">
      <c r="B169" s="24"/>
      <c r="C169" s="117" t="str">
        <f>_user_config_name_txt12</f>
        <v xml:space="preserve">    .ctrl_regs = &amp;AM576x_DDR3L_532MHz_AMR_SysCtrl_ctrl_ioregs,</v>
      </c>
      <c r="H169" s="58"/>
      <c r="I169" s="50"/>
    </row>
    <row r="170" spans="2:9" x14ac:dyDescent="0.25">
      <c r="B170" s="24"/>
      <c r="C170" s="117" t="str">
        <f>_user_config_name_txt13</f>
        <v xml:space="preserve">    .dmm_regs = &amp;AM576x_DDR3L_532MHz_AMR_SysCtrl_dmm_regs,</v>
      </c>
      <c r="H170" s="58"/>
      <c r="I170" s="50"/>
    </row>
    <row r="171" spans="2:9" x14ac:dyDescent="0.25">
      <c r="B171" s="24"/>
      <c r="C171" s="117" t="str">
        <f>_user_config_name_txt14</f>
        <v xml:space="preserve">    .regs = &amp;AM576x_DDR3L_532MHz_AMR_SysCtrl_emif_regs,</v>
      </c>
      <c r="H171" s="58"/>
      <c r="I171" s="50"/>
    </row>
    <row r="172" spans="2:9" x14ac:dyDescent="0.25">
      <c r="B172" s="24"/>
      <c r="C172" s="117" t="str">
        <f>_user_config_name_txt15</f>
        <v xml:space="preserve">    .phy_regs1 = AM576x_DDR3L_532MHz_AMR_SysCtrl_emif1_ext_phy_regs,</v>
      </c>
      <c r="H172" s="58"/>
      <c r="I172" s="50"/>
    </row>
    <row r="173" spans="2:9" x14ac:dyDescent="0.25">
      <c r="B173" s="24"/>
      <c r="C173" s="117" t="str">
        <f>_user_config_name_txt16</f>
        <v/>
      </c>
      <c r="H173" s="58"/>
      <c r="I173" s="50"/>
    </row>
    <row r="174" spans="2:9" x14ac:dyDescent="0.25">
      <c r="B174" s="24"/>
      <c r="C174" s="118" t="s">
        <v>122</v>
      </c>
      <c r="H174" s="58"/>
      <c r="I174" s="50"/>
    </row>
    <row r="175" spans="2:9" x14ac:dyDescent="0.25">
      <c r="B175" s="24"/>
      <c r="C175" s="353"/>
      <c r="D175" s="354"/>
      <c r="E175" s="52"/>
      <c r="F175" s="52"/>
      <c r="G175" s="52"/>
      <c r="H175" s="355"/>
      <c r="I175" s="50"/>
    </row>
    <row r="176" spans="2:9" ht="13" thickBot="1" x14ac:dyDescent="0.3">
      <c r="B176" s="24"/>
      <c r="C176" s="177"/>
      <c r="D176" s="128"/>
      <c r="E176" s="127"/>
      <c r="F176" s="127"/>
      <c r="G176" s="127"/>
      <c r="H176" s="129"/>
      <c r="I176" s="50"/>
    </row>
    <row r="177" spans="2:8" ht="13" thickTop="1" x14ac:dyDescent="0.25">
      <c r="B177" s="24"/>
      <c r="C177" s="51"/>
      <c r="D177" s="83"/>
      <c r="E177" s="176"/>
      <c r="F177" s="51"/>
      <c r="G177" s="51"/>
      <c r="H177" s="51"/>
    </row>
    <row r="178" spans="2:8" x14ac:dyDescent="0.25">
      <c r="B178" s="24"/>
      <c r="E178" s="50"/>
    </row>
    <row r="179" spans="2:8" x14ac:dyDescent="0.25">
      <c r="B179" s="24"/>
      <c r="E179" s="50"/>
    </row>
    <row r="180" spans="2:8" x14ac:dyDescent="0.25">
      <c r="B180" s="24"/>
      <c r="E180" s="50"/>
    </row>
    <row r="181" spans="2:8" x14ac:dyDescent="0.25">
      <c r="B181" s="24"/>
    </row>
    <row r="182" spans="2:8" x14ac:dyDescent="0.25">
      <c r="B182" s="24"/>
    </row>
    <row r="183" spans="2:8" x14ac:dyDescent="0.25">
      <c r="B183" s="24"/>
    </row>
    <row r="184" spans="2:8" x14ac:dyDescent="0.25">
      <c r="B184" s="24"/>
    </row>
    <row r="185" spans="2:8" x14ac:dyDescent="0.25">
      <c r="B185" s="24"/>
    </row>
    <row r="186" spans="2:8" x14ac:dyDescent="0.25">
      <c r="B186" s="24"/>
    </row>
    <row r="187" spans="2:8" x14ac:dyDescent="0.25">
      <c r="B187" s="24"/>
    </row>
    <row r="188" spans="2:8" x14ac:dyDescent="0.25">
      <c r="B188" s="24"/>
    </row>
    <row r="189" spans="2:8" x14ac:dyDescent="0.25">
      <c r="B189" s="24"/>
    </row>
    <row r="190" spans="2:8" x14ac:dyDescent="0.25">
      <c r="B190" s="24"/>
    </row>
  </sheetData>
  <sheetProtection password="D41E" sheet="1" objects="1" scenarios="1"/>
  <mergeCells count="4">
    <mergeCell ref="B2:I2"/>
    <mergeCell ref="B3:I3"/>
    <mergeCell ref="B4:I6"/>
    <mergeCell ref="B7:I8"/>
  </mergeCells>
  <pageMargins left="0.7" right="0.7" top="0.75" bottom="0.75" header="0.3" footer="0.3"/>
  <pageSetup orientation="portrait" r:id="rId1"/>
  <picture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B1:R57"/>
  <sheetViews>
    <sheetView workbookViewId="0">
      <pane ySplit="15" topLeftCell="A19" activePane="bottomLeft" state="frozen"/>
      <selection pane="bottomLeft" activeCell="J25" sqref="J25:N25"/>
    </sheetView>
  </sheetViews>
  <sheetFormatPr defaultColWidth="9.1796875" defaultRowHeight="12.5" x14ac:dyDescent="0.25"/>
  <cols>
    <col min="1" max="16384" width="9.1796875" style="26"/>
  </cols>
  <sheetData>
    <row r="1" spans="2:18" ht="12.75" customHeight="1" x14ac:dyDescent="0.25">
      <c r="B1" s="398" t="s">
        <v>655</v>
      </c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400"/>
    </row>
    <row r="2" spans="2:18" ht="12.75" customHeight="1" x14ac:dyDescent="0.25">
      <c r="B2" s="398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400"/>
    </row>
    <row r="3" spans="2:18" ht="12.75" customHeight="1" x14ac:dyDescent="0.25">
      <c r="B3" s="398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399"/>
      <c r="R3" s="400"/>
    </row>
    <row r="4" spans="2:18" ht="12.75" customHeight="1" x14ac:dyDescent="0.25">
      <c r="B4" s="398"/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400"/>
    </row>
    <row r="5" spans="2:18" ht="12.75" customHeight="1" x14ac:dyDescent="0.25">
      <c r="B5" s="398"/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400"/>
    </row>
    <row r="6" spans="2:18" ht="12.75" customHeight="1" x14ac:dyDescent="0.25">
      <c r="B6" s="398"/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400"/>
    </row>
    <row r="7" spans="2:18" x14ac:dyDescent="0.25">
      <c r="B7" s="390" t="s">
        <v>111</v>
      </c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  <c r="R7" s="391"/>
    </row>
    <row r="8" spans="2:18" x14ac:dyDescent="0.25">
      <c r="B8" s="391"/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91"/>
      <c r="P8" s="391"/>
      <c r="Q8" s="391"/>
      <c r="R8" s="391"/>
    </row>
    <row r="9" spans="2:18" x14ac:dyDescent="0.25">
      <c r="B9" s="391" t="s">
        <v>681</v>
      </c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91"/>
      <c r="P9" s="391"/>
      <c r="Q9" s="391"/>
      <c r="R9" s="391"/>
    </row>
    <row r="10" spans="2:18" x14ac:dyDescent="0.25">
      <c r="B10" s="391"/>
      <c r="C10" s="391"/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</row>
    <row r="11" spans="2:18" x14ac:dyDescent="0.25">
      <c r="B11" s="413" t="s">
        <v>680</v>
      </c>
      <c r="C11" s="413"/>
      <c r="D11" s="413"/>
      <c r="E11" s="413"/>
      <c r="F11" s="413"/>
      <c r="G11" s="413"/>
      <c r="H11" s="413"/>
      <c r="I11" s="413"/>
      <c r="J11" s="413"/>
      <c r="K11" s="413"/>
      <c r="L11" s="413"/>
      <c r="M11" s="413"/>
      <c r="N11" s="413"/>
      <c r="O11" s="413"/>
      <c r="P11" s="413"/>
      <c r="Q11" s="413"/>
      <c r="R11" s="413"/>
    </row>
    <row r="12" spans="2:18" x14ac:dyDescent="0.25">
      <c r="B12" s="413"/>
      <c r="C12" s="413"/>
      <c r="D12" s="413"/>
      <c r="E12" s="413"/>
      <c r="F12" s="413"/>
      <c r="G12" s="413"/>
      <c r="H12" s="413"/>
      <c r="I12" s="413"/>
      <c r="J12" s="413"/>
      <c r="K12" s="413"/>
      <c r="L12" s="413"/>
      <c r="M12" s="413"/>
      <c r="N12" s="413"/>
      <c r="O12" s="413"/>
      <c r="P12" s="413"/>
      <c r="Q12" s="413"/>
      <c r="R12" s="413"/>
    </row>
    <row r="13" spans="2:18" x14ac:dyDescent="0.25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</row>
    <row r="14" spans="2:18" x14ac:dyDescent="0.25">
      <c r="B14" s="392" t="str">
        <f>IF(_auto_nda_config=0,"","TI Confidential - NDA Restrictions ECCN: 5E991")</f>
        <v/>
      </c>
      <c r="C14" s="393"/>
      <c r="D14" s="393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4"/>
    </row>
    <row r="15" spans="2:18" x14ac:dyDescent="0.25">
      <c r="B15" s="395"/>
      <c r="C15" s="396"/>
      <c r="D15" s="396"/>
      <c r="E15" s="396"/>
      <c r="F15" s="396"/>
      <c r="G15" s="396"/>
      <c r="H15" s="396"/>
      <c r="I15" s="396"/>
      <c r="J15" s="396"/>
      <c r="K15" s="396"/>
      <c r="L15" s="396"/>
      <c r="M15" s="396"/>
      <c r="N15" s="396"/>
      <c r="O15" s="396"/>
      <c r="P15" s="396"/>
      <c r="Q15" s="396"/>
      <c r="R15" s="397"/>
    </row>
    <row r="16" spans="2:18" ht="13" thickBot="1" x14ac:dyDescent="0.3">
      <c r="B16" s="27"/>
      <c r="C16" s="27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27"/>
      <c r="R16" s="27"/>
    </row>
    <row r="17" spans="2:18" ht="13" thickTop="1" x14ac:dyDescent="0.25">
      <c r="B17" s="27"/>
      <c r="C17" s="28"/>
      <c r="D17" s="401" t="s">
        <v>188</v>
      </c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3"/>
      <c r="Q17" s="30"/>
      <c r="R17" s="27"/>
    </row>
    <row r="18" spans="2:18" ht="13" thickBot="1" x14ac:dyDescent="0.3">
      <c r="B18" s="27"/>
      <c r="C18" s="28"/>
      <c r="D18" s="404"/>
      <c r="E18" s="405"/>
      <c r="F18" s="405"/>
      <c r="G18" s="405"/>
      <c r="H18" s="405"/>
      <c r="I18" s="405"/>
      <c r="J18" s="405"/>
      <c r="K18" s="405"/>
      <c r="L18" s="405"/>
      <c r="M18" s="405"/>
      <c r="N18" s="405"/>
      <c r="O18" s="405"/>
      <c r="P18" s="406"/>
      <c r="Q18" s="30"/>
      <c r="R18" s="27"/>
    </row>
    <row r="19" spans="2:18" ht="13" thickTop="1" x14ac:dyDescent="0.25">
      <c r="B19" s="27"/>
      <c r="C19" s="28"/>
      <c r="D19" s="423"/>
      <c r="E19" s="424"/>
      <c r="F19" s="424"/>
      <c r="G19" s="425"/>
      <c r="H19" s="375" t="s">
        <v>196</v>
      </c>
      <c r="I19" s="376"/>
      <c r="J19" s="376"/>
      <c r="K19" s="376"/>
      <c r="L19" s="376"/>
      <c r="M19" s="376"/>
      <c r="N19" s="376"/>
      <c r="O19" s="376"/>
      <c r="P19" s="377"/>
      <c r="Q19" s="30"/>
      <c r="R19" s="27"/>
    </row>
    <row r="20" spans="2:18" x14ac:dyDescent="0.25">
      <c r="B20" s="27"/>
      <c r="C20" s="28"/>
      <c r="D20" s="426"/>
      <c r="E20" s="427"/>
      <c r="F20" s="427"/>
      <c r="G20" s="428"/>
      <c r="H20" s="378"/>
      <c r="I20" s="379"/>
      <c r="J20" s="379"/>
      <c r="K20" s="379"/>
      <c r="L20" s="379"/>
      <c r="M20" s="379"/>
      <c r="N20" s="379"/>
      <c r="O20" s="379"/>
      <c r="P20" s="380"/>
      <c r="Q20" s="30"/>
      <c r="R20" s="27"/>
    </row>
    <row r="21" spans="2:18" x14ac:dyDescent="0.25">
      <c r="B21" s="27"/>
      <c r="C21" s="28"/>
      <c r="D21" s="426"/>
      <c r="E21" s="427"/>
      <c r="F21" s="427"/>
      <c r="G21" s="428"/>
      <c r="H21" s="378"/>
      <c r="I21" s="379"/>
      <c r="J21" s="379"/>
      <c r="K21" s="379"/>
      <c r="L21" s="379"/>
      <c r="M21" s="379"/>
      <c r="N21" s="379"/>
      <c r="O21" s="379"/>
      <c r="P21" s="380"/>
      <c r="Q21" s="30"/>
      <c r="R21" s="27"/>
    </row>
    <row r="22" spans="2:18" ht="28.5" customHeight="1" x14ac:dyDescent="0.25">
      <c r="B22" s="27"/>
      <c r="C22" s="28"/>
      <c r="D22" s="429"/>
      <c r="E22" s="430"/>
      <c r="F22" s="430"/>
      <c r="G22" s="431"/>
      <c r="H22" s="432" t="str">
        <f>_user_config_name_txt1</f>
        <v>Configuration Name (based on current input): AM576x_DDR3L_532MHz_AMR_SysCtrl</v>
      </c>
      <c r="I22" s="433"/>
      <c r="J22" s="433"/>
      <c r="K22" s="433"/>
      <c r="L22" s="433"/>
      <c r="M22" s="433"/>
      <c r="N22" s="433"/>
      <c r="O22" s="433"/>
      <c r="P22" s="434"/>
      <c r="Q22" s="30"/>
      <c r="R22" s="27"/>
    </row>
    <row r="23" spans="2:18" x14ac:dyDescent="0.25">
      <c r="B23" s="27"/>
      <c r="C23" s="28"/>
      <c r="D23" s="407"/>
      <c r="E23" s="408"/>
      <c r="F23" s="408"/>
      <c r="G23" s="409"/>
      <c r="H23" s="369" t="s">
        <v>197</v>
      </c>
      <c r="I23" s="370"/>
      <c r="J23" s="370"/>
      <c r="K23" s="370"/>
      <c r="L23" s="370"/>
      <c r="M23" s="370"/>
      <c r="N23" s="370"/>
      <c r="O23" s="370"/>
      <c r="P23" s="371"/>
      <c r="Q23" s="30"/>
      <c r="R23" s="27"/>
    </row>
    <row r="24" spans="2:18" ht="13" thickBot="1" x14ac:dyDescent="0.3">
      <c r="B24" s="27"/>
      <c r="C24" s="28"/>
      <c r="D24" s="407"/>
      <c r="E24" s="408"/>
      <c r="F24" s="408"/>
      <c r="G24" s="409"/>
      <c r="H24" s="372"/>
      <c r="I24" s="373"/>
      <c r="J24" s="373"/>
      <c r="K24" s="373"/>
      <c r="L24" s="373"/>
      <c r="M24" s="373"/>
      <c r="N24" s="373"/>
      <c r="O24" s="373"/>
      <c r="P24" s="374"/>
      <c r="Q24" s="30"/>
      <c r="R24" s="27"/>
    </row>
    <row r="25" spans="2:18" ht="14" thickTop="1" thickBot="1" x14ac:dyDescent="0.3">
      <c r="B25" s="27"/>
      <c r="C25" s="28"/>
      <c r="D25" s="407"/>
      <c r="E25" s="408"/>
      <c r="F25" s="408"/>
      <c r="G25" s="409"/>
      <c r="H25" s="202"/>
      <c r="I25" s="203"/>
      <c r="J25" s="381" t="s">
        <v>696</v>
      </c>
      <c r="K25" s="382"/>
      <c r="L25" s="382"/>
      <c r="M25" s="382"/>
      <c r="N25" s="383"/>
      <c r="O25" s="204"/>
      <c r="P25" s="205"/>
      <c r="Q25" s="30"/>
      <c r="R25" s="27"/>
    </row>
    <row r="26" spans="2:18" ht="14" thickTop="1" thickBot="1" x14ac:dyDescent="0.3">
      <c r="B26" s="27"/>
      <c r="C26" s="28"/>
      <c r="D26" s="410"/>
      <c r="E26" s="411"/>
      <c r="F26" s="411"/>
      <c r="G26" s="412"/>
      <c r="H26" s="206"/>
      <c r="I26" s="207"/>
      <c r="J26" s="208"/>
      <c r="K26" s="208"/>
      <c r="L26" s="208"/>
      <c r="M26" s="208"/>
      <c r="N26" s="208"/>
      <c r="O26" s="207"/>
      <c r="P26" s="209"/>
      <c r="Q26" s="30"/>
      <c r="R26" s="27"/>
    </row>
    <row r="27" spans="2:18" ht="14" hidden="1" thickTop="1" thickBot="1" x14ac:dyDescent="0.35">
      <c r="B27" s="27"/>
      <c r="C27" s="28"/>
      <c r="D27" s="384" t="s">
        <v>189</v>
      </c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6"/>
      <c r="Q27" s="30"/>
      <c r="R27" s="27"/>
    </row>
    <row r="28" spans="2:18" ht="13.5" hidden="1" thickTop="1" x14ac:dyDescent="0.3">
      <c r="B28" s="27"/>
      <c r="C28" s="28"/>
      <c r="D28" s="210"/>
      <c r="E28" s="211" t="s">
        <v>190</v>
      </c>
      <c r="F28" s="212"/>
      <c r="G28" s="212"/>
      <c r="H28" s="212"/>
      <c r="I28" s="212"/>
      <c r="J28" s="212"/>
      <c r="K28" s="212"/>
      <c r="L28" s="212"/>
      <c r="M28" s="212"/>
      <c r="N28" s="212"/>
      <c r="O28" s="212"/>
      <c r="P28" s="213"/>
      <c r="Q28" s="30"/>
      <c r="R28" s="27"/>
    </row>
    <row r="29" spans="2:18" ht="13.5" hidden="1" customHeight="1" x14ac:dyDescent="0.3">
      <c r="B29" s="27"/>
      <c r="C29" s="28"/>
      <c r="D29" s="214"/>
      <c r="E29" s="215"/>
      <c r="F29" s="215"/>
      <c r="G29" s="215"/>
      <c r="H29" s="215"/>
      <c r="I29" s="215"/>
      <c r="J29" s="215"/>
      <c r="K29" s="215"/>
      <c r="L29" s="215"/>
      <c r="M29" s="215"/>
      <c r="N29" s="215"/>
      <c r="O29" s="215"/>
      <c r="P29" s="216"/>
      <c r="Q29" s="30"/>
      <c r="R29" s="27"/>
    </row>
    <row r="30" spans="2:18" ht="13.5" hidden="1" customHeight="1" x14ac:dyDescent="0.3">
      <c r="B30" s="27"/>
      <c r="C30" s="28"/>
      <c r="D30" s="214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6"/>
      <c r="Q30" s="30"/>
      <c r="R30" s="27"/>
    </row>
    <row r="31" spans="2:18" ht="13.5" hidden="1" thickBot="1" x14ac:dyDescent="0.35">
      <c r="B31" s="27"/>
      <c r="C31" s="28"/>
      <c r="D31" s="214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6"/>
      <c r="Q31" s="30"/>
      <c r="R31" s="27"/>
    </row>
    <row r="32" spans="2:18" ht="16.5" thickTop="1" thickBot="1" x14ac:dyDescent="0.3">
      <c r="B32" s="217"/>
      <c r="C32" s="218"/>
      <c r="D32" s="387" t="s">
        <v>191</v>
      </c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9"/>
      <c r="Q32" s="219"/>
      <c r="R32" s="217"/>
    </row>
    <row r="33" spans="2:18" ht="45.75" customHeight="1" thickTop="1" x14ac:dyDescent="0.25">
      <c r="B33" s="217"/>
      <c r="C33" s="218"/>
      <c r="D33" s="420" t="s">
        <v>186</v>
      </c>
      <c r="E33" s="421"/>
      <c r="F33" s="421"/>
      <c r="G33" s="422"/>
      <c r="H33" s="417" t="str">
        <f>_ti_supported_socs</f>
        <v>AM570x, AM571x, AM572x, AM574x, AM576x, DM50x_ABE, DM50x_ABF, DRA71x, DRA72x, DRA74x, DRA74xP, DRA75x, DRA75xP, DRA76x, DRA77x, DRA78x, DRA79x, TDA2Ex_ABC, TDA2Ex_CBD, TDA2Px, TDA2x, TDA3x_ABE, TDA3x_ABF</v>
      </c>
      <c r="I33" s="418"/>
      <c r="J33" s="418"/>
      <c r="K33" s="418"/>
      <c r="L33" s="418"/>
      <c r="M33" s="418"/>
      <c r="N33" s="418"/>
      <c r="O33" s="418"/>
      <c r="P33" s="419"/>
      <c r="Q33" s="219"/>
      <c r="R33" s="217"/>
    </row>
    <row r="34" spans="2:18" ht="13.5" thickBot="1" x14ac:dyDescent="0.3">
      <c r="B34" s="123"/>
      <c r="C34" s="220"/>
      <c r="D34" s="414" t="s">
        <v>187</v>
      </c>
      <c r="E34" s="415"/>
      <c r="F34" s="415"/>
      <c r="G34" s="416"/>
      <c r="H34" s="369" t="s">
        <v>235</v>
      </c>
      <c r="I34" s="370"/>
      <c r="J34" s="370"/>
      <c r="K34" s="370"/>
      <c r="L34" s="370"/>
      <c r="M34" s="370"/>
      <c r="N34" s="370"/>
      <c r="O34" s="370"/>
      <c r="P34" s="371"/>
      <c r="Q34" s="221"/>
      <c r="R34" s="123"/>
    </row>
    <row r="35" spans="2:18" ht="16.5" thickTop="1" thickBot="1" x14ac:dyDescent="0.3">
      <c r="B35" s="27"/>
      <c r="C35" s="36"/>
      <c r="D35" s="387" t="s">
        <v>192</v>
      </c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9"/>
      <c r="Q35" s="30"/>
      <c r="R35" s="27"/>
    </row>
    <row r="36" spans="2:18" ht="13.5" thickTop="1" x14ac:dyDescent="0.3">
      <c r="B36" s="27"/>
      <c r="C36" s="222"/>
      <c r="D36" s="223" t="s">
        <v>98</v>
      </c>
      <c r="E36" s="215" t="s">
        <v>102</v>
      </c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6"/>
      <c r="Q36" s="30"/>
      <c r="R36" s="27"/>
    </row>
    <row r="37" spans="2:18" ht="13" x14ac:dyDescent="0.3">
      <c r="B37" s="27"/>
      <c r="C37" s="222"/>
      <c r="D37" s="223" t="s">
        <v>99</v>
      </c>
      <c r="E37" s="215" t="s">
        <v>103</v>
      </c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6"/>
      <c r="Q37" s="30"/>
      <c r="R37" s="27"/>
    </row>
    <row r="38" spans="2:18" ht="13" x14ac:dyDescent="0.3">
      <c r="B38" s="27"/>
      <c r="C38" s="222"/>
      <c r="D38" s="223" t="s">
        <v>100</v>
      </c>
      <c r="E38" s="215" t="s">
        <v>104</v>
      </c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6"/>
      <c r="Q38" s="30"/>
      <c r="R38" s="27"/>
    </row>
    <row r="39" spans="2:18" ht="13.5" thickBot="1" x14ac:dyDescent="0.35">
      <c r="B39" s="27"/>
      <c r="C39" s="222"/>
      <c r="D39" s="223" t="s">
        <v>101</v>
      </c>
      <c r="E39" s="215" t="s">
        <v>195</v>
      </c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6"/>
      <c r="Q39" s="30"/>
      <c r="R39" s="27"/>
    </row>
    <row r="40" spans="2:18" ht="14" thickTop="1" thickBot="1" x14ac:dyDescent="0.35">
      <c r="B40" s="27"/>
      <c r="C40" s="224"/>
      <c r="D40" s="387" t="s">
        <v>193</v>
      </c>
      <c r="E40" s="388"/>
      <c r="F40" s="388"/>
      <c r="G40" s="388"/>
      <c r="H40" s="388"/>
      <c r="I40" s="388"/>
      <c r="J40" s="388"/>
      <c r="K40" s="388"/>
      <c r="L40" s="388"/>
      <c r="M40" s="388"/>
      <c r="N40" s="388"/>
      <c r="O40" s="388"/>
      <c r="P40" s="389"/>
      <c r="Q40" s="30"/>
      <c r="R40" s="27"/>
    </row>
    <row r="41" spans="2:18" ht="14" thickTop="1" thickBot="1" x14ac:dyDescent="0.35">
      <c r="B41" s="27"/>
      <c r="C41" s="28"/>
      <c r="D41" s="225" t="s">
        <v>98</v>
      </c>
      <c r="E41" s="226" t="s">
        <v>217</v>
      </c>
      <c r="F41" s="226"/>
      <c r="G41" s="226"/>
      <c r="H41" s="226"/>
      <c r="I41" s="226"/>
      <c r="J41" s="226"/>
      <c r="K41" s="226"/>
      <c r="L41" s="226"/>
      <c r="M41" s="226"/>
      <c r="N41" s="226"/>
      <c r="O41" s="226"/>
      <c r="P41" s="227"/>
      <c r="Q41" s="30"/>
      <c r="R41" s="27"/>
    </row>
    <row r="42" spans="2:18" ht="13.5" thickTop="1" x14ac:dyDescent="0.3">
      <c r="B42" s="27"/>
      <c r="C42" s="228"/>
      <c r="D42" s="229" t="s">
        <v>194</v>
      </c>
      <c r="E42" s="230"/>
      <c r="F42" s="230"/>
      <c r="G42" s="230"/>
      <c r="H42" s="230"/>
      <c r="I42" s="230"/>
      <c r="J42" s="230"/>
      <c r="K42" s="230"/>
      <c r="L42" s="230"/>
      <c r="M42" s="230"/>
      <c r="N42" s="230"/>
      <c r="O42" s="230"/>
      <c r="P42" s="230"/>
      <c r="Q42" s="27"/>
      <c r="R42" s="27"/>
    </row>
    <row r="43" spans="2:18" ht="13" x14ac:dyDescent="0.3">
      <c r="B43" s="27"/>
      <c r="C43" s="222"/>
      <c r="D43" s="231" t="s">
        <v>674</v>
      </c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5"/>
      <c r="P43" s="215"/>
      <c r="Q43" s="27"/>
      <c r="R43" s="27"/>
    </row>
    <row r="44" spans="2:18" x14ac:dyDescent="0.25">
      <c r="B44" s="27"/>
      <c r="C44" s="222"/>
      <c r="D44" s="45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</row>
    <row r="45" spans="2:18" ht="13" x14ac:dyDescent="0.3">
      <c r="B45" s="27"/>
      <c r="C45" s="232"/>
      <c r="D45" s="45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</row>
    <row r="46" spans="2:18" x14ac:dyDescent="0.25">
      <c r="B46" s="27"/>
      <c r="C46" s="222"/>
      <c r="D46" s="45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</row>
    <row r="47" spans="2:18" x14ac:dyDescent="0.25">
      <c r="B47" s="27"/>
      <c r="C47" s="222"/>
      <c r="D47" s="45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</row>
    <row r="48" spans="2:18" x14ac:dyDescent="0.25">
      <c r="B48" s="27"/>
      <c r="C48" s="222"/>
      <c r="D48" s="45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</row>
    <row r="49" spans="2:18" x14ac:dyDescent="0.25">
      <c r="B49" s="27"/>
      <c r="C49" s="222"/>
      <c r="D49" s="45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18" ht="13" x14ac:dyDescent="0.3">
      <c r="B50" s="27"/>
      <c r="C50" s="232"/>
      <c r="D50" s="45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</row>
    <row r="51" spans="2:18" ht="13" x14ac:dyDescent="0.25">
      <c r="B51" s="27"/>
      <c r="C51" s="120"/>
      <c r="D51" s="45"/>
      <c r="E51" s="27"/>
      <c r="F51" s="27"/>
      <c r="G51" s="233"/>
      <c r="H51" s="233"/>
      <c r="I51" s="233"/>
      <c r="J51" s="233"/>
      <c r="K51" s="233"/>
      <c r="L51" s="27"/>
      <c r="M51" s="27"/>
      <c r="N51" s="27"/>
      <c r="O51" s="27"/>
      <c r="P51" s="27"/>
      <c r="Q51" s="27"/>
      <c r="R51" s="27"/>
    </row>
    <row r="52" spans="2:18" ht="13" x14ac:dyDescent="0.25">
      <c r="B52" s="27"/>
      <c r="C52" s="27"/>
      <c r="D52" s="234"/>
      <c r="E52" s="234"/>
      <c r="F52" s="234"/>
      <c r="G52" s="233"/>
      <c r="H52" s="233"/>
      <c r="I52" s="233"/>
      <c r="J52" s="233"/>
      <c r="K52" s="233"/>
      <c r="L52" s="27"/>
      <c r="M52" s="27"/>
      <c r="N52" s="27"/>
      <c r="O52" s="27"/>
      <c r="P52" s="27"/>
      <c r="Q52" s="27"/>
      <c r="R52" s="27"/>
    </row>
    <row r="53" spans="2:18" ht="12.75" customHeight="1" x14ac:dyDescent="0.25">
      <c r="B53" s="27"/>
      <c r="C53" s="27"/>
      <c r="D53" s="234"/>
      <c r="E53" s="27"/>
      <c r="F53" s="27"/>
      <c r="G53" s="27"/>
      <c r="H53" s="27"/>
      <c r="I53" s="27"/>
    </row>
    <row r="54" spans="2:18" x14ac:dyDescent="0.25">
      <c r="B54" s="27"/>
      <c r="C54" s="27"/>
      <c r="D54" s="27"/>
      <c r="E54" s="27"/>
      <c r="F54" s="27"/>
      <c r="G54" s="27"/>
      <c r="H54" s="27"/>
      <c r="I54" s="27"/>
    </row>
    <row r="55" spans="2:18" x14ac:dyDescent="0.25">
      <c r="B55" s="27"/>
      <c r="C55" s="27"/>
      <c r="D55" s="27"/>
      <c r="E55" s="27"/>
      <c r="F55" s="27"/>
      <c r="G55" s="27"/>
      <c r="H55" s="27"/>
      <c r="I55" s="27"/>
    </row>
    <row r="56" spans="2:18" x14ac:dyDescent="0.25">
      <c r="B56" s="27"/>
      <c r="C56" s="27"/>
      <c r="D56" s="27"/>
      <c r="E56" s="27"/>
      <c r="F56" s="27"/>
      <c r="G56" s="27"/>
      <c r="H56" s="27"/>
      <c r="I56" s="27"/>
    </row>
    <row r="57" spans="2:18" x14ac:dyDescent="0.25">
      <c r="B57" s="27"/>
      <c r="C57" s="27"/>
      <c r="D57" s="27"/>
      <c r="E57" s="27"/>
      <c r="F57" s="27"/>
      <c r="G57" s="27"/>
      <c r="H57" s="27"/>
      <c r="I57" s="27"/>
    </row>
  </sheetData>
  <sheetProtection password="D41E" sheet="1" objects="1" scenarios="1"/>
  <mergeCells count="20">
    <mergeCell ref="B7:R8"/>
    <mergeCell ref="B14:R15"/>
    <mergeCell ref="B1:R6"/>
    <mergeCell ref="D40:P40"/>
    <mergeCell ref="D35:P35"/>
    <mergeCell ref="D17:P18"/>
    <mergeCell ref="D23:G26"/>
    <mergeCell ref="B9:R10"/>
    <mergeCell ref="B11:R12"/>
    <mergeCell ref="H34:P34"/>
    <mergeCell ref="D34:G34"/>
    <mergeCell ref="H33:P33"/>
    <mergeCell ref="D33:G33"/>
    <mergeCell ref="D19:G22"/>
    <mergeCell ref="H22:P22"/>
    <mergeCell ref="H23:P24"/>
    <mergeCell ref="H19:P21"/>
    <mergeCell ref="J25:N25"/>
    <mergeCell ref="D27:P27"/>
    <mergeCell ref="D32:P32"/>
  </mergeCells>
  <dataValidations count="1">
    <dataValidation type="list" allowBlank="1" showInputMessage="1" showErrorMessage="1" sqref="J25:N25" xr:uid="{00000000-0002-0000-0100-000000000000}">
      <formula1>_dyn_user_config_options</formula1>
    </dataValidation>
  </dataValidations>
  <pageMargins left="0.7" right="0.7" top="0.75" bottom="0.75" header="0.3" footer="0.3"/>
  <pageSetup orientation="portrait" r:id="rId1"/>
  <drawing r:id="rId2"/>
  <legacyDrawing r:id="rId3"/>
  <picture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55" r:id="rId5" name="Button 11">
              <controlPr defaultSize="0" print="0" autoFill="0" autoPict="0" macro="[0]!SaveUserConfig">
                <anchor moveWithCells="1">
                  <from>
                    <xdr:col>3</xdr:col>
                    <xdr:colOff>508000</xdr:colOff>
                    <xdr:row>19</xdr:row>
                    <xdr:rowOff>12700</xdr:rowOff>
                  </from>
                  <to>
                    <xdr:col>6</xdr:col>
                    <xdr:colOff>165100</xdr:colOff>
                    <xdr:row>20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r:id="rId6" name="Button 31">
              <controlPr defaultSize="0" print="0" autoFill="0" autoPict="0" macro="[0]!LoadUserConfig">
                <anchor moveWithCells="1">
                  <from>
                    <xdr:col>3</xdr:col>
                    <xdr:colOff>495300</xdr:colOff>
                    <xdr:row>23</xdr:row>
                    <xdr:rowOff>38100</xdr:rowOff>
                  </from>
                  <to>
                    <xdr:col>6</xdr:col>
                    <xdr:colOff>152400</xdr:colOff>
                    <xdr:row>24</xdr:row>
                    <xdr:rowOff>165100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0000"/>
  </sheetPr>
  <dimension ref="A1:N72"/>
  <sheetViews>
    <sheetView zoomScaleNormal="100" workbookViewId="0">
      <pane ySplit="12" topLeftCell="A31" activePane="bottomLeft" state="frozen"/>
      <selection pane="bottomLeft" activeCell="F39" sqref="F39"/>
    </sheetView>
  </sheetViews>
  <sheetFormatPr defaultColWidth="20.7265625" defaultRowHeight="12.5" x14ac:dyDescent="0.25"/>
  <cols>
    <col min="1" max="1" width="9.1796875" style="24" customWidth="1"/>
    <col min="2" max="2" width="9.1796875" style="26" customWidth="1"/>
    <col min="3" max="3" width="10.7265625" style="26" customWidth="1"/>
    <col min="4" max="4" width="9.7265625" style="26" customWidth="1"/>
    <col min="5" max="5" width="45.7265625" style="26" customWidth="1"/>
    <col min="6" max="6" width="24.7265625" style="26" customWidth="1"/>
    <col min="7" max="7" width="9.7265625" style="62" customWidth="1"/>
    <col min="8" max="8" width="23.7265625" style="62" customWidth="1"/>
    <col min="9" max="9" width="9.1796875" style="26" customWidth="1"/>
    <col min="10" max="16384" width="20.7265625" style="26"/>
  </cols>
  <sheetData>
    <row r="1" spans="1:14" ht="13" x14ac:dyDescent="0.3">
      <c r="A1" s="238"/>
      <c r="B1" s="236"/>
      <c r="C1" s="236"/>
      <c r="D1" s="236"/>
      <c r="E1" s="236"/>
      <c r="F1" s="236"/>
      <c r="G1" s="237"/>
      <c r="H1" s="237"/>
      <c r="I1" s="236"/>
      <c r="J1" s="236"/>
      <c r="N1" s="50"/>
    </row>
    <row r="2" spans="1:14" ht="13" x14ac:dyDescent="0.3">
      <c r="A2" s="238"/>
      <c r="B2" s="435" t="str">
        <f>'Title-README'!$B$9</f>
        <v>Date: November 2nd, 2019</v>
      </c>
      <c r="C2" s="436"/>
      <c r="D2" s="436"/>
      <c r="E2" s="436"/>
      <c r="F2" s="436"/>
      <c r="G2" s="436"/>
      <c r="H2" s="436"/>
      <c r="I2" s="437"/>
      <c r="J2" s="236"/>
      <c r="N2" s="50"/>
    </row>
    <row r="3" spans="1:14" ht="13" x14ac:dyDescent="0.3">
      <c r="A3" s="238"/>
      <c r="B3" s="435" t="str">
        <f>'Title-README'!$B$11</f>
        <v>Revision: 2.0.3</v>
      </c>
      <c r="C3" s="436"/>
      <c r="D3" s="436"/>
      <c r="E3" s="436"/>
      <c r="F3" s="436"/>
      <c r="G3" s="436"/>
      <c r="H3" s="436"/>
      <c r="I3" s="437"/>
      <c r="J3" s="236"/>
      <c r="N3" s="50"/>
    </row>
    <row r="4" spans="1:14" ht="12.75" customHeight="1" x14ac:dyDescent="0.3">
      <c r="A4" s="238"/>
      <c r="B4" s="444" t="s">
        <v>656</v>
      </c>
      <c r="C4" s="445"/>
      <c r="D4" s="445"/>
      <c r="E4" s="445"/>
      <c r="F4" s="445"/>
      <c r="G4" s="445"/>
      <c r="H4" s="445"/>
      <c r="I4" s="446"/>
      <c r="J4" s="239"/>
      <c r="K4" s="115"/>
      <c r="L4" s="115"/>
      <c r="M4" s="115"/>
      <c r="N4" s="50"/>
    </row>
    <row r="5" spans="1:14" ht="12.75" customHeight="1" x14ac:dyDescent="0.3">
      <c r="A5" s="238"/>
      <c r="B5" s="447"/>
      <c r="C5" s="448"/>
      <c r="D5" s="448"/>
      <c r="E5" s="448"/>
      <c r="F5" s="448"/>
      <c r="G5" s="448"/>
      <c r="H5" s="448"/>
      <c r="I5" s="449"/>
      <c r="J5" s="239"/>
      <c r="K5" s="115"/>
      <c r="L5" s="115"/>
      <c r="M5" s="115"/>
      <c r="N5" s="50"/>
    </row>
    <row r="6" spans="1:14" ht="12.75" customHeight="1" thickBot="1" x14ac:dyDescent="0.35">
      <c r="A6" s="238"/>
      <c r="B6" s="447"/>
      <c r="C6" s="448"/>
      <c r="D6" s="448"/>
      <c r="E6" s="448"/>
      <c r="F6" s="448"/>
      <c r="G6" s="448"/>
      <c r="H6" s="448"/>
      <c r="I6" s="449"/>
      <c r="J6" s="239"/>
      <c r="K6" s="115"/>
      <c r="L6" s="115"/>
      <c r="M6" s="115"/>
      <c r="N6" s="50"/>
    </row>
    <row r="7" spans="1:14" ht="12.75" customHeight="1" thickTop="1" x14ac:dyDescent="0.3">
      <c r="A7" s="238"/>
      <c r="B7" s="450" t="s">
        <v>198</v>
      </c>
      <c r="C7" s="451"/>
      <c r="D7" s="451"/>
      <c r="E7" s="451"/>
      <c r="F7" s="451"/>
      <c r="G7" s="451"/>
      <c r="H7" s="451"/>
      <c r="I7" s="452"/>
      <c r="J7" s="242"/>
      <c r="K7" s="115"/>
      <c r="L7" s="115"/>
      <c r="M7" s="115"/>
      <c r="N7" s="50"/>
    </row>
    <row r="8" spans="1:14" ht="12.75" customHeight="1" x14ac:dyDescent="0.3">
      <c r="A8" s="238"/>
      <c r="B8" s="453"/>
      <c r="C8" s="454"/>
      <c r="D8" s="454"/>
      <c r="E8" s="454"/>
      <c r="F8" s="454"/>
      <c r="G8" s="454"/>
      <c r="H8" s="454"/>
      <c r="I8" s="455"/>
      <c r="J8" s="242"/>
      <c r="K8" s="115"/>
      <c r="L8" s="115"/>
      <c r="M8" s="115"/>
      <c r="N8" s="50"/>
    </row>
    <row r="9" spans="1:14" ht="13" x14ac:dyDescent="0.3">
      <c r="A9" s="238"/>
      <c r="B9" s="248" t="s">
        <v>98</v>
      </c>
      <c r="C9" s="249" t="s">
        <v>97</v>
      </c>
      <c r="D9" s="249"/>
      <c r="E9" s="250"/>
      <c r="F9" s="250"/>
      <c r="G9" s="251"/>
      <c r="H9" s="251"/>
      <c r="I9" s="252"/>
      <c r="J9" s="265"/>
    </row>
    <row r="10" spans="1:14" ht="13" x14ac:dyDescent="0.3">
      <c r="A10" s="244"/>
      <c r="B10" s="259"/>
      <c r="C10" s="264" t="s">
        <v>203</v>
      </c>
      <c r="D10" s="260"/>
      <c r="E10" s="261"/>
      <c r="F10" s="261"/>
      <c r="G10" s="262"/>
      <c r="H10" s="262"/>
      <c r="I10" s="263"/>
      <c r="J10" s="265"/>
    </row>
    <row r="11" spans="1:14" ht="13.5" thickBot="1" x14ac:dyDescent="0.35">
      <c r="A11" s="244"/>
      <c r="B11" s="253"/>
      <c r="C11" s="254"/>
      <c r="D11" s="255"/>
      <c r="E11" s="256"/>
      <c r="F11" s="256"/>
      <c r="G11" s="257"/>
      <c r="H11" s="257"/>
      <c r="I11" s="258"/>
      <c r="J11" s="265"/>
    </row>
    <row r="12" spans="1:14" ht="13.5" thickTop="1" x14ac:dyDescent="0.3">
      <c r="A12" s="244"/>
      <c r="B12" s="240"/>
      <c r="C12" s="240"/>
      <c r="D12" s="240"/>
      <c r="E12" s="240"/>
      <c r="F12" s="240"/>
      <c r="G12" s="241"/>
      <c r="H12" s="241"/>
      <c r="I12" s="240"/>
      <c r="J12" s="236"/>
    </row>
    <row r="14" spans="1:14" ht="12.75" customHeight="1" x14ac:dyDescent="0.25">
      <c r="C14" s="438" t="s">
        <v>199</v>
      </c>
      <c r="D14" s="439"/>
      <c r="E14" s="439"/>
      <c r="F14" s="439"/>
      <c r="G14" s="439"/>
      <c r="H14" s="440"/>
      <c r="I14" s="160"/>
    </row>
    <row r="15" spans="1:14" ht="12.75" customHeight="1" thickBot="1" x14ac:dyDescent="0.3">
      <c r="C15" s="441"/>
      <c r="D15" s="442"/>
      <c r="E15" s="442"/>
      <c r="F15" s="442"/>
      <c r="G15" s="442"/>
      <c r="H15" s="443"/>
      <c r="I15" s="160"/>
    </row>
    <row r="16" spans="1:14" ht="14" thickTop="1" thickBot="1" x14ac:dyDescent="0.35">
      <c r="B16" s="24"/>
      <c r="C16" s="24"/>
      <c r="D16" s="63" t="s">
        <v>18</v>
      </c>
      <c r="E16" s="64" t="s">
        <v>5</v>
      </c>
      <c r="F16" s="64" t="s">
        <v>0</v>
      </c>
      <c r="G16" s="65" t="s">
        <v>6</v>
      </c>
      <c r="H16" s="50"/>
      <c r="M16" s="66"/>
    </row>
    <row r="17" spans="2:13" ht="13" thickTop="1" x14ac:dyDescent="0.25">
      <c r="B17" s="24"/>
      <c r="C17" s="24"/>
      <c r="D17" s="67">
        <v>1</v>
      </c>
      <c r="E17" s="68" t="s">
        <v>123</v>
      </c>
      <c r="F17" s="320" t="s">
        <v>695</v>
      </c>
      <c r="G17" s="35" t="s">
        <v>7</v>
      </c>
      <c r="H17" s="50"/>
      <c r="M17" s="66"/>
    </row>
    <row r="18" spans="2:13" ht="13" x14ac:dyDescent="0.3">
      <c r="B18" s="24"/>
      <c r="C18" s="24"/>
      <c r="D18" s="69">
        <f>D17+1</f>
        <v>2</v>
      </c>
      <c r="E18" s="70" t="s">
        <v>21</v>
      </c>
      <c r="F18" s="321" t="s">
        <v>697</v>
      </c>
      <c r="G18" s="71" t="s">
        <v>7</v>
      </c>
      <c r="H18" s="50"/>
      <c r="M18" s="66"/>
    </row>
    <row r="19" spans="2:13" x14ac:dyDescent="0.25">
      <c r="B19" s="24"/>
      <c r="C19" s="24"/>
      <c r="D19" s="69">
        <f>D18+1</f>
        <v>3</v>
      </c>
      <c r="E19" s="70" t="s">
        <v>138</v>
      </c>
      <c r="F19" s="321">
        <v>20</v>
      </c>
      <c r="G19" s="40" t="s">
        <v>8</v>
      </c>
      <c r="H19" s="50"/>
      <c r="M19" s="66"/>
    </row>
    <row r="20" spans="2:13" ht="13" x14ac:dyDescent="0.3">
      <c r="B20" s="24"/>
      <c r="C20" s="24"/>
      <c r="D20" s="69">
        <f>D19+1</f>
        <v>4</v>
      </c>
      <c r="E20" s="70" t="s">
        <v>50</v>
      </c>
      <c r="F20" s="321">
        <v>1</v>
      </c>
      <c r="G20" s="71" t="s">
        <v>7</v>
      </c>
      <c r="H20" s="50"/>
      <c r="M20" s="66"/>
    </row>
    <row r="21" spans="2:13" x14ac:dyDescent="0.25">
      <c r="B21" s="24"/>
      <c r="C21" s="24"/>
      <c r="D21" s="69">
        <f t="shared" ref="D21:D24" si="0">D20+1</f>
        <v>5</v>
      </c>
      <c r="E21" s="70" t="s">
        <v>19</v>
      </c>
      <c r="F21" s="321" t="s">
        <v>665</v>
      </c>
      <c r="G21" s="40" t="s">
        <v>7</v>
      </c>
      <c r="H21" s="50"/>
      <c r="M21" s="66"/>
    </row>
    <row r="22" spans="2:13" x14ac:dyDescent="0.25">
      <c r="B22" s="24"/>
      <c r="C22" s="24"/>
      <c r="D22" s="69">
        <f t="shared" si="0"/>
        <v>6</v>
      </c>
      <c r="E22" s="70" t="s">
        <v>20</v>
      </c>
      <c r="F22" s="322">
        <v>532</v>
      </c>
      <c r="G22" s="40" t="s">
        <v>8</v>
      </c>
      <c r="H22" s="147"/>
      <c r="I22" s="50"/>
      <c r="M22" s="66"/>
    </row>
    <row r="23" spans="2:13" x14ac:dyDescent="0.25">
      <c r="B23" s="24"/>
      <c r="C23" s="24"/>
      <c r="D23" s="69">
        <f t="shared" si="0"/>
        <v>7</v>
      </c>
      <c r="E23" s="70" t="s">
        <v>143</v>
      </c>
      <c r="F23" s="322">
        <v>32</v>
      </c>
      <c r="G23" s="40" t="s">
        <v>11</v>
      </c>
      <c r="H23" s="50"/>
      <c r="M23" s="66"/>
    </row>
    <row r="24" spans="2:13" hidden="1" x14ac:dyDescent="0.25">
      <c r="B24" s="24"/>
      <c r="C24" s="24"/>
      <c r="D24" s="69">
        <f t="shared" si="0"/>
        <v>8</v>
      </c>
      <c r="E24" s="70" t="s">
        <v>38</v>
      </c>
      <c r="F24" s="322">
        <v>1</v>
      </c>
      <c r="G24" s="40" t="s">
        <v>7</v>
      </c>
      <c r="H24" s="50"/>
      <c r="M24" s="66"/>
    </row>
    <row r="25" spans="2:13" x14ac:dyDescent="0.25">
      <c r="B25" s="24"/>
      <c r="C25" s="24"/>
      <c r="D25" s="69">
        <v>8</v>
      </c>
      <c r="E25" s="70" t="s">
        <v>30</v>
      </c>
      <c r="F25" s="322" t="s">
        <v>673</v>
      </c>
      <c r="G25" s="40" t="s">
        <v>7</v>
      </c>
      <c r="H25" s="50"/>
      <c r="M25" s="66"/>
    </row>
    <row r="26" spans="2:13" x14ac:dyDescent="0.25">
      <c r="B26" s="24"/>
      <c r="C26" s="24"/>
      <c r="D26" s="357">
        <f t="shared" ref="D26:D31" si="1">D25+1</f>
        <v>9</v>
      </c>
      <c r="E26" s="358" t="s">
        <v>668</v>
      </c>
      <c r="F26" s="349" t="s">
        <v>672</v>
      </c>
      <c r="G26" s="330" t="s">
        <v>667</v>
      </c>
      <c r="H26" s="50"/>
      <c r="M26" s="66"/>
    </row>
    <row r="27" spans="2:13" x14ac:dyDescent="0.25">
      <c r="B27" s="24"/>
      <c r="C27" s="24"/>
      <c r="D27" s="348">
        <f t="shared" si="1"/>
        <v>10</v>
      </c>
      <c r="E27" s="43" t="s">
        <v>51</v>
      </c>
      <c r="F27" s="349" t="s">
        <v>233</v>
      </c>
      <c r="G27" s="350" t="s">
        <v>7</v>
      </c>
      <c r="H27" s="50"/>
    </row>
    <row r="28" spans="2:13" x14ac:dyDescent="0.25">
      <c r="B28" s="24"/>
      <c r="C28" s="24"/>
      <c r="D28" s="347">
        <f t="shared" si="1"/>
        <v>11</v>
      </c>
      <c r="E28" s="38" t="s">
        <v>661</v>
      </c>
      <c r="F28" s="356">
        <v>80000000</v>
      </c>
      <c r="G28" s="40" t="str">
        <f>IF(_reg_ecc_addr_rng_1_en=1,"Enabled","Disabled")</f>
        <v>Disabled</v>
      </c>
      <c r="H28" s="459" t="s">
        <v>666</v>
      </c>
    </row>
    <row r="29" spans="2:13" x14ac:dyDescent="0.25">
      <c r="B29" s="24"/>
      <c r="C29" s="24"/>
      <c r="D29" s="347">
        <f t="shared" si="1"/>
        <v>12</v>
      </c>
      <c r="E29" s="38" t="s">
        <v>662</v>
      </c>
      <c r="F29" s="351" t="s">
        <v>685</v>
      </c>
      <c r="G29" s="40" t="str">
        <f>IF(_reg_ecc_addr_rng_1_en=1,"Enabled","Disabled")</f>
        <v>Disabled</v>
      </c>
      <c r="H29" s="460"/>
    </row>
    <row r="30" spans="2:13" x14ac:dyDescent="0.25">
      <c r="B30" s="24"/>
      <c r="C30" s="24"/>
      <c r="D30" s="347">
        <f t="shared" si="1"/>
        <v>13</v>
      </c>
      <c r="E30" s="38" t="s">
        <v>663</v>
      </c>
      <c r="F30" s="351">
        <v>80000000</v>
      </c>
      <c r="G30" s="40" t="str">
        <f>IF(_reg_ecc_addr_rng_2_en=1,"Enabled","Disabled")</f>
        <v>Disabled</v>
      </c>
      <c r="H30" s="460"/>
    </row>
    <row r="31" spans="2:13" ht="13" thickBot="1" x14ac:dyDescent="0.3">
      <c r="B31" s="24"/>
      <c r="C31" s="24"/>
      <c r="D31" s="72">
        <f t="shared" si="1"/>
        <v>14</v>
      </c>
      <c r="E31" s="48" t="s">
        <v>664</v>
      </c>
      <c r="F31" s="352">
        <v>80000000</v>
      </c>
      <c r="G31" s="49" t="str">
        <f>IF(_reg_ecc_addr_rng_2_en=1,"Enabled","Disabled")</f>
        <v>Disabled</v>
      </c>
      <c r="H31" s="461"/>
    </row>
    <row r="32" spans="2:13" ht="13" thickTop="1" x14ac:dyDescent="0.25">
      <c r="D32" s="73"/>
      <c r="E32" s="51"/>
      <c r="F32" s="61"/>
      <c r="G32" s="61"/>
      <c r="H32" s="26"/>
      <c r="J32" s="66"/>
    </row>
    <row r="33" spans="2:10" ht="12.75" customHeight="1" x14ac:dyDescent="0.25">
      <c r="C33" s="438" t="s">
        <v>200</v>
      </c>
      <c r="D33" s="439"/>
      <c r="E33" s="439"/>
      <c r="F33" s="439"/>
      <c r="G33" s="439"/>
      <c r="H33" s="440"/>
      <c r="I33" s="160"/>
      <c r="J33" s="66"/>
    </row>
    <row r="34" spans="2:10" ht="12.75" customHeight="1" thickBot="1" x14ac:dyDescent="0.3">
      <c r="C34" s="441"/>
      <c r="D34" s="442"/>
      <c r="E34" s="442"/>
      <c r="F34" s="442"/>
      <c r="G34" s="442"/>
      <c r="H34" s="443"/>
      <c r="I34" s="160"/>
      <c r="J34" s="66"/>
    </row>
    <row r="35" spans="2:10" ht="14" thickTop="1" thickBot="1" x14ac:dyDescent="0.35">
      <c r="B35" s="24"/>
      <c r="C35" s="24"/>
      <c r="D35" s="63" t="s">
        <v>18</v>
      </c>
      <c r="E35" s="64" t="s">
        <v>5</v>
      </c>
      <c r="F35" s="64" t="s">
        <v>0</v>
      </c>
      <c r="G35" s="65" t="s">
        <v>6</v>
      </c>
      <c r="H35" s="456" t="str">
        <f>CONCATENATE("NOTE: Detail ",D39," is only used to determine the ""JEDEC"" values defined in worksheet ""Step3-DDRTimings"". Detail ",D39," does not correspond to the actual CAS latency programmed to the EMIF.")</f>
        <v>NOTE: Detail 18 is only used to determine the "JEDEC" values defined in worksheet "Step3-DDRTimings". Detail 18 does not correspond to the actual CAS latency programmed to the EMIF.</v>
      </c>
    </row>
    <row r="36" spans="2:10" ht="13" thickTop="1" x14ac:dyDescent="0.25">
      <c r="B36" s="24"/>
      <c r="C36" s="24"/>
      <c r="D36" s="74">
        <v>15</v>
      </c>
      <c r="E36" s="34" t="s">
        <v>26</v>
      </c>
      <c r="F36" s="310">
        <v>1600</v>
      </c>
      <c r="G36" s="35" t="s">
        <v>8</v>
      </c>
      <c r="H36" s="457"/>
    </row>
    <row r="37" spans="2:10" x14ac:dyDescent="0.25">
      <c r="B37" s="24"/>
      <c r="C37" s="24"/>
      <c r="D37" s="75">
        <f>D36+1</f>
        <v>16</v>
      </c>
      <c r="E37" s="38" t="s">
        <v>22</v>
      </c>
      <c r="F37" s="322">
        <v>8</v>
      </c>
      <c r="G37" s="40" t="s">
        <v>12</v>
      </c>
      <c r="H37" s="457"/>
    </row>
    <row r="38" spans="2:10" x14ac:dyDescent="0.25">
      <c r="B38" s="24"/>
      <c r="C38" s="24"/>
      <c r="D38" s="75">
        <f>D37+1</f>
        <v>17</v>
      </c>
      <c r="E38" s="38" t="s">
        <v>23</v>
      </c>
      <c r="F38" s="322">
        <v>16</v>
      </c>
      <c r="G38" s="40" t="s">
        <v>11</v>
      </c>
      <c r="H38" s="457"/>
    </row>
    <row r="39" spans="2:10" ht="13" thickBot="1" x14ac:dyDescent="0.3">
      <c r="B39" s="24"/>
      <c r="C39" s="24"/>
      <c r="D39" s="76">
        <f>D38+1</f>
        <v>18</v>
      </c>
      <c r="E39" s="48" t="str">
        <f>CONCATENATE("Speed Bin: CAS Latency @ ",_sdram_data_rate," MHz data rate")</f>
        <v>Speed Bin: CAS Latency @ 1600 MHz data rate</v>
      </c>
      <c r="F39" s="313">
        <v>11</v>
      </c>
      <c r="G39" s="49" t="s">
        <v>24</v>
      </c>
      <c r="H39" s="458"/>
    </row>
    <row r="40" spans="2:10" ht="13" thickTop="1" x14ac:dyDescent="0.25">
      <c r="D40" s="61"/>
      <c r="E40" s="77"/>
      <c r="F40" s="61"/>
      <c r="G40" s="61"/>
      <c r="H40" s="26"/>
    </row>
    <row r="41" spans="2:10" ht="12.75" customHeight="1" x14ac:dyDescent="0.25">
      <c r="C41" s="438" t="s">
        <v>201</v>
      </c>
      <c r="D41" s="439"/>
      <c r="E41" s="439"/>
      <c r="F41" s="439"/>
      <c r="G41" s="439"/>
      <c r="H41" s="440"/>
      <c r="I41" s="160"/>
    </row>
    <row r="42" spans="2:10" ht="12.75" customHeight="1" thickBot="1" x14ac:dyDescent="0.3">
      <c r="C42" s="441"/>
      <c r="D42" s="442"/>
      <c r="E42" s="442"/>
      <c r="F42" s="442"/>
      <c r="G42" s="442"/>
      <c r="H42" s="443"/>
      <c r="I42" s="160"/>
    </row>
    <row r="43" spans="2:10" ht="14" thickTop="1" thickBot="1" x14ac:dyDescent="0.35">
      <c r="B43" s="24"/>
      <c r="C43" s="24"/>
      <c r="D43" s="63" t="s">
        <v>18</v>
      </c>
      <c r="E43" s="64" t="s">
        <v>5</v>
      </c>
      <c r="F43" s="64" t="s">
        <v>0</v>
      </c>
      <c r="G43" s="65" t="s">
        <v>6</v>
      </c>
      <c r="H43" s="78" t="s">
        <v>238</v>
      </c>
      <c r="I43" s="50"/>
    </row>
    <row r="44" spans="2:10" ht="13" thickTop="1" x14ac:dyDescent="0.25">
      <c r="B44" s="24"/>
      <c r="C44" s="24"/>
      <c r="D44" s="74">
        <v>19</v>
      </c>
      <c r="E44" s="34" t="s">
        <v>43</v>
      </c>
      <c r="F44" s="310" t="s">
        <v>669</v>
      </c>
      <c r="G44" s="35" t="s">
        <v>37</v>
      </c>
      <c r="H44" s="79" t="str">
        <f>_sdram_rtt_rec</f>
        <v>RZQ/4</v>
      </c>
      <c r="I44" s="50"/>
    </row>
    <row r="45" spans="2:10" x14ac:dyDescent="0.25">
      <c r="B45" s="24"/>
      <c r="C45" s="24"/>
      <c r="D45" s="75">
        <f>D44+1</f>
        <v>20</v>
      </c>
      <c r="E45" s="38" t="s">
        <v>44</v>
      </c>
      <c r="F45" s="322" t="s">
        <v>236</v>
      </c>
      <c r="G45" s="40" t="s">
        <v>37</v>
      </c>
      <c r="H45" s="80" t="str">
        <f>_sdram_rttwr_rec</f>
        <v>Disabled</v>
      </c>
      <c r="I45" s="50"/>
    </row>
    <row r="46" spans="2:10" ht="13" thickBot="1" x14ac:dyDescent="0.3">
      <c r="B46" s="24"/>
      <c r="C46" s="24"/>
      <c r="D46" s="76">
        <f>D45+1</f>
        <v>21</v>
      </c>
      <c r="E46" s="48" t="s">
        <v>36</v>
      </c>
      <c r="F46" s="313" t="s">
        <v>670</v>
      </c>
      <c r="G46" s="49" t="s">
        <v>37</v>
      </c>
      <c r="H46" s="81" t="str">
        <f>_sdram_drive_imp_rec</f>
        <v>RZQ/7</v>
      </c>
      <c r="I46" s="50"/>
    </row>
    <row r="47" spans="2:10" ht="13" thickTop="1" x14ac:dyDescent="0.25">
      <c r="B47" s="24"/>
      <c r="C47" s="24"/>
      <c r="D47" s="108" t="s">
        <v>237</v>
      </c>
      <c r="E47" s="51"/>
      <c r="F47" s="51"/>
      <c r="G47" s="51"/>
      <c r="H47" s="51"/>
      <c r="I47" s="50"/>
    </row>
    <row r="48" spans="2:10" x14ac:dyDescent="0.25">
      <c r="B48" s="24"/>
      <c r="C48" s="24"/>
      <c r="G48" s="26"/>
      <c r="H48" s="26"/>
      <c r="I48" s="50"/>
    </row>
    <row r="49" spans="3:9" ht="12.75" customHeight="1" x14ac:dyDescent="0.25">
      <c r="C49" s="438" t="s">
        <v>202</v>
      </c>
      <c r="D49" s="439"/>
      <c r="E49" s="439"/>
      <c r="F49" s="439"/>
      <c r="G49" s="439"/>
      <c r="H49" s="440"/>
      <c r="I49" s="161"/>
    </row>
    <row r="50" spans="3:9" ht="12.75" customHeight="1" thickBot="1" x14ac:dyDescent="0.3">
      <c r="C50" s="441"/>
      <c r="D50" s="442"/>
      <c r="E50" s="442"/>
      <c r="F50" s="442"/>
      <c r="G50" s="442"/>
      <c r="H50" s="443"/>
      <c r="I50" s="161"/>
    </row>
    <row r="51" spans="3:9" ht="14" thickTop="1" thickBot="1" x14ac:dyDescent="0.35">
      <c r="D51" s="63" t="s">
        <v>18</v>
      </c>
      <c r="E51" s="64" t="s">
        <v>5</v>
      </c>
      <c r="F51" s="64" t="s">
        <v>0</v>
      </c>
      <c r="G51" s="64" t="s">
        <v>6</v>
      </c>
      <c r="H51" s="65" t="s">
        <v>238</v>
      </c>
      <c r="I51" s="50"/>
    </row>
    <row r="52" spans="3:9" ht="13" thickTop="1" x14ac:dyDescent="0.25">
      <c r="D52" s="74">
        <v>22</v>
      </c>
      <c r="E52" s="82" t="s">
        <v>45</v>
      </c>
      <c r="F52" s="310">
        <v>60</v>
      </c>
      <c r="G52" s="35" t="s">
        <v>37</v>
      </c>
      <c r="H52" s="172">
        <f>_emif_io_odt_rec</f>
        <v>60</v>
      </c>
      <c r="I52" s="50"/>
    </row>
    <row r="53" spans="3:9" x14ac:dyDescent="0.25">
      <c r="D53" s="75">
        <f>D52+1</f>
        <v>23</v>
      </c>
      <c r="E53" s="38" t="s">
        <v>46</v>
      </c>
      <c r="F53" s="322" t="s">
        <v>671</v>
      </c>
      <c r="G53" s="40" t="s">
        <v>7</v>
      </c>
      <c r="H53" s="173" t="str">
        <f>_emif_io_sr_acc_rec</f>
        <v>Fastest: SR[2:0] = 0b000</v>
      </c>
      <c r="I53" s="50"/>
    </row>
    <row r="54" spans="3:9" x14ac:dyDescent="0.25">
      <c r="D54" s="75">
        <f>D53+1</f>
        <v>24</v>
      </c>
      <c r="E54" s="38" t="s">
        <v>47</v>
      </c>
      <c r="F54" s="322" t="s">
        <v>671</v>
      </c>
      <c r="G54" s="40" t="s">
        <v>7</v>
      </c>
      <c r="H54" s="173" t="str">
        <f>_emif_io_sr_ds_rec</f>
        <v>Fastest: SR[2:0] = 0b000</v>
      </c>
      <c r="I54" s="50"/>
    </row>
    <row r="55" spans="3:9" x14ac:dyDescent="0.25">
      <c r="D55" s="75">
        <f>D54+1</f>
        <v>25</v>
      </c>
      <c r="E55" s="38" t="s">
        <v>48</v>
      </c>
      <c r="F55" s="322">
        <v>34</v>
      </c>
      <c r="G55" s="40" t="s">
        <v>37</v>
      </c>
      <c r="H55" s="173">
        <f>_emif_io_dr_acc_rec</f>
        <v>34</v>
      </c>
      <c r="I55" s="50"/>
    </row>
    <row r="56" spans="3:9" ht="13" thickBot="1" x14ac:dyDescent="0.3">
      <c r="D56" s="76">
        <f>D55+1</f>
        <v>26</v>
      </c>
      <c r="E56" s="48" t="s">
        <v>49</v>
      </c>
      <c r="F56" s="313">
        <v>48</v>
      </c>
      <c r="G56" s="49" t="s">
        <v>37</v>
      </c>
      <c r="H56" s="174">
        <f>_emif_io_dr_ds_rec</f>
        <v>48</v>
      </c>
      <c r="I56" s="50"/>
    </row>
    <row r="57" spans="3:9" ht="13" thickTop="1" x14ac:dyDescent="0.25">
      <c r="D57" s="108" t="s">
        <v>237</v>
      </c>
      <c r="E57" s="51"/>
      <c r="F57" s="51"/>
      <c r="G57" s="61"/>
      <c r="H57" s="61"/>
    </row>
    <row r="61" spans="3:9" x14ac:dyDescent="0.25">
      <c r="G61" s="26"/>
      <c r="H61" s="26"/>
    </row>
    <row r="62" spans="3:9" x14ac:dyDescent="0.25">
      <c r="G62" s="26"/>
      <c r="H62" s="26"/>
    </row>
    <row r="63" spans="3:9" x14ac:dyDescent="0.25">
      <c r="G63" s="26"/>
      <c r="H63" s="26"/>
    </row>
    <row r="64" spans="3:9" x14ac:dyDescent="0.25">
      <c r="G64" s="26"/>
      <c r="H64" s="26"/>
    </row>
    <row r="65" spans="7:8" x14ac:dyDescent="0.25">
      <c r="G65" s="26"/>
      <c r="H65" s="26"/>
    </row>
    <row r="66" spans="7:8" x14ac:dyDescent="0.25">
      <c r="G66" s="26"/>
      <c r="H66" s="26"/>
    </row>
    <row r="67" spans="7:8" x14ac:dyDescent="0.25">
      <c r="G67" s="26"/>
      <c r="H67" s="26"/>
    </row>
    <row r="68" spans="7:8" x14ac:dyDescent="0.25">
      <c r="G68" s="26"/>
      <c r="H68" s="26"/>
    </row>
    <row r="69" spans="7:8" x14ac:dyDescent="0.25">
      <c r="G69" s="26"/>
      <c r="H69" s="26"/>
    </row>
    <row r="70" spans="7:8" x14ac:dyDescent="0.25">
      <c r="G70" s="26"/>
      <c r="H70" s="26"/>
    </row>
    <row r="71" spans="7:8" x14ac:dyDescent="0.25">
      <c r="G71" s="26"/>
      <c r="H71" s="26"/>
    </row>
    <row r="72" spans="7:8" x14ac:dyDescent="0.25">
      <c r="G72" s="26"/>
      <c r="H72" s="26"/>
    </row>
  </sheetData>
  <sheetProtection password="D41E" sheet="1" objects="1" scenarios="1"/>
  <mergeCells count="10">
    <mergeCell ref="B3:I3"/>
    <mergeCell ref="B2:I2"/>
    <mergeCell ref="C49:H50"/>
    <mergeCell ref="B4:I6"/>
    <mergeCell ref="B7:I8"/>
    <mergeCell ref="C14:H15"/>
    <mergeCell ref="C33:H34"/>
    <mergeCell ref="C41:H42"/>
    <mergeCell ref="H35:H39"/>
    <mergeCell ref="H28:H31"/>
  </mergeCells>
  <conditionalFormatting sqref="F36">
    <cfRule type="cellIs" dxfId="36" priority="23" operator="lessThan">
      <formula>(2*_ddr_pll_freq)</formula>
    </cfRule>
    <cfRule type="expression" dxfId="35" priority="30">
      <formula>SUM(IF(_sdram_data_rate=_dyn_user_sdram_data_list,1,0))=0</formula>
    </cfRule>
  </conditionalFormatting>
  <conditionalFormatting sqref="F44">
    <cfRule type="expression" dxfId="34" priority="18" stopIfTrue="1">
      <formula>SUM(IF(_sdram_rtt=_dyn_user_sdram_rtt_list,1,0))=0</formula>
    </cfRule>
    <cfRule type="cellIs" dxfId="33" priority="29" operator="notEqual">
      <formula>H44</formula>
    </cfRule>
  </conditionalFormatting>
  <conditionalFormatting sqref="F45">
    <cfRule type="expression" dxfId="32" priority="17" stopIfTrue="1">
      <formula>SUM(IF(_sdram_rttwr=_dyn_user_sdram_rttwr_list,1,0))=0</formula>
    </cfRule>
    <cfRule type="cellIs" dxfId="31" priority="28" operator="notEqual">
      <formula>H45</formula>
    </cfRule>
  </conditionalFormatting>
  <conditionalFormatting sqref="F46">
    <cfRule type="expression" dxfId="30" priority="16" stopIfTrue="1">
      <formula>SUM(IF(_sdram_drive_imp=_dyn_user_sdram_drivimp_list,1,0))=0</formula>
    </cfRule>
    <cfRule type="cellIs" dxfId="29" priority="27" operator="notEqual">
      <formula>H46</formula>
    </cfRule>
  </conditionalFormatting>
  <conditionalFormatting sqref="F21">
    <cfRule type="expression" dxfId="28" priority="26">
      <formula>SUM(IF(_sdram_type=_dyn_user_memtype_list,1,0))=0</formula>
    </cfRule>
  </conditionalFormatting>
  <conditionalFormatting sqref="F24">
    <cfRule type="expression" dxfId="27" priority="25">
      <formula>SUM(IF(_sdram_ebank=_dyn_user_cs_list,1,0))=0</formula>
    </cfRule>
  </conditionalFormatting>
  <conditionalFormatting sqref="F22">
    <cfRule type="expression" dxfId="26" priority="24">
      <formula>OR(_ddr_pll_freq&lt;_dyn_user_freqmin,_ddr_pll_freq&gt;_dyn_user_freqmax)</formula>
    </cfRule>
  </conditionalFormatting>
  <conditionalFormatting sqref="F37">
    <cfRule type="expression" dxfId="25" priority="22">
      <formula>SUM(IF(_sdram_density=_dyn_user_sdram_density_list,1,0))=0</formula>
    </cfRule>
  </conditionalFormatting>
  <conditionalFormatting sqref="F39">
    <cfRule type="expression" dxfId="24" priority="21">
      <formula>SUM(IF(_sdram_cl_max=_dyn_user_sdram_cl,1,0))=0</formula>
    </cfRule>
  </conditionalFormatting>
  <conditionalFormatting sqref="F20">
    <cfRule type="expression" dxfId="23" priority="20">
      <formula>SUM(IF(_user_emifs=_dyn_user_emifs_list,1,0))=0</formula>
    </cfRule>
  </conditionalFormatting>
  <conditionalFormatting sqref="F25">
    <cfRule type="expression" dxfId="22" priority="15">
      <formula>SUM(IF(_user_lvl_tech=_dyn_user_sdram_lvl_list,1,0))=0</formula>
    </cfRule>
  </conditionalFormatting>
  <conditionalFormatting sqref="F55">
    <cfRule type="cellIs" dxfId="21" priority="14" operator="notEqual">
      <formula>$H$55</formula>
    </cfRule>
  </conditionalFormatting>
  <conditionalFormatting sqref="F52">
    <cfRule type="cellIs" dxfId="20" priority="13" operator="notEqual">
      <formula>$H$52</formula>
    </cfRule>
  </conditionalFormatting>
  <conditionalFormatting sqref="F53">
    <cfRule type="cellIs" dxfId="19" priority="12" operator="notEqual">
      <formula>$H$53</formula>
    </cfRule>
  </conditionalFormatting>
  <conditionalFormatting sqref="F54">
    <cfRule type="cellIs" dxfId="18" priority="11" operator="notEqual">
      <formula>$H$54</formula>
    </cfRule>
  </conditionalFormatting>
  <conditionalFormatting sqref="F56">
    <cfRule type="cellIs" dxfId="17" priority="10" operator="notEqual">
      <formula>$H$56</formula>
    </cfRule>
  </conditionalFormatting>
  <conditionalFormatting sqref="F27">
    <cfRule type="expression" dxfId="16" priority="9">
      <formula>SUM(IF(_user_ecc=_dyn_user_ecc_list,1,0))=0</formula>
    </cfRule>
  </conditionalFormatting>
  <conditionalFormatting sqref="F28:F31">
    <cfRule type="expression" dxfId="15" priority="5">
      <formula>_user_ecc="No"</formula>
    </cfRule>
  </conditionalFormatting>
  <conditionalFormatting sqref="F31">
    <cfRule type="expression" dxfId="14" priority="7">
      <formula>HEX2DEC(_user_ecc_end_addr2)&lt;HEX2DEC(_user_ecc_start_addr2)</formula>
    </cfRule>
  </conditionalFormatting>
  <conditionalFormatting sqref="F29">
    <cfRule type="expression" dxfId="13" priority="6">
      <formula>HEX2DEC(_user_ecc_end_addr1)&lt;HEX2DEC(_user_ecc_start_addr1)</formula>
    </cfRule>
  </conditionalFormatting>
  <conditionalFormatting sqref="G30">
    <cfRule type="expression" dxfId="12" priority="4">
      <formula>AND(_user_ecc="Yes",_reg_ecc_addr_rng_2_en=0)</formula>
    </cfRule>
  </conditionalFormatting>
  <conditionalFormatting sqref="G31">
    <cfRule type="expression" dxfId="11" priority="3">
      <formula>AND(_user_ecc="Yes",_reg_ecc_addr_rng_2_en=0)</formula>
    </cfRule>
  </conditionalFormatting>
  <conditionalFormatting sqref="G28">
    <cfRule type="expression" dxfId="10" priority="2">
      <formula>AND(_user_ecc="Yes",_reg_ecc_addr_rng_1_en=0)</formula>
    </cfRule>
  </conditionalFormatting>
  <conditionalFormatting sqref="G29">
    <cfRule type="expression" dxfId="9" priority="1">
      <formula>AND(_user_ecc="Yes",_reg_ecc_addr_rng_1_en=0)</formula>
    </cfRule>
  </conditionalFormatting>
  <dataValidations xWindow="675" yWindow="474" count="25">
    <dataValidation type="list" allowBlank="1" showInputMessage="1" showErrorMessage="1" sqref="F44" xr:uid="{00000000-0002-0000-0200-000000000000}">
      <formula1>_dyn_user_sdram_rtt</formula1>
    </dataValidation>
    <dataValidation type="list" allowBlank="1" showInputMessage="1" showErrorMessage="1" sqref="F36" xr:uid="{00000000-0002-0000-0200-000001000000}">
      <formula1>_dyn_user_sdram_data</formula1>
    </dataValidation>
    <dataValidation type="list" allowBlank="1" showInputMessage="1" showErrorMessage="1" sqref="F38" xr:uid="{00000000-0002-0000-0200-000002000000}">
      <formula1>_dyn_user_sdram_width</formula1>
    </dataValidation>
    <dataValidation type="list" allowBlank="1" showInputMessage="1" showErrorMessage="1" sqref="F37" xr:uid="{00000000-0002-0000-0200-000003000000}">
      <formula1>_dyn_user_sdram_density</formula1>
    </dataValidation>
    <dataValidation type="list" allowBlank="1" showInputMessage="1" showErrorMessage="1" sqref="F45" xr:uid="{00000000-0002-0000-0200-000004000000}">
      <formula1>_dyn_user_sdram_rttwr</formula1>
    </dataValidation>
    <dataValidation type="list" allowBlank="1" showInputMessage="1" showErrorMessage="1" sqref="F46" xr:uid="{00000000-0002-0000-0200-000005000000}">
      <formula1>_dyn_user_sdram_drivimp</formula1>
    </dataValidation>
    <dataValidation type="list" allowBlank="1" showInputMessage="1" showErrorMessage="1" sqref="F39" xr:uid="{00000000-0002-0000-0200-000006000000}">
      <formula1>_dyn_user_sdram_cl</formula1>
    </dataValidation>
    <dataValidation type="list" allowBlank="1" showInputMessage="1" showErrorMessage="1" sqref="F52" xr:uid="{00000000-0002-0000-0200-000007000000}">
      <formula1>"Disabled,60,80,120"</formula1>
    </dataValidation>
    <dataValidation type="list" allowBlank="1" showInputMessage="1" showErrorMessage="1" sqref="F53:F54" xr:uid="{00000000-0002-0000-0200-000008000000}">
      <formula1>_dyn_user_emif_io_sr</formula1>
    </dataValidation>
    <dataValidation type="list" allowBlank="1" showInputMessage="1" showErrorMessage="1" sqref="F55:F56" xr:uid="{00000000-0002-0000-0200-000009000000}">
      <formula1>"34,40,48,60,80"</formula1>
    </dataValidation>
    <dataValidation type="list" allowBlank="1" showInputMessage="1" showErrorMessage="1" sqref="F21" xr:uid="{00000000-0002-0000-0200-00000A000000}">
      <formula1>_dyn_user_memtype</formula1>
    </dataValidation>
    <dataValidation type="custom" errorStyle="warning" allowBlank="1" showInputMessage="1" showErrorMessage="1" error="Frequency is beyond the datasheet limits of the selected SOC as of July 23rd, 2015. Refer to the latest datasheet for valid frequencies." sqref="F22" xr:uid="{00000000-0002-0000-0200-00000B000000}">
      <formula1>AND(_ddr_pll_freq&gt;=_dyn_user_freqmin,_ddr_pll_freq&lt;=_dyn_user_freqmax)</formula1>
    </dataValidation>
    <dataValidation type="list" allowBlank="1" showInputMessage="1" showErrorMessage="1" sqref="F18" xr:uid="{00000000-0002-0000-0200-00000C000000}">
      <formula1>_dyn_user_soc_list</formula1>
    </dataValidation>
    <dataValidation type="list" allowBlank="1" showInputMessage="1" showErrorMessage="1" error="Please ensure the part number is correct, and that the value entered is within the datasheet limits!" sqref="F23" xr:uid="{00000000-0002-0000-0200-00000D000000}">
      <formula1>"16,32"</formula1>
    </dataValidation>
    <dataValidation type="list" allowBlank="1" showInputMessage="1" showErrorMessage="1" error="Please ensure the part number is correct, and that the value entered is within the datasheet limits!" sqref="F25" xr:uid="{00000000-0002-0000-0200-00000E000000}">
      <formula1>_dyn_user_sdram_lvl</formula1>
    </dataValidation>
    <dataValidation type="list" allowBlank="1" showDropDown="1" showInputMessage="1" showErrorMessage="1" error="Please ensure the part number is correct, and that the value entered is within the datasheet limits!" sqref="F24" xr:uid="{00000000-0002-0000-0200-00000F000000}">
      <formula1>"1"</formula1>
    </dataValidation>
    <dataValidation type="list" allowBlank="1" showInputMessage="1" showErrorMessage="1" sqref="F27" xr:uid="{00000000-0002-0000-0200-000010000000}">
      <formula1>_dyn_user_ecc</formula1>
    </dataValidation>
    <dataValidation type="list" allowBlank="1" showInputMessage="1" showErrorMessage="1" sqref="F20" xr:uid="{00000000-0002-0000-0200-000011000000}">
      <formula1>_dyn_user_emifs</formula1>
    </dataValidation>
    <dataValidation type="list" allowBlank="1" showInputMessage="1" showErrorMessage="1" sqref="F19" xr:uid="{00000000-0002-0000-0200-000012000000}">
      <formula1>"19.2,20,27"</formula1>
    </dataValidation>
    <dataValidation type="custom" allowBlank="1" showInputMessage="1" showErrorMessage="1" error="Special characters and spaces not allowed." prompt="Valid Characters: a-z,A-Z,0-9,_" sqref="F17" xr:uid="{00000000-0002-0000-0200-000013000000}">
      <formula1>(_dyn_user_project=FALSE)</formula1>
    </dataValidation>
    <dataValidation type="custom" allowBlank="1" showInputMessage="1" showErrorMessage="1" sqref="F28" xr:uid="{00000000-0002-0000-0200-000014000000}">
      <formula1>AND(IFERROR(HEX2DEC(_user_ecc_start_addr1),"BAD")&lt;&gt;"BAD",HEX2DEC(_user_ecc_start_addr1)&gt;=HEX2DEC(80000000),HEX2DEC(_user_ecc_start_addr1)&lt;=HEX2DEC(RIGHT("0xFFFFFFFF",8)))</formula1>
    </dataValidation>
    <dataValidation type="custom" allowBlank="1" showInputMessage="1" showErrorMessage="1" sqref="F29" xr:uid="{00000000-0002-0000-0200-000015000000}">
      <formula1>AND(IFERROR(HEX2DEC(_user_ecc_end_addr1),"BAD")&lt;&gt;"BAD",HEX2DEC(_user_ecc_end_addr1)&gt;=HEX2DEC(_user_ecc_start_addr1),HEX2DEC(_user_ecc_end_addr1)&lt;=HEX2DEC(RIGHT("0xFFFFFFFF",8)))</formula1>
    </dataValidation>
    <dataValidation type="custom" allowBlank="1" showInputMessage="1" showErrorMessage="1" sqref="F31" xr:uid="{00000000-0002-0000-0200-000016000000}">
      <formula1>AND(IFERROR(HEX2DEC(_user_ecc_end_addr2),"BAD")&lt;&gt;"BAD",HEX2DEC(_user_ecc_end_addr2)&gt;=HEX2DEC(_user_ecc_start_addr2),HEX2DEC(_user_ecc_end_addr2)&lt;=HEX2DEC(RIGHT("0xFFFFFFFF",8)))</formula1>
    </dataValidation>
    <dataValidation type="custom" allowBlank="1" showInputMessage="1" showErrorMessage="1" sqref="F30" xr:uid="{00000000-0002-0000-0200-000017000000}">
      <formula1>AND(IFERROR(HEX2DEC(_user_ecc_start_addr2),"BAD")&lt;&gt;"BAD",HEX2DEC(_user_ecc_start_addr2)&gt;=HEX2DEC(80000000),HEX2DEC(_user_ecc_start_addr2)&lt;=HEX2DEC(RIGHT("0xFFFFFFFF",8)))</formula1>
    </dataValidation>
    <dataValidation type="list" allowBlank="1" showInputMessage="1" showErrorMessage="1" error="Please ensure the part number is correct, and that the value entered is within the datasheet limits!" sqref="F26" xr:uid="{00000000-0002-0000-0200-000018000000}">
      <formula1>"&lt;= 85,&lt;= 95,&lt;= 105,&lt;= 125"</formula1>
    </dataValidation>
  </dataValidations>
  <pageMargins left="0.7" right="0.7" top="0.75" bottom="0.75" header="0.3" footer="0.3"/>
  <pageSetup orientation="portrait" r:id="rId1"/>
  <picture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0000"/>
  </sheetPr>
  <dimension ref="A1:T107"/>
  <sheetViews>
    <sheetView zoomScaleNormal="100" workbookViewId="0">
      <pane ySplit="17" topLeftCell="A21" activePane="bottomLeft" state="frozen"/>
      <selection pane="bottomLeft" activeCell="G61" sqref="G61"/>
    </sheetView>
  </sheetViews>
  <sheetFormatPr defaultColWidth="9.1796875" defaultRowHeight="12.5" x14ac:dyDescent="0.25"/>
  <cols>
    <col min="1" max="1" width="9.1796875" style="24"/>
    <col min="2" max="2" width="9.1796875" style="26"/>
    <col min="3" max="3" width="5.7265625" style="26" customWidth="1"/>
    <col min="4" max="14" width="11.7265625" style="26" customWidth="1"/>
    <col min="15" max="16384" width="9.1796875" style="26"/>
  </cols>
  <sheetData>
    <row r="1" spans="1:18" ht="12.75" customHeight="1" x14ac:dyDescent="0.3">
      <c r="A1" s="236"/>
      <c r="B1" s="236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6"/>
      <c r="P1" s="236"/>
      <c r="Q1" s="236"/>
      <c r="R1" s="236"/>
    </row>
    <row r="2" spans="1:18" ht="12.75" customHeight="1" x14ac:dyDescent="0.3">
      <c r="A2" s="236"/>
      <c r="B2" s="435" t="str">
        <f>'Title-README'!$B$9</f>
        <v>Date: November 2nd, 2019</v>
      </c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7"/>
      <c r="P2" s="236"/>
      <c r="Q2" s="236"/>
      <c r="R2" s="236"/>
    </row>
    <row r="3" spans="1:18" ht="12.75" customHeight="1" x14ac:dyDescent="0.3">
      <c r="A3" s="236"/>
      <c r="B3" s="435" t="str">
        <f>'Title-README'!$B$11</f>
        <v>Revision: 2.0.3</v>
      </c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7"/>
      <c r="P3" s="236"/>
      <c r="Q3" s="236"/>
      <c r="R3" s="236"/>
    </row>
    <row r="4" spans="1:18" ht="12.75" customHeight="1" x14ac:dyDescent="0.3">
      <c r="A4" s="244"/>
      <c r="B4" s="487" t="s">
        <v>657</v>
      </c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9"/>
      <c r="P4" s="240"/>
      <c r="Q4" s="240"/>
      <c r="R4" s="236"/>
    </row>
    <row r="5" spans="1:18" ht="12.75" customHeight="1" x14ac:dyDescent="0.3">
      <c r="A5" s="238"/>
      <c r="B5" s="487"/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9"/>
      <c r="P5" s="236"/>
      <c r="Q5" s="236"/>
      <c r="R5" s="236"/>
    </row>
    <row r="6" spans="1:18" ht="12.75" customHeight="1" thickBot="1" x14ac:dyDescent="0.35">
      <c r="A6" s="238"/>
      <c r="B6" s="487"/>
      <c r="C6" s="488"/>
      <c r="D6" s="488"/>
      <c r="E6" s="488"/>
      <c r="F6" s="488"/>
      <c r="G6" s="488"/>
      <c r="H6" s="488"/>
      <c r="I6" s="488"/>
      <c r="J6" s="488"/>
      <c r="K6" s="488"/>
      <c r="L6" s="488"/>
      <c r="M6" s="488"/>
      <c r="N6" s="488"/>
      <c r="O6" s="489"/>
      <c r="P6" s="236"/>
      <c r="Q6" s="236"/>
      <c r="R6" s="236"/>
    </row>
    <row r="7" spans="1:18" ht="12.75" customHeight="1" thickTop="1" x14ac:dyDescent="0.3">
      <c r="A7" s="238"/>
      <c r="B7" s="490" t="s">
        <v>198</v>
      </c>
      <c r="C7" s="491"/>
      <c r="D7" s="491"/>
      <c r="E7" s="491"/>
      <c r="F7" s="491"/>
      <c r="G7" s="491"/>
      <c r="H7" s="491"/>
      <c r="I7" s="491"/>
      <c r="J7" s="491"/>
      <c r="K7" s="491"/>
      <c r="L7" s="491"/>
      <c r="M7" s="491"/>
      <c r="N7" s="491"/>
      <c r="O7" s="492"/>
      <c r="P7" s="265"/>
      <c r="Q7" s="236"/>
      <c r="R7" s="236"/>
    </row>
    <row r="8" spans="1:18" ht="12.75" customHeight="1" x14ac:dyDescent="0.3">
      <c r="A8" s="238"/>
      <c r="B8" s="493"/>
      <c r="C8" s="494"/>
      <c r="D8" s="494"/>
      <c r="E8" s="494"/>
      <c r="F8" s="494"/>
      <c r="G8" s="494"/>
      <c r="H8" s="494"/>
      <c r="I8" s="494"/>
      <c r="J8" s="494"/>
      <c r="K8" s="494"/>
      <c r="L8" s="494"/>
      <c r="M8" s="494"/>
      <c r="N8" s="494"/>
      <c r="O8" s="495"/>
      <c r="P8" s="265"/>
      <c r="Q8" s="236"/>
      <c r="R8" s="236"/>
    </row>
    <row r="9" spans="1:18" ht="12.75" customHeight="1" x14ac:dyDescent="0.3">
      <c r="A9" s="238"/>
      <c r="B9" s="267" t="s">
        <v>98</v>
      </c>
      <c r="C9" s="268" t="s">
        <v>144</v>
      </c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69"/>
      <c r="O9" s="270"/>
      <c r="P9" s="265"/>
      <c r="Q9" s="236"/>
      <c r="R9" s="236"/>
    </row>
    <row r="10" spans="1:18" ht="12.75" customHeight="1" x14ac:dyDescent="0.3">
      <c r="A10" s="238"/>
      <c r="B10" s="278"/>
      <c r="C10" s="271"/>
      <c r="D10" s="272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9"/>
      <c r="P10" s="265"/>
      <c r="Q10" s="236"/>
      <c r="R10" s="236"/>
    </row>
    <row r="11" spans="1:18" ht="12.75" customHeight="1" x14ac:dyDescent="0.3">
      <c r="A11" s="238"/>
      <c r="B11" s="278"/>
      <c r="C11" s="272" t="s">
        <v>109</v>
      </c>
      <c r="D11" s="273"/>
      <c r="E11" s="274"/>
      <c r="F11" s="271"/>
      <c r="G11" s="271"/>
      <c r="H11" s="271"/>
      <c r="I11" s="271"/>
      <c r="J11" s="271"/>
      <c r="K11" s="271"/>
      <c r="L11" s="271"/>
      <c r="M11" s="271"/>
      <c r="N11" s="271"/>
      <c r="O11" s="279"/>
      <c r="P11" s="265"/>
      <c r="Q11" s="236"/>
      <c r="R11" s="236"/>
    </row>
    <row r="12" spans="1:18" ht="12.75" customHeight="1" x14ac:dyDescent="0.3">
      <c r="A12" s="238"/>
      <c r="B12" s="278"/>
      <c r="C12" s="282" t="s">
        <v>98</v>
      </c>
      <c r="D12" s="274" t="s">
        <v>112</v>
      </c>
      <c r="E12" s="275"/>
      <c r="F12" s="271"/>
      <c r="G12" s="271"/>
      <c r="H12" s="271"/>
      <c r="I12" s="271"/>
      <c r="J12" s="271"/>
      <c r="K12" s="271"/>
      <c r="L12" s="271"/>
      <c r="M12" s="271"/>
      <c r="N12" s="271"/>
      <c r="O12" s="279"/>
      <c r="P12" s="265"/>
      <c r="Q12" s="236"/>
      <c r="R12" s="236"/>
    </row>
    <row r="13" spans="1:18" ht="12.75" customHeight="1" x14ac:dyDescent="0.3">
      <c r="A13" s="238"/>
      <c r="B13" s="278"/>
      <c r="C13" s="282" t="s">
        <v>99</v>
      </c>
      <c r="D13" s="275" t="s">
        <v>121</v>
      </c>
      <c r="E13" s="275"/>
      <c r="F13" s="271"/>
      <c r="G13" s="271"/>
      <c r="H13" s="271"/>
      <c r="I13" s="271"/>
      <c r="J13" s="271"/>
      <c r="K13" s="271"/>
      <c r="L13" s="271"/>
      <c r="M13" s="271"/>
      <c r="N13" s="271"/>
      <c r="O13" s="279"/>
      <c r="P13" s="265"/>
      <c r="Q13" s="236"/>
      <c r="R13" s="236"/>
    </row>
    <row r="14" spans="1:18" ht="12.75" customHeight="1" x14ac:dyDescent="0.3">
      <c r="A14" s="238"/>
      <c r="B14" s="278"/>
      <c r="C14" s="282" t="s">
        <v>100</v>
      </c>
      <c r="D14" s="275" t="s">
        <v>110</v>
      </c>
      <c r="E14" s="275"/>
      <c r="F14" s="271"/>
      <c r="G14" s="271"/>
      <c r="H14" s="271"/>
      <c r="I14" s="271"/>
      <c r="J14" s="271"/>
      <c r="K14" s="271"/>
      <c r="L14" s="271"/>
      <c r="M14" s="271"/>
      <c r="N14" s="271"/>
      <c r="O14" s="279"/>
      <c r="P14" s="265"/>
      <c r="Q14" s="236"/>
      <c r="R14" s="236"/>
    </row>
    <row r="15" spans="1:18" ht="12.75" customHeight="1" x14ac:dyDescent="0.3">
      <c r="A15" s="238"/>
      <c r="B15" s="278"/>
      <c r="C15" s="282" t="s">
        <v>101</v>
      </c>
      <c r="D15" s="275" t="s">
        <v>117</v>
      </c>
      <c r="E15" s="275"/>
      <c r="F15" s="271"/>
      <c r="G15" s="271"/>
      <c r="H15" s="271"/>
      <c r="I15" s="271"/>
      <c r="J15" s="271"/>
      <c r="K15" s="271"/>
      <c r="L15" s="271"/>
      <c r="M15" s="271"/>
      <c r="N15" s="271"/>
      <c r="O15" s="279"/>
      <c r="P15" s="265"/>
      <c r="Q15" s="236"/>
      <c r="R15" s="236"/>
    </row>
    <row r="16" spans="1:18" ht="13.5" thickBot="1" x14ac:dyDescent="0.35">
      <c r="A16" s="238"/>
      <c r="B16" s="280"/>
      <c r="C16" s="276"/>
      <c r="D16" s="276"/>
      <c r="E16" s="276"/>
      <c r="F16" s="276"/>
      <c r="G16" s="276"/>
      <c r="H16" s="277"/>
      <c r="I16" s="277"/>
      <c r="J16" s="276"/>
      <c r="K16" s="276"/>
      <c r="L16" s="276"/>
      <c r="M16" s="276"/>
      <c r="N16" s="276"/>
      <c r="O16" s="281"/>
      <c r="P16" s="265"/>
      <c r="Q16" s="236"/>
      <c r="R16" s="236"/>
    </row>
    <row r="17" spans="1:18" ht="13.5" thickTop="1" x14ac:dyDescent="0.3">
      <c r="A17" s="238"/>
      <c r="B17" s="240"/>
      <c r="C17" s="240"/>
      <c r="D17" s="230"/>
      <c r="E17" s="230"/>
      <c r="F17" s="230"/>
      <c r="G17" s="230"/>
      <c r="H17" s="266"/>
      <c r="I17" s="266"/>
      <c r="J17" s="230"/>
      <c r="K17" s="240"/>
      <c r="L17" s="240"/>
      <c r="M17" s="240"/>
      <c r="N17" s="240"/>
      <c r="O17" s="240"/>
      <c r="P17" s="236"/>
      <c r="Q17" s="236"/>
      <c r="R17" s="236"/>
    </row>
    <row r="18" spans="1:18" x14ac:dyDescent="0.25">
      <c r="D18" s="27"/>
      <c r="E18" s="27"/>
      <c r="F18" s="27"/>
      <c r="G18" s="27"/>
      <c r="H18" s="112"/>
      <c r="I18" s="112"/>
      <c r="J18" s="27"/>
    </row>
    <row r="19" spans="1:18" x14ac:dyDescent="0.25">
      <c r="C19" s="109"/>
      <c r="D19" s="113" t="s">
        <v>119</v>
      </c>
      <c r="E19" s="110"/>
      <c r="F19" s="110"/>
      <c r="G19" s="110"/>
      <c r="H19" s="111"/>
      <c r="I19" s="111"/>
      <c r="J19" s="110"/>
      <c r="K19" s="109"/>
      <c r="L19" s="109"/>
      <c r="M19" s="109"/>
      <c r="N19" s="109"/>
    </row>
    <row r="20" spans="1:18" ht="13" thickBot="1" x14ac:dyDescent="0.3">
      <c r="C20" s="52"/>
      <c r="D20" s="32"/>
      <c r="E20" s="32"/>
      <c r="F20" s="32"/>
      <c r="G20" s="32"/>
      <c r="H20" s="53"/>
      <c r="I20" s="53"/>
      <c r="J20" s="32"/>
      <c r="K20" s="52"/>
      <c r="L20" s="52"/>
      <c r="M20" s="52"/>
      <c r="N20" s="52"/>
    </row>
    <row r="21" spans="1:18" ht="13.5" thickTop="1" thickBot="1" x14ac:dyDescent="0.3">
      <c r="B21" s="24"/>
      <c r="C21" s="468" t="s">
        <v>105</v>
      </c>
      <c r="D21" s="470" t="str">
        <f>"Enter the trace lengths for the associated signals connecting the DDR memories to EMIF1, chip select 0"</f>
        <v>Enter the trace lengths for the associated signals connecting the DDR memories to EMIF1, chip select 0</v>
      </c>
      <c r="E21" s="470"/>
      <c r="F21" s="470"/>
      <c r="G21" s="470"/>
      <c r="H21" s="470"/>
      <c r="I21" s="470"/>
      <c r="J21" s="470"/>
      <c r="K21" s="470"/>
      <c r="L21" s="470"/>
      <c r="M21" s="470"/>
      <c r="N21" s="470"/>
      <c r="O21" s="50"/>
    </row>
    <row r="22" spans="1:18" ht="13.5" thickTop="1" thickBot="1" x14ac:dyDescent="0.3">
      <c r="B22" s="24"/>
      <c r="C22" s="496"/>
      <c r="D22" s="470"/>
      <c r="E22" s="470"/>
      <c r="F22" s="470"/>
      <c r="G22" s="470"/>
      <c r="H22" s="470"/>
      <c r="I22" s="470"/>
      <c r="J22" s="470"/>
      <c r="K22" s="470"/>
      <c r="L22" s="470"/>
      <c r="M22" s="470"/>
      <c r="N22" s="470"/>
      <c r="O22" s="50"/>
    </row>
    <row r="23" spans="1:18" ht="13" customHeight="1" thickTop="1" x14ac:dyDescent="0.25">
      <c r="B23" s="24"/>
      <c r="C23" s="24"/>
      <c r="D23" s="471" t="s">
        <v>40</v>
      </c>
      <c r="E23" s="472"/>
      <c r="F23" s="472"/>
      <c r="G23" s="472"/>
      <c r="H23" s="472"/>
      <c r="I23" s="472"/>
      <c r="J23" s="472"/>
      <c r="K23" s="472"/>
      <c r="L23" s="472"/>
      <c r="M23" s="472"/>
      <c r="N23" s="473"/>
      <c r="O23" s="50"/>
    </row>
    <row r="24" spans="1:18" ht="13" customHeight="1" thickBot="1" x14ac:dyDescent="0.3">
      <c r="B24" s="24"/>
      <c r="C24" s="24"/>
      <c r="D24" s="474"/>
      <c r="E24" s="475"/>
      <c r="F24" s="475"/>
      <c r="G24" s="475"/>
      <c r="H24" s="475"/>
      <c r="I24" s="475"/>
      <c r="J24" s="475"/>
      <c r="K24" s="475"/>
      <c r="L24" s="475"/>
      <c r="M24" s="475"/>
      <c r="N24" s="476"/>
      <c r="O24" s="50"/>
    </row>
    <row r="25" spans="1:18" ht="13" customHeight="1" thickTop="1" x14ac:dyDescent="0.3">
      <c r="B25" s="24"/>
      <c r="C25" s="24"/>
      <c r="D25" s="477" t="s">
        <v>13</v>
      </c>
      <c r="E25" s="483" t="s">
        <v>118</v>
      </c>
      <c r="F25" s="484"/>
      <c r="G25" s="484"/>
      <c r="H25" s="484"/>
      <c r="I25" s="484"/>
      <c r="J25" s="484"/>
      <c r="K25" s="484"/>
      <c r="L25" s="484"/>
      <c r="M25" s="484"/>
      <c r="N25" s="485"/>
      <c r="O25" s="50"/>
    </row>
    <row r="26" spans="1:18" ht="12.4" customHeight="1" x14ac:dyDescent="0.25">
      <c r="B26" s="24"/>
      <c r="C26" s="24"/>
      <c r="D26" s="478"/>
      <c r="E26" s="486" t="s">
        <v>113</v>
      </c>
      <c r="F26" s="481"/>
      <c r="G26" s="480" t="s">
        <v>114</v>
      </c>
      <c r="H26" s="481"/>
      <c r="I26" s="480" t="s">
        <v>115</v>
      </c>
      <c r="J26" s="481"/>
      <c r="K26" s="480" t="s">
        <v>116</v>
      </c>
      <c r="L26" s="481"/>
      <c r="M26" s="480" t="s">
        <v>146</v>
      </c>
      <c r="N26" s="482"/>
      <c r="O26" s="50"/>
    </row>
    <row r="27" spans="1:18" ht="13" customHeight="1" thickBot="1" x14ac:dyDescent="0.3">
      <c r="B27" s="24"/>
      <c r="C27" s="24"/>
      <c r="D27" s="479"/>
      <c r="E27" s="54" t="s">
        <v>15</v>
      </c>
      <c r="F27" s="55" t="s">
        <v>16</v>
      </c>
      <c r="G27" s="55" t="s">
        <v>15</v>
      </c>
      <c r="H27" s="55" t="s">
        <v>16</v>
      </c>
      <c r="I27" s="55" t="s">
        <v>15</v>
      </c>
      <c r="J27" s="55" t="s">
        <v>16</v>
      </c>
      <c r="K27" s="55" t="s">
        <v>15</v>
      </c>
      <c r="L27" s="55" t="s">
        <v>16</v>
      </c>
      <c r="M27" s="55" t="s">
        <v>15</v>
      </c>
      <c r="N27" s="56" t="s">
        <v>16</v>
      </c>
      <c r="O27" s="50"/>
    </row>
    <row r="28" spans="1:18" ht="13" customHeight="1" thickTop="1" x14ac:dyDescent="0.25">
      <c r="B28" s="24"/>
      <c r="C28" s="24"/>
      <c r="D28" s="57" t="s">
        <v>14</v>
      </c>
      <c r="E28" s="310">
        <v>44</v>
      </c>
      <c r="F28" s="311">
        <v>2035</v>
      </c>
      <c r="G28" s="311">
        <v>44</v>
      </c>
      <c r="H28" s="311">
        <v>2035</v>
      </c>
      <c r="I28" s="311">
        <v>44</v>
      </c>
      <c r="J28" s="311">
        <v>2611</v>
      </c>
      <c r="K28" s="311">
        <v>44</v>
      </c>
      <c r="L28" s="311">
        <v>2611</v>
      </c>
      <c r="M28" s="311"/>
      <c r="N28" s="312"/>
      <c r="O28" s="50"/>
    </row>
    <row r="29" spans="1:18" ht="13" customHeight="1" thickBot="1" x14ac:dyDescent="0.3">
      <c r="B29" s="24"/>
      <c r="C29" s="58"/>
      <c r="D29" s="59" t="s">
        <v>76</v>
      </c>
      <c r="E29" s="313">
        <v>44</v>
      </c>
      <c r="F29" s="314">
        <v>1775</v>
      </c>
      <c r="G29" s="314">
        <v>44</v>
      </c>
      <c r="H29" s="314">
        <v>1476</v>
      </c>
      <c r="I29" s="314">
        <v>44</v>
      </c>
      <c r="J29" s="314">
        <v>2336</v>
      </c>
      <c r="K29" s="314">
        <v>44</v>
      </c>
      <c r="L29" s="314">
        <v>1856</v>
      </c>
      <c r="M29" s="314"/>
      <c r="N29" s="315"/>
      <c r="O29" s="50"/>
    </row>
    <row r="30" spans="1:18" ht="13.4" customHeight="1" thickTop="1" thickBot="1" x14ac:dyDescent="0.3"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</row>
    <row r="31" spans="1:18" ht="13.4" customHeight="1" thickTop="1" thickBot="1" x14ac:dyDescent="0.3">
      <c r="B31" s="24"/>
      <c r="C31" s="468" t="s">
        <v>106</v>
      </c>
      <c r="D31" s="470" t="str">
        <f>IF(_sdram_ebank=1,"Input NOT required! No memories connected to EMIF1, chip select 1","Enter the trace lengths for the associated signals connecting the DDR memories to EMIF1, chip select 1")</f>
        <v>Input NOT required! No memories connected to EMIF1, chip select 1</v>
      </c>
      <c r="E31" s="470"/>
      <c r="F31" s="470"/>
      <c r="G31" s="470"/>
      <c r="H31" s="470"/>
      <c r="I31" s="470"/>
      <c r="J31" s="470"/>
      <c r="K31" s="470"/>
      <c r="L31" s="470"/>
      <c r="M31" s="470"/>
      <c r="N31" s="470"/>
      <c r="O31" s="50"/>
    </row>
    <row r="32" spans="1:18" ht="13.4" customHeight="1" thickTop="1" thickBot="1" x14ac:dyDescent="0.3">
      <c r="B32" s="24"/>
      <c r="C32" s="469"/>
      <c r="D32" s="470"/>
      <c r="E32" s="470"/>
      <c r="F32" s="470"/>
      <c r="G32" s="470"/>
      <c r="H32" s="470"/>
      <c r="I32" s="470"/>
      <c r="J32" s="470"/>
      <c r="K32" s="470"/>
      <c r="L32" s="470"/>
      <c r="M32" s="470"/>
      <c r="N32" s="470"/>
      <c r="O32" s="50"/>
    </row>
    <row r="33" spans="2:15" ht="13.4" customHeight="1" thickTop="1" thickBot="1" x14ac:dyDescent="0.3">
      <c r="B33" s="24"/>
      <c r="C33" s="60"/>
      <c r="D33" s="471" t="s">
        <v>41</v>
      </c>
      <c r="E33" s="472"/>
      <c r="F33" s="472"/>
      <c r="G33" s="472"/>
      <c r="H33" s="472"/>
      <c r="I33" s="472"/>
      <c r="J33" s="472"/>
      <c r="K33" s="472"/>
      <c r="L33" s="472"/>
      <c r="M33" s="472"/>
      <c r="N33" s="473"/>
      <c r="O33" s="50"/>
    </row>
    <row r="34" spans="2:15" ht="13.4" customHeight="1" thickTop="1" thickBot="1" x14ac:dyDescent="0.3">
      <c r="B34" s="24"/>
      <c r="C34" s="60"/>
      <c r="D34" s="474"/>
      <c r="E34" s="475"/>
      <c r="F34" s="475"/>
      <c r="G34" s="475"/>
      <c r="H34" s="475"/>
      <c r="I34" s="475"/>
      <c r="J34" s="475"/>
      <c r="K34" s="475"/>
      <c r="L34" s="475"/>
      <c r="M34" s="475"/>
      <c r="N34" s="476"/>
      <c r="O34" s="50"/>
    </row>
    <row r="35" spans="2:15" ht="13.4" customHeight="1" thickTop="1" thickBot="1" x14ac:dyDescent="0.35">
      <c r="B35" s="24"/>
      <c r="C35" s="60"/>
      <c r="D35" s="477" t="s">
        <v>13</v>
      </c>
      <c r="E35" s="483" t="s">
        <v>118</v>
      </c>
      <c r="F35" s="484"/>
      <c r="G35" s="484"/>
      <c r="H35" s="484"/>
      <c r="I35" s="484"/>
      <c r="J35" s="484"/>
      <c r="K35" s="484"/>
      <c r="L35" s="484"/>
      <c r="M35" s="484"/>
      <c r="N35" s="485"/>
      <c r="O35" s="50"/>
    </row>
    <row r="36" spans="2:15" ht="13.4" customHeight="1" thickTop="1" thickBot="1" x14ac:dyDescent="0.3">
      <c r="B36" s="24"/>
      <c r="C36" s="60"/>
      <c r="D36" s="478"/>
      <c r="E36" s="486" t="s">
        <v>113</v>
      </c>
      <c r="F36" s="481"/>
      <c r="G36" s="480" t="s">
        <v>114</v>
      </c>
      <c r="H36" s="481"/>
      <c r="I36" s="480" t="s">
        <v>115</v>
      </c>
      <c r="J36" s="481"/>
      <c r="K36" s="480" t="s">
        <v>116</v>
      </c>
      <c r="L36" s="481"/>
      <c r="M36" s="480" t="s">
        <v>146</v>
      </c>
      <c r="N36" s="482"/>
      <c r="O36" s="50"/>
    </row>
    <row r="37" spans="2:15" ht="13.4" customHeight="1" thickTop="1" thickBot="1" x14ac:dyDescent="0.3">
      <c r="B37" s="24"/>
      <c r="C37" s="60"/>
      <c r="D37" s="479"/>
      <c r="E37" s="54" t="s">
        <v>15</v>
      </c>
      <c r="F37" s="55" t="s">
        <v>16</v>
      </c>
      <c r="G37" s="55" t="s">
        <v>15</v>
      </c>
      <c r="H37" s="55" t="s">
        <v>16</v>
      </c>
      <c r="I37" s="55" t="s">
        <v>15</v>
      </c>
      <c r="J37" s="55" t="s">
        <v>16</v>
      </c>
      <c r="K37" s="55" t="s">
        <v>15</v>
      </c>
      <c r="L37" s="55" t="s">
        <v>16</v>
      </c>
      <c r="M37" s="55" t="s">
        <v>15</v>
      </c>
      <c r="N37" s="56" t="s">
        <v>16</v>
      </c>
      <c r="O37" s="50"/>
    </row>
    <row r="38" spans="2:15" ht="13.4" customHeight="1" thickTop="1" thickBot="1" x14ac:dyDescent="0.3">
      <c r="B38" s="24"/>
      <c r="C38" s="60"/>
      <c r="D38" s="57" t="s">
        <v>14</v>
      </c>
      <c r="E38" s="310"/>
      <c r="F38" s="311"/>
      <c r="G38" s="311"/>
      <c r="H38" s="311"/>
      <c r="I38" s="311"/>
      <c r="J38" s="311"/>
      <c r="K38" s="311"/>
      <c r="L38" s="311"/>
      <c r="M38" s="311"/>
      <c r="N38" s="312"/>
      <c r="O38" s="50"/>
    </row>
    <row r="39" spans="2:15" ht="13.4" customHeight="1" thickTop="1" thickBot="1" x14ac:dyDescent="0.3">
      <c r="B39" s="24"/>
      <c r="C39" s="60"/>
      <c r="D39" s="59" t="s">
        <v>76</v>
      </c>
      <c r="E39" s="313"/>
      <c r="F39" s="314"/>
      <c r="G39" s="314"/>
      <c r="H39" s="314"/>
      <c r="I39" s="314"/>
      <c r="J39" s="314"/>
      <c r="K39" s="314"/>
      <c r="L39" s="314"/>
      <c r="M39" s="314"/>
      <c r="N39" s="315"/>
      <c r="O39" s="50"/>
    </row>
    <row r="40" spans="2:15" ht="13.4" customHeight="1" thickTop="1" thickBot="1" x14ac:dyDescent="0.3"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</row>
    <row r="41" spans="2:15" ht="13.4" customHeight="1" thickTop="1" thickBot="1" x14ac:dyDescent="0.3">
      <c r="B41" s="24"/>
      <c r="C41" s="468" t="s">
        <v>107</v>
      </c>
      <c r="D41" s="470" t="str">
        <f>IF(_user_emifs=1,"Input NOT required! No memories connected to EMIF2, chip select 0","Enter the trace lengths for the associated signals connecting the DDR memories to EMIF2, chip select 0")</f>
        <v>Input NOT required! No memories connected to EMIF2, chip select 0</v>
      </c>
      <c r="E41" s="470"/>
      <c r="F41" s="470"/>
      <c r="G41" s="470"/>
      <c r="H41" s="470"/>
      <c r="I41" s="470"/>
      <c r="J41" s="470"/>
      <c r="K41" s="470"/>
      <c r="L41" s="470"/>
      <c r="M41" s="470"/>
      <c r="N41" s="470"/>
      <c r="O41" s="50"/>
    </row>
    <row r="42" spans="2:15" ht="13.4" customHeight="1" thickTop="1" thickBot="1" x14ac:dyDescent="0.3">
      <c r="B42" s="24"/>
      <c r="C42" s="469"/>
      <c r="D42" s="470"/>
      <c r="E42" s="470"/>
      <c r="F42" s="470"/>
      <c r="G42" s="470"/>
      <c r="H42" s="470"/>
      <c r="I42" s="470"/>
      <c r="J42" s="470"/>
      <c r="K42" s="470"/>
      <c r="L42" s="470"/>
      <c r="M42" s="470"/>
      <c r="N42" s="470"/>
      <c r="O42" s="50"/>
    </row>
    <row r="43" spans="2:15" ht="13.4" customHeight="1" thickTop="1" thickBot="1" x14ac:dyDescent="0.3">
      <c r="B43" s="24"/>
      <c r="C43" s="60"/>
      <c r="D43" s="471" t="s">
        <v>42</v>
      </c>
      <c r="E43" s="472"/>
      <c r="F43" s="472"/>
      <c r="G43" s="472"/>
      <c r="H43" s="472"/>
      <c r="I43" s="472"/>
      <c r="J43" s="472"/>
      <c r="K43" s="472"/>
      <c r="L43" s="472"/>
      <c r="M43" s="472"/>
      <c r="N43" s="473"/>
      <c r="O43" s="50"/>
    </row>
    <row r="44" spans="2:15" ht="13.4" customHeight="1" thickTop="1" thickBot="1" x14ac:dyDescent="0.3">
      <c r="B44" s="24"/>
      <c r="C44" s="60"/>
      <c r="D44" s="474"/>
      <c r="E44" s="475"/>
      <c r="F44" s="475"/>
      <c r="G44" s="475"/>
      <c r="H44" s="475"/>
      <c r="I44" s="475"/>
      <c r="J44" s="475"/>
      <c r="K44" s="475"/>
      <c r="L44" s="475"/>
      <c r="M44" s="475"/>
      <c r="N44" s="476"/>
      <c r="O44" s="50"/>
    </row>
    <row r="45" spans="2:15" ht="13.4" customHeight="1" thickTop="1" thickBot="1" x14ac:dyDescent="0.35">
      <c r="B45" s="24"/>
      <c r="C45" s="60"/>
      <c r="D45" s="477" t="s">
        <v>13</v>
      </c>
      <c r="E45" s="483" t="s">
        <v>118</v>
      </c>
      <c r="F45" s="484"/>
      <c r="G45" s="484"/>
      <c r="H45" s="484"/>
      <c r="I45" s="484"/>
      <c r="J45" s="484"/>
      <c r="K45" s="484"/>
      <c r="L45" s="484"/>
      <c r="M45" s="484"/>
      <c r="N45" s="485"/>
      <c r="O45" s="50"/>
    </row>
    <row r="46" spans="2:15" ht="13.4" customHeight="1" thickTop="1" thickBot="1" x14ac:dyDescent="0.3">
      <c r="B46" s="24"/>
      <c r="C46" s="60"/>
      <c r="D46" s="478"/>
      <c r="E46" s="486" t="s">
        <v>113</v>
      </c>
      <c r="F46" s="481"/>
      <c r="G46" s="480" t="s">
        <v>114</v>
      </c>
      <c r="H46" s="481"/>
      <c r="I46" s="480" t="s">
        <v>115</v>
      </c>
      <c r="J46" s="481"/>
      <c r="K46" s="480" t="s">
        <v>116</v>
      </c>
      <c r="L46" s="481"/>
      <c r="M46" s="480" t="s">
        <v>146</v>
      </c>
      <c r="N46" s="482"/>
      <c r="O46" s="50"/>
    </row>
    <row r="47" spans="2:15" ht="13.4" customHeight="1" thickTop="1" thickBot="1" x14ac:dyDescent="0.3">
      <c r="B47" s="24"/>
      <c r="C47" s="60"/>
      <c r="D47" s="479"/>
      <c r="E47" s="54" t="s">
        <v>15</v>
      </c>
      <c r="F47" s="55" t="s">
        <v>16</v>
      </c>
      <c r="G47" s="55" t="s">
        <v>15</v>
      </c>
      <c r="H47" s="55" t="s">
        <v>16</v>
      </c>
      <c r="I47" s="55" t="s">
        <v>15</v>
      </c>
      <c r="J47" s="55" t="s">
        <v>16</v>
      </c>
      <c r="K47" s="55" t="s">
        <v>15</v>
      </c>
      <c r="L47" s="55" t="s">
        <v>16</v>
      </c>
      <c r="M47" s="55" t="s">
        <v>15</v>
      </c>
      <c r="N47" s="56" t="s">
        <v>16</v>
      </c>
      <c r="O47" s="50"/>
    </row>
    <row r="48" spans="2:15" ht="13.4" customHeight="1" thickTop="1" thickBot="1" x14ac:dyDescent="0.3">
      <c r="B48" s="24"/>
      <c r="C48" s="60"/>
      <c r="D48" s="57" t="s">
        <v>14</v>
      </c>
      <c r="E48" s="310"/>
      <c r="F48" s="311"/>
      <c r="G48" s="311"/>
      <c r="H48" s="311"/>
      <c r="I48" s="311"/>
      <c r="J48" s="311"/>
      <c r="K48" s="311"/>
      <c r="L48" s="311"/>
      <c r="M48" s="311"/>
      <c r="N48" s="312"/>
      <c r="O48" s="50"/>
    </row>
    <row r="49" spans="2:16" ht="13.4" customHeight="1" thickTop="1" thickBot="1" x14ac:dyDescent="0.3">
      <c r="B49" s="24"/>
      <c r="C49" s="60"/>
      <c r="D49" s="59" t="s">
        <v>76</v>
      </c>
      <c r="E49" s="313"/>
      <c r="F49" s="314"/>
      <c r="G49" s="314"/>
      <c r="H49" s="314"/>
      <c r="I49" s="314"/>
      <c r="J49" s="314"/>
      <c r="K49" s="314"/>
      <c r="L49" s="314"/>
      <c r="M49" s="314"/>
      <c r="N49" s="315"/>
      <c r="O49" s="50"/>
    </row>
    <row r="50" spans="2:16" ht="13.4" customHeight="1" thickTop="1" thickBot="1" x14ac:dyDescent="0.3"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</row>
    <row r="51" spans="2:16" ht="13.4" customHeight="1" thickTop="1" thickBot="1" x14ac:dyDescent="0.3">
      <c r="B51" s="24"/>
      <c r="C51" s="468" t="s">
        <v>108</v>
      </c>
      <c r="D51" s="470" t="str">
        <f>IF(OR(_sdram_ebank=1,_user_emifs=1),"Input NOT required! No memories connected to EMIF2, chip select 1","Enter the trace lengths for the associated signals connecting the DDR memories to EMIF2, chip select 1")</f>
        <v>Input NOT required! No memories connected to EMIF2, chip select 1</v>
      </c>
      <c r="E51" s="470"/>
      <c r="F51" s="470"/>
      <c r="G51" s="470"/>
      <c r="H51" s="470"/>
      <c r="I51" s="470"/>
      <c r="J51" s="470"/>
      <c r="K51" s="470"/>
      <c r="L51" s="470"/>
      <c r="M51" s="470"/>
      <c r="N51" s="470"/>
      <c r="O51" s="50"/>
    </row>
    <row r="52" spans="2:16" ht="13.4" customHeight="1" thickTop="1" thickBot="1" x14ac:dyDescent="0.3">
      <c r="B52" s="24"/>
      <c r="C52" s="469"/>
      <c r="D52" s="470"/>
      <c r="E52" s="470"/>
      <c r="F52" s="470"/>
      <c r="G52" s="470"/>
      <c r="H52" s="470"/>
      <c r="I52" s="470"/>
      <c r="J52" s="470"/>
      <c r="K52" s="470"/>
      <c r="L52" s="470"/>
      <c r="M52" s="470"/>
      <c r="N52" s="470"/>
      <c r="O52" s="50"/>
    </row>
    <row r="53" spans="2:16" ht="13.4" customHeight="1" thickTop="1" thickBot="1" x14ac:dyDescent="0.3">
      <c r="B53" s="24"/>
      <c r="C53" s="60"/>
      <c r="D53" s="471" t="s">
        <v>53</v>
      </c>
      <c r="E53" s="472"/>
      <c r="F53" s="472"/>
      <c r="G53" s="472"/>
      <c r="H53" s="472"/>
      <c r="I53" s="472"/>
      <c r="J53" s="472"/>
      <c r="K53" s="472"/>
      <c r="L53" s="472"/>
      <c r="M53" s="472"/>
      <c r="N53" s="473"/>
      <c r="O53" s="50"/>
    </row>
    <row r="54" spans="2:16" ht="13.4" customHeight="1" thickTop="1" thickBot="1" x14ac:dyDescent="0.3">
      <c r="B54" s="24"/>
      <c r="C54" s="60"/>
      <c r="D54" s="474"/>
      <c r="E54" s="475"/>
      <c r="F54" s="475"/>
      <c r="G54" s="475"/>
      <c r="H54" s="475"/>
      <c r="I54" s="475"/>
      <c r="J54" s="475"/>
      <c r="K54" s="475"/>
      <c r="L54" s="475"/>
      <c r="M54" s="475"/>
      <c r="N54" s="476"/>
      <c r="O54" s="50"/>
    </row>
    <row r="55" spans="2:16" ht="13.4" customHeight="1" thickTop="1" thickBot="1" x14ac:dyDescent="0.35">
      <c r="B55" s="24"/>
      <c r="C55" s="60"/>
      <c r="D55" s="477" t="s">
        <v>13</v>
      </c>
      <c r="E55" s="483" t="s">
        <v>118</v>
      </c>
      <c r="F55" s="484"/>
      <c r="G55" s="484"/>
      <c r="H55" s="484"/>
      <c r="I55" s="484"/>
      <c r="J55" s="484"/>
      <c r="K55" s="484"/>
      <c r="L55" s="484"/>
      <c r="M55" s="484"/>
      <c r="N55" s="485"/>
      <c r="O55" s="50"/>
    </row>
    <row r="56" spans="2:16" ht="13.4" customHeight="1" thickTop="1" thickBot="1" x14ac:dyDescent="0.3">
      <c r="B56" s="24"/>
      <c r="C56" s="60"/>
      <c r="D56" s="478"/>
      <c r="E56" s="486" t="s">
        <v>113</v>
      </c>
      <c r="F56" s="481"/>
      <c r="G56" s="480" t="s">
        <v>114</v>
      </c>
      <c r="H56" s="481"/>
      <c r="I56" s="480" t="s">
        <v>115</v>
      </c>
      <c r="J56" s="481"/>
      <c r="K56" s="480" t="s">
        <v>116</v>
      </c>
      <c r="L56" s="481"/>
      <c r="M56" s="480" t="s">
        <v>146</v>
      </c>
      <c r="N56" s="482"/>
      <c r="O56" s="50"/>
    </row>
    <row r="57" spans="2:16" ht="13.4" customHeight="1" thickTop="1" thickBot="1" x14ac:dyDescent="0.3">
      <c r="B57" s="24"/>
      <c r="C57" s="60"/>
      <c r="D57" s="479"/>
      <c r="E57" s="54" t="s">
        <v>15</v>
      </c>
      <c r="F57" s="55" t="s">
        <v>16</v>
      </c>
      <c r="G57" s="55" t="s">
        <v>15</v>
      </c>
      <c r="H57" s="55" t="s">
        <v>16</v>
      </c>
      <c r="I57" s="55" t="s">
        <v>15</v>
      </c>
      <c r="J57" s="55" t="s">
        <v>16</v>
      </c>
      <c r="K57" s="55" t="s">
        <v>15</v>
      </c>
      <c r="L57" s="55" t="s">
        <v>16</v>
      </c>
      <c r="M57" s="55" t="s">
        <v>15</v>
      </c>
      <c r="N57" s="56" t="s">
        <v>16</v>
      </c>
      <c r="O57" s="50"/>
    </row>
    <row r="58" spans="2:16" ht="13.4" customHeight="1" thickTop="1" thickBot="1" x14ac:dyDescent="0.3">
      <c r="B58" s="24"/>
      <c r="C58" s="60"/>
      <c r="D58" s="57" t="s">
        <v>14</v>
      </c>
      <c r="E58" s="310"/>
      <c r="F58" s="311"/>
      <c r="G58" s="311"/>
      <c r="H58" s="311"/>
      <c r="I58" s="311"/>
      <c r="J58" s="311"/>
      <c r="K58" s="311"/>
      <c r="L58" s="316"/>
      <c r="M58" s="311"/>
      <c r="N58" s="312"/>
      <c r="O58" s="50"/>
    </row>
    <row r="59" spans="2:16" ht="13.4" customHeight="1" thickTop="1" thickBot="1" x14ac:dyDescent="0.3">
      <c r="B59" s="24"/>
      <c r="C59" s="60"/>
      <c r="D59" s="59" t="s">
        <v>76</v>
      </c>
      <c r="E59" s="313"/>
      <c r="F59" s="314"/>
      <c r="G59" s="314"/>
      <c r="H59" s="314"/>
      <c r="I59" s="314"/>
      <c r="J59" s="314"/>
      <c r="K59" s="314"/>
      <c r="L59" s="314"/>
      <c r="M59" s="314"/>
      <c r="N59" s="315"/>
      <c r="O59" s="50"/>
    </row>
    <row r="60" spans="2:16" ht="13.5" thickTop="1" thickBot="1" x14ac:dyDescent="0.3">
      <c r="B60" s="52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52"/>
    </row>
    <row r="61" spans="2:16" ht="13" thickTop="1" x14ac:dyDescent="0.25">
      <c r="B61" s="319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6"/>
      <c r="P61" s="50"/>
    </row>
    <row r="62" spans="2:16" x14ac:dyDescent="0.25">
      <c r="B62" s="117"/>
      <c r="O62" s="58"/>
      <c r="P62" s="50"/>
    </row>
    <row r="63" spans="2:16" ht="12.75" customHeight="1" x14ac:dyDescent="0.25">
      <c r="B63" s="117"/>
      <c r="F63" s="462" t="s">
        <v>216</v>
      </c>
      <c r="G63" s="463"/>
      <c r="H63" s="463"/>
      <c r="I63" s="463"/>
      <c r="J63" s="463"/>
      <c r="K63" s="464"/>
      <c r="O63" s="58"/>
      <c r="P63" s="50"/>
    </row>
    <row r="64" spans="2:16" ht="12.75" customHeight="1" x14ac:dyDescent="0.25">
      <c r="B64" s="117"/>
      <c r="F64" s="465"/>
      <c r="G64" s="466"/>
      <c r="H64" s="466"/>
      <c r="I64" s="466"/>
      <c r="J64" s="466"/>
      <c r="K64" s="467"/>
      <c r="O64" s="58"/>
      <c r="P64" s="50"/>
    </row>
    <row r="65" spans="2:20" x14ac:dyDescent="0.25">
      <c r="B65" s="117"/>
      <c r="O65" s="58"/>
      <c r="P65" s="50"/>
    </row>
    <row r="66" spans="2:20" x14ac:dyDescent="0.25">
      <c r="B66" s="117"/>
      <c r="O66" s="58"/>
      <c r="P66" s="50"/>
    </row>
    <row r="67" spans="2:20" x14ac:dyDescent="0.25">
      <c r="B67" s="117"/>
      <c r="O67" s="58"/>
      <c r="P67" s="50"/>
    </row>
    <row r="68" spans="2:20" x14ac:dyDescent="0.25">
      <c r="B68" s="117"/>
      <c r="O68" s="58"/>
      <c r="P68" s="50"/>
    </row>
    <row r="69" spans="2:20" x14ac:dyDescent="0.25">
      <c r="B69" s="117"/>
      <c r="O69" s="58"/>
      <c r="P69" s="50"/>
    </row>
    <row r="70" spans="2:20" x14ac:dyDescent="0.25">
      <c r="B70" s="117"/>
      <c r="O70" s="58"/>
      <c r="P70" s="50"/>
    </row>
    <row r="71" spans="2:20" x14ac:dyDescent="0.25">
      <c r="B71" s="117"/>
      <c r="O71" s="58"/>
      <c r="P71" s="50"/>
    </row>
    <row r="72" spans="2:20" x14ac:dyDescent="0.25">
      <c r="B72" s="117"/>
      <c r="O72" s="58"/>
      <c r="P72" s="50"/>
    </row>
    <row r="73" spans="2:20" ht="12.75" customHeight="1" x14ac:dyDescent="0.25">
      <c r="B73" s="117"/>
      <c r="O73" s="58"/>
      <c r="P73" s="318"/>
      <c r="Q73" s="317"/>
      <c r="R73" s="317"/>
      <c r="S73" s="317"/>
      <c r="T73" s="317"/>
    </row>
    <row r="74" spans="2:20" ht="12.75" customHeight="1" x14ac:dyDescent="0.25">
      <c r="B74" s="117"/>
      <c r="O74" s="58"/>
      <c r="P74" s="318"/>
      <c r="Q74" s="317"/>
      <c r="R74" s="317"/>
      <c r="S74" s="317"/>
      <c r="T74" s="317"/>
    </row>
    <row r="75" spans="2:20" x14ac:dyDescent="0.25">
      <c r="B75" s="117"/>
      <c r="O75" s="58"/>
      <c r="P75" s="50"/>
    </row>
    <row r="76" spans="2:20" x14ac:dyDescent="0.25">
      <c r="B76" s="117"/>
      <c r="O76" s="58"/>
      <c r="P76" s="50"/>
    </row>
    <row r="77" spans="2:20" x14ac:dyDescent="0.25">
      <c r="B77" s="117"/>
      <c r="O77" s="58"/>
      <c r="P77" s="50"/>
    </row>
    <row r="78" spans="2:20" x14ac:dyDescent="0.25">
      <c r="B78" s="117"/>
      <c r="O78" s="58"/>
      <c r="P78" s="50"/>
    </row>
    <row r="79" spans="2:20" x14ac:dyDescent="0.25">
      <c r="B79" s="117"/>
      <c r="O79" s="58"/>
      <c r="P79" s="50"/>
    </row>
    <row r="80" spans="2:20" x14ac:dyDescent="0.25">
      <c r="B80" s="117"/>
      <c r="O80" s="58"/>
      <c r="P80" s="50"/>
    </row>
    <row r="81" spans="2:16" x14ac:dyDescent="0.25">
      <c r="B81" s="117"/>
      <c r="O81" s="58"/>
      <c r="P81" s="50"/>
    </row>
    <row r="82" spans="2:16" x14ac:dyDescent="0.25">
      <c r="B82" s="117"/>
      <c r="O82" s="58"/>
      <c r="P82" s="50"/>
    </row>
    <row r="83" spans="2:16" x14ac:dyDescent="0.25">
      <c r="B83" s="117"/>
      <c r="O83" s="58"/>
      <c r="P83" s="50"/>
    </row>
    <row r="84" spans="2:16" x14ac:dyDescent="0.25">
      <c r="B84" s="117"/>
      <c r="O84" s="58"/>
      <c r="P84" s="50"/>
    </row>
    <row r="85" spans="2:16" x14ac:dyDescent="0.25">
      <c r="B85" s="117"/>
      <c r="O85" s="58"/>
      <c r="P85" s="50"/>
    </row>
    <row r="86" spans="2:16" x14ac:dyDescent="0.25">
      <c r="B86" s="117"/>
      <c r="O86" s="58"/>
      <c r="P86" s="50"/>
    </row>
    <row r="87" spans="2:16" x14ac:dyDescent="0.25">
      <c r="B87" s="117"/>
      <c r="O87" s="58"/>
      <c r="P87" s="50"/>
    </row>
    <row r="88" spans="2:16" x14ac:dyDescent="0.25">
      <c r="B88" s="117"/>
      <c r="O88" s="58"/>
      <c r="P88" s="50"/>
    </row>
    <row r="89" spans="2:16" x14ac:dyDescent="0.25">
      <c r="B89" s="117"/>
      <c r="O89" s="58"/>
      <c r="P89" s="50"/>
    </row>
    <row r="90" spans="2:16" x14ac:dyDescent="0.25">
      <c r="B90" s="117"/>
      <c r="O90" s="58"/>
      <c r="P90" s="50"/>
    </row>
    <row r="91" spans="2:16" x14ac:dyDescent="0.25">
      <c r="B91" s="117"/>
      <c r="O91" s="58"/>
      <c r="P91" s="50"/>
    </row>
    <row r="92" spans="2:16" x14ac:dyDescent="0.25">
      <c r="B92" s="117"/>
      <c r="O92" s="58"/>
      <c r="P92" s="50"/>
    </row>
    <row r="93" spans="2:16" x14ac:dyDescent="0.25">
      <c r="B93" s="117"/>
      <c r="O93" s="58"/>
      <c r="P93" s="50"/>
    </row>
    <row r="94" spans="2:16" x14ac:dyDescent="0.25">
      <c r="B94" s="117"/>
      <c r="O94" s="58"/>
      <c r="P94" s="50"/>
    </row>
    <row r="95" spans="2:16" x14ac:dyDescent="0.25">
      <c r="B95" s="117"/>
      <c r="O95" s="58"/>
      <c r="P95" s="50"/>
    </row>
    <row r="96" spans="2:16" x14ac:dyDescent="0.25">
      <c r="B96" s="117"/>
      <c r="O96" s="58"/>
      <c r="P96" s="50"/>
    </row>
    <row r="97" spans="2:16" x14ac:dyDescent="0.25">
      <c r="B97" s="117"/>
      <c r="O97" s="58"/>
      <c r="P97" s="50"/>
    </row>
    <row r="98" spans="2:16" x14ac:dyDescent="0.25">
      <c r="B98" s="117"/>
      <c r="O98" s="58"/>
      <c r="P98" s="50"/>
    </row>
    <row r="99" spans="2:16" x14ac:dyDescent="0.25">
      <c r="B99" s="117"/>
      <c r="O99" s="58"/>
      <c r="P99" s="50"/>
    </row>
    <row r="100" spans="2:16" x14ac:dyDescent="0.25">
      <c r="B100" s="117"/>
      <c r="O100" s="58"/>
      <c r="P100" s="50"/>
    </row>
    <row r="101" spans="2:16" x14ac:dyDescent="0.25">
      <c r="B101" s="117"/>
      <c r="O101" s="58"/>
      <c r="P101" s="50"/>
    </row>
    <row r="102" spans="2:16" x14ac:dyDescent="0.25">
      <c r="B102" s="117"/>
      <c r="O102" s="58"/>
      <c r="P102" s="50"/>
    </row>
    <row r="103" spans="2:16" x14ac:dyDescent="0.25">
      <c r="B103" s="117"/>
      <c r="O103" s="58"/>
      <c r="P103" s="50"/>
    </row>
    <row r="104" spans="2:16" x14ac:dyDescent="0.25">
      <c r="B104" s="117"/>
      <c r="O104" s="58"/>
      <c r="P104" s="50"/>
    </row>
    <row r="105" spans="2:16" x14ac:dyDescent="0.25">
      <c r="B105" s="117"/>
      <c r="D105" s="114" t="s">
        <v>120</v>
      </c>
      <c r="O105" s="58"/>
      <c r="P105" s="50"/>
    </row>
    <row r="106" spans="2:16" ht="13" thickBot="1" x14ac:dyDescent="0.3">
      <c r="B106" s="17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7"/>
      <c r="N106" s="127"/>
      <c r="O106" s="129"/>
      <c r="P106" s="50"/>
    </row>
    <row r="107" spans="2:16" ht="13" thickTop="1" x14ac:dyDescent="0.25"/>
  </sheetData>
  <sheetProtection password="D41E" sheet="1" objects="1" scenarios="1"/>
  <mergeCells count="45">
    <mergeCell ref="B3:O3"/>
    <mergeCell ref="B2:O2"/>
    <mergeCell ref="M56:N56"/>
    <mergeCell ref="D23:N24"/>
    <mergeCell ref="C21:C22"/>
    <mergeCell ref="D21:N22"/>
    <mergeCell ref="D25:D27"/>
    <mergeCell ref="M26:N26"/>
    <mergeCell ref="E25:N25"/>
    <mergeCell ref="E26:F26"/>
    <mergeCell ref="G26:H26"/>
    <mergeCell ref="I26:J26"/>
    <mergeCell ref="K26:L26"/>
    <mergeCell ref="E35:N35"/>
    <mergeCell ref="E36:F36"/>
    <mergeCell ref="G36:H36"/>
    <mergeCell ref="I36:J36"/>
    <mergeCell ref="B4:O6"/>
    <mergeCell ref="B7:O8"/>
    <mergeCell ref="C51:C52"/>
    <mergeCell ref="D51:N52"/>
    <mergeCell ref="D43:N44"/>
    <mergeCell ref="D45:D47"/>
    <mergeCell ref="E45:N45"/>
    <mergeCell ref="E46:F46"/>
    <mergeCell ref="G46:H46"/>
    <mergeCell ref="I46:J46"/>
    <mergeCell ref="K46:L46"/>
    <mergeCell ref="M46:N46"/>
    <mergeCell ref="F63:K64"/>
    <mergeCell ref="C31:C32"/>
    <mergeCell ref="D31:N32"/>
    <mergeCell ref="C41:C42"/>
    <mergeCell ref="D41:N42"/>
    <mergeCell ref="D33:N34"/>
    <mergeCell ref="D35:D37"/>
    <mergeCell ref="K36:L36"/>
    <mergeCell ref="M36:N36"/>
    <mergeCell ref="D53:N54"/>
    <mergeCell ref="D55:D57"/>
    <mergeCell ref="E55:N55"/>
    <mergeCell ref="E56:F56"/>
    <mergeCell ref="G56:H56"/>
    <mergeCell ref="I56:J56"/>
    <mergeCell ref="K56:L56"/>
  </mergeCells>
  <conditionalFormatting sqref="D21:N22">
    <cfRule type="expression" dxfId="8" priority="4">
      <formula>_user_lvl_tech="H/W"</formula>
    </cfRule>
  </conditionalFormatting>
  <conditionalFormatting sqref="D31:N32">
    <cfRule type="expression" dxfId="7" priority="3">
      <formula>OR(_sdram_ebank=1,_user_lvl_tech="H/W")</formula>
    </cfRule>
  </conditionalFormatting>
  <conditionalFormatting sqref="D41:N42">
    <cfRule type="expression" dxfId="6" priority="2">
      <formula>OR(_user_emifs=1,_user_lvl_tech="H/W")</formula>
    </cfRule>
  </conditionalFormatting>
  <conditionalFormatting sqref="D51:N52">
    <cfRule type="expression" dxfId="5" priority="1">
      <formula>OR(_sdram_ebank=1,_user_emifs=1,_user_lvl_tech="H/W")</formula>
    </cfRule>
  </conditionalFormatting>
  <dataValidations count="1">
    <dataValidation type="decimal" operator="greaterThanOrEqual" allowBlank="1" showInputMessage="1" showErrorMessage="1" sqref="E28:N29 E38:N39 E48:N49 E58:N59" xr:uid="{00000000-0002-0000-0300-000000000000}">
      <formula1>0</formula1>
    </dataValidation>
  </dataValidations>
  <hyperlinks>
    <hyperlink ref="D19" location="'Step2-BoardDetails'!G61" display="CLICK for diagram." xr:uid="{00000000-0004-0000-0300-000000000000}"/>
    <hyperlink ref="D105" location="'Step2-BoardDetails'!D19" display="RETURN" xr:uid="{00000000-0004-0000-0300-000001000000}"/>
  </hyperlinks>
  <pageMargins left="0.7" right="0.7" top="0.75" bottom="0.75" header="0.3" footer="0.3"/>
  <pageSetup orientation="portrait" r:id="rId1"/>
  <drawing r:id="rId2"/>
  <picture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0000"/>
  </sheetPr>
  <dimension ref="A1:N45"/>
  <sheetViews>
    <sheetView workbookViewId="0">
      <pane ySplit="18" topLeftCell="A19" activePane="bottomLeft" state="frozen"/>
      <selection pane="bottomLeft" activeCell="G32" sqref="G32"/>
    </sheetView>
  </sheetViews>
  <sheetFormatPr defaultColWidth="9.1796875" defaultRowHeight="12.5" x14ac:dyDescent="0.25"/>
  <cols>
    <col min="1" max="2" width="9.1796875" style="27" customWidth="1"/>
    <col min="3" max="3" width="5.7265625" style="27" customWidth="1"/>
    <col min="4" max="4" width="13.7265625" style="27" customWidth="1"/>
    <col min="5" max="5" width="48.7265625" style="27" customWidth="1"/>
    <col min="6" max="8" width="9.7265625" style="27" customWidth="1"/>
    <col min="9" max="9" width="13.7265625" style="27" customWidth="1"/>
    <col min="10" max="10" width="24.7265625" style="27" customWidth="1"/>
    <col min="11" max="11" width="9.1796875" style="27" customWidth="1"/>
    <col min="12" max="12" width="6.1796875" style="27" bestFit="1" customWidth="1"/>
    <col min="13" max="15" width="8.26953125" style="27" customWidth="1"/>
    <col min="16" max="16" width="6.453125" style="27" bestFit="1" customWidth="1"/>
    <col min="17" max="17" width="6.1796875" style="27" bestFit="1" customWidth="1"/>
    <col min="18" max="20" width="8.26953125" style="27" customWidth="1"/>
    <col min="21" max="21" width="20.54296875" style="27" customWidth="1"/>
    <col min="22" max="16384" width="9.1796875" style="27"/>
  </cols>
  <sheetData>
    <row r="1" spans="1:14" s="26" customFormat="1" ht="12.75" customHeight="1" x14ac:dyDescent="0.3">
      <c r="A1" s="236"/>
      <c r="B1" s="236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50"/>
    </row>
    <row r="2" spans="1:14" s="26" customFormat="1" ht="12.75" customHeight="1" x14ac:dyDescent="0.3">
      <c r="A2" s="236"/>
      <c r="B2" s="435" t="str">
        <f>'Title-README'!$B$9</f>
        <v>Date: November 2nd, 2019</v>
      </c>
      <c r="C2" s="436"/>
      <c r="D2" s="436"/>
      <c r="E2" s="436"/>
      <c r="F2" s="436"/>
      <c r="G2" s="436"/>
      <c r="H2" s="436"/>
      <c r="I2" s="436"/>
      <c r="J2" s="436"/>
      <c r="K2" s="437"/>
      <c r="L2" s="239"/>
      <c r="M2" s="239"/>
      <c r="N2" s="50"/>
    </row>
    <row r="3" spans="1:14" s="26" customFormat="1" ht="12.75" customHeight="1" x14ac:dyDescent="0.3">
      <c r="A3" s="236"/>
      <c r="B3" s="435" t="str">
        <f>'Title-README'!$B$11</f>
        <v>Revision: 2.0.3</v>
      </c>
      <c r="C3" s="436"/>
      <c r="D3" s="436"/>
      <c r="E3" s="436"/>
      <c r="F3" s="436"/>
      <c r="G3" s="436"/>
      <c r="H3" s="436"/>
      <c r="I3" s="436"/>
      <c r="J3" s="436"/>
      <c r="K3" s="437"/>
      <c r="L3" s="239"/>
      <c r="M3" s="239"/>
      <c r="N3" s="50"/>
    </row>
    <row r="4" spans="1:14" s="26" customFormat="1" ht="12.75" customHeight="1" x14ac:dyDescent="0.3">
      <c r="A4" s="244"/>
      <c r="B4" s="487" t="s">
        <v>658</v>
      </c>
      <c r="C4" s="488"/>
      <c r="D4" s="488"/>
      <c r="E4" s="488"/>
      <c r="F4" s="488"/>
      <c r="G4" s="488"/>
      <c r="H4" s="488"/>
      <c r="I4" s="488"/>
      <c r="J4" s="488"/>
      <c r="K4" s="489"/>
      <c r="L4" s="283"/>
      <c r="M4" s="283"/>
      <c r="N4" s="50"/>
    </row>
    <row r="5" spans="1:14" s="26" customFormat="1" ht="12.75" customHeight="1" x14ac:dyDescent="0.3">
      <c r="A5" s="238"/>
      <c r="B5" s="487"/>
      <c r="C5" s="488"/>
      <c r="D5" s="488"/>
      <c r="E5" s="488"/>
      <c r="F5" s="488"/>
      <c r="G5" s="488"/>
      <c r="H5" s="488"/>
      <c r="I5" s="488"/>
      <c r="J5" s="488"/>
      <c r="K5" s="489"/>
      <c r="L5" s="239"/>
      <c r="M5" s="239"/>
      <c r="N5" s="50"/>
    </row>
    <row r="6" spans="1:14" s="26" customFormat="1" ht="12.75" customHeight="1" thickBot="1" x14ac:dyDescent="0.35">
      <c r="A6" s="238"/>
      <c r="B6" s="487"/>
      <c r="C6" s="488"/>
      <c r="D6" s="488"/>
      <c r="E6" s="488"/>
      <c r="F6" s="488"/>
      <c r="G6" s="488"/>
      <c r="H6" s="488"/>
      <c r="I6" s="488"/>
      <c r="J6" s="488"/>
      <c r="K6" s="489"/>
      <c r="L6" s="239"/>
      <c r="M6" s="239"/>
      <c r="N6" s="50"/>
    </row>
    <row r="7" spans="1:14" s="26" customFormat="1" ht="12.75" customHeight="1" thickTop="1" x14ac:dyDescent="0.3">
      <c r="A7" s="238"/>
      <c r="B7" s="490" t="s">
        <v>198</v>
      </c>
      <c r="C7" s="491"/>
      <c r="D7" s="491"/>
      <c r="E7" s="491"/>
      <c r="F7" s="491"/>
      <c r="G7" s="491"/>
      <c r="H7" s="491"/>
      <c r="I7" s="491"/>
      <c r="J7" s="491"/>
      <c r="K7" s="492"/>
      <c r="L7" s="287"/>
      <c r="M7" s="284"/>
      <c r="N7" s="25"/>
    </row>
    <row r="8" spans="1:14" s="26" customFormat="1" ht="12.75" customHeight="1" x14ac:dyDescent="0.3">
      <c r="A8" s="238"/>
      <c r="B8" s="493"/>
      <c r="C8" s="494"/>
      <c r="D8" s="494"/>
      <c r="E8" s="494"/>
      <c r="F8" s="494"/>
      <c r="G8" s="494"/>
      <c r="H8" s="494"/>
      <c r="I8" s="494"/>
      <c r="J8" s="494"/>
      <c r="K8" s="495"/>
      <c r="L8" s="288"/>
      <c r="M8" s="285"/>
      <c r="N8" s="25"/>
    </row>
    <row r="9" spans="1:14" s="26" customFormat="1" ht="12.75" customHeight="1" x14ac:dyDescent="0.3">
      <c r="A9" s="238"/>
      <c r="B9" s="248" t="s">
        <v>98</v>
      </c>
      <c r="C9" s="289" t="s">
        <v>204</v>
      </c>
      <c r="D9" s="290"/>
      <c r="E9" s="290"/>
      <c r="F9" s="290"/>
      <c r="G9" s="290"/>
      <c r="H9" s="290"/>
      <c r="I9" s="290"/>
      <c r="J9" s="290"/>
      <c r="K9" s="291"/>
      <c r="L9" s="288"/>
      <c r="M9" s="285"/>
      <c r="N9" s="25"/>
    </row>
    <row r="10" spans="1:14" s="26" customFormat="1" ht="12.75" customHeight="1" x14ac:dyDescent="0.3">
      <c r="A10" s="238"/>
      <c r="B10" s="248" t="s">
        <v>99</v>
      </c>
      <c r="C10" s="250" t="s">
        <v>209</v>
      </c>
      <c r="D10" s="246"/>
      <c r="E10" s="292"/>
      <c r="F10" s="292"/>
      <c r="G10" s="292"/>
      <c r="H10" s="292"/>
      <c r="I10" s="292"/>
      <c r="J10" s="292"/>
      <c r="K10" s="279"/>
      <c r="L10" s="243"/>
      <c r="M10" s="215"/>
      <c r="N10" s="27"/>
    </row>
    <row r="11" spans="1:14" s="26" customFormat="1" ht="13" x14ac:dyDescent="0.3">
      <c r="A11" s="238"/>
      <c r="B11" s="278"/>
      <c r="C11" s="294"/>
      <c r="D11" s="293"/>
      <c r="E11" s="292"/>
      <c r="F11" s="292"/>
      <c r="G11" s="292"/>
      <c r="H11" s="292"/>
      <c r="I11" s="292"/>
      <c r="J11" s="292"/>
      <c r="K11" s="279"/>
      <c r="L11" s="243"/>
      <c r="M11" s="215"/>
      <c r="N11" s="27"/>
    </row>
    <row r="12" spans="1:14" s="26" customFormat="1" ht="13" x14ac:dyDescent="0.3">
      <c r="A12" s="238"/>
      <c r="B12" s="278"/>
      <c r="C12" s="296" t="s">
        <v>109</v>
      </c>
      <c r="D12" s="293"/>
      <c r="E12" s="295"/>
      <c r="F12" s="292"/>
      <c r="G12" s="292"/>
      <c r="H12" s="292"/>
      <c r="I12" s="292"/>
      <c r="J12" s="292"/>
      <c r="K12" s="279"/>
      <c r="L12" s="243"/>
      <c r="M12" s="215"/>
      <c r="N12" s="27"/>
    </row>
    <row r="13" spans="1:14" s="26" customFormat="1" ht="13" x14ac:dyDescent="0.3">
      <c r="A13" s="238"/>
      <c r="B13" s="278"/>
      <c r="C13" s="293" t="s">
        <v>98</v>
      </c>
      <c r="D13" s="246" t="s">
        <v>206</v>
      </c>
      <c r="E13" s="295"/>
      <c r="F13" s="292"/>
      <c r="G13" s="292"/>
      <c r="H13" s="292"/>
      <c r="I13" s="292"/>
      <c r="J13" s="292"/>
      <c r="K13" s="279"/>
      <c r="L13" s="243"/>
      <c r="M13" s="215"/>
      <c r="N13" s="27"/>
    </row>
    <row r="14" spans="1:14" s="26" customFormat="1" ht="13" x14ac:dyDescent="0.3">
      <c r="A14" s="238"/>
      <c r="B14" s="278"/>
      <c r="C14" s="293" t="s">
        <v>99</v>
      </c>
      <c r="D14" s="246" t="s">
        <v>207</v>
      </c>
      <c r="E14" s="292"/>
      <c r="F14" s="292"/>
      <c r="G14" s="292"/>
      <c r="H14" s="292"/>
      <c r="I14" s="292"/>
      <c r="J14" s="292"/>
      <c r="K14" s="279"/>
      <c r="L14" s="243"/>
      <c r="M14" s="215"/>
      <c r="N14" s="27"/>
    </row>
    <row r="15" spans="1:14" s="26" customFormat="1" ht="13" x14ac:dyDescent="0.3">
      <c r="A15" s="238"/>
      <c r="B15" s="297"/>
      <c r="C15" s="293" t="s">
        <v>100</v>
      </c>
      <c r="D15" s="298" t="s">
        <v>208</v>
      </c>
      <c r="E15" s="299"/>
      <c r="F15" s="299"/>
      <c r="G15" s="299"/>
      <c r="H15" s="299"/>
      <c r="I15" s="299"/>
      <c r="J15" s="299"/>
      <c r="K15" s="300"/>
      <c r="L15" s="243"/>
      <c r="M15" s="215"/>
      <c r="N15" s="27"/>
    </row>
    <row r="16" spans="1:14" s="26" customFormat="1" ht="13" x14ac:dyDescent="0.3">
      <c r="A16" s="238"/>
      <c r="B16" s="297"/>
      <c r="C16" s="293" t="s">
        <v>101</v>
      </c>
      <c r="D16" s="298" t="s">
        <v>205</v>
      </c>
      <c r="E16" s="299"/>
      <c r="F16" s="299"/>
      <c r="G16" s="299"/>
      <c r="H16" s="299"/>
      <c r="I16" s="299"/>
      <c r="J16" s="299"/>
      <c r="K16" s="300"/>
      <c r="L16" s="243"/>
      <c r="M16" s="215"/>
      <c r="N16" s="27"/>
    </row>
    <row r="17" spans="1:14" s="26" customFormat="1" ht="13.5" thickBot="1" x14ac:dyDescent="0.35">
      <c r="A17" s="238"/>
      <c r="B17" s="280"/>
      <c r="C17" s="276"/>
      <c r="D17" s="276"/>
      <c r="E17" s="276"/>
      <c r="F17" s="276"/>
      <c r="G17" s="276"/>
      <c r="H17" s="277"/>
      <c r="I17" s="277"/>
      <c r="J17" s="277"/>
      <c r="K17" s="281"/>
      <c r="L17" s="243"/>
      <c r="M17" s="215"/>
      <c r="N17" s="27"/>
    </row>
    <row r="18" spans="1:14" ht="13.5" thickTop="1" x14ac:dyDescent="0.3">
      <c r="A18" s="286"/>
      <c r="B18" s="230"/>
      <c r="C18" s="230"/>
      <c r="D18" s="245"/>
      <c r="E18" s="230"/>
      <c r="F18" s="230"/>
      <c r="G18" s="230"/>
      <c r="H18" s="230"/>
      <c r="I18" s="230"/>
      <c r="J18" s="230"/>
      <c r="K18" s="230"/>
      <c r="L18" s="215"/>
      <c r="M18" s="215"/>
    </row>
    <row r="19" spans="1:14" x14ac:dyDescent="0.25">
      <c r="A19" s="28"/>
      <c r="D19" s="30"/>
    </row>
    <row r="20" spans="1:14" x14ac:dyDescent="0.25">
      <c r="A20" s="28"/>
      <c r="C20" s="502" t="s">
        <v>77</v>
      </c>
      <c r="D20" s="508" t="s">
        <v>231</v>
      </c>
      <c r="E20" s="509"/>
      <c r="F20" s="509"/>
      <c r="G20" s="509"/>
      <c r="H20" s="509"/>
      <c r="I20" s="509"/>
      <c r="J20" s="509"/>
    </row>
    <row r="21" spans="1:14" x14ac:dyDescent="0.25">
      <c r="A21" s="28"/>
      <c r="C21" s="503"/>
      <c r="D21" s="510"/>
      <c r="E21" s="511"/>
      <c r="F21" s="511"/>
      <c r="G21" s="511"/>
      <c r="H21" s="511"/>
      <c r="I21" s="511"/>
      <c r="J21" s="511"/>
    </row>
    <row r="22" spans="1:14" ht="13.5" thickBot="1" x14ac:dyDescent="0.35">
      <c r="A22" s="28"/>
      <c r="D22" s="31"/>
      <c r="E22" s="32"/>
      <c r="F22" s="500" t="s">
        <v>78</v>
      </c>
      <c r="G22" s="501"/>
      <c r="H22" s="32"/>
      <c r="I22" s="32"/>
      <c r="J22" s="32"/>
    </row>
    <row r="23" spans="1:14" ht="13.5" thickTop="1" x14ac:dyDescent="0.3">
      <c r="A23" s="28"/>
      <c r="C23" s="28"/>
      <c r="D23" s="504" t="s">
        <v>71</v>
      </c>
      <c r="E23" s="506" t="s">
        <v>5</v>
      </c>
      <c r="F23" s="497" t="s">
        <v>74</v>
      </c>
      <c r="G23" s="497"/>
      <c r="H23" s="497" t="s">
        <v>210</v>
      </c>
      <c r="I23" s="497"/>
      <c r="J23" s="498" t="str">
        <f>CONCATENATE("JEDEC Bit Field Values (",_user_sdram_type,"-",_sdram_data_rate," @ ",_ddr_pll_freq," MHz)")</f>
        <v>JEDEC Bit Field Values (DDR3/L-1600 @ 532 MHz)</v>
      </c>
      <c r="K23" s="30"/>
    </row>
    <row r="24" spans="1:14" ht="13" x14ac:dyDescent="0.3">
      <c r="A24" s="28"/>
      <c r="C24" s="28"/>
      <c r="D24" s="505"/>
      <c r="E24" s="507"/>
      <c r="F24" s="33" t="s">
        <v>56</v>
      </c>
      <c r="G24" s="33" t="s">
        <v>73</v>
      </c>
      <c r="H24" s="33" t="s">
        <v>0</v>
      </c>
      <c r="I24" s="33" t="s">
        <v>6</v>
      </c>
      <c r="J24" s="499"/>
      <c r="K24" s="30"/>
    </row>
    <row r="25" spans="1:14" ht="13" x14ac:dyDescent="0.3">
      <c r="A25" s="28"/>
      <c r="C25" s="28"/>
      <c r="D25" s="336" t="s">
        <v>227</v>
      </c>
      <c r="E25" s="338" t="s">
        <v>229</v>
      </c>
      <c r="F25" s="340">
        <v>11</v>
      </c>
      <c r="G25" s="337"/>
      <c r="H25" s="337">
        <f ca="1">_t_cl_user</f>
        <v>11</v>
      </c>
      <c r="I25" s="40" t="s">
        <v>56</v>
      </c>
      <c r="J25" s="339">
        <f ca="1">_sdram_cl</f>
        <v>7</v>
      </c>
      <c r="K25" s="30"/>
    </row>
    <row r="26" spans="1:14" ht="13" x14ac:dyDescent="0.3">
      <c r="A26" s="28"/>
      <c r="C26" s="28"/>
      <c r="D26" s="336" t="s">
        <v>228</v>
      </c>
      <c r="E26" s="338" t="s">
        <v>230</v>
      </c>
      <c r="F26" s="340">
        <v>8</v>
      </c>
      <c r="G26" s="337"/>
      <c r="H26" s="337">
        <f>_t_cwl_user</f>
        <v>8</v>
      </c>
      <c r="I26" s="40" t="s">
        <v>56</v>
      </c>
      <c r="J26" s="339">
        <f ca="1">_sdram_cwl_jedec</f>
        <v>6</v>
      </c>
      <c r="K26" s="30"/>
    </row>
    <row r="27" spans="1:14" ht="13" x14ac:dyDescent="0.3">
      <c r="A27" s="36"/>
      <c r="B27" s="45"/>
      <c r="C27" s="28"/>
      <c r="D27" s="37" t="s">
        <v>63</v>
      </c>
      <c r="E27" s="38" t="s">
        <v>62</v>
      </c>
      <c r="F27" s="304"/>
      <c r="G27" s="305">
        <v>13.75</v>
      </c>
      <c r="H27" s="39">
        <f>_t_rp_user</f>
        <v>7</v>
      </c>
      <c r="I27" s="40" t="s">
        <v>56</v>
      </c>
      <c r="J27" s="41">
        <f>_t_rp_jedec</f>
        <v>7</v>
      </c>
      <c r="K27" s="30"/>
    </row>
    <row r="28" spans="1:14" ht="13" x14ac:dyDescent="0.3">
      <c r="A28" s="36"/>
      <c r="B28" s="45"/>
      <c r="C28" s="28"/>
      <c r="D28" s="37" t="s">
        <v>60</v>
      </c>
      <c r="E28" s="38" t="s">
        <v>59</v>
      </c>
      <c r="F28" s="304"/>
      <c r="G28" s="305">
        <v>13.75</v>
      </c>
      <c r="H28" s="39">
        <f>_t_rcd_user</f>
        <v>7</v>
      </c>
      <c r="I28" s="40" t="s">
        <v>56</v>
      </c>
      <c r="J28" s="41">
        <f>_t_rcd_jedec</f>
        <v>7</v>
      </c>
      <c r="K28" s="30"/>
    </row>
    <row r="29" spans="1:14" ht="13" x14ac:dyDescent="0.3">
      <c r="A29" s="36"/>
      <c r="B29" s="45"/>
      <c r="C29" s="28"/>
      <c r="D29" s="37" t="s">
        <v>66</v>
      </c>
      <c r="E29" s="38" t="s">
        <v>65</v>
      </c>
      <c r="F29" s="304"/>
      <c r="G29" s="305">
        <v>15</v>
      </c>
      <c r="H29" s="39">
        <f>_t_wr_user</f>
        <v>7</v>
      </c>
      <c r="I29" s="40" t="s">
        <v>56</v>
      </c>
      <c r="J29" s="41">
        <f>_t_wr_jedec</f>
        <v>7</v>
      </c>
      <c r="K29" s="30"/>
    </row>
    <row r="30" spans="1:14" ht="13" x14ac:dyDescent="0.3">
      <c r="A30" s="36"/>
      <c r="B30" s="45"/>
      <c r="C30" s="28"/>
      <c r="D30" s="37" t="s">
        <v>57</v>
      </c>
      <c r="E30" s="38" t="s">
        <v>82</v>
      </c>
      <c r="F30" s="304"/>
      <c r="G30" s="305">
        <v>35</v>
      </c>
      <c r="H30" s="39">
        <f>_t_ras_user</f>
        <v>18</v>
      </c>
      <c r="I30" s="40" t="s">
        <v>56</v>
      </c>
      <c r="J30" s="41">
        <f>_t_ras_jedec</f>
        <v>18</v>
      </c>
      <c r="K30" s="30"/>
    </row>
    <row r="31" spans="1:14" ht="13" x14ac:dyDescent="0.3">
      <c r="A31" s="36"/>
      <c r="B31" s="45"/>
      <c r="C31" s="28"/>
      <c r="D31" s="37" t="s">
        <v>58</v>
      </c>
      <c r="E31" s="38" t="s">
        <v>81</v>
      </c>
      <c r="F31" s="304"/>
      <c r="G31" s="305">
        <v>48.75</v>
      </c>
      <c r="H31" s="39">
        <f>_t_rc_user</f>
        <v>25</v>
      </c>
      <c r="I31" s="40" t="s">
        <v>56</v>
      </c>
      <c r="J31" s="41">
        <f>_t_rc_jedec</f>
        <v>25</v>
      </c>
      <c r="K31" s="30"/>
    </row>
    <row r="32" spans="1:14" ht="13" x14ac:dyDescent="0.3">
      <c r="A32" s="36"/>
      <c r="B32" s="45"/>
      <c r="C32" s="28"/>
      <c r="D32" s="37" t="s">
        <v>64</v>
      </c>
      <c r="E32" s="38" t="s">
        <v>89</v>
      </c>
      <c r="F32" s="306">
        <v>4</v>
      </c>
      <c r="G32" s="305">
        <v>10</v>
      </c>
      <c r="H32" s="39">
        <f>_t_rrd_user</f>
        <v>6</v>
      </c>
      <c r="I32" s="40" t="s">
        <v>56</v>
      </c>
      <c r="J32" s="41">
        <f>MAX(_t_rrd_jedec,_t_faw_jedec)</f>
        <v>5</v>
      </c>
      <c r="K32" s="30"/>
    </row>
    <row r="33" spans="1:11" ht="13" x14ac:dyDescent="0.3">
      <c r="A33" s="36"/>
      <c r="B33" s="45"/>
      <c r="C33" s="28"/>
      <c r="D33" s="37" t="s">
        <v>67</v>
      </c>
      <c r="E33" s="38" t="s">
        <v>88</v>
      </c>
      <c r="F33" s="306">
        <v>4</v>
      </c>
      <c r="G33" s="305">
        <v>7.5</v>
      </c>
      <c r="H33" s="39">
        <f>_t_wtr_user</f>
        <v>3</v>
      </c>
      <c r="I33" s="40" t="s">
        <v>56</v>
      </c>
      <c r="J33" s="41">
        <f>_t_wtr_jedec</f>
        <v>3</v>
      </c>
      <c r="K33" s="30"/>
    </row>
    <row r="34" spans="1:11" ht="13" x14ac:dyDescent="0.3">
      <c r="A34" s="36"/>
      <c r="B34" s="45"/>
      <c r="C34" s="28"/>
      <c r="D34" s="37" t="s">
        <v>68</v>
      </c>
      <c r="E34" s="38" t="s">
        <v>90</v>
      </c>
      <c r="F34" s="306">
        <v>3</v>
      </c>
      <c r="G34" s="305">
        <v>7.5</v>
      </c>
      <c r="H34" s="39">
        <f>_t_xp_user</f>
        <v>3</v>
      </c>
      <c r="I34" s="40" t="s">
        <v>56</v>
      </c>
      <c r="J34" s="41">
        <f>_t_xp_jedec</f>
        <v>3</v>
      </c>
      <c r="K34" s="30"/>
    </row>
    <row r="35" spans="1:11" ht="13" x14ac:dyDescent="0.3">
      <c r="A35" s="36"/>
      <c r="B35" s="45"/>
      <c r="C35" s="28"/>
      <c r="D35" s="37" t="s">
        <v>93</v>
      </c>
      <c r="E35" s="38" t="s">
        <v>95</v>
      </c>
      <c r="F35" s="306">
        <v>5</v>
      </c>
      <c r="G35" s="305">
        <v>360</v>
      </c>
      <c r="H35" s="39">
        <f>_t_xsnr_user</f>
        <v>191</v>
      </c>
      <c r="I35" s="40" t="s">
        <v>56</v>
      </c>
      <c r="J35" s="41">
        <f>_t_xsnr_jedec</f>
        <v>191</v>
      </c>
      <c r="K35" s="30"/>
    </row>
    <row r="36" spans="1:11" ht="13" x14ac:dyDescent="0.3">
      <c r="A36" s="36"/>
      <c r="B36" s="45"/>
      <c r="C36" s="28"/>
      <c r="D36" s="37" t="s">
        <v>94</v>
      </c>
      <c r="E36" s="38" t="s">
        <v>96</v>
      </c>
      <c r="F36" s="306">
        <v>512</v>
      </c>
      <c r="G36" s="307"/>
      <c r="H36" s="39">
        <f>_t_xsrd_user</f>
        <v>511</v>
      </c>
      <c r="I36" s="40" t="s">
        <v>56</v>
      </c>
      <c r="J36" s="41">
        <f>_t_xsrd_jedec</f>
        <v>511</v>
      </c>
      <c r="K36" s="30"/>
    </row>
    <row r="37" spans="1:11" ht="13" x14ac:dyDescent="0.3">
      <c r="A37" s="36"/>
      <c r="B37" s="45"/>
      <c r="C37" s="28"/>
      <c r="D37" s="37" t="s">
        <v>69</v>
      </c>
      <c r="E37" s="38" t="s">
        <v>87</v>
      </c>
      <c r="F37" s="306">
        <v>4</v>
      </c>
      <c r="G37" s="305">
        <v>7.5</v>
      </c>
      <c r="H37" s="39">
        <f>_t_rtp_user</f>
        <v>3</v>
      </c>
      <c r="I37" s="40" t="s">
        <v>56</v>
      </c>
      <c r="J37" s="41">
        <f>_t_rtp_jedec</f>
        <v>3</v>
      </c>
      <c r="K37" s="30"/>
    </row>
    <row r="38" spans="1:11" ht="13" x14ac:dyDescent="0.3">
      <c r="A38" s="36"/>
      <c r="B38" s="45"/>
      <c r="C38" s="28"/>
      <c r="D38" s="37" t="s">
        <v>55</v>
      </c>
      <c r="E38" s="38" t="s">
        <v>54</v>
      </c>
      <c r="F38" s="306">
        <v>3</v>
      </c>
      <c r="G38" s="305">
        <v>5.625</v>
      </c>
      <c r="H38" s="39">
        <f>_t_cke_user</f>
        <v>2</v>
      </c>
      <c r="I38" s="40" t="s">
        <v>56</v>
      </c>
      <c r="J38" s="41">
        <f>_t_cke_jedec</f>
        <v>2</v>
      </c>
      <c r="K38" s="30"/>
    </row>
    <row r="39" spans="1:11" ht="13" x14ac:dyDescent="0.3">
      <c r="A39" s="36"/>
      <c r="B39" s="45"/>
      <c r="C39" s="28"/>
      <c r="D39" s="37" t="s">
        <v>72</v>
      </c>
      <c r="E39" s="38" t="s">
        <v>92</v>
      </c>
      <c r="F39" s="308">
        <v>4</v>
      </c>
      <c r="G39" s="309"/>
      <c r="H39" s="39">
        <f>_t_ckesr_user</f>
        <v>3</v>
      </c>
      <c r="I39" s="40" t="s">
        <v>56</v>
      </c>
      <c r="J39" s="41">
        <f>_t_ckesr_jedec</f>
        <v>3</v>
      </c>
      <c r="K39" s="30"/>
    </row>
    <row r="40" spans="1:11" ht="13" x14ac:dyDescent="0.3">
      <c r="A40" s="36"/>
      <c r="B40" s="45"/>
      <c r="C40" s="28"/>
      <c r="D40" s="37" t="s">
        <v>70</v>
      </c>
      <c r="E40" s="38" t="s">
        <v>91</v>
      </c>
      <c r="F40" s="306">
        <v>64</v>
      </c>
      <c r="G40" s="305"/>
      <c r="H40" s="39">
        <f>_t_zqcs_user</f>
        <v>63</v>
      </c>
      <c r="I40" s="40" t="s">
        <v>56</v>
      </c>
      <c r="J40" s="41">
        <f>_t_zqcs_jedec</f>
        <v>63</v>
      </c>
      <c r="K40" s="30"/>
    </row>
    <row r="41" spans="1:11" ht="13" x14ac:dyDescent="0.3">
      <c r="A41" s="36"/>
      <c r="B41" s="45"/>
      <c r="C41" s="28"/>
      <c r="D41" s="37" t="s">
        <v>61</v>
      </c>
      <c r="E41" s="38" t="s">
        <v>84</v>
      </c>
      <c r="F41" s="304"/>
      <c r="G41" s="305">
        <v>350</v>
      </c>
      <c r="H41" s="39">
        <f>_t_rfc_user</f>
        <v>186</v>
      </c>
      <c r="I41" s="40" t="s">
        <v>56</v>
      </c>
      <c r="J41" s="41">
        <f>_t_rfc_jedec</f>
        <v>186</v>
      </c>
      <c r="K41" s="30"/>
    </row>
    <row r="42" spans="1:11" ht="13" x14ac:dyDescent="0.3">
      <c r="A42" s="36"/>
      <c r="B42" s="45"/>
      <c r="C42" s="28"/>
      <c r="D42" s="42" t="s">
        <v>79</v>
      </c>
      <c r="E42" s="43" t="s">
        <v>83</v>
      </c>
      <c r="F42" s="304"/>
      <c r="G42" s="305">
        <v>70200</v>
      </c>
      <c r="H42" s="39">
        <f>_t_ras_max_user</f>
        <v>8</v>
      </c>
      <c r="I42" s="40" t="s">
        <v>86</v>
      </c>
      <c r="J42" s="44">
        <f>_t_ras_max_jedec</f>
        <v>8</v>
      </c>
      <c r="K42" s="30"/>
    </row>
    <row r="43" spans="1:11" ht="13" x14ac:dyDescent="0.3">
      <c r="A43" s="45"/>
      <c r="B43" s="45"/>
      <c r="C43" s="46"/>
      <c r="D43" s="42" t="s">
        <v>80</v>
      </c>
      <c r="E43" s="43" t="s">
        <v>85</v>
      </c>
      <c r="F43" s="327"/>
      <c r="G43" s="328">
        <v>7800</v>
      </c>
      <c r="H43" s="329">
        <f>_t_refi_user</f>
        <v>4149</v>
      </c>
      <c r="I43" s="330" t="s">
        <v>56</v>
      </c>
      <c r="J43" s="331">
        <f>_t_refi_jedec</f>
        <v>4149</v>
      </c>
      <c r="K43" s="30"/>
    </row>
    <row r="44" spans="1:11" ht="13.5" thickBot="1" x14ac:dyDescent="0.35">
      <c r="C44" s="28"/>
      <c r="D44" s="47" t="s">
        <v>224</v>
      </c>
      <c r="E44" s="48" t="s">
        <v>225</v>
      </c>
      <c r="F44" s="333"/>
      <c r="G44" s="334">
        <v>50</v>
      </c>
      <c r="H44" s="332" t="s">
        <v>226</v>
      </c>
      <c r="I44" s="49" t="s">
        <v>7</v>
      </c>
      <c r="J44" s="341">
        <f>_t_faw_jedec</f>
        <v>5</v>
      </c>
      <c r="K44" s="30"/>
    </row>
    <row r="45" spans="1:11" ht="13" thickTop="1" x14ac:dyDescent="0.25">
      <c r="D45" s="29"/>
      <c r="E45" s="29"/>
      <c r="F45" s="29"/>
      <c r="G45" s="29"/>
      <c r="H45" s="29"/>
      <c r="I45" s="29"/>
      <c r="J45" s="29"/>
    </row>
  </sheetData>
  <sheetProtection password="D41E" sheet="1" objects="1" scenarios="1"/>
  <mergeCells count="12">
    <mergeCell ref="B3:K3"/>
    <mergeCell ref="B2:K2"/>
    <mergeCell ref="B4:K6"/>
    <mergeCell ref="B7:K8"/>
    <mergeCell ref="H23:I23"/>
    <mergeCell ref="J23:J24"/>
    <mergeCell ref="F22:G22"/>
    <mergeCell ref="C20:C21"/>
    <mergeCell ref="F23:G23"/>
    <mergeCell ref="D23:D24"/>
    <mergeCell ref="E23:E24"/>
    <mergeCell ref="D20:J21"/>
  </mergeCells>
  <conditionalFormatting sqref="H27:H41">
    <cfRule type="cellIs" dxfId="4" priority="6" operator="lessThan">
      <formula>$J27</formula>
    </cfRule>
  </conditionalFormatting>
  <conditionalFormatting sqref="H42:H43">
    <cfRule type="cellIs" dxfId="3" priority="5" operator="greaterThan">
      <formula>J42</formula>
    </cfRule>
  </conditionalFormatting>
  <conditionalFormatting sqref="H25">
    <cfRule type="cellIs" dxfId="2" priority="4" operator="lessThan">
      <formula>$J25</formula>
    </cfRule>
  </conditionalFormatting>
  <conditionalFormatting sqref="H26">
    <cfRule type="expression" dxfId="1" priority="3">
      <formula>IF(_sdram_type="DDR3/L",H26&lt;J26,FALSE)</formula>
    </cfRule>
  </conditionalFormatting>
  <conditionalFormatting sqref="G43">
    <cfRule type="expression" dxfId="0" priority="1">
      <formula>(G43*_ddr_pll_freq/1000)&lt;H43</formula>
    </cfRule>
  </conditionalFormatting>
  <dataValidations count="18">
    <dataValidation type="whole" allowBlank="1" showInputMessage="1" showErrorMessage="1" sqref="F37:F39 F32:F34" xr:uid="{00000000-0002-0000-0400-000000000000}">
      <formula1>0</formula1>
      <formula2>8</formula2>
    </dataValidation>
    <dataValidation type="custom" operator="greaterThanOrEqual" allowBlank="1" showInputMessage="1" showErrorMessage="1" sqref="G37:G39 G32:G34" xr:uid="{00000000-0002-0000-0400-000001000000}">
      <formula1>ROUNDUP(G32*_ddr_pll_freq/1000,0)&lt;9</formula1>
    </dataValidation>
    <dataValidation type="whole" allowBlank="1" showInputMessage="1" showErrorMessage="1" sqref="F40 F31" xr:uid="{00000000-0002-0000-0400-000002000000}">
      <formula1>0</formula1>
      <formula2>64</formula2>
    </dataValidation>
    <dataValidation type="whole" allowBlank="1" showInputMessage="1" showErrorMessage="1" sqref="F35 F41" xr:uid="{00000000-0002-0000-0400-000003000000}">
      <formula1>0</formula1>
      <formula2>512</formula2>
    </dataValidation>
    <dataValidation type="whole" allowBlank="1" showInputMessage="1" showErrorMessage="1" sqref="F36" xr:uid="{00000000-0002-0000-0400-000004000000}">
      <formula1>0</formula1>
      <formula2>1024</formula2>
    </dataValidation>
    <dataValidation type="whole" allowBlank="1" showInputMessage="1" showErrorMessage="1" sqref="F43" xr:uid="{00000000-0002-0000-0400-000005000000}">
      <formula1>0</formula1>
      <formula2>65536</formula2>
    </dataValidation>
    <dataValidation type="custom" operator="greaterThanOrEqual" allowBlank="1" showInputMessage="1" showErrorMessage="1" sqref="G40 G31" xr:uid="{00000000-0002-0000-0400-000006000000}">
      <formula1>ROUNDUP(G31*_ddr_pll_freq/1000,0)&lt;65</formula1>
    </dataValidation>
    <dataValidation type="custom" operator="greaterThanOrEqual" allowBlank="1" showInputMessage="1" showErrorMessage="1" sqref="G35 G41" xr:uid="{00000000-0002-0000-0400-000007000000}">
      <formula1>ROUNDUP(G35*_ddr_pll_freq/1000,0)&lt;513</formula1>
    </dataValidation>
    <dataValidation type="custom" operator="greaterThanOrEqual" allowBlank="1" showInputMessage="1" showErrorMessage="1" sqref="G36" xr:uid="{00000000-0002-0000-0400-000008000000}">
      <formula1>ROUNDUP(G36*_ddr_pll_freq/1000,0)&lt;1025</formula1>
    </dataValidation>
    <dataValidation type="custom" operator="greaterThanOrEqual" allowBlank="1" showInputMessage="1" showErrorMessage="1" sqref="G43" xr:uid="{00000000-0002-0000-0400-000009000000}">
      <formula1>AND(G43&gt;=(4.5*G41),ROUNDDOWN(G43*_ddr_pll_freq/1000,0)&lt;65536)</formula1>
    </dataValidation>
    <dataValidation type="custom" allowBlank="1" showInputMessage="1" showErrorMessage="1" sqref="F42" xr:uid="{00000000-0002-0000-0400-00000A000000}">
      <formula1>ROUNDUP(F42/H43,0)&lt;17</formula1>
    </dataValidation>
    <dataValidation type="custom" operator="greaterThanOrEqual" allowBlank="1" showInputMessage="1" showErrorMessage="1" sqref="G42" xr:uid="{00000000-0002-0000-0400-00000B000000}">
      <formula1>ROUNDUP(G42/G43,0)&lt;17</formula1>
    </dataValidation>
    <dataValidation type="whole" allowBlank="1" showInputMessage="1" showErrorMessage="1" sqref="F27:F29" xr:uid="{00000000-0002-0000-0400-00000C000000}">
      <formula1>0</formula1>
      <formula2>16</formula2>
    </dataValidation>
    <dataValidation type="whole" allowBlank="1" showInputMessage="1" showErrorMessage="1" sqref="F30 F44" xr:uid="{00000000-0002-0000-0400-00000D000000}">
      <formula1>0</formula1>
      <formula2>32</formula2>
    </dataValidation>
    <dataValidation type="custom" operator="greaterThanOrEqual" allowBlank="1" showInputMessage="1" showErrorMessage="1" sqref="G27:G29" xr:uid="{00000000-0002-0000-0400-00000E000000}">
      <formula1>ROUNDUP(G27*_ddr_pll_freq/1000,0)&lt;17</formula1>
    </dataValidation>
    <dataValidation type="custom" operator="greaterThanOrEqual" allowBlank="1" showInputMessage="1" showErrorMessage="1" sqref="G30" xr:uid="{00000000-0002-0000-0400-00000F000000}">
      <formula1>ROUNDUP(G30*_ddr_pll_freq/1000,0)&lt;33</formula1>
    </dataValidation>
    <dataValidation type="custom" allowBlank="1" showInputMessage="1" showErrorMessage="1" sqref="G44" xr:uid="{00000000-0002-0000-0400-000010000000}">
      <formula1>ROUNDUP(G44*_ddr_pll_freq/4000,0)&lt;9</formula1>
    </dataValidation>
    <dataValidation type="whole" allowBlank="1" showInputMessage="1" showErrorMessage="1" prompt="Value must be between 5 and 8. Value only applies to DDR3." sqref="F26" xr:uid="{00000000-0002-0000-0400-000011000000}">
      <formula1>5</formula1>
      <formula2>8</formula2>
    </dataValidation>
  </dataValidations>
  <pageMargins left="0.7" right="0.7" top="0.75" bottom="0.75" header="0.3" footer="0.3"/>
  <pageSetup orientation="portrait" r:id="rId1"/>
  <picture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00000000-0002-0000-0400-000012000000}">
          <x14:formula1>
            <xm:f>AND(F25&lt;=DynamicUserOptions!T7,F25&gt;=DynamicUserOptions!T8)</xm:f>
          </x14:formula1>
          <xm:sqref>F25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>
    <tabColor rgb="FF00B050"/>
  </sheetPr>
  <dimension ref="A5:AN229"/>
  <sheetViews>
    <sheetView workbookViewId="0">
      <selection activeCell="I16" sqref="I16"/>
    </sheetView>
  </sheetViews>
  <sheetFormatPr defaultColWidth="9.1796875" defaultRowHeight="12.5" x14ac:dyDescent="0.25"/>
  <cols>
    <col min="1" max="1" width="7.453125" style="363" bestFit="1" customWidth="1"/>
    <col min="2" max="2" width="45.54296875" style="363" bestFit="1" customWidth="1"/>
    <col min="3" max="3" width="4.81640625" style="364" bestFit="1" customWidth="1"/>
    <col min="4" max="4" width="9.54296875" style="363" bestFit="1" customWidth="1"/>
    <col min="5" max="5" width="10" style="363" bestFit="1" customWidth="1"/>
    <col min="6" max="6" width="12.1796875" style="364" bestFit="1" customWidth="1"/>
    <col min="7" max="7" width="10.54296875" style="364" bestFit="1" customWidth="1"/>
    <col min="8" max="8" width="9.1796875" style="326"/>
    <col min="9" max="40" width="6.7265625" style="363" customWidth="1"/>
    <col min="41" max="16384" width="9.1796875" style="326"/>
  </cols>
  <sheetData>
    <row r="5" spans="1:40" s="361" customFormat="1" x14ac:dyDescent="0.25">
      <c r="A5" s="360" t="s">
        <v>588</v>
      </c>
      <c r="B5" s="360" t="s">
        <v>589</v>
      </c>
      <c r="C5" s="360" t="s">
        <v>593</v>
      </c>
      <c r="D5" s="360" t="s">
        <v>590</v>
      </c>
      <c r="E5" s="360" t="s">
        <v>590</v>
      </c>
      <c r="F5" s="360" t="s">
        <v>591</v>
      </c>
      <c r="G5" s="360" t="s">
        <v>592</v>
      </c>
      <c r="I5" s="362">
        <v>31</v>
      </c>
      <c r="J5" s="362">
        <v>30</v>
      </c>
      <c r="K5" s="362">
        <v>29</v>
      </c>
      <c r="L5" s="362">
        <v>28</v>
      </c>
      <c r="M5" s="362">
        <v>27</v>
      </c>
      <c r="N5" s="362">
        <v>26</v>
      </c>
      <c r="O5" s="362">
        <v>25</v>
      </c>
      <c r="P5" s="362">
        <v>24</v>
      </c>
      <c r="Q5" s="362">
        <v>23</v>
      </c>
      <c r="R5" s="362">
        <v>22</v>
      </c>
      <c r="S5" s="362">
        <v>21</v>
      </c>
      <c r="T5" s="362">
        <v>20</v>
      </c>
      <c r="U5" s="362">
        <v>19</v>
      </c>
      <c r="V5" s="362">
        <v>18</v>
      </c>
      <c r="W5" s="362">
        <v>17</v>
      </c>
      <c r="X5" s="362">
        <v>16</v>
      </c>
      <c r="Y5" s="362">
        <v>15</v>
      </c>
      <c r="Z5" s="362">
        <v>14</v>
      </c>
      <c r="AA5" s="362">
        <v>13</v>
      </c>
      <c r="AB5" s="362">
        <v>12</v>
      </c>
      <c r="AC5" s="362">
        <v>11</v>
      </c>
      <c r="AD5" s="362">
        <v>10</v>
      </c>
      <c r="AE5" s="362">
        <v>9</v>
      </c>
      <c r="AF5" s="362">
        <v>8</v>
      </c>
      <c r="AG5" s="362">
        <v>7</v>
      </c>
      <c r="AH5" s="362">
        <v>6</v>
      </c>
      <c r="AI5" s="362">
        <v>5</v>
      </c>
      <c r="AJ5" s="362">
        <v>4</v>
      </c>
      <c r="AK5" s="362">
        <v>3</v>
      </c>
      <c r="AL5" s="362">
        <v>2</v>
      </c>
      <c r="AM5" s="362">
        <v>1</v>
      </c>
      <c r="AN5" s="362">
        <v>0</v>
      </c>
    </row>
    <row r="6" spans="1:40" x14ac:dyDescent="0.25">
      <c r="B6" s="363" t="s">
        <v>239</v>
      </c>
      <c r="C6" s="364" t="s">
        <v>594</v>
      </c>
      <c r="D6" s="363" t="s">
        <v>240</v>
      </c>
      <c r="E6" s="363" t="str">
        <f>CONCATENATE("0x",DEC2HEX(HEX2DEC(RIGHT(D6,3)),8))</f>
        <v>0x00000000</v>
      </c>
      <c r="F6" s="365"/>
      <c r="G6" s="365"/>
    </row>
    <row r="7" spans="1:40" x14ac:dyDescent="0.25">
      <c r="B7" s="363" t="s">
        <v>241</v>
      </c>
      <c r="C7" s="364" t="s">
        <v>594</v>
      </c>
      <c r="D7" s="363" t="s">
        <v>242</v>
      </c>
      <c r="E7" s="363" t="str">
        <f t="shared" ref="E7:E73" si="0">CONCATENATE("0x",DEC2HEX(HEX2DEC(RIGHT(D7,3)),8))</f>
        <v>0x00000004</v>
      </c>
      <c r="F7" s="365"/>
      <c r="G7" s="365"/>
    </row>
    <row r="8" spans="1:40" x14ac:dyDescent="0.25">
      <c r="B8" s="518" t="s">
        <v>243</v>
      </c>
      <c r="C8" s="518" t="s">
        <v>598</v>
      </c>
      <c r="D8" s="518" t="s">
        <v>244</v>
      </c>
      <c r="E8" s="518" t="str">
        <f t="shared" si="0"/>
        <v>0x00000008</v>
      </c>
      <c r="F8" s="518" t="str">
        <f ca="1">CONCATENATE("0x",_EMIF_SDRAM_CONFIG_VAL)</f>
        <v>0x61873BB2</v>
      </c>
      <c r="G8" s="518"/>
      <c r="I8" s="519" t="s">
        <v>636</v>
      </c>
      <c r="J8" s="519"/>
      <c r="K8" s="519"/>
      <c r="L8" s="519" t="s">
        <v>637</v>
      </c>
      <c r="M8" s="519"/>
      <c r="N8" s="519" t="s">
        <v>638</v>
      </c>
      <c r="O8" s="519"/>
      <c r="P8" s="519"/>
      <c r="R8" s="519" t="s">
        <v>639</v>
      </c>
      <c r="S8" s="519"/>
      <c r="U8" s="519" t="s">
        <v>640</v>
      </c>
      <c r="V8" s="519"/>
      <c r="W8" s="519" t="s">
        <v>641</v>
      </c>
      <c r="X8" s="519"/>
      <c r="Y8" s="519" t="s">
        <v>642</v>
      </c>
      <c r="Z8" s="519"/>
      <c r="AA8" s="519" t="s">
        <v>29</v>
      </c>
      <c r="AB8" s="519"/>
      <c r="AC8" s="519"/>
      <c r="AD8" s="519"/>
      <c r="AE8" s="519" t="s">
        <v>643</v>
      </c>
      <c r="AF8" s="519"/>
      <c r="AG8" s="519"/>
      <c r="AH8" s="519" t="s">
        <v>644</v>
      </c>
      <c r="AI8" s="519"/>
      <c r="AJ8" s="519"/>
      <c r="AK8" s="363" t="s">
        <v>645</v>
      </c>
      <c r="AL8" s="519" t="s">
        <v>646</v>
      </c>
      <c r="AM8" s="519"/>
      <c r="AN8" s="519"/>
    </row>
    <row r="9" spans="1:40" x14ac:dyDescent="0.25">
      <c r="B9" s="518"/>
      <c r="C9" s="518"/>
      <c r="D9" s="518"/>
      <c r="E9" s="518"/>
      <c r="F9" s="518"/>
      <c r="G9" s="518"/>
      <c r="I9" s="519"/>
      <c r="J9" s="519"/>
      <c r="K9" s="519"/>
      <c r="L9" s="519"/>
      <c r="M9" s="519"/>
      <c r="N9" s="519"/>
      <c r="O9" s="519"/>
      <c r="P9" s="519"/>
      <c r="R9" s="519"/>
      <c r="S9" s="519"/>
      <c r="U9" s="519"/>
      <c r="V9" s="519"/>
      <c r="W9" s="519"/>
      <c r="X9" s="519"/>
      <c r="Y9" s="519"/>
      <c r="Z9" s="519"/>
      <c r="AA9" s="519"/>
      <c r="AB9" s="519"/>
      <c r="AC9" s="519"/>
      <c r="AD9" s="519"/>
      <c r="AE9" s="519"/>
      <c r="AF9" s="519"/>
      <c r="AG9" s="519"/>
      <c r="AH9" s="519"/>
      <c r="AI9" s="519"/>
      <c r="AJ9" s="519"/>
      <c r="AL9" s="519"/>
      <c r="AM9" s="519"/>
      <c r="AN9" s="519"/>
    </row>
    <row r="10" spans="1:40" x14ac:dyDescent="0.25">
      <c r="B10" s="363" t="s">
        <v>245</v>
      </c>
      <c r="C10" s="364" t="s">
        <v>598</v>
      </c>
      <c r="D10" s="363" t="s">
        <v>246</v>
      </c>
      <c r="E10" s="363" t="str">
        <f t="shared" si="0"/>
        <v>0x0000000C</v>
      </c>
      <c r="F10" s="364" t="str">
        <f>CONCATENATE("0x",_EMIF_SDRAM_CONFIG_2_VAL)</f>
        <v>0x00000000</v>
      </c>
    </row>
    <row r="11" spans="1:40" x14ac:dyDescent="0.25">
      <c r="B11" s="363" t="s">
        <v>247</v>
      </c>
      <c r="C11" s="364" t="s">
        <v>598</v>
      </c>
      <c r="D11" s="363" t="s">
        <v>248</v>
      </c>
      <c r="E11" s="363" t="str">
        <f t="shared" si="0"/>
        <v>0x00000010</v>
      </c>
      <c r="F11" s="364" t="str">
        <f>CONCATENATE("0x",_EMIF_SDRAM_REF_CTRL_VAL)</f>
        <v>0x00001035</v>
      </c>
      <c r="G11" s="364" t="str">
        <f>CONCATENATE("0x",_EMIF_SDRAM_REF_CTRL_INIT_VAL)</f>
        <v>0x000040F1</v>
      </c>
    </row>
    <row r="12" spans="1:40" ht="13" thickBot="1" x14ac:dyDescent="0.3">
      <c r="B12" s="363" t="s">
        <v>249</v>
      </c>
      <c r="C12" s="364" t="s">
        <v>598</v>
      </c>
      <c r="D12" s="363" t="s">
        <v>250</v>
      </c>
      <c r="E12" s="363" t="str">
        <f t="shared" si="0"/>
        <v>0x00000014</v>
      </c>
      <c r="F12" s="364" t="str">
        <f>CONCATENATE("0x",_EMIF_SDRAM_REF_CTRL_VAL)</f>
        <v>0x00001035</v>
      </c>
      <c r="G12" s="364" t="str">
        <f>CONCATENATE("0x",_EMIF_SDRAM_REF_CTRL_INIT_VAL)</f>
        <v>0x000040F1</v>
      </c>
    </row>
    <row r="13" spans="1:40" ht="13" thickTop="1" x14ac:dyDescent="0.25">
      <c r="B13" s="518" t="s">
        <v>251</v>
      </c>
      <c r="C13" s="518" t="s">
        <v>598</v>
      </c>
      <c r="D13" s="518" t="s">
        <v>252</v>
      </c>
      <c r="E13" s="518" t="str">
        <f t="shared" si="0"/>
        <v>0x00000018</v>
      </c>
      <c r="F13" s="362"/>
      <c r="G13" s="518"/>
      <c r="I13" s="517" t="s">
        <v>647</v>
      </c>
      <c r="J13" s="512"/>
      <c r="K13" s="512"/>
      <c r="L13" s="512" t="s">
        <v>648</v>
      </c>
      <c r="M13" s="512"/>
      <c r="N13" s="512"/>
      <c r="O13" s="512"/>
      <c r="P13" s="512" t="s">
        <v>649</v>
      </c>
      <c r="Q13" s="512"/>
      <c r="R13" s="512"/>
      <c r="S13" s="512"/>
      <c r="T13" s="512" t="s">
        <v>650</v>
      </c>
      <c r="U13" s="512"/>
      <c r="V13" s="512"/>
      <c r="W13" s="512"/>
      <c r="X13" s="512" t="s">
        <v>651</v>
      </c>
      <c r="Y13" s="512"/>
      <c r="Z13" s="512"/>
      <c r="AA13" s="512"/>
      <c r="AB13" s="512"/>
      <c r="AC13" s="512" t="s">
        <v>652</v>
      </c>
      <c r="AD13" s="512"/>
      <c r="AE13" s="512"/>
      <c r="AF13" s="512"/>
      <c r="AG13" s="512"/>
      <c r="AH13" s="512"/>
      <c r="AI13" s="512" t="s">
        <v>653</v>
      </c>
      <c r="AJ13" s="512"/>
      <c r="AK13" s="512"/>
      <c r="AL13" s="512" t="s">
        <v>654</v>
      </c>
      <c r="AM13" s="512"/>
      <c r="AN13" s="513"/>
    </row>
    <row r="14" spans="1:40" ht="13" thickBot="1" x14ac:dyDescent="0.3">
      <c r="B14" s="518"/>
      <c r="C14" s="518"/>
      <c r="D14" s="518"/>
      <c r="E14" s="518"/>
      <c r="F14" s="362" t="str">
        <f>CONCATENATE("0x",_EMIF_SDRAM_TIM_1_VAL)</f>
        <v>0xCEEF2673</v>
      </c>
      <c r="G14" s="518"/>
      <c r="I14" s="514">
        <f>_t_rtw_gel</f>
        <v>6</v>
      </c>
      <c r="J14" s="515"/>
      <c r="K14" s="515"/>
      <c r="L14" s="515">
        <f>_t_rp</f>
        <v>7</v>
      </c>
      <c r="M14" s="515"/>
      <c r="N14" s="515"/>
      <c r="O14" s="515"/>
      <c r="P14" s="515">
        <f>_t_rcd</f>
        <v>7</v>
      </c>
      <c r="Q14" s="515"/>
      <c r="R14" s="515"/>
      <c r="S14" s="515"/>
      <c r="T14" s="515">
        <f>_t_wr</f>
        <v>7</v>
      </c>
      <c r="U14" s="515"/>
      <c r="V14" s="515"/>
      <c r="W14" s="515"/>
      <c r="X14" s="515">
        <f>_t_ras</f>
        <v>18</v>
      </c>
      <c r="Y14" s="515"/>
      <c r="Z14" s="515"/>
      <c r="AA14" s="515"/>
      <c r="AB14" s="515"/>
      <c r="AC14" s="515">
        <f>_t_rc</f>
        <v>25</v>
      </c>
      <c r="AD14" s="515"/>
      <c r="AE14" s="515"/>
      <c r="AF14" s="515"/>
      <c r="AG14" s="515"/>
      <c r="AH14" s="515"/>
      <c r="AI14" s="515">
        <f>_t_rrd</f>
        <v>6</v>
      </c>
      <c r="AJ14" s="515"/>
      <c r="AK14" s="515"/>
      <c r="AL14" s="515">
        <f>_t_wtr</f>
        <v>3</v>
      </c>
      <c r="AM14" s="515"/>
      <c r="AN14" s="516"/>
    </row>
    <row r="15" spans="1:40" ht="13" thickTop="1" x14ac:dyDescent="0.25">
      <c r="B15" s="518"/>
      <c r="C15" s="518"/>
      <c r="D15" s="518"/>
      <c r="E15" s="518"/>
      <c r="F15" s="362"/>
      <c r="G15" s="362"/>
      <c r="I15" s="366"/>
      <c r="J15" s="366"/>
      <c r="K15" s="366"/>
      <c r="L15" s="366"/>
      <c r="M15" s="366"/>
      <c r="N15" s="366"/>
      <c r="O15" s="366"/>
      <c r="P15" s="366"/>
      <c r="Q15" s="366"/>
      <c r="R15" s="366"/>
      <c r="S15" s="366"/>
      <c r="T15" s="366"/>
      <c r="U15" s="366"/>
      <c r="V15" s="366"/>
      <c r="W15" s="366"/>
      <c r="X15" s="366"/>
      <c r="Y15" s="366"/>
      <c r="Z15" s="366"/>
      <c r="AA15" s="366"/>
      <c r="AB15" s="366"/>
      <c r="AC15" s="366"/>
      <c r="AD15" s="366"/>
      <c r="AE15" s="366"/>
      <c r="AF15" s="366"/>
      <c r="AG15" s="366"/>
      <c r="AH15" s="366"/>
      <c r="AI15" s="366"/>
      <c r="AJ15" s="366"/>
      <c r="AK15" s="366"/>
      <c r="AL15" s="366"/>
      <c r="AM15" s="366"/>
      <c r="AN15" s="366"/>
    </row>
    <row r="16" spans="1:40" x14ac:dyDescent="0.25">
      <c r="B16" s="363" t="s">
        <v>253</v>
      </c>
      <c r="C16" s="364" t="s">
        <v>598</v>
      </c>
      <c r="D16" s="363" t="s">
        <v>254</v>
      </c>
      <c r="E16" s="363" t="str">
        <f t="shared" si="0"/>
        <v>0x0000001C</v>
      </c>
      <c r="F16" s="364" t="str">
        <f>CONCATENATE("0x",_EMIF_SDRAM_TIM_1_VAL)</f>
        <v>0xCEEF2673</v>
      </c>
    </row>
    <row r="17" spans="2:7" x14ac:dyDescent="0.25">
      <c r="B17" s="363" t="s">
        <v>255</v>
      </c>
      <c r="C17" s="364" t="s">
        <v>598</v>
      </c>
      <c r="D17" s="363" t="s">
        <v>256</v>
      </c>
      <c r="E17" s="363" t="str">
        <f t="shared" si="0"/>
        <v>0x00000020</v>
      </c>
      <c r="F17" s="364" t="str">
        <f>CONCATENATE("0x",_EMIF_SDRAM_TIM_2_VAL)</f>
        <v>0x30BF7FDA</v>
      </c>
    </row>
    <row r="18" spans="2:7" x14ac:dyDescent="0.25">
      <c r="B18" s="363" t="s">
        <v>257</v>
      </c>
      <c r="C18" s="364" t="s">
        <v>598</v>
      </c>
      <c r="D18" s="363" t="s">
        <v>258</v>
      </c>
      <c r="E18" s="363" t="str">
        <f t="shared" si="0"/>
        <v>0x00000024</v>
      </c>
      <c r="F18" s="364" t="str">
        <f>CONCATENATE("0x",_EMIF_SDRAM_TIM_2_VAL)</f>
        <v>0x30BF7FDA</v>
      </c>
    </row>
    <row r="19" spans="2:7" x14ac:dyDescent="0.25">
      <c r="B19" s="363" t="s">
        <v>259</v>
      </c>
      <c r="C19" s="364" t="s">
        <v>598</v>
      </c>
      <c r="D19" s="363" t="s">
        <v>260</v>
      </c>
      <c r="E19" s="363" t="str">
        <f t="shared" si="0"/>
        <v>0x00000028</v>
      </c>
      <c r="F19" s="364" t="str">
        <f>CONCATENATE("0x",_EMIF_SDRAM_TIM_3_VAL)</f>
        <v>0x407F8BA8</v>
      </c>
    </row>
    <row r="20" spans="2:7" x14ac:dyDescent="0.25">
      <c r="B20" s="363" t="s">
        <v>261</v>
      </c>
      <c r="C20" s="364" t="s">
        <v>598</v>
      </c>
      <c r="D20" s="363" t="s">
        <v>262</v>
      </c>
      <c r="E20" s="363" t="str">
        <f t="shared" si="0"/>
        <v>0x0000002C</v>
      </c>
      <c r="F20" s="364" t="str">
        <f>CONCATENATE("0x",_EMIF_SDRAM_TIM_3_VAL)</f>
        <v>0x407F8BA8</v>
      </c>
    </row>
    <row r="21" spans="2:7" x14ac:dyDescent="0.25">
      <c r="B21" s="363" t="s">
        <v>263</v>
      </c>
      <c r="C21" s="364" t="s">
        <v>598</v>
      </c>
      <c r="D21" s="363" t="s">
        <v>264</v>
      </c>
      <c r="E21" s="363" t="str">
        <f t="shared" si="0"/>
        <v>0x00000030</v>
      </c>
    </row>
    <row r="22" spans="2:7" x14ac:dyDescent="0.25">
      <c r="B22" s="363" t="s">
        <v>265</v>
      </c>
      <c r="C22" s="364" t="s">
        <v>598</v>
      </c>
      <c r="D22" s="363" t="s">
        <v>266</v>
      </c>
      <c r="E22" s="363" t="str">
        <f t="shared" si="0"/>
        <v>0x00000034</v>
      </c>
    </row>
    <row r="23" spans="2:7" x14ac:dyDescent="0.25">
      <c r="B23" s="363" t="s">
        <v>267</v>
      </c>
      <c r="C23" s="364" t="s">
        <v>598</v>
      </c>
      <c r="D23" s="363" t="s">
        <v>268</v>
      </c>
      <c r="E23" s="363" t="str">
        <f t="shared" si="0"/>
        <v>0x00000038</v>
      </c>
    </row>
    <row r="24" spans="2:7" x14ac:dyDescent="0.25">
      <c r="B24" s="363" t="s">
        <v>269</v>
      </c>
      <c r="C24" s="364" t="s">
        <v>598</v>
      </c>
      <c r="D24" s="363" t="s">
        <v>270</v>
      </c>
      <c r="E24" s="363" t="str">
        <f t="shared" si="0"/>
        <v>0x0000003C</v>
      </c>
    </row>
    <row r="25" spans="2:7" x14ac:dyDescent="0.25">
      <c r="B25" s="367" t="s">
        <v>596</v>
      </c>
      <c r="D25" s="363" t="s">
        <v>272</v>
      </c>
      <c r="E25" s="363" t="str">
        <f t="shared" si="0"/>
        <v>0x00000040</v>
      </c>
    </row>
    <row r="26" spans="2:7" x14ac:dyDescent="0.25">
      <c r="B26" s="363" t="s">
        <v>271</v>
      </c>
      <c r="C26" s="364" t="s">
        <v>594</v>
      </c>
      <c r="D26" s="363" t="s">
        <v>273</v>
      </c>
      <c r="E26" s="363" t="str">
        <f t="shared" si="0"/>
        <v>0x00000044</v>
      </c>
      <c r="F26" s="365"/>
      <c r="G26" s="365"/>
    </row>
    <row r="27" spans="2:7" x14ac:dyDescent="0.25">
      <c r="B27" s="363" t="s">
        <v>271</v>
      </c>
      <c r="C27" s="364" t="s">
        <v>594</v>
      </c>
      <c r="D27" s="363" t="s">
        <v>274</v>
      </c>
      <c r="E27" s="363" t="str">
        <f t="shared" si="0"/>
        <v>0x00000048</v>
      </c>
      <c r="F27" s="365"/>
      <c r="G27" s="365"/>
    </row>
    <row r="28" spans="2:7" x14ac:dyDescent="0.25">
      <c r="B28" s="363" t="s">
        <v>271</v>
      </c>
      <c r="C28" s="364" t="s">
        <v>594</v>
      </c>
      <c r="D28" s="363" t="s">
        <v>275</v>
      </c>
      <c r="E28" s="363" t="str">
        <f t="shared" si="0"/>
        <v>0x0000004C</v>
      </c>
      <c r="F28" s="365"/>
      <c r="G28" s="365"/>
    </row>
    <row r="29" spans="2:7" x14ac:dyDescent="0.25">
      <c r="B29" s="367" t="s">
        <v>597</v>
      </c>
      <c r="D29" s="363" t="s">
        <v>276</v>
      </c>
      <c r="E29" s="363" t="str">
        <f t="shared" si="0"/>
        <v>0x00000050</v>
      </c>
    </row>
    <row r="30" spans="2:7" x14ac:dyDescent="0.25">
      <c r="B30" s="363" t="s">
        <v>277</v>
      </c>
      <c r="D30" s="363" t="s">
        <v>278</v>
      </c>
      <c r="E30" s="363" t="str">
        <f t="shared" si="0"/>
        <v>0x00000054</v>
      </c>
    </row>
    <row r="31" spans="2:7" x14ac:dyDescent="0.25">
      <c r="B31" s="363" t="s">
        <v>279</v>
      </c>
      <c r="C31" s="364" t="s">
        <v>594</v>
      </c>
      <c r="D31" s="363" t="s">
        <v>280</v>
      </c>
      <c r="E31" s="363" t="str">
        <f t="shared" si="0"/>
        <v>0x00000058</v>
      </c>
      <c r="F31" s="365"/>
      <c r="G31" s="365"/>
    </row>
    <row r="32" spans="2:7" x14ac:dyDescent="0.25">
      <c r="B32" s="363" t="s">
        <v>281</v>
      </c>
      <c r="C32" s="364" t="s">
        <v>594</v>
      </c>
      <c r="D32" s="363" t="s">
        <v>282</v>
      </c>
      <c r="E32" s="363" t="str">
        <f t="shared" si="0"/>
        <v>0x0000005C</v>
      </c>
      <c r="F32" s="365"/>
      <c r="G32" s="365"/>
    </row>
    <row r="33" spans="2:7" x14ac:dyDescent="0.25">
      <c r="B33" s="363" t="s">
        <v>283</v>
      </c>
      <c r="D33" s="363" t="s">
        <v>284</v>
      </c>
      <c r="E33" s="363" t="str">
        <f t="shared" si="0"/>
        <v>0x00000060</v>
      </c>
    </row>
    <row r="34" spans="2:7" x14ac:dyDescent="0.25">
      <c r="B34" s="367" t="s">
        <v>595</v>
      </c>
      <c r="D34" s="363" t="s">
        <v>285</v>
      </c>
      <c r="E34" s="363" t="str">
        <f t="shared" si="0"/>
        <v>0x00000064</v>
      </c>
    </row>
    <row r="35" spans="2:7" x14ac:dyDescent="0.25">
      <c r="D35" s="363" t="s">
        <v>286</v>
      </c>
      <c r="E35" s="363" t="str">
        <f t="shared" si="0"/>
        <v>0x00000068</v>
      </c>
    </row>
    <row r="36" spans="2:7" x14ac:dyDescent="0.25">
      <c r="D36" s="363" t="s">
        <v>287</v>
      </c>
      <c r="E36" s="363" t="str">
        <f t="shared" si="0"/>
        <v>0x0000006C</v>
      </c>
    </row>
    <row r="37" spans="2:7" x14ac:dyDescent="0.25">
      <c r="D37" s="363" t="s">
        <v>288</v>
      </c>
      <c r="E37" s="363" t="str">
        <f t="shared" si="0"/>
        <v>0x00000070</v>
      </c>
    </row>
    <row r="38" spans="2:7" x14ac:dyDescent="0.25">
      <c r="D38" s="363" t="s">
        <v>289</v>
      </c>
      <c r="E38" s="363" t="str">
        <f t="shared" si="0"/>
        <v>0x00000074</v>
      </c>
    </row>
    <row r="39" spans="2:7" x14ac:dyDescent="0.25">
      <c r="B39" s="363" t="s">
        <v>271</v>
      </c>
      <c r="C39" s="364" t="s">
        <v>594</v>
      </c>
      <c r="D39" s="363" t="s">
        <v>290</v>
      </c>
      <c r="E39" s="363" t="str">
        <f t="shared" si="0"/>
        <v>0x00000078</v>
      </c>
      <c r="F39" s="365"/>
      <c r="G39" s="365"/>
    </row>
    <row r="40" spans="2:7" x14ac:dyDescent="0.25">
      <c r="B40" s="363" t="s">
        <v>271</v>
      </c>
      <c r="C40" s="364" t="s">
        <v>594</v>
      </c>
      <c r="D40" s="363" t="s">
        <v>291</v>
      </c>
      <c r="E40" s="363" t="str">
        <f t="shared" si="0"/>
        <v>0x0000007C</v>
      </c>
      <c r="F40" s="365"/>
      <c r="G40" s="365"/>
    </row>
    <row r="41" spans="2:7" x14ac:dyDescent="0.25">
      <c r="B41" s="363" t="s">
        <v>292</v>
      </c>
      <c r="C41" s="364" t="s">
        <v>594</v>
      </c>
      <c r="D41" s="363" t="s">
        <v>293</v>
      </c>
      <c r="E41" s="363" t="str">
        <f t="shared" si="0"/>
        <v>0x00000080</v>
      </c>
      <c r="F41" s="365"/>
      <c r="G41" s="365"/>
    </row>
    <row r="42" spans="2:7" x14ac:dyDescent="0.25">
      <c r="B42" s="363" t="s">
        <v>294</v>
      </c>
      <c r="C42" s="364" t="s">
        <v>594</v>
      </c>
      <c r="D42" s="363" t="s">
        <v>295</v>
      </c>
      <c r="E42" s="363" t="str">
        <f t="shared" si="0"/>
        <v>0x00000084</v>
      </c>
      <c r="F42" s="365"/>
      <c r="G42" s="365"/>
    </row>
    <row r="43" spans="2:7" x14ac:dyDescent="0.25">
      <c r="B43" s="363" t="s">
        <v>296</v>
      </c>
      <c r="D43" s="363" t="s">
        <v>297</v>
      </c>
      <c r="E43" s="363" t="str">
        <f t="shared" si="0"/>
        <v>0x00000088</v>
      </c>
    </row>
    <row r="44" spans="2:7" x14ac:dyDescent="0.25">
      <c r="B44" s="363" t="s">
        <v>298</v>
      </c>
      <c r="D44" s="363" t="s">
        <v>299</v>
      </c>
      <c r="E44" s="363" t="str">
        <f t="shared" si="0"/>
        <v>0x0000008C</v>
      </c>
    </row>
    <row r="45" spans="2:7" x14ac:dyDescent="0.25">
      <c r="B45" s="363" t="s">
        <v>300</v>
      </c>
      <c r="C45" s="364" t="s">
        <v>594</v>
      </c>
      <c r="D45" s="363" t="s">
        <v>301</v>
      </c>
      <c r="E45" s="363" t="str">
        <f t="shared" si="0"/>
        <v>0x00000090</v>
      </c>
      <c r="F45" s="365"/>
      <c r="G45" s="365"/>
    </row>
    <row r="46" spans="2:7" x14ac:dyDescent="0.25">
      <c r="B46" s="363" t="s">
        <v>302</v>
      </c>
      <c r="D46" s="363" t="s">
        <v>303</v>
      </c>
      <c r="E46" s="363" t="str">
        <f t="shared" si="0"/>
        <v>0x00000094</v>
      </c>
    </row>
    <row r="47" spans="2:7" x14ac:dyDescent="0.25">
      <c r="B47" s="363" t="s">
        <v>304</v>
      </c>
      <c r="D47" s="363" t="s">
        <v>305</v>
      </c>
      <c r="E47" s="363" t="str">
        <f t="shared" si="0"/>
        <v>0x00000098</v>
      </c>
      <c r="F47" s="364" t="str">
        <f>CONCATENATE("0x",_EMIF_DLL_CALIB_CTRL_VAL)</f>
        <v>0x00050000</v>
      </c>
    </row>
    <row r="48" spans="2:7" x14ac:dyDescent="0.25">
      <c r="B48" s="363" t="s">
        <v>306</v>
      </c>
      <c r="D48" s="363" t="s">
        <v>307</v>
      </c>
      <c r="E48" s="363" t="str">
        <f t="shared" si="0"/>
        <v>0x0000009C</v>
      </c>
      <c r="F48" s="364" t="str">
        <f>CONCATENATE("0x",_EMIF_DLL_CALIB_CTRL_VAL)</f>
        <v>0x00050000</v>
      </c>
    </row>
    <row r="49" spans="2:7" x14ac:dyDescent="0.25">
      <c r="B49" s="363" t="s">
        <v>308</v>
      </c>
      <c r="D49" s="363" t="s">
        <v>309</v>
      </c>
      <c r="E49" s="363" t="str">
        <f t="shared" si="0"/>
        <v>0x000000A0</v>
      </c>
    </row>
    <row r="50" spans="2:7" x14ac:dyDescent="0.25">
      <c r="B50" s="363" t="s">
        <v>310</v>
      </c>
      <c r="D50" s="363" t="s">
        <v>311</v>
      </c>
      <c r="E50" s="363" t="str">
        <f t="shared" si="0"/>
        <v>0x000000A4</v>
      </c>
    </row>
    <row r="51" spans="2:7" x14ac:dyDescent="0.25">
      <c r="B51" s="367" t="s">
        <v>271</v>
      </c>
      <c r="D51" s="363" t="s">
        <v>312</v>
      </c>
      <c r="E51" s="363" t="str">
        <f t="shared" si="0"/>
        <v>0x000000A8</v>
      </c>
    </row>
    <row r="52" spans="2:7" x14ac:dyDescent="0.25">
      <c r="B52" s="363" t="s">
        <v>313</v>
      </c>
      <c r="D52" s="363" t="s">
        <v>314</v>
      </c>
      <c r="E52" s="363" t="str">
        <f t="shared" si="0"/>
        <v>0x000000AC</v>
      </c>
    </row>
    <row r="53" spans="2:7" x14ac:dyDescent="0.25">
      <c r="B53" s="367" t="s">
        <v>271</v>
      </c>
      <c r="D53" s="363" t="s">
        <v>315</v>
      </c>
      <c r="E53" s="363" t="str">
        <f t="shared" si="0"/>
        <v>0x000000B0</v>
      </c>
    </row>
    <row r="54" spans="2:7" x14ac:dyDescent="0.25">
      <c r="B54" s="363" t="s">
        <v>316</v>
      </c>
      <c r="D54" s="363" t="s">
        <v>317</v>
      </c>
      <c r="E54" s="363" t="str">
        <f t="shared" si="0"/>
        <v>0x000000B4</v>
      </c>
    </row>
    <row r="55" spans="2:7" x14ac:dyDescent="0.25">
      <c r="B55" s="367" t="s">
        <v>271</v>
      </c>
      <c r="D55" s="363" t="s">
        <v>318</v>
      </c>
      <c r="E55" s="363" t="str">
        <f t="shared" si="0"/>
        <v>0x000000B8</v>
      </c>
    </row>
    <row r="56" spans="2:7" x14ac:dyDescent="0.25">
      <c r="B56" s="363" t="s">
        <v>319</v>
      </c>
      <c r="D56" s="363" t="s">
        <v>320</v>
      </c>
      <c r="E56" s="363" t="str">
        <f t="shared" si="0"/>
        <v>0x000000BC</v>
      </c>
    </row>
    <row r="57" spans="2:7" x14ac:dyDescent="0.25">
      <c r="B57" s="367" t="s">
        <v>271</v>
      </c>
      <c r="D57" s="363" t="s">
        <v>321</v>
      </c>
      <c r="E57" s="363" t="str">
        <f t="shared" si="0"/>
        <v>0x000000C0</v>
      </c>
    </row>
    <row r="58" spans="2:7" x14ac:dyDescent="0.25">
      <c r="B58" s="363" t="s">
        <v>271</v>
      </c>
      <c r="C58" s="364" t="s">
        <v>594</v>
      </c>
      <c r="D58" s="363" t="s">
        <v>322</v>
      </c>
      <c r="E58" s="363" t="str">
        <f t="shared" si="0"/>
        <v>0x000000C4</v>
      </c>
      <c r="F58" s="365"/>
      <c r="G58" s="365"/>
    </row>
    <row r="59" spans="2:7" x14ac:dyDescent="0.25">
      <c r="B59" s="363" t="s">
        <v>323</v>
      </c>
      <c r="D59" s="363" t="s">
        <v>324</v>
      </c>
      <c r="E59" s="363" t="str">
        <f t="shared" si="0"/>
        <v>0x000000C8</v>
      </c>
    </row>
    <row r="60" spans="2:7" x14ac:dyDescent="0.25">
      <c r="B60" s="363" t="s">
        <v>325</v>
      </c>
      <c r="D60" s="363" t="s">
        <v>326</v>
      </c>
      <c r="E60" s="363" t="str">
        <f t="shared" si="0"/>
        <v>0x000000CC</v>
      </c>
    </row>
    <row r="61" spans="2:7" x14ac:dyDescent="0.25">
      <c r="B61" s="363" t="s">
        <v>327</v>
      </c>
      <c r="D61" s="363" t="s">
        <v>328</v>
      </c>
      <c r="E61" s="363" t="str">
        <f t="shared" si="0"/>
        <v>0x000000D0</v>
      </c>
    </row>
    <row r="62" spans="2:7" x14ac:dyDescent="0.25">
      <c r="B62" s="363" t="s">
        <v>329</v>
      </c>
      <c r="D62" s="363" t="s">
        <v>330</v>
      </c>
      <c r="E62" s="363" t="str">
        <f t="shared" si="0"/>
        <v>0x000000D4</v>
      </c>
    </row>
    <row r="63" spans="2:7" x14ac:dyDescent="0.25">
      <c r="B63" s="363" t="s">
        <v>331</v>
      </c>
      <c r="D63" s="363" t="s">
        <v>332</v>
      </c>
      <c r="E63" s="363" t="str">
        <f t="shared" si="0"/>
        <v>0x000000D8</v>
      </c>
    </row>
    <row r="64" spans="2:7" x14ac:dyDescent="0.25">
      <c r="B64" s="363" t="s">
        <v>333</v>
      </c>
      <c r="D64" s="363" t="s">
        <v>334</v>
      </c>
      <c r="E64" s="363" t="str">
        <f t="shared" si="0"/>
        <v>0x000000DC</v>
      </c>
    </row>
    <row r="65" spans="2:7" x14ac:dyDescent="0.25">
      <c r="B65" s="363" t="s">
        <v>271</v>
      </c>
      <c r="C65" s="364" t="s">
        <v>594</v>
      </c>
      <c r="D65" s="363" t="s">
        <v>335</v>
      </c>
      <c r="E65" s="363" t="str">
        <f t="shared" si="0"/>
        <v>0x000000E0</v>
      </c>
      <c r="F65" s="365"/>
      <c r="G65" s="365"/>
    </row>
    <row r="66" spans="2:7" x14ac:dyDescent="0.25">
      <c r="B66" s="363" t="s">
        <v>336</v>
      </c>
      <c r="D66" s="363" t="s">
        <v>337</v>
      </c>
      <c r="E66" s="363" t="str">
        <f t="shared" si="0"/>
        <v>0x000000E4</v>
      </c>
      <c r="F66" s="364" t="str">
        <f ca="1">CONCATENATE("0x",_EMIF_DDR_PHY_CTRL_1_VAL)</f>
        <v>0x0024400F</v>
      </c>
      <c r="G66" s="364" t="str">
        <f ca="1">CONCATENATE("0x",_EMIF_DDR_PHY_CTRL_1_VAL_NOLVL)</f>
        <v>0x0E24400F</v>
      </c>
    </row>
    <row r="67" spans="2:7" x14ac:dyDescent="0.25">
      <c r="B67" s="363" t="s">
        <v>338</v>
      </c>
      <c r="D67" s="363" t="s">
        <v>339</v>
      </c>
      <c r="E67" s="363" t="str">
        <f t="shared" si="0"/>
        <v>0x000000E8</v>
      </c>
      <c r="F67" s="364" t="str">
        <f ca="1">CONCATENATE("0x",_EMIF_DDR_PHY_CTRL_1_VAL)</f>
        <v>0x0024400F</v>
      </c>
      <c r="G67" s="364" t="str">
        <f ca="1">CONCATENATE("0x",_EMIF_DDR_PHY_CTRL_1_VAL_NOLVL)</f>
        <v>0x0E24400F</v>
      </c>
    </row>
    <row r="68" spans="2:7" x14ac:dyDescent="0.25">
      <c r="B68" s="363" t="s">
        <v>340</v>
      </c>
      <c r="D68" s="363" t="s">
        <v>341</v>
      </c>
      <c r="E68" s="363" t="str">
        <f t="shared" si="0"/>
        <v>0x000000EC</v>
      </c>
    </row>
    <row r="69" spans="2:7" x14ac:dyDescent="0.25">
      <c r="B69" s="363" t="s">
        <v>271</v>
      </c>
      <c r="C69" s="364" t="s">
        <v>594</v>
      </c>
      <c r="D69" s="363" t="s">
        <v>342</v>
      </c>
      <c r="E69" s="363" t="str">
        <f t="shared" si="0"/>
        <v>0x000000F0</v>
      </c>
      <c r="F69" s="365"/>
      <c r="G69" s="365"/>
    </row>
    <row r="70" spans="2:7" x14ac:dyDescent="0.25">
      <c r="B70" s="363" t="s">
        <v>271</v>
      </c>
      <c r="C70" s="364" t="s">
        <v>594</v>
      </c>
      <c r="D70" s="363" t="s">
        <v>343</v>
      </c>
      <c r="E70" s="363" t="str">
        <f t="shared" si="0"/>
        <v>0x000000F4</v>
      </c>
      <c r="F70" s="365"/>
      <c r="G70" s="365"/>
    </row>
    <row r="71" spans="2:7" x14ac:dyDescent="0.25">
      <c r="B71" s="363" t="s">
        <v>271</v>
      </c>
      <c r="C71" s="364" t="s">
        <v>594</v>
      </c>
      <c r="D71" s="363" t="s">
        <v>344</v>
      </c>
      <c r="E71" s="363" t="str">
        <f t="shared" si="0"/>
        <v>0x000000F8</v>
      </c>
      <c r="F71" s="365"/>
      <c r="G71" s="365"/>
    </row>
    <row r="72" spans="2:7" x14ac:dyDescent="0.25">
      <c r="B72" s="363" t="s">
        <v>271</v>
      </c>
      <c r="C72" s="364" t="s">
        <v>594</v>
      </c>
      <c r="D72" s="363" t="s">
        <v>345</v>
      </c>
      <c r="E72" s="363" t="str">
        <f t="shared" si="0"/>
        <v>0x000000FC</v>
      </c>
      <c r="F72" s="365"/>
      <c r="G72" s="365"/>
    </row>
    <row r="73" spans="2:7" x14ac:dyDescent="0.25">
      <c r="B73" s="363" t="s">
        <v>346</v>
      </c>
      <c r="D73" s="363" t="s">
        <v>347</v>
      </c>
      <c r="E73" s="363" t="str">
        <f t="shared" si="0"/>
        <v>0x00000100</v>
      </c>
    </row>
    <row r="74" spans="2:7" x14ac:dyDescent="0.25">
      <c r="B74" s="363" t="s">
        <v>348</v>
      </c>
      <c r="D74" s="363" t="s">
        <v>349</v>
      </c>
      <c r="E74" s="363" t="str">
        <f t="shared" ref="E74:E138" si="1">CONCATENATE("0x",DEC2HEX(HEX2DEC(RIGHT(D74,3)),8))</f>
        <v>0x00000104</v>
      </c>
    </row>
    <row r="75" spans="2:7" x14ac:dyDescent="0.25">
      <c r="B75" s="363" t="s">
        <v>350</v>
      </c>
      <c r="D75" s="363" t="s">
        <v>351</v>
      </c>
      <c r="E75" s="363" t="str">
        <f t="shared" si="1"/>
        <v>0x00000108</v>
      </c>
    </row>
    <row r="76" spans="2:7" x14ac:dyDescent="0.25">
      <c r="B76" s="363" t="s">
        <v>271</v>
      </c>
      <c r="C76" s="364" t="s">
        <v>594</v>
      </c>
      <c r="D76" s="363" t="s">
        <v>352</v>
      </c>
      <c r="E76" s="363" t="str">
        <f t="shared" si="1"/>
        <v>0x0000010C</v>
      </c>
      <c r="F76" s="365"/>
      <c r="G76" s="365"/>
    </row>
    <row r="77" spans="2:7" x14ac:dyDescent="0.25">
      <c r="B77" s="363" t="s">
        <v>353</v>
      </c>
      <c r="D77" s="363" t="s">
        <v>354</v>
      </c>
      <c r="E77" s="363" t="str">
        <f t="shared" si="1"/>
        <v>0x00000110</v>
      </c>
    </row>
    <row r="78" spans="2:7" x14ac:dyDescent="0.25">
      <c r="B78" s="363" t="s">
        <v>355</v>
      </c>
      <c r="D78" s="363" t="s">
        <v>356</v>
      </c>
      <c r="E78" s="363" t="str">
        <f t="shared" si="1"/>
        <v>0x00000114</v>
      </c>
    </row>
    <row r="79" spans="2:7" x14ac:dyDescent="0.25">
      <c r="B79" s="363" t="s">
        <v>357</v>
      </c>
      <c r="D79" s="363" t="s">
        <v>358</v>
      </c>
      <c r="E79" s="363" t="str">
        <f t="shared" si="1"/>
        <v>0x00000118</v>
      </c>
    </row>
    <row r="80" spans="2:7" x14ac:dyDescent="0.25">
      <c r="B80" s="363" t="s">
        <v>271</v>
      </c>
      <c r="C80" s="364" t="s">
        <v>594</v>
      </c>
      <c r="D80" s="363" t="s">
        <v>359</v>
      </c>
      <c r="E80" s="363" t="str">
        <f t="shared" si="1"/>
        <v>0x0000011C</v>
      </c>
      <c r="F80" s="365"/>
      <c r="G80" s="365"/>
    </row>
    <row r="81" spans="2:7" x14ac:dyDescent="0.25">
      <c r="B81" s="363" t="s">
        <v>360</v>
      </c>
      <c r="D81" s="363" t="s">
        <v>361</v>
      </c>
      <c r="E81" s="363" t="str">
        <f t="shared" si="1"/>
        <v>0x00000120</v>
      </c>
    </row>
    <row r="82" spans="2:7" x14ac:dyDescent="0.25">
      <c r="B82" s="363" t="s">
        <v>362</v>
      </c>
      <c r="D82" s="363" t="s">
        <v>363</v>
      </c>
      <c r="E82" s="363" t="str">
        <f t="shared" si="1"/>
        <v>0x00000124</v>
      </c>
    </row>
    <row r="83" spans="2:7" x14ac:dyDescent="0.25">
      <c r="B83" s="363" t="s">
        <v>271</v>
      </c>
      <c r="C83" s="364" t="s">
        <v>594</v>
      </c>
      <c r="D83" s="363" t="s">
        <v>364</v>
      </c>
      <c r="E83" s="363" t="str">
        <f t="shared" si="1"/>
        <v>0x00000128</v>
      </c>
      <c r="F83" s="365"/>
      <c r="G83" s="365"/>
    </row>
    <row r="84" spans="2:7" x14ac:dyDescent="0.25">
      <c r="B84" s="363" t="s">
        <v>271</v>
      </c>
      <c r="C84" s="364" t="s">
        <v>594</v>
      </c>
      <c r="D84" s="363" t="s">
        <v>365</v>
      </c>
      <c r="E84" s="363" t="str">
        <f t="shared" si="1"/>
        <v>0x0000012C</v>
      </c>
      <c r="F84" s="365"/>
      <c r="G84" s="365"/>
    </row>
    <row r="85" spans="2:7" x14ac:dyDescent="0.25">
      <c r="B85" s="363" t="s">
        <v>366</v>
      </c>
      <c r="D85" s="363" t="s">
        <v>367</v>
      </c>
      <c r="E85" s="363" t="str">
        <f t="shared" si="1"/>
        <v>0x00000130</v>
      </c>
    </row>
    <row r="86" spans="2:7" x14ac:dyDescent="0.25">
      <c r="B86" s="363" t="s">
        <v>368</v>
      </c>
      <c r="D86" s="363" t="s">
        <v>369</v>
      </c>
      <c r="E86" s="363" t="str">
        <f t="shared" si="1"/>
        <v>0x00000134</v>
      </c>
    </row>
    <row r="87" spans="2:7" x14ac:dyDescent="0.25">
      <c r="B87" s="363" t="s">
        <v>370</v>
      </c>
      <c r="D87" s="363" t="s">
        <v>371</v>
      </c>
      <c r="E87" s="363" t="str">
        <f t="shared" si="1"/>
        <v>0x00000138</v>
      </c>
    </row>
    <row r="88" spans="2:7" x14ac:dyDescent="0.25">
      <c r="B88" s="363" t="s">
        <v>372</v>
      </c>
      <c r="D88" s="363" t="s">
        <v>373</v>
      </c>
      <c r="E88" s="363" t="str">
        <f t="shared" si="1"/>
        <v>0x0000013C</v>
      </c>
    </row>
    <row r="89" spans="2:7" x14ac:dyDescent="0.25">
      <c r="B89" s="363" t="s">
        <v>374</v>
      </c>
      <c r="D89" s="363" t="s">
        <v>375</v>
      </c>
      <c r="E89" s="363" t="str">
        <f t="shared" si="1"/>
        <v>0x00000140</v>
      </c>
    </row>
    <row r="90" spans="2:7" x14ac:dyDescent="0.25">
      <c r="B90" s="363" t="s">
        <v>376</v>
      </c>
      <c r="C90" s="364" t="s">
        <v>594</v>
      </c>
      <c r="D90" s="363" t="s">
        <v>377</v>
      </c>
      <c r="E90" s="363" t="str">
        <f t="shared" si="1"/>
        <v>0x00000144</v>
      </c>
      <c r="F90" s="365"/>
      <c r="G90" s="365"/>
    </row>
    <row r="91" spans="2:7" x14ac:dyDescent="0.25">
      <c r="B91" s="363" t="s">
        <v>378</v>
      </c>
      <c r="C91" s="364" t="s">
        <v>594</v>
      </c>
      <c r="D91" s="363" t="s">
        <v>379</v>
      </c>
      <c r="E91" s="363" t="str">
        <f t="shared" si="1"/>
        <v>0x00000148</v>
      </c>
      <c r="F91" s="365"/>
      <c r="G91" s="365"/>
    </row>
    <row r="92" spans="2:7" x14ac:dyDescent="0.25">
      <c r="B92" s="363" t="s">
        <v>380</v>
      </c>
      <c r="C92" s="364" t="s">
        <v>594</v>
      </c>
      <c r="D92" s="363" t="s">
        <v>381</v>
      </c>
      <c r="E92" s="363" t="str">
        <f t="shared" si="1"/>
        <v>0x0000014C</v>
      </c>
      <c r="F92" s="365"/>
      <c r="G92" s="365"/>
    </row>
    <row r="93" spans="2:7" x14ac:dyDescent="0.25">
      <c r="B93" s="363" t="s">
        <v>382</v>
      </c>
      <c r="C93" s="364" t="s">
        <v>594</v>
      </c>
      <c r="D93" s="363" t="s">
        <v>383</v>
      </c>
      <c r="E93" s="363" t="str">
        <f t="shared" si="1"/>
        <v>0x00000150</v>
      </c>
      <c r="F93" s="365"/>
      <c r="G93" s="365"/>
    </row>
    <row r="94" spans="2:7" x14ac:dyDescent="0.25">
      <c r="B94" s="363" t="s">
        <v>384</v>
      </c>
      <c r="C94" s="364" t="s">
        <v>594</v>
      </c>
      <c r="D94" s="363" t="s">
        <v>385</v>
      </c>
      <c r="E94" s="363" t="str">
        <f t="shared" si="1"/>
        <v>0x00000154</v>
      </c>
      <c r="F94" s="365"/>
      <c r="G94" s="365"/>
    </row>
    <row r="95" spans="2:7" x14ac:dyDescent="0.25">
      <c r="B95" s="363" t="s">
        <v>386</v>
      </c>
      <c r="C95" s="364" t="s">
        <v>594</v>
      </c>
      <c r="D95" s="363" t="s">
        <v>387</v>
      </c>
      <c r="E95" s="363" t="str">
        <f t="shared" si="1"/>
        <v>0x00000158</v>
      </c>
      <c r="F95" s="365"/>
      <c r="G95" s="365"/>
    </row>
    <row r="96" spans="2:7" x14ac:dyDescent="0.25">
      <c r="B96" s="363" t="s">
        <v>388</v>
      </c>
      <c r="C96" s="364" t="s">
        <v>594</v>
      </c>
      <c r="D96" s="363" t="s">
        <v>389</v>
      </c>
      <c r="E96" s="363" t="str">
        <f t="shared" si="1"/>
        <v>0x0000015C</v>
      </c>
      <c r="F96" s="365"/>
      <c r="G96" s="365"/>
    </row>
    <row r="97" spans="2:7" x14ac:dyDescent="0.25">
      <c r="B97" s="363" t="s">
        <v>390</v>
      </c>
      <c r="C97" s="364" t="s">
        <v>594</v>
      </c>
      <c r="D97" s="363" t="s">
        <v>391</v>
      </c>
      <c r="E97" s="363" t="str">
        <f t="shared" si="1"/>
        <v>0x00000160</v>
      </c>
      <c r="F97" s="365"/>
      <c r="G97" s="365"/>
    </row>
    <row r="98" spans="2:7" x14ac:dyDescent="0.25">
      <c r="B98" s="363" t="s">
        <v>392</v>
      </c>
      <c r="C98" s="364" t="s">
        <v>594</v>
      </c>
      <c r="D98" s="363" t="s">
        <v>393</v>
      </c>
      <c r="E98" s="363" t="str">
        <f t="shared" si="1"/>
        <v>0x00000164</v>
      </c>
      <c r="F98" s="365"/>
      <c r="G98" s="365"/>
    </row>
    <row r="99" spans="2:7" x14ac:dyDescent="0.25">
      <c r="B99" s="363" t="s">
        <v>394</v>
      </c>
      <c r="C99" s="364" t="s">
        <v>594</v>
      </c>
      <c r="D99" s="363" t="s">
        <v>395</v>
      </c>
      <c r="E99" s="363" t="str">
        <f t="shared" si="1"/>
        <v>0x00000168</v>
      </c>
      <c r="F99" s="365"/>
      <c r="G99" s="365"/>
    </row>
    <row r="100" spans="2:7" x14ac:dyDescent="0.25">
      <c r="B100" s="363" t="s">
        <v>396</v>
      </c>
      <c r="C100" s="364" t="s">
        <v>594</v>
      </c>
      <c r="D100" s="363" t="s">
        <v>397</v>
      </c>
      <c r="E100" s="363" t="str">
        <f t="shared" si="1"/>
        <v>0x0000016C</v>
      </c>
      <c r="F100" s="365"/>
      <c r="G100" s="365"/>
    </row>
    <row r="101" spans="2:7" x14ac:dyDescent="0.25">
      <c r="B101" s="363" t="s">
        <v>398</v>
      </c>
      <c r="C101" s="364" t="s">
        <v>594</v>
      </c>
      <c r="D101" s="363" t="s">
        <v>399</v>
      </c>
      <c r="E101" s="363" t="str">
        <f t="shared" si="1"/>
        <v>0x00000170</v>
      </c>
      <c r="F101" s="365"/>
      <c r="G101" s="365"/>
    </row>
    <row r="102" spans="2:7" x14ac:dyDescent="0.25">
      <c r="B102" s="363" t="s">
        <v>400</v>
      </c>
      <c r="C102" s="364" t="s">
        <v>594</v>
      </c>
      <c r="D102" s="363" t="s">
        <v>401</v>
      </c>
      <c r="E102" s="363" t="str">
        <f t="shared" si="1"/>
        <v>0x00000174</v>
      </c>
      <c r="F102" s="365"/>
      <c r="G102" s="365"/>
    </row>
    <row r="103" spans="2:7" x14ac:dyDescent="0.25">
      <c r="B103" s="363" t="s">
        <v>402</v>
      </c>
      <c r="C103" s="364" t="s">
        <v>594</v>
      </c>
      <c r="D103" s="363" t="s">
        <v>403</v>
      </c>
      <c r="E103" s="363" t="str">
        <f t="shared" si="1"/>
        <v>0x00000178</v>
      </c>
      <c r="F103" s="365"/>
      <c r="G103" s="365"/>
    </row>
    <row r="104" spans="2:7" x14ac:dyDescent="0.25">
      <c r="B104" s="363" t="s">
        <v>404</v>
      </c>
      <c r="C104" s="364" t="s">
        <v>594</v>
      </c>
      <c r="D104" s="363" t="s">
        <v>405</v>
      </c>
      <c r="E104" s="363" t="str">
        <f t="shared" si="1"/>
        <v>0x0000017C</v>
      </c>
      <c r="F104" s="365"/>
      <c r="G104" s="365"/>
    </row>
    <row r="105" spans="2:7" x14ac:dyDescent="0.25">
      <c r="B105" s="363" t="s">
        <v>406</v>
      </c>
      <c r="C105" s="364" t="s">
        <v>594</v>
      </c>
      <c r="D105" s="363" t="s">
        <v>407</v>
      </c>
      <c r="E105" s="363" t="str">
        <f t="shared" si="1"/>
        <v>0x00000180</v>
      </c>
      <c r="F105" s="365"/>
      <c r="G105" s="365"/>
    </row>
    <row r="106" spans="2:7" x14ac:dyDescent="0.25">
      <c r="B106" s="363" t="s">
        <v>408</v>
      </c>
      <c r="C106" s="364" t="s">
        <v>594</v>
      </c>
      <c r="D106" s="363" t="s">
        <v>409</v>
      </c>
      <c r="E106" s="363" t="str">
        <f t="shared" si="1"/>
        <v>0x00000184</v>
      </c>
      <c r="F106" s="365"/>
      <c r="G106" s="365"/>
    </row>
    <row r="107" spans="2:7" x14ac:dyDescent="0.25">
      <c r="B107" s="363" t="s">
        <v>410</v>
      </c>
      <c r="C107" s="364" t="s">
        <v>594</v>
      </c>
      <c r="D107" s="363" t="s">
        <v>411</v>
      </c>
      <c r="E107" s="363" t="str">
        <f t="shared" si="1"/>
        <v>0x00000188</v>
      </c>
      <c r="F107" s="365"/>
      <c r="G107" s="365"/>
    </row>
    <row r="108" spans="2:7" x14ac:dyDescent="0.25">
      <c r="B108" s="363" t="s">
        <v>412</v>
      </c>
      <c r="C108" s="364" t="s">
        <v>594</v>
      </c>
      <c r="D108" s="363" t="s">
        <v>413</v>
      </c>
      <c r="E108" s="363" t="str">
        <f t="shared" si="1"/>
        <v>0x0000018C</v>
      </c>
      <c r="F108" s="365"/>
      <c r="G108" s="365"/>
    </row>
    <row r="109" spans="2:7" x14ac:dyDescent="0.25">
      <c r="B109" s="363" t="s">
        <v>414</v>
      </c>
      <c r="C109" s="364" t="s">
        <v>594</v>
      </c>
      <c r="D109" s="363" t="s">
        <v>415</v>
      </c>
      <c r="E109" s="363" t="str">
        <f t="shared" si="1"/>
        <v>0x00000190</v>
      </c>
      <c r="F109" s="365"/>
      <c r="G109" s="365"/>
    </row>
    <row r="110" spans="2:7" x14ac:dyDescent="0.25">
      <c r="B110" s="363" t="s">
        <v>416</v>
      </c>
      <c r="C110" s="364" t="s">
        <v>594</v>
      </c>
      <c r="D110" s="363" t="s">
        <v>417</v>
      </c>
      <c r="E110" s="363" t="str">
        <f t="shared" si="1"/>
        <v>0x00000194</v>
      </c>
      <c r="F110" s="365"/>
      <c r="G110" s="365"/>
    </row>
    <row r="111" spans="2:7" x14ac:dyDescent="0.25">
      <c r="B111" s="363" t="s">
        <v>418</v>
      </c>
      <c r="C111" s="364" t="s">
        <v>594</v>
      </c>
      <c r="D111" s="363" t="s">
        <v>419</v>
      </c>
      <c r="E111" s="363" t="str">
        <f t="shared" si="1"/>
        <v>0x00000198</v>
      </c>
      <c r="F111" s="365"/>
      <c r="G111" s="365"/>
    </row>
    <row r="112" spans="2:7" x14ac:dyDescent="0.25">
      <c r="B112" s="363" t="s">
        <v>420</v>
      </c>
      <c r="C112" s="364" t="s">
        <v>594</v>
      </c>
      <c r="D112" s="363" t="s">
        <v>421</v>
      </c>
      <c r="E112" s="363" t="str">
        <f t="shared" si="1"/>
        <v>0x0000019C</v>
      </c>
      <c r="F112" s="365"/>
      <c r="G112" s="365"/>
    </row>
    <row r="113" spans="2:7" x14ac:dyDescent="0.25">
      <c r="B113" s="363" t="s">
        <v>422</v>
      </c>
      <c r="C113" s="364" t="s">
        <v>594</v>
      </c>
      <c r="D113" s="363" t="s">
        <v>423</v>
      </c>
      <c r="E113" s="363" t="str">
        <f t="shared" si="1"/>
        <v>0x000001A0</v>
      </c>
      <c r="F113" s="365"/>
      <c r="G113" s="365"/>
    </row>
    <row r="114" spans="2:7" x14ac:dyDescent="0.25">
      <c r="B114" s="363" t="s">
        <v>424</v>
      </c>
      <c r="C114" s="364" t="s">
        <v>594</v>
      </c>
      <c r="D114" s="363" t="s">
        <v>425</v>
      </c>
      <c r="E114" s="363" t="str">
        <f t="shared" si="1"/>
        <v>0x000001A4</v>
      </c>
      <c r="F114" s="365"/>
      <c r="G114" s="365"/>
    </row>
    <row r="115" spans="2:7" x14ac:dyDescent="0.25">
      <c r="B115" s="363" t="s">
        <v>426</v>
      </c>
      <c r="C115" s="364" t="s">
        <v>594</v>
      </c>
      <c r="D115" s="363" t="s">
        <v>427</v>
      </c>
      <c r="E115" s="363" t="str">
        <f t="shared" si="1"/>
        <v>0x000001A8</v>
      </c>
      <c r="F115" s="365"/>
      <c r="G115" s="365"/>
    </row>
    <row r="116" spans="2:7" x14ac:dyDescent="0.25">
      <c r="B116" s="363" t="s">
        <v>428</v>
      </c>
      <c r="C116" s="364" t="s">
        <v>594</v>
      </c>
      <c r="D116" s="363" t="s">
        <v>429</v>
      </c>
      <c r="E116" s="363" t="str">
        <f t="shared" si="1"/>
        <v>0x000001AC</v>
      </c>
      <c r="F116" s="365"/>
      <c r="G116" s="365"/>
    </row>
    <row r="117" spans="2:7" x14ac:dyDescent="0.25">
      <c r="B117" s="363" t="s">
        <v>430</v>
      </c>
      <c r="C117" s="364" t="s">
        <v>594</v>
      </c>
      <c r="D117" s="363" t="s">
        <v>431</v>
      </c>
      <c r="E117" s="363" t="str">
        <f t="shared" si="1"/>
        <v>0x000001B0</v>
      </c>
      <c r="F117" s="365"/>
      <c r="G117" s="365"/>
    </row>
    <row r="118" spans="2:7" x14ac:dyDescent="0.25">
      <c r="B118" s="363" t="s">
        <v>271</v>
      </c>
      <c r="C118" s="364" t="s">
        <v>594</v>
      </c>
      <c r="D118" s="363" t="s">
        <v>432</v>
      </c>
      <c r="E118" s="363" t="str">
        <f t="shared" si="1"/>
        <v>0x000001B4</v>
      </c>
      <c r="F118" s="365"/>
      <c r="G118" s="365"/>
    </row>
    <row r="119" spans="2:7" x14ac:dyDescent="0.25">
      <c r="B119" s="363" t="s">
        <v>271</v>
      </c>
      <c r="C119" s="364" t="s">
        <v>594</v>
      </c>
      <c r="D119" s="363" t="s">
        <v>433</v>
      </c>
      <c r="E119" s="363" t="str">
        <f t="shared" si="1"/>
        <v>0x000001B8</v>
      </c>
      <c r="F119" s="365"/>
      <c r="G119" s="365"/>
    </row>
    <row r="120" spans="2:7" x14ac:dyDescent="0.25">
      <c r="B120" s="363" t="s">
        <v>271</v>
      </c>
      <c r="C120" s="364" t="s">
        <v>594</v>
      </c>
      <c r="D120" s="363" t="s">
        <v>434</v>
      </c>
      <c r="E120" s="363" t="str">
        <f t="shared" si="1"/>
        <v>0x000001BC</v>
      </c>
      <c r="F120" s="365"/>
      <c r="G120" s="365"/>
    </row>
    <row r="121" spans="2:7" x14ac:dyDescent="0.25">
      <c r="B121" s="363" t="s">
        <v>271</v>
      </c>
      <c r="C121" s="364" t="s">
        <v>594</v>
      </c>
      <c r="D121" s="363" t="s">
        <v>435</v>
      </c>
      <c r="E121" s="363" t="str">
        <f t="shared" si="1"/>
        <v>0x000001C0</v>
      </c>
      <c r="F121" s="365"/>
      <c r="G121" s="365"/>
    </row>
    <row r="122" spans="2:7" x14ac:dyDescent="0.25">
      <c r="B122" s="363" t="s">
        <v>271</v>
      </c>
      <c r="C122" s="364" t="s">
        <v>594</v>
      </c>
      <c r="D122" s="363" t="s">
        <v>436</v>
      </c>
      <c r="E122" s="363" t="str">
        <f t="shared" si="1"/>
        <v>0x000001C4</v>
      </c>
      <c r="F122" s="365"/>
      <c r="G122" s="365"/>
    </row>
    <row r="123" spans="2:7" x14ac:dyDescent="0.25">
      <c r="B123" s="363" t="s">
        <v>271</v>
      </c>
      <c r="C123" s="364" t="s">
        <v>594</v>
      </c>
      <c r="D123" s="363" t="s">
        <v>437</v>
      </c>
      <c r="E123" s="363" t="str">
        <f t="shared" si="1"/>
        <v>0x000001C8</v>
      </c>
      <c r="F123" s="365"/>
      <c r="G123" s="365"/>
    </row>
    <row r="124" spans="2:7" x14ac:dyDescent="0.25">
      <c r="B124" s="363" t="s">
        <v>271</v>
      </c>
      <c r="C124" s="364" t="s">
        <v>594</v>
      </c>
      <c r="D124" s="363" t="s">
        <v>438</v>
      </c>
      <c r="E124" s="363" t="str">
        <f t="shared" si="1"/>
        <v>0x000001CC</v>
      </c>
      <c r="F124" s="365"/>
      <c r="G124" s="365"/>
    </row>
    <row r="125" spans="2:7" x14ac:dyDescent="0.25">
      <c r="B125" s="363" t="s">
        <v>271</v>
      </c>
      <c r="C125" s="364" t="s">
        <v>594</v>
      </c>
      <c r="D125" s="363" t="s">
        <v>439</v>
      </c>
      <c r="E125" s="363" t="str">
        <f t="shared" si="1"/>
        <v>0x000001D0</v>
      </c>
      <c r="F125" s="365"/>
      <c r="G125" s="365"/>
    </row>
    <row r="126" spans="2:7" x14ac:dyDescent="0.25">
      <c r="B126" s="363" t="s">
        <v>271</v>
      </c>
      <c r="C126" s="364" t="s">
        <v>594</v>
      </c>
      <c r="D126" s="363" t="s">
        <v>440</v>
      </c>
      <c r="E126" s="363" t="str">
        <f t="shared" si="1"/>
        <v>0x000001D4</v>
      </c>
      <c r="F126" s="365"/>
      <c r="G126" s="365"/>
    </row>
    <row r="127" spans="2:7" x14ac:dyDescent="0.25">
      <c r="B127" s="363" t="s">
        <v>271</v>
      </c>
      <c r="C127" s="364" t="s">
        <v>594</v>
      </c>
      <c r="D127" s="363" t="s">
        <v>441</v>
      </c>
      <c r="E127" s="363" t="str">
        <f t="shared" si="1"/>
        <v>0x000001D8</v>
      </c>
      <c r="F127" s="365"/>
      <c r="G127" s="365"/>
    </row>
    <row r="128" spans="2:7" x14ac:dyDescent="0.25">
      <c r="B128" s="363" t="s">
        <v>271</v>
      </c>
      <c r="C128" s="364" t="s">
        <v>594</v>
      </c>
      <c r="D128" s="363" t="s">
        <v>442</v>
      </c>
      <c r="E128" s="363" t="str">
        <f t="shared" si="1"/>
        <v>0x000001DC</v>
      </c>
      <c r="F128" s="365"/>
      <c r="G128" s="365"/>
    </row>
    <row r="129" spans="2:7" x14ac:dyDescent="0.25">
      <c r="B129" s="363" t="s">
        <v>271</v>
      </c>
      <c r="C129" s="364" t="s">
        <v>594</v>
      </c>
      <c r="D129" s="363" t="s">
        <v>443</v>
      </c>
      <c r="E129" s="363" t="str">
        <f t="shared" si="1"/>
        <v>0x000001E0</v>
      </c>
      <c r="F129" s="365"/>
      <c r="G129" s="365"/>
    </row>
    <row r="130" spans="2:7" x14ac:dyDescent="0.25">
      <c r="B130" s="363" t="s">
        <v>271</v>
      </c>
      <c r="C130" s="364" t="s">
        <v>594</v>
      </c>
      <c r="D130" s="363" t="s">
        <v>444</v>
      </c>
      <c r="E130" s="363" t="str">
        <f t="shared" si="1"/>
        <v>0x000001E4</v>
      </c>
      <c r="F130" s="365"/>
      <c r="G130" s="365"/>
    </row>
    <row r="131" spans="2:7" x14ac:dyDescent="0.25">
      <c r="B131" s="363" t="s">
        <v>271</v>
      </c>
      <c r="C131" s="364" t="s">
        <v>594</v>
      </c>
      <c r="D131" s="363" t="s">
        <v>445</v>
      </c>
      <c r="E131" s="363" t="str">
        <f t="shared" si="1"/>
        <v>0x000001E8</v>
      </c>
      <c r="F131" s="365"/>
      <c r="G131" s="365"/>
    </row>
    <row r="132" spans="2:7" x14ac:dyDescent="0.25">
      <c r="B132" s="363" t="s">
        <v>271</v>
      </c>
      <c r="C132" s="364" t="s">
        <v>594</v>
      </c>
      <c r="D132" s="363" t="s">
        <v>446</v>
      </c>
      <c r="E132" s="363" t="str">
        <f t="shared" si="1"/>
        <v>0x000001EC</v>
      </c>
      <c r="F132" s="365"/>
      <c r="G132" s="365"/>
    </row>
    <row r="133" spans="2:7" x14ac:dyDescent="0.25">
      <c r="B133" s="363" t="s">
        <v>271</v>
      </c>
      <c r="C133" s="364" t="s">
        <v>594</v>
      </c>
      <c r="D133" s="363" t="s">
        <v>447</v>
      </c>
      <c r="E133" s="363" t="str">
        <f t="shared" si="1"/>
        <v>0x000001F0</v>
      </c>
      <c r="F133" s="365"/>
      <c r="G133" s="365"/>
    </row>
    <row r="134" spans="2:7" x14ac:dyDescent="0.25">
      <c r="B134" s="363" t="s">
        <v>271</v>
      </c>
      <c r="C134" s="364" t="s">
        <v>594</v>
      </c>
      <c r="D134" s="363" t="s">
        <v>448</v>
      </c>
      <c r="E134" s="363" t="str">
        <f t="shared" si="1"/>
        <v>0x000001F4</v>
      </c>
      <c r="F134" s="365"/>
      <c r="G134" s="365"/>
    </row>
    <row r="135" spans="2:7" x14ac:dyDescent="0.25">
      <c r="B135" s="363" t="s">
        <v>271</v>
      </c>
      <c r="C135" s="364" t="s">
        <v>594</v>
      </c>
      <c r="D135" s="363" t="s">
        <v>449</v>
      </c>
      <c r="E135" s="363" t="str">
        <f t="shared" si="1"/>
        <v>0x000001F8</v>
      </c>
      <c r="F135" s="365"/>
      <c r="G135" s="365"/>
    </row>
    <row r="136" spans="2:7" x14ac:dyDescent="0.25">
      <c r="B136" s="363" t="s">
        <v>271</v>
      </c>
      <c r="C136" s="364" t="s">
        <v>594</v>
      </c>
      <c r="D136" s="363" t="s">
        <v>450</v>
      </c>
      <c r="E136" s="363" t="str">
        <f t="shared" si="1"/>
        <v>0x000001FC</v>
      </c>
      <c r="F136" s="365"/>
      <c r="G136" s="365"/>
    </row>
    <row r="137" spans="2:7" x14ac:dyDescent="0.25">
      <c r="F137" s="368" t="s">
        <v>599</v>
      </c>
      <c r="G137" s="368" t="s">
        <v>600</v>
      </c>
    </row>
    <row r="138" spans="2:7" x14ac:dyDescent="0.25">
      <c r="B138" s="363" t="s">
        <v>451</v>
      </c>
      <c r="C138" s="364" t="s">
        <v>598</v>
      </c>
      <c r="D138" s="363" t="s">
        <v>452</v>
      </c>
      <c r="E138" s="363" t="str">
        <f t="shared" si="1"/>
        <v>0x00000200</v>
      </c>
      <c r="F138" s="364" t="str">
        <f>CONCATENATE("0x",_EMIF1_EXT_PHY_CTRL_1_VAL)</f>
        <v>0x04040100</v>
      </c>
      <c r="G138" s="364" t="str">
        <f>IF(_user_emifs=2,CONCATENATE("0x",_EMIF2_EXT_PHY_CTRL_1_VAL),"NA")</f>
        <v>NA</v>
      </c>
    </row>
    <row r="139" spans="2:7" x14ac:dyDescent="0.25">
      <c r="B139" s="363" t="s">
        <v>453</v>
      </c>
      <c r="C139" s="364" t="s">
        <v>598</v>
      </c>
      <c r="D139" s="363" t="s">
        <v>454</v>
      </c>
      <c r="E139" s="363" t="str">
        <f t="shared" ref="E139:E202" si="2">CONCATENATE("0x",DEC2HEX(HEX2DEC(RIGHT(D139,3)),8))</f>
        <v>0x00000204</v>
      </c>
      <c r="F139" s="364" t="str">
        <f>CONCATENATE("0x",_EMIF1_EXT_PHY_CTRL_1_VAL)</f>
        <v>0x04040100</v>
      </c>
      <c r="G139" s="364" t="str">
        <f>IF(_user_emifs=2,CONCATENATE("0x",_EMIF2_EXT_PHY_CTRL_1_VAL),"NA")</f>
        <v>NA</v>
      </c>
    </row>
    <row r="140" spans="2:7" x14ac:dyDescent="0.25">
      <c r="B140" s="363" t="s">
        <v>455</v>
      </c>
      <c r="C140" s="364" t="s">
        <v>598</v>
      </c>
      <c r="D140" s="363" t="s">
        <v>456</v>
      </c>
      <c r="E140" s="363" t="str">
        <f t="shared" si="2"/>
        <v>0x00000208</v>
      </c>
      <c r="F140" s="364" t="str">
        <f>CONCATENATE("0x",_EMIF1_EXT_PHY_CTRL_2_VAL)</f>
        <v>0x006B0098</v>
      </c>
      <c r="G140" s="364" t="str">
        <f>IF(_user_emifs=2,CONCATENATE("0x",_EMIF2_EXT_PHY_CTRL_2_VAL),"NA")</f>
        <v>NA</v>
      </c>
    </row>
    <row r="141" spans="2:7" x14ac:dyDescent="0.25">
      <c r="B141" s="363" t="s">
        <v>601</v>
      </c>
      <c r="C141" s="364" t="s">
        <v>598</v>
      </c>
      <c r="D141" s="363" t="s">
        <v>457</v>
      </c>
      <c r="E141" s="363" t="str">
        <f t="shared" si="2"/>
        <v>0x0000020C</v>
      </c>
      <c r="F141" s="364" t="str">
        <f>CONCATENATE("0x",_EMIF1_EXT_PHY_CTRL_2_VAL)</f>
        <v>0x006B0098</v>
      </c>
      <c r="G141" s="364" t="str">
        <f>IF(_user_emifs=2,CONCATENATE("0x",_EMIF2_EXT_PHY_CTRL_2_VAL),"NA")</f>
        <v>NA</v>
      </c>
    </row>
    <row r="142" spans="2:7" x14ac:dyDescent="0.25">
      <c r="B142" s="363" t="s">
        <v>458</v>
      </c>
      <c r="C142" s="364" t="s">
        <v>598</v>
      </c>
      <c r="D142" s="363" t="s">
        <v>459</v>
      </c>
      <c r="E142" s="363" t="str">
        <f t="shared" si="2"/>
        <v>0x00000210</v>
      </c>
      <c r="F142" s="364" t="str">
        <f>CONCATENATE("0x",_EMIF1_EXT_PHY_CTRL_3_VAL)</f>
        <v>0x006B0094</v>
      </c>
      <c r="G142" s="364" t="str">
        <f>IF(_user_emifs=2,CONCATENATE("0x",_EMIF2_EXT_PHY_CTRL_3_VAL),"NA")</f>
        <v>NA</v>
      </c>
    </row>
    <row r="143" spans="2:7" x14ac:dyDescent="0.25">
      <c r="B143" s="363" t="s">
        <v>602</v>
      </c>
      <c r="C143" s="364" t="s">
        <v>598</v>
      </c>
      <c r="D143" s="363" t="s">
        <v>460</v>
      </c>
      <c r="E143" s="363" t="str">
        <f t="shared" si="2"/>
        <v>0x00000214</v>
      </c>
      <c r="F143" s="364" t="str">
        <f>CONCATENATE("0x",_EMIF1_EXT_PHY_CTRL_3_VAL)</f>
        <v>0x006B0094</v>
      </c>
      <c r="G143" s="364" t="str">
        <f>IF(_user_emifs=2,CONCATENATE("0x",_EMIF2_EXT_PHY_CTRL_3_VAL),"NA")</f>
        <v>NA</v>
      </c>
    </row>
    <row r="144" spans="2:7" x14ac:dyDescent="0.25">
      <c r="B144" s="363" t="s">
        <v>461</v>
      </c>
      <c r="C144" s="364" t="s">
        <v>598</v>
      </c>
      <c r="D144" s="363" t="s">
        <v>462</v>
      </c>
      <c r="E144" s="363" t="str">
        <f t="shared" si="2"/>
        <v>0x00000218</v>
      </c>
      <c r="F144" s="364" t="str">
        <f>CONCATENATE("0x",_EMIF1_EXT_PHY_CTRL_4_VAL)</f>
        <v>0x006B00A5</v>
      </c>
      <c r="G144" s="364" t="str">
        <f>IF(_user_emifs=2,CONCATENATE("0x",_EMIF2_EXT_PHY_CTRL_4_VAL),"NA")</f>
        <v>NA</v>
      </c>
    </row>
    <row r="145" spans="2:7" x14ac:dyDescent="0.25">
      <c r="B145" s="363" t="s">
        <v>603</v>
      </c>
      <c r="C145" s="364" t="s">
        <v>598</v>
      </c>
      <c r="D145" s="363" t="s">
        <v>463</v>
      </c>
      <c r="E145" s="363" t="str">
        <f t="shared" si="2"/>
        <v>0x0000021C</v>
      </c>
      <c r="F145" s="364" t="str">
        <f>CONCATENATE("0x",_EMIF1_EXT_PHY_CTRL_4_VAL)</f>
        <v>0x006B00A5</v>
      </c>
      <c r="G145" s="364" t="str">
        <f>IF(_user_emifs=2,CONCATENATE("0x",_EMIF2_EXT_PHY_CTRL_4_VAL),"NA")</f>
        <v>NA</v>
      </c>
    </row>
    <row r="146" spans="2:7" x14ac:dyDescent="0.25">
      <c r="B146" s="363" t="s">
        <v>464</v>
      </c>
      <c r="C146" s="364" t="s">
        <v>598</v>
      </c>
      <c r="D146" s="363" t="s">
        <v>465</v>
      </c>
      <c r="E146" s="363" t="str">
        <f t="shared" si="2"/>
        <v>0x00000220</v>
      </c>
      <c r="F146" s="364" t="str">
        <f>CONCATENATE("0x",_EMIF1_EXT_PHY_CTRL_5_VAL)</f>
        <v>0x006B009F</v>
      </c>
      <c r="G146" s="364" t="str">
        <f>IF(_user_emifs=2,CONCATENATE("0x",_EMIF2_EXT_PHY_CTRL_5_VAL),"NA")</f>
        <v>NA</v>
      </c>
    </row>
    <row r="147" spans="2:7" x14ac:dyDescent="0.25">
      <c r="B147" s="363" t="s">
        <v>604</v>
      </c>
      <c r="C147" s="364" t="s">
        <v>598</v>
      </c>
      <c r="D147" s="363" t="s">
        <v>466</v>
      </c>
      <c r="E147" s="363" t="str">
        <f t="shared" si="2"/>
        <v>0x00000224</v>
      </c>
      <c r="F147" s="364" t="str">
        <f>CONCATENATE("0x",_EMIF1_EXT_PHY_CTRL_5_VAL)</f>
        <v>0x006B009F</v>
      </c>
      <c r="G147" s="364" t="str">
        <f>IF(_user_emifs=2,CONCATENATE("0x",_EMIF2_EXT_PHY_CTRL_5_VAL),"NA")</f>
        <v>NA</v>
      </c>
    </row>
    <row r="148" spans="2:7" x14ac:dyDescent="0.25">
      <c r="B148" s="363" t="s">
        <v>467</v>
      </c>
      <c r="C148" s="364" t="s">
        <v>598</v>
      </c>
      <c r="D148" s="363" t="s">
        <v>468</v>
      </c>
      <c r="E148" s="363" t="str">
        <f t="shared" si="2"/>
        <v>0x00000228</v>
      </c>
      <c r="F148" s="364" t="str">
        <f>CONCATENATE("0x",_EMIF1_EXT_PHY_CTRL_6_VAL)</f>
        <v>0x006B006B</v>
      </c>
      <c r="G148" s="364" t="str">
        <f>IF(_user_emifs=2,CONCATENATE("0x",_EMIF2_EXT_PHY_CTRL_6_VAL),"NA")</f>
        <v>NA</v>
      </c>
    </row>
    <row r="149" spans="2:7" x14ac:dyDescent="0.25">
      <c r="B149" s="363" t="s">
        <v>605</v>
      </c>
      <c r="C149" s="364" t="s">
        <v>598</v>
      </c>
      <c r="D149" s="363" t="s">
        <v>469</v>
      </c>
      <c r="E149" s="363" t="str">
        <f t="shared" si="2"/>
        <v>0x0000022C</v>
      </c>
      <c r="F149" s="364" t="str">
        <f>CONCATENATE("0x",_EMIF1_EXT_PHY_CTRL_6_VAL)</f>
        <v>0x006B006B</v>
      </c>
      <c r="G149" s="364" t="str">
        <f>IF(_user_emifs=2,CONCATENATE("0x",_EMIF2_EXT_PHY_CTRL_6_VAL),"NA")</f>
        <v>NA</v>
      </c>
    </row>
    <row r="150" spans="2:7" x14ac:dyDescent="0.25">
      <c r="B150" s="363" t="s">
        <v>470</v>
      </c>
      <c r="C150" s="364" t="s">
        <v>598</v>
      </c>
      <c r="D150" s="363" t="s">
        <v>471</v>
      </c>
      <c r="E150" s="363" t="str">
        <f t="shared" si="2"/>
        <v>0x00000230</v>
      </c>
      <c r="F150" s="364" t="str">
        <f>CONCATENATE("0x",_EMIF1_EXT_PHY_CTRL_7_VAL)</f>
        <v>0x002F002F</v>
      </c>
      <c r="G150" s="364" t="str">
        <f>IF(_user_emifs=2,CONCATENATE("0x",_EMIF2_EXT_PHY_CTRL_7_VAL),"NA")</f>
        <v>NA</v>
      </c>
    </row>
    <row r="151" spans="2:7" x14ac:dyDescent="0.25">
      <c r="B151" s="363" t="s">
        <v>606</v>
      </c>
      <c r="C151" s="364" t="s">
        <v>598</v>
      </c>
      <c r="D151" s="363" t="s">
        <v>472</v>
      </c>
      <c r="E151" s="363" t="str">
        <f t="shared" si="2"/>
        <v>0x00000234</v>
      </c>
      <c r="F151" s="364" t="str">
        <f>CONCATENATE("0x",_EMIF1_EXT_PHY_CTRL_7_VAL)</f>
        <v>0x002F002F</v>
      </c>
      <c r="G151" s="364" t="str">
        <f>IF(_user_emifs=2,CONCATENATE("0x",_EMIF2_EXT_PHY_CTRL_7_VAL),"NA")</f>
        <v>NA</v>
      </c>
    </row>
    <row r="152" spans="2:7" x14ac:dyDescent="0.25">
      <c r="B152" s="363" t="s">
        <v>473</v>
      </c>
      <c r="C152" s="364" t="s">
        <v>598</v>
      </c>
      <c r="D152" s="363" t="s">
        <v>474</v>
      </c>
      <c r="E152" s="363" t="str">
        <f t="shared" si="2"/>
        <v>0x00000238</v>
      </c>
      <c r="F152" s="364" t="str">
        <f>CONCATENATE("0x",_EMIF1_EXT_PHY_CTRL_8_VAL)</f>
        <v>0x002F002F</v>
      </c>
      <c r="G152" s="364" t="str">
        <f>IF(_user_emifs=2,CONCATENATE("0x",_EMIF2_EXT_PHY_CTRL_8_VAL),"NA")</f>
        <v>NA</v>
      </c>
    </row>
    <row r="153" spans="2:7" x14ac:dyDescent="0.25">
      <c r="B153" s="363" t="s">
        <v>607</v>
      </c>
      <c r="C153" s="364" t="s">
        <v>598</v>
      </c>
      <c r="D153" s="363" t="s">
        <v>475</v>
      </c>
      <c r="E153" s="363" t="str">
        <f t="shared" si="2"/>
        <v>0x0000023C</v>
      </c>
      <c r="F153" s="364" t="str">
        <f>CONCATENATE("0x",_EMIF1_EXT_PHY_CTRL_8_VAL)</f>
        <v>0x002F002F</v>
      </c>
      <c r="G153" s="364" t="str">
        <f>IF(_user_emifs=2,CONCATENATE("0x",_EMIF2_EXT_PHY_CTRL_8_VAL),"NA")</f>
        <v>NA</v>
      </c>
    </row>
    <row r="154" spans="2:7" x14ac:dyDescent="0.25">
      <c r="B154" s="363" t="s">
        <v>476</v>
      </c>
      <c r="C154" s="364" t="s">
        <v>598</v>
      </c>
      <c r="D154" s="363" t="s">
        <v>477</v>
      </c>
      <c r="E154" s="363" t="str">
        <f t="shared" si="2"/>
        <v>0x00000240</v>
      </c>
      <c r="F154" s="364" t="str">
        <f>CONCATENATE("0x",_EMIF1_EXT_PHY_CTRL_9_VAL)</f>
        <v>0x002F002F</v>
      </c>
      <c r="G154" s="364" t="str">
        <f>IF(_user_emifs=2,CONCATENATE("0x",_EMIF2_EXT_PHY_CTRL_9_VAL),"NA")</f>
        <v>NA</v>
      </c>
    </row>
    <row r="155" spans="2:7" x14ac:dyDescent="0.25">
      <c r="B155" s="363" t="s">
        <v>608</v>
      </c>
      <c r="C155" s="364" t="s">
        <v>598</v>
      </c>
      <c r="D155" s="363" t="s">
        <v>478</v>
      </c>
      <c r="E155" s="363" t="str">
        <f t="shared" si="2"/>
        <v>0x00000244</v>
      </c>
      <c r="F155" s="364" t="str">
        <f>CONCATENATE("0x",_EMIF1_EXT_PHY_CTRL_9_VAL)</f>
        <v>0x002F002F</v>
      </c>
      <c r="G155" s="364" t="str">
        <f>IF(_user_emifs=2,CONCATENATE("0x",_EMIF2_EXT_PHY_CTRL_9_VAL),"NA")</f>
        <v>NA</v>
      </c>
    </row>
    <row r="156" spans="2:7" x14ac:dyDescent="0.25">
      <c r="B156" s="363" t="s">
        <v>479</v>
      </c>
      <c r="C156" s="364" t="s">
        <v>598</v>
      </c>
      <c r="D156" s="363" t="s">
        <v>480</v>
      </c>
      <c r="E156" s="363" t="str">
        <f t="shared" si="2"/>
        <v>0x00000248</v>
      </c>
      <c r="F156" s="364" t="str">
        <f>CONCATENATE("0x",_EMIF1_EXT_PHY_CTRL_10_VAL)</f>
        <v>0x002F002F</v>
      </c>
      <c r="G156" s="364" t="str">
        <f>IF(_user_emifs=2,CONCATENATE("0x",_EMIF2_EXT_PHY_CTRL_10_VAL),"NA")</f>
        <v>NA</v>
      </c>
    </row>
    <row r="157" spans="2:7" x14ac:dyDescent="0.25">
      <c r="B157" s="363" t="s">
        <v>609</v>
      </c>
      <c r="C157" s="364" t="s">
        <v>598</v>
      </c>
      <c r="D157" s="363" t="s">
        <v>481</v>
      </c>
      <c r="E157" s="363" t="str">
        <f t="shared" si="2"/>
        <v>0x0000024C</v>
      </c>
      <c r="F157" s="364" t="str">
        <f>CONCATENATE("0x",_EMIF1_EXT_PHY_CTRL_10_VAL)</f>
        <v>0x002F002F</v>
      </c>
      <c r="G157" s="364" t="str">
        <f>IF(_user_emifs=2,CONCATENATE("0x",_EMIF2_EXT_PHY_CTRL_10_VAL),"NA")</f>
        <v>NA</v>
      </c>
    </row>
    <row r="158" spans="2:7" x14ac:dyDescent="0.25">
      <c r="B158" s="363" t="s">
        <v>482</v>
      </c>
      <c r="C158" s="364" t="s">
        <v>598</v>
      </c>
      <c r="D158" s="363" t="s">
        <v>483</v>
      </c>
      <c r="E158" s="363" t="str">
        <f t="shared" si="2"/>
        <v>0x00000250</v>
      </c>
      <c r="F158" s="364" t="str">
        <f>CONCATENATE("0x",_EMIF1_EXT_PHY_CTRL_11_VAL)</f>
        <v>0x002F002F</v>
      </c>
      <c r="G158" s="364" t="str">
        <f>IF(_user_emifs=2,CONCATENATE("0x",_EMIF2_EXT_PHY_CTRL_11_VAL),"NA")</f>
        <v>NA</v>
      </c>
    </row>
    <row r="159" spans="2:7" x14ac:dyDescent="0.25">
      <c r="B159" s="363" t="s">
        <v>610</v>
      </c>
      <c r="C159" s="364" t="s">
        <v>598</v>
      </c>
      <c r="D159" s="363" t="s">
        <v>484</v>
      </c>
      <c r="E159" s="363" t="str">
        <f t="shared" si="2"/>
        <v>0x00000254</v>
      </c>
      <c r="F159" s="364" t="str">
        <f>CONCATENATE("0x",_EMIF1_EXT_PHY_CTRL_11_VAL)</f>
        <v>0x002F002F</v>
      </c>
      <c r="G159" s="364" t="str">
        <f>IF(_user_emifs=2,CONCATENATE("0x",_EMIF2_EXT_PHY_CTRL_11_VAL),"NA")</f>
        <v>NA</v>
      </c>
    </row>
    <row r="160" spans="2:7" x14ac:dyDescent="0.25">
      <c r="B160" s="363" t="s">
        <v>485</v>
      </c>
      <c r="C160" s="364" t="s">
        <v>598</v>
      </c>
      <c r="D160" s="363" t="s">
        <v>486</v>
      </c>
      <c r="E160" s="363" t="str">
        <f t="shared" si="2"/>
        <v>0x00000258</v>
      </c>
      <c r="F160" s="364" t="str">
        <f>CONCATENATE("0x",_EMIF1_EXT_PHY_CTRL_12_VAL)</f>
        <v>0x00600063</v>
      </c>
      <c r="G160" s="364" t="str">
        <f>IF(_user_emifs=2,CONCATENATE("0x",_EMIF2_EXT_PHY_CTRL_12_VAL),"NA")</f>
        <v>NA</v>
      </c>
    </row>
    <row r="161" spans="2:7" x14ac:dyDescent="0.25">
      <c r="B161" s="363" t="s">
        <v>611</v>
      </c>
      <c r="C161" s="364" t="s">
        <v>598</v>
      </c>
      <c r="D161" s="363" t="s">
        <v>487</v>
      </c>
      <c r="E161" s="363" t="str">
        <f t="shared" si="2"/>
        <v>0x0000025C</v>
      </c>
      <c r="F161" s="364" t="str">
        <f>CONCATENATE("0x",_EMIF1_EXT_PHY_CTRL_12_VAL)</f>
        <v>0x00600063</v>
      </c>
      <c r="G161" s="364" t="str">
        <f>IF(_user_emifs=2,CONCATENATE("0x",_EMIF2_EXT_PHY_CTRL_12_VAL),"NA")</f>
        <v>NA</v>
      </c>
    </row>
    <row r="162" spans="2:7" x14ac:dyDescent="0.25">
      <c r="B162" s="363" t="s">
        <v>488</v>
      </c>
      <c r="C162" s="364" t="s">
        <v>598</v>
      </c>
      <c r="D162" s="363" t="s">
        <v>489</v>
      </c>
      <c r="E162" s="363" t="str">
        <f t="shared" si="2"/>
        <v>0x00000260</v>
      </c>
      <c r="F162" s="364" t="str">
        <f>CONCATENATE("0x",_EMIF1_EXT_PHY_CTRL_13_VAL)</f>
        <v>0x00600066</v>
      </c>
      <c r="G162" s="364" t="str">
        <f>IF(_user_emifs=2,CONCATENATE("0x",_EMIF2_EXT_PHY_CTRL_13_VAL),"NA")</f>
        <v>NA</v>
      </c>
    </row>
    <row r="163" spans="2:7" x14ac:dyDescent="0.25">
      <c r="B163" s="363" t="s">
        <v>612</v>
      </c>
      <c r="C163" s="364" t="s">
        <v>598</v>
      </c>
      <c r="D163" s="363" t="s">
        <v>490</v>
      </c>
      <c r="E163" s="363" t="str">
        <f t="shared" si="2"/>
        <v>0x00000264</v>
      </c>
      <c r="F163" s="364" t="str">
        <f>CONCATENATE("0x",_EMIF1_EXT_PHY_CTRL_13_VAL)</f>
        <v>0x00600066</v>
      </c>
      <c r="G163" s="364" t="str">
        <f>IF(_user_emifs=2,CONCATENATE("0x",_EMIF2_EXT_PHY_CTRL_13_VAL),"NA")</f>
        <v>NA</v>
      </c>
    </row>
    <row r="164" spans="2:7" x14ac:dyDescent="0.25">
      <c r="B164" s="363" t="s">
        <v>491</v>
      </c>
      <c r="C164" s="364" t="s">
        <v>598</v>
      </c>
      <c r="D164" s="363" t="s">
        <v>492</v>
      </c>
      <c r="E164" s="363" t="str">
        <f t="shared" si="2"/>
        <v>0x00000268</v>
      </c>
      <c r="F164" s="364" t="str">
        <f>CONCATENATE("0x",_EMIF1_EXT_PHY_CTRL_14_VAL)</f>
        <v>0x00600063</v>
      </c>
      <c r="G164" s="364" t="str">
        <f>IF(_user_emifs=2,CONCATENATE("0x",_EMIF2_EXT_PHY_CTRL_14_VAL),"NA")</f>
        <v>NA</v>
      </c>
    </row>
    <row r="165" spans="2:7" x14ac:dyDescent="0.25">
      <c r="B165" s="363" t="s">
        <v>613</v>
      </c>
      <c r="C165" s="364" t="s">
        <v>598</v>
      </c>
      <c r="D165" s="363" t="s">
        <v>493</v>
      </c>
      <c r="E165" s="363" t="str">
        <f t="shared" si="2"/>
        <v>0x0000026C</v>
      </c>
      <c r="F165" s="364" t="str">
        <f>CONCATENATE("0x",_EMIF1_EXT_PHY_CTRL_14_VAL)</f>
        <v>0x00600063</v>
      </c>
      <c r="G165" s="364" t="str">
        <f>IF(_user_emifs=2,CONCATENATE("0x",_EMIF2_EXT_PHY_CTRL_14_VAL),"NA")</f>
        <v>NA</v>
      </c>
    </row>
    <row r="166" spans="2:7" x14ac:dyDescent="0.25">
      <c r="B166" s="363" t="s">
        <v>494</v>
      </c>
      <c r="C166" s="364" t="s">
        <v>598</v>
      </c>
      <c r="D166" s="363" t="s">
        <v>495</v>
      </c>
      <c r="E166" s="363" t="str">
        <f t="shared" si="2"/>
        <v>0x00000270</v>
      </c>
      <c r="F166" s="364" t="str">
        <f>CONCATENATE("0x",_EMIF1_EXT_PHY_CTRL_15_VAL)</f>
        <v>0x00600069</v>
      </c>
      <c r="G166" s="364" t="str">
        <f>IF(_user_emifs=2,CONCATENATE("0x",_EMIF2_EXT_PHY_CTRL_15_VAL),"NA")</f>
        <v>NA</v>
      </c>
    </row>
    <row r="167" spans="2:7" x14ac:dyDescent="0.25">
      <c r="B167" s="363" t="s">
        <v>614</v>
      </c>
      <c r="C167" s="364" t="s">
        <v>598</v>
      </c>
      <c r="D167" s="363" t="s">
        <v>496</v>
      </c>
      <c r="E167" s="363" t="str">
        <f t="shared" si="2"/>
        <v>0x00000274</v>
      </c>
      <c r="F167" s="364" t="str">
        <f>CONCATENATE("0x",_EMIF1_EXT_PHY_CTRL_15_VAL)</f>
        <v>0x00600069</v>
      </c>
      <c r="G167" s="364" t="str">
        <f>IF(_user_emifs=2,CONCATENATE("0x",_EMIF2_EXT_PHY_CTRL_15_VAL),"NA")</f>
        <v>NA</v>
      </c>
    </row>
    <row r="168" spans="2:7" x14ac:dyDescent="0.25">
      <c r="B168" s="363" t="s">
        <v>497</v>
      </c>
      <c r="C168" s="364" t="s">
        <v>598</v>
      </c>
      <c r="D168" s="363" t="s">
        <v>498</v>
      </c>
      <c r="E168" s="363" t="str">
        <f t="shared" si="2"/>
        <v>0x00000278</v>
      </c>
      <c r="F168" s="364" t="str">
        <f>CONCATENATE("0x",_EMIF1_EXT_PHY_CTRL_16_VAL)</f>
        <v>0x00600060</v>
      </c>
      <c r="G168" s="364" t="str">
        <f>IF(_user_emifs=2,CONCATENATE("0x",_EMIF2_EXT_PHY_CTRL_16_VAL),"NA")</f>
        <v>NA</v>
      </c>
    </row>
    <row r="169" spans="2:7" x14ac:dyDescent="0.25">
      <c r="B169" s="363" t="s">
        <v>615</v>
      </c>
      <c r="C169" s="364" t="s">
        <v>598</v>
      </c>
      <c r="D169" s="363" t="s">
        <v>499</v>
      </c>
      <c r="E169" s="363" t="str">
        <f t="shared" si="2"/>
        <v>0x0000027C</v>
      </c>
      <c r="F169" s="364" t="str">
        <f>CONCATENATE("0x",_EMIF1_EXT_PHY_CTRL_16_VAL)</f>
        <v>0x00600060</v>
      </c>
      <c r="G169" s="364" t="str">
        <f>IF(_user_emifs=2,CONCATENATE("0x",_EMIF2_EXT_PHY_CTRL_16_VAL),"NA")</f>
        <v>NA</v>
      </c>
    </row>
    <row r="170" spans="2:7" x14ac:dyDescent="0.25">
      <c r="B170" s="363" t="s">
        <v>500</v>
      </c>
      <c r="C170" s="364" t="s">
        <v>598</v>
      </c>
      <c r="D170" s="363" t="s">
        <v>501</v>
      </c>
      <c r="E170" s="363" t="str">
        <f t="shared" si="2"/>
        <v>0x00000280</v>
      </c>
      <c r="F170" s="364" t="str">
        <f>CONCATENATE("0x",_EMIF1_EXT_PHY_CTRL_17_VAL)</f>
        <v>0x00400043</v>
      </c>
      <c r="G170" s="364" t="str">
        <f>IF(_user_emifs=2,CONCATENATE("0x",_EMIF2_EXT_PHY_CTRL_17_VAL),"NA")</f>
        <v>NA</v>
      </c>
    </row>
    <row r="171" spans="2:7" x14ac:dyDescent="0.25">
      <c r="B171" s="363" t="s">
        <v>616</v>
      </c>
      <c r="C171" s="364" t="s">
        <v>598</v>
      </c>
      <c r="D171" s="363" t="s">
        <v>502</v>
      </c>
      <c r="E171" s="363" t="str">
        <f t="shared" si="2"/>
        <v>0x00000284</v>
      </c>
      <c r="F171" s="364" t="str">
        <f>CONCATENATE("0x",_EMIF1_EXT_PHY_CTRL_17_VAL)</f>
        <v>0x00400043</v>
      </c>
      <c r="G171" s="364" t="str">
        <f>IF(_user_emifs=2,CONCATENATE("0x",_EMIF2_EXT_PHY_CTRL_17_VAL),"NA")</f>
        <v>NA</v>
      </c>
    </row>
    <row r="172" spans="2:7" x14ac:dyDescent="0.25">
      <c r="B172" s="363" t="s">
        <v>503</v>
      </c>
      <c r="C172" s="364" t="s">
        <v>598</v>
      </c>
      <c r="D172" s="363" t="s">
        <v>504</v>
      </c>
      <c r="E172" s="363" t="str">
        <f t="shared" si="2"/>
        <v>0x00000288</v>
      </c>
      <c r="F172" s="364" t="str">
        <f>CONCATENATE("0x",_EMIF1_EXT_PHY_CTRL_18_VAL)</f>
        <v>0x00400046</v>
      </c>
      <c r="G172" s="364" t="str">
        <f>IF(_user_emifs=2,CONCATENATE("0x",_EMIF2_EXT_PHY_CTRL_18_VAL),"NA")</f>
        <v>NA</v>
      </c>
    </row>
    <row r="173" spans="2:7" x14ac:dyDescent="0.25">
      <c r="B173" s="363" t="s">
        <v>617</v>
      </c>
      <c r="C173" s="364" t="s">
        <v>598</v>
      </c>
      <c r="D173" s="363" t="s">
        <v>505</v>
      </c>
      <c r="E173" s="363" t="str">
        <f t="shared" si="2"/>
        <v>0x0000028C</v>
      </c>
      <c r="F173" s="364" t="str">
        <f>CONCATENATE("0x",_EMIF1_EXT_PHY_CTRL_18_VAL)</f>
        <v>0x00400046</v>
      </c>
      <c r="G173" s="364" t="str">
        <f>IF(_user_emifs=2,CONCATENATE("0x",_EMIF2_EXT_PHY_CTRL_18_VAL),"NA")</f>
        <v>NA</v>
      </c>
    </row>
    <row r="174" spans="2:7" x14ac:dyDescent="0.25">
      <c r="B174" s="363" t="s">
        <v>506</v>
      </c>
      <c r="C174" s="364" t="s">
        <v>598</v>
      </c>
      <c r="D174" s="363" t="s">
        <v>507</v>
      </c>
      <c r="E174" s="363" t="str">
        <f t="shared" si="2"/>
        <v>0x00000290</v>
      </c>
      <c r="F174" s="364" t="str">
        <f>CONCATENATE("0x",_EMIF1_EXT_PHY_CTRL_19_VAL)</f>
        <v>0x00400043</v>
      </c>
      <c r="G174" s="364" t="str">
        <f>IF(_user_emifs=2,CONCATENATE("0x",_EMIF2_EXT_PHY_CTRL_19_VAL),"NA")</f>
        <v>NA</v>
      </c>
    </row>
    <row r="175" spans="2:7" x14ac:dyDescent="0.25">
      <c r="B175" s="363" t="s">
        <v>618</v>
      </c>
      <c r="C175" s="364" t="s">
        <v>598</v>
      </c>
      <c r="D175" s="363" t="s">
        <v>508</v>
      </c>
      <c r="E175" s="363" t="str">
        <f t="shared" si="2"/>
        <v>0x00000294</v>
      </c>
      <c r="F175" s="364" t="str">
        <f>CONCATENATE("0x",_EMIF1_EXT_PHY_CTRL_19_VAL)</f>
        <v>0x00400043</v>
      </c>
      <c r="G175" s="364" t="str">
        <f>IF(_user_emifs=2,CONCATENATE("0x",_EMIF2_EXT_PHY_CTRL_19_VAL),"NA")</f>
        <v>NA</v>
      </c>
    </row>
    <row r="176" spans="2:7" x14ac:dyDescent="0.25">
      <c r="B176" s="363" t="s">
        <v>509</v>
      </c>
      <c r="C176" s="364" t="s">
        <v>598</v>
      </c>
      <c r="D176" s="363" t="s">
        <v>510</v>
      </c>
      <c r="E176" s="363" t="str">
        <f t="shared" si="2"/>
        <v>0x00000298</v>
      </c>
      <c r="F176" s="364" t="str">
        <f>CONCATENATE("0x",_EMIF1_EXT_PHY_CTRL_20_VAL)</f>
        <v>0x00400049</v>
      </c>
      <c r="G176" s="364" t="str">
        <f>IF(_user_emifs=2,CONCATENATE("0x",_EMIF2_EXT_PHY_CTRL_20_VAL),"NA")</f>
        <v>NA</v>
      </c>
    </row>
    <row r="177" spans="2:7" x14ac:dyDescent="0.25">
      <c r="B177" s="363" t="s">
        <v>619</v>
      </c>
      <c r="C177" s="364" t="s">
        <v>598</v>
      </c>
      <c r="D177" s="363" t="s">
        <v>511</v>
      </c>
      <c r="E177" s="363" t="str">
        <f t="shared" si="2"/>
        <v>0x0000029C</v>
      </c>
      <c r="F177" s="364" t="str">
        <f>CONCATENATE("0x",_EMIF1_EXT_PHY_CTRL_20_VAL)</f>
        <v>0x00400049</v>
      </c>
      <c r="G177" s="364" t="str">
        <f>IF(_user_emifs=2,CONCATENATE("0x",_EMIF2_EXT_PHY_CTRL_20_VAL),"NA")</f>
        <v>NA</v>
      </c>
    </row>
    <row r="178" spans="2:7" x14ac:dyDescent="0.25">
      <c r="B178" s="363" t="s">
        <v>512</v>
      </c>
      <c r="C178" s="364" t="s">
        <v>598</v>
      </c>
      <c r="D178" s="363" t="s">
        <v>513</v>
      </c>
      <c r="E178" s="363" t="str">
        <f t="shared" si="2"/>
        <v>0x000002A0</v>
      </c>
      <c r="F178" s="364" t="str">
        <f>CONCATENATE("0x",_EMIF1_EXT_PHY_CTRL_21_VAL)</f>
        <v>0x00400040</v>
      </c>
      <c r="G178" s="364" t="str">
        <f>IF(_user_emifs=2,CONCATENATE("0x",_EMIF2_EXT_PHY_CTRL_21_VAL),"NA")</f>
        <v>NA</v>
      </c>
    </row>
    <row r="179" spans="2:7" x14ac:dyDescent="0.25">
      <c r="B179" s="363" t="s">
        <v>620</v>
      </c>
      <c r="C179" s="364" t="s">
        <v>598</v>
      </c>
      <c r="D179" s="363" t="s">
        <v>514</v>
      </c>
      <c r="E179" s="363" t="str">
        <f t="shared" si="2"/>
        <v>0x000002A4</v>
      </c>
      <c r="F179" s="364" t="str">
        <f>CONCATENATE("0x",_EMIF1_EXT_PHY_CTRL_21_VAL)</f>
        <v>0x00400040</v>
      </c>
      <c r="G179" s="364" t="str">
        <f>IF(_user_emifs=2,CONCATENATE("0x",_EMIF2_EXT_PHY_CTRL_21_VAL),"NA")</f>
        <v>NA</v>
      </c>
    </row>
    <row r="180" spans="2:7" x14ac:dyDescent="0.25">
      <c r="B180" s="363" t="s">
        <v>515</v>
      </c>
      <c r="C180" s="364" t="s">
        <v>598</v>
      </c>
      <c r="D180" s="363" t="s">
        <v>516</v>
      </c>
      <c r="E180" s="363" t="str">
        <f t="shared" si="2"/>
        <v>0x000002A8</v>
      </c>
      <c r="F180" s="364" t="str">
        <f>CONCATENATE("0x",_EMIF1_EXT_PHY_CTRL_22_VAL)</f>
        <v>0x00800080</v>
      </c>
      <c r="G180" s="364" t="str">
        <f>IF(_user_emifs=2,CONCATENATE("0x",_EMIF2_EXT_PHY_CTRL_22_VAL),"NA")</f>
        <v>NA</v>
      </c>
    </row>
    <row r="181" spans="2:7" x14ac:dyDescent="0.25">
      <c r="B181" s="363" t="s">
        <v>621</v>
      </c>
      <c r="C181" s="364" t="s">
        <v>598</v>
      </c>
      <c r="D181" s="363" t="s">
        <v>517</v>
      </c>
      <c r="E181" s="363" t="str">
        <f t="shared" si="2"/>
        <v>0x000002AC</v>
      </c>
      <c r="F181" s="364" t="str">
        <f>CONCATENATE("0x",_EMIF1_EXT_PHY_CTRL_22_VAL)</f>
        <v>0x00800080</v>
      </c>
      <c r="G181" s="364" t="str">
        <f>IF(_user_emifs=2,CONCATENATE("0x",_EMIF2_EXT_PHY_CTRL_22_VAL),"NA")</f>
        <v>NA</v>
      </c>
    </row>
    <row r="182" spans="2:7" x14ac:dyDescent="0.25">
      <c r="B182" s="363" t="s">
        <v>518</v>
      </c>
      <c r="C182" s="364" t="s">
        <v>598</v>
      </c>
      <c r="D182" s="363" t="s">
        <v>519</v>
      </c>
      <c r="E182" s="363" t="str">
        <f t="shared" si="2"/>
        <v>0x000002B0</v>
      </c>
      <c r="F182" s="364" t="str">
        <f>CONCATENATE("0x",_EMIF1_EXT_PHY_CTRL_23_VAL)</f>
        <v>0x00800080</v>
      </c>
      <c r="G182" s="364" t="str">
        <f>IF(_user_emifs=2,CONCATENATE("0x",_EMIF2_EXT_PHY_CTRL_23_VAL),"NA")</f>
        <v>NA</v>
      </c>
    </row>
    <row r="183" spans="2:7" x14ac:dyDescent="0.25">
      <c r="B183" s="363" t="s">
        <v>622</v>
      </c>
      <c r="C183" s="364" t="s">
        <v>598</v>
      </c>
      <c r="D183" s="363" t="s">
        <v>520</v>
      </c>
      <c r="E183" s="363" t="str">
        <f t="shared" si="2"/>
        <v>0x000002B4</v>
      </c>
      <c r="F183" s="364" t="str">
        <f>CONCATENATE("0x",_EMIF1_EXT_PHY_CTRL_23_VAL)</f>
        <v>0x00800080</v>
      </c>
      <c r="G183" s="364" t="str">
        <f>IF(_user_emifs=2,CONCATENATE("0x",_EMIF2_EXT_PHY_CTRL_23_VAL),"NA")</f>
        <v>NA</v>
      </c>
    </row>
    <row r="184" spans="2:7" x14ac:dyDescent="0.25">
      <c r="B184" s="363" t="s">
        <v>521</v>
      </c>
      <c r="C184" s="364" t="s">
        <v>598</v>
      </c>
      <c r="D184" s="363" t="s">
        <v>522</v>
      </c>
      <c r="E184" s="363" t="str">
        <f t="shared" si="2"/>
        <v>0x000002B8</v>
      </c>
      <c r="F184" s="364" t="str">
        <f>CONCATENATE("0x",_EMIF1_EXT_PHY_CTRL_24_VAL)</f>
        <v>0x40010080</v>
      </c>
      <c r="G184" s="364" t="str">
        <f>IF(_user_emifs=2,CONCATENATE("0x",_EMIF2_EXT_PHY_CTRL_24_VAL),"NA")</f>
        <v>NA</v>
      </c>
    </row>
    <row r="185" spans="2:7" x14ac:dyDescent="0.25">
      <c r="B185" s="363" t="s">
        <v>623</v>
      </c>
      <c r="C185" s="364" t="s">
        <v>598</v>
      </c>
      <c r="D185" s="363" t="s">
        <v>523</v>
      </c>
      <c r="E185" s="363" t="str">
        <f t="shared" si="2"/>
        <v>0x000002BC</v>
      </c>
      <c r="F185" s="364" t="str">
        <f>CONCATENATE("0x",_EMIF1_EXT_PHY_CTRL_24_VAL)</f>
        <v>0x40010080</v>
      </c>
      <c r="G185" s="364" t="str">
        <f>IF(_user_emifs=2,CONCATENATE("0x",_EMIF2_EXT_PHY_CTRL_24_VAL),"NA")</f>
        <v>NA</v>
      </c>
    </row>
    <row r="186" spans="2:7" x14ac:dyDescent="0.25">
      <c r="B186" s="363" t="s">
        <v>524</v>
      </c>
      <c r="C186" s="364" t="s">
        <v>598</v>
      </c>
      <c r="D186" s="363" t="s">
        <v>525</v>
      </c>
      <c r="E186" s="363" t="str">
        <f t="shared" si="2"/>
        <v>0x000002C0</v>
      </c>
      <c r="F186" s="364" t="str">
        <f>CONCATENATE("0x",_EMIF1_EXT_PHY_CTRL_25_VAL)</f>
        <v>0x08102040</v>
      </c>
      <c r="G186" s="364" t="str">
        <f>IF(_user_emifs=2,CONCATENATE("0x",_EMIF2_EXT_PHY_CTRL_25_VAL),"NA")</f>
        <v>NA</v>
      </c>
    </row>
    <row r="187" spans="2:7" x14ac:dyDescent="0.25">
      <c r="B187" s="363" t="s">
        <v>624</v>
      </c>
      <c r="C187" s="364" t="s">
        <v>598</v>
      </c>
      <c r="D187" s="363" t="s">
        <v>526</v>
      </c>
      <c r="E187" s="363" t="str">
        <f t="shared" si="2"/>
        <v>0x000002C4</v>
      </c>
      <c r="F187" s="364" t="str">
        <f>CONCATENATE("0x",_EMIF1_EXT_PHY_CTRL_25_VAL)</f>
        <v>0x08102040</v>
      </c>
      <c r="G187" s="364" t="str">
        <f>IF(_user_emifs=2,CONCATENATE("0x",_EMIF2_EXT_PHY_CTRL_25_VAL),"NA")</f>
        <v>NA</v>
      </c>
    </row>
    <row r="188" spans="2:7" x14ac:dyDescent="0.25">
      <c r="B188" s="363" t="s">
        <v>527</v>
      </c>
      <c r="C188" s="364" t="s">
        <v>598</v>
      </c>
      <c r="D188" s="363" t="s">
        <v>528</v>
      </c>
      <c r="E188" s="363" t="str">
        <f t="shared" si="2"/>
        <v>0x000002C8</v>
      </c>
      <c r="F188" s="364" t="str">
        <f>CONCATENATE("0x",_EMIF1_EXT_PHY_CTRL_26_VAL)</f>
        <v>0x00000088</v>
      </c>
      <c r="G188" s="364" t="str">
        <f>IF(_user_emifs=2,CONCATENATE("0x",_EMIF2_EXT_PHY_CTRL_26_VAL),"NA")</f>
        <v>NA</v>
      </c>
    </row>
    <row r="189" spans="2:7" x14ac:dyDescent="0.25">
      <c r="B189" s="363" t="s">
        <v>625</v>
      </c>
      <c r="C189" s="364" t="s">
        <v>598</v>
      </c>
      <c r="D189" s="363" t="s">
        <v>529</v>
      </c>
      <c r="E189" s="363" t="str">
        <f t="shared" si="2"/>
        <v>0x000002CC</v>
      </c>
      <c r="F189" s="364" t="str">
        <f>CONCATENATE("0x",_EMIF1_EXT_PHY_CTRL_26_VAL)</f>
        <v>0x00000088</v>
      </c>
      <c r="G189" s="364" t="str">
        <f>IF(_user_emifs=2,CONCATENATE("0x",_EMIF2_EXT_PHY_CTRL_26_VAL),"NA")</f>
        <v>NA</v>
      </c>
    </row>
    <row r="190" spans="2:7" x14ac:dyDescent="0.25">
      <c r="B190" s="363" t="s">
        <v>530</v>
      </c>
      <c r="C190" s="364" t="s">
        <v>598</v>
      </c>
      <c r="D190" s="363" t="s">
        <v>531</v>
      </c>
      <c r="E190" s="363" t="str">
        <f t="shared" si="2"/>
        <v>0x000002D0</v>
      </c>
      <c r="F190" s="364" t="str">
        <f>CONCATENATE("0x",_EMIF1_EXT_PHY_CTRL_27_VAL)</f>
        <v>0x00000084</v>
      </c>
      <c r="G190" s="364" t="str">
        <f>IF(_user_emifs=2,CONCATENATE("0x",_EMIF2_EXT_PHY_CTRL_27_VAL),"NA")</f>
        <v>NA</v>
      </c>
    </row>
    <row r="191" spans="2:7" x14ac:dyDescent="0.25">
      <c r="B191" s="363" t="s">
        <v>626</v>
      </c>
      <c r="C191" s="364" t="s">
        <v>598</v>
      </c>
      <c r="D191" s="363" t="s">
        <v>532</v>
      </c>
      <c r="E191" s="363" t="str">
        <f t="shared" si="2"/>
        <v>0x000002D4</v>
      </c>
      <c r="F191" s="364" t="str">
        <f>CONCATENATE("0x",_EMIF1_EXT_PHY_CTRL_27_VAL)</f>
        <v>0x00000084</v>
      </c>
      <c r="G191" s="364" t="str">
        <f>IF(_user_emifs=2,CONCATENATE("0x",_EMIF2_EXT_PHY_CTRL_27_VAL),"NA")</f>
        <v>NA</v>
      </c>
    </row>
    <row r="192" spans="2:7" x14ac:dyDescent="0.25">
      <c r="B192" s="363" t="s">
        <v>533</v>
      </c>
      <c r="C192" s="364" t="s">
        <v>598</v>
      </c>
      <c r="D192" s="363" t="s">
        <v>534</v>
      </c>
      <c r="E192" s="363" t="str">
        <f t="shared" si="2"/>
        <v>0x000002D8</v>
      </c>
      <c r="F192" s="364" t="str">
        <f>CONCATENATE("0x",_EMIF1_EXT_PHY_CTRL_28_VAL)</f>
        <v>0x00000095</v>
      </c>
      <c r="G192" s="364" t="str">
        <f>IF(_user_emifs=2,CONCATENATE("0x",_EMIF2_EXT_PHY_CTRL_28_VAL),"NA")</f>
        <v>NA</v>
      </c>
    </row>
    <row r="193" spans="2:7" x14ac:dyDescent="0.25">
      <c r="B193" s="363" t="s">
        <v>627</v>
      </c>
      <c r="C193" s="364" t="s">
        <v>598</v>
      </c>
      <c r="D193" s="363" t="s">
        <v>535</v>
      </c>
      <c r="E193" s="363" t="str">
        <f t="shared" si="2"/>
        <v>0x000002DC</v>
      </c>
      <c r="F193" s="364" t="str">
        <f>CONCATENATE("0x",_EMIF1_EXT_PHY_CTRL_28_VAL)</f>
        <v>0x00000095</v>
      </c>
      <c r="G193" s="364" t="str">
        <f>IF(_user_emifs=2,CONCATENATE("0x",_EMIF2_EXT_PHY_CTRL_28_VAL),"NA")</f>
        <v>NA</v>
      </c>
    </row>
    <row r="194" spans="2:7" x14ac:dyDescent="0.25">
      <c r="B194" s="363" t="s">
        <v>536</v>
      </c>
      <c r="C194" s="364" t="s">
        <v>598</v>
      </c>
      <c r="D194" s="363" t="s">
        <v>537</v>
      </c>
      <c r="E194" s="363" t="str">
        <f t="shared" si="2"/>
        <v>0x000002E0</v>
      </c>
      <c r="F194" s="364" t="str">
        <f>CONCATENATE("0x",_EMIF1_EXT_PHY_CTRL_29_VAL)</f>
        <v>0x0000008F</v>
      </c>
      <c r="G194" s="364" t="str">
        <f>IF(_user_emifs=2,CONCATENATE("0x",_EMIF2_EXT_PHY_CTRL_29_VAL),"NA")</f>
        <v>NA</v>
      </c>
    </row>
    <row r="195" spans="2:7" x14ac:dyDescent="0.25">
      <c r="B195" s="363" t="s">
        <v>628</v>
      </c>
      <c r="C195" s="364" t="s">
        <v>598</v>
      </c>
      <c r="D195" s="363" t="s">
        <v>538</v>
      </c>
      <c r="E195" s="363" t="str">
        <f t="shared" si="2"/>
        <v>0x000002E4</v>
      </c>
      <c r="F195" s="364" t="str">
        <f>CONCATENATE("0x",_EMIF1_EXT_PHY_CTRL_29_VAL)</f>
        <v>0x0000008F</v>
      </c>
      <c r="G195" s="364" t="str">
        <f>IF(_user_emifs=2,CONCATENATE("0x",_EMIF2_EXT_PHY_CTRL_29_VAL),"NA")</f>
        <v>NA</v>
      </c>
    </row>
    <row r="196" spans="2:7" x14ac:dyDescent="0.25">
      <c r="B196" s="363" t="s">
        <v>539</v>
      </c>
      <c r="C196" s="364" t="s">
        <v>598</v>
      </c>
      <c r="D196" s="363" t="s">
        <v>540</v>
      </c>
      <c r="E196" s="363" t="str">
        <f t="shared" si="2"/>
        <v>0x000002E8</v>
      </c>
      <c r="F196" s="364" t="str">
        <f>CONCATENATE("0x",_EMIF1_EXT_PHY_CTRL_30_VAL)</f>
        <v>0x00000000</v>
      </c>
      <c r="G196" s="364" t="str">
        <f>IF(_user_emifs=2,CONCATENATE("0x",_EMIF2_EXT_PHY_CTRL_30_VAL),"NA")</f>
        <v>NA</v>
      </c>
    </row>
    <row r="197" spans="2:7" x14ac:dyDescent="0.25">
      <c r="B197" s="363" t="s">
        <v>629</v>
      </c>
      <c r="C197" s="364" t="s">
        <v>598</v>
      </c>
      <c r="D197" s="363" t="s">
        <v>541</v>
      </c>
      <c r="E197" s="363" t="str">
        <f t="shared" si="2"/>
        <v>0x000002EC</v>
      </c>
      <c r="F197" s="364" t="str">
        <f>CONCATENATE("0x",_EMIF1_EXT_PHY_CTRL_30_VAL)</f>
        <v>0x00000000</v>
      </c>
      <c r="G197" s="364" t="str">
        <f>IF(_user_emifs=2,CONCATENATE("0x",_EMIF2_EXT_PHY_CTRL_30_VAL),"NA")</f>
        <v>NA</v>
      </c>
    </row>
    <row r="198" spans="2:7" x14ac:dyDescent="0.25">
      <c r="B198" s="363" t="s">
        <v>542</v>
      </c>
      <c r="C198" s="364" t="s">
        <v>598</v>
      </c>
      <c r="D198" s="363" t="s">
        <v>543</v>
      </c>
      <c r="E198" s="363" t="str">
        <f t="shared" si="2"/>
        <v>0x000002F0</v>
      </c>
      <c r="F198" s="364" t="str">
        <f>CONCATENATE("0x",_EMIF1_EXT_PHY_CTRL_31_VAL)</f>
        <v>0x00000033</v>
      </c>
      <c r="G198" s="364" t="str">
        <f>IF(_user_emifs=2,CONCATENATE("0x",_EMIF2_EXT_PHY_CTRL_31_VAL),"NA")</f>
        <v>NA</v>
      </c>
    </row>
    <row r="199" spans="2:7" x14ac:dyDescent="0.25">
      <c r="B199" s="363" t="s">
        <v>630</v>
      </c>
      <c r="C199" s="364" t="s">
        <v>598</v>
      </c>
      <c r="D199" s="363" t="s">
        <v>544</v>
      </c>
      <c r="E199" s="363" t="str">
        <f t="shared" si="2"/>
        <v>0x000002F4</v>
      </c>
      <c r="F199" s="364" t="str">
        <f>CONCATENATE("0x",_EMIF1_EXT_PHY_CTRL_31_VAL)</f>
        <v>0x00000033</v>
      </c>
      <c r="G199" s="364" t="str">
        <f>IF(_user_emifs=2,CONCATENATE("0x",_EMIF2_EXT_PHY_CTRL_31_VAL),"NA")</f>
        <v>NA</v>
      </c>
    </row>
    <row r="200" spans="2:7" x14ac:dyDescent="0.25">
      <c r="B200" s="363" t="s">
        <v>545</v>
      </c>
      <c r="C200" s="364" t="s">
        <v>598</v>
      </c>
      <c r="D200" s="363" t="s">
        <v>546</v>
      </c>
      <c r="E200" s="363" t="str">
        <f t="shared" si="2"/>
        <v>0x000002F8</v>
      </c>
      <c r="F200" s="364" t="str">
        <f>CONCATENATE("0x",_EMIF1_EXT_PHY_CTRL_32_VAL)</f>
        <v>0x00000036</v>
      </c>
      <c r="G200" s="364" t="str">
        <f>IF(_user_emifs=2,CONCATENATE("0x",_EMIF2_EXT_PHY_CTRL_32_VAL),"NA")</f>
        <v>NA</v>
      </c>
    </row>
    <row r="201" spans="2:7" x14ac:dyDescent="0.25">
      <c r="B201" s="363" t="s">
        <v>631</v>
      </c>
      <c r="C201" s="364" t="s">
        <v>598</v>
      </c>
      <c r="D201" s="363" t="s">
        <v>547</v>
      </c>
      <c r="E201" s="363" t="str">
        <f t="shared" si="2"/>
        <v>0x000002FC</v>
      </c>
      <c r="F201" s="364" t="str">
        <f>CONCATENATE("0x",_EMIF1_EXT_PHY_CTRL_32_VAL)</f>
        <v>0x00000036</v>
      </c>
      <c r="G201" s="364" t="str">
        <f>IF(_user_emifs=2,CONCATENATE("0x",_EMIF2_EXT_PHY_CTRL_32_VAL),"NA")</f>
        <v>NA</v>
      </c>
    </row>
    <row r="202" spans="2:7" x14ac:dyDescent="0.25">
      <c r="B202" s="363" t="s">
        <v>548</v>
      </c>
      <c r="C202" s="364" t="s">
        <v>598</v>
      </c>
      <c r="D202" s="363" t="s">
        <v>549</v>
      </c>
      <c r="E202" s="363" t="str">
        <f t="shared" si="2"/>
        <v>0x00000300</v>
      </c>
      <c r="F202" s="364" t="str">
        <f>CONCATENATE("0x",_EMIF1_EXT_PHY_CTRL_33_VAL)</f>
        <v>0x00000033</v>
      </c>
      <c r="G202" s="364" t="str">
        <f>IF(_user_emifs=2,CONCATENATE("0x",_EMIF2_EXT_PHY_CTRL_33_VAL),"NA")</f>
        <v>NA</v>
      </c>
    </row>
    <row r="203" spans="2:7" x14ac:dyDescent="0.25">
      <c r="B203" s="363" t="s">
        <v>632</v>
      </c>
      <c r="C203" s="364" t="s">
        <v>598</v>
      </c>
      <c r="D203" s="363" t="s">
        <v>550</v>
      </c>
      <c r="E203" s="363" t="str">
        <f t="shared" ref="E203:E209" si="3">CONCATENATE("0x",DEC2HEX(HEX2DEC(RIGHT(D203,3)),8))</f>
        <v>0x00000304</v>
      </c>
      <c r="F203" s="364" t="str">
        <f>CONCATENATE("0x",_EMIF1_EXT_PHY_CTRL_33_VAL)</f>
        <v>0x00000033</v>
      </c>
      <c r="G203" s="364" t="str">
        <f>IF(_user_emifs=2,CONCATENATE("0x",_EMIF2_EXT_PHY_CTRL_33_VAL),"NA")</f>
        <v>NA</v>
      </c>
    </row>
    <row r="204" spans="2:7" x14ac:dyDescent="0.25">
      <c r="B204" s="363" t="s">
        <v>551</v>
      </c>
      <c r="C204" s="364" t="s">
        <v>598</v>
      </c>
      <c r="D204" s="363" t="s">
        <v>552</v>
      </c>
      <c r="E204" s="363" t="str">
        <f t="shared" si="3"/>
        <v>0x00000308</v>
      </c>
      <c r="F204" s="364" t="str">
        <f>CONCATENATE("0x",_EMIF1_EXT_PHY_CTRL_34_VAL)</f>
        <v>0x00000039</v>
      </c>
      <c r="G204" s="364" t="str">
        <f>IF(_user_emifs=2,CONCATENATE("0x",_EMIF2_EXT_PHY_CTRL_34_VAL),"NA")</f>
        <v>NA</v>
      </c>
    </row>
    <row r="205" spans="2:7" x14ac:dyDescent="0.25">
      <c r="B205" s="363" t="s">
        <v>633</v>
      </c>
      <c r="C205" s="364" t="s">
        <v>598</v>
      </c>
      <c r="D205" s="363" t="s">
        <v>553</v>
      </c>
      <c r="E205" s="363" t="str">
        <f t="shared" si="3"/>
        <v>0x0000030C</v>
      </c>
      <c r="F205" s="364" t="str">
        <f>CONCATENATE("0x",_EMIF1_EXT_PHY_CTRL_34_VAL)</f>
        <v>0x00000039</v>
      </c>
      <c r="G205" s="364" t="str">
        <f>IF(_user_emifs=2,CONCATENATE("0x",_EMIF2_EXT_PHY_CTRL_34_VAL),"NA")</f>
        <v>NA</v>
      </c>
    </row>
    <row r="206" spans="2:7" x14ac:dyDescent="0.25">
      <c r="B206" s="363" t="s">
        <v>554</v>
      </c>
      <c r="C206" s="364" t="s">
        <v>598</v>
      </c>
      <c r="D206" s="363" t="s">
        <v>555</v>
      </c>
      <c r="E206" s="363" t="str">
        <f t="shared" si="3"/>
        <v>0x00000310</v>
      </c>
      <c r="F206" s="364" t="str">
        <f>CONCATENATE("0x",_EMIF1_EXT_PHY_CTRL_35_VAL)</f>
        <v>0x00000000</v>
      </c>
      <c r="G206" s="364" t="str">
        <f>IF(_user_emifs=2,CONCATENATE("0x",_EMIF2_EXT_PHY_CTRL_35_VAL),"NA")</f>
        <v>NA</v>
      </c>
    </row>
    <row r="207" spans="2:7" x14ac:dyDescent="0.25">
      <c r="B207" s="363" t="s">
        <v>634</v>
      </c>
      <c r="C207" s="364" t="s">
        <v>598</v>
      </c>
      <c r="D207" s="363" t="s">
        <v>556</v>
      </c>
      <c r="E207" s="363" t="str">
        <f t="shared" si="3"/>
        <v>0x00000314</v>
      </c>
      <c r="F207" s="364" t="str">
        <f>CONCATENATE("0x",_EMIF1_EXT_PHY_CTRL_35_VAL)</f>
        <v>0x00000000</v>
      </c>
      <c r="G207" s="364" t="str">
        <f>IF(_user_emifs=2,CONCATENATE("0x",_EMIF2_EXT_PHY_CTRL_35_VAL),"NA")</f>
        <v>NA</v>
      </c>
    </row>
    <row r="208" spans="2:7" x14ac:dyDescent="0.25">
      <c r="B208" s="363" t="s">
        <v>557</v>
      </c>
      <c r="C208" s="364" t="s">
        <v>598</v>
      </c>
      <c r="D208" s="363" t="s">
        <v>558</v>
      </c>
      <c r="E208" s="363" t="str">
        <f t="shared" si="3"/>
        <v>0x00000318</v>
      </c>
      <c r="F208" s="364" t="str">
        <f>CONCATENATE("0x",_EMIF1_EXT_PHY_CTRL_36_VAL)</f>
        <v>0x00000077</v>
      </c>
      <c r="G208" s="364" t="str">
        <f>IF(_user_emifs=2,CONCATENATE("0x",_EMIF2_EXT_PHY_CTRL_36_VAL),"NA")</f>
        <v>NA</v>
      </c>
    </row>
    <row r="209" spans="2:7" x14ac:dyDescent="0.25">
      <c r="B209" s="363" t="s">
        <v>635</v>
      </c>
      <c r="C209" s="364" t="s">
        <v>598</v>
      </c>
      <c r="D209" s="363" t="s">
        <v>559</v>
      </c>
      <c r="E209" s="363" t="str">
        <f t="shared" si="3"/>
        <v>0x0000031C</v>
      </c>
      <c r="F209" s="364" t="str">
        <f>CONCATENATE("0x",_EMIF1_EXT_PHY_CTRL_36_VAL)</f>
        <v>0x00000077</v>
      </c>
      <c r="G209" s="364" t="str">
        <f>IF(_user_emifs=2,CONCATENATE("0x",_EMIF2_EXT_PHY_CTRL_36_VAL),"NA")</f>
        <v>NA</v>
      </c>
    </row>
    <row r="211" spans="2:7" x14ac:dyDescent="0.25">
      <c r="B211" s="363" t="s">
        <v>560</v>
      </c>
      <c r="D211" s="363" t="s">
        <v>561</v>
      </c>
    </row>
    <row r="212" spans="2:7" x14ac:dyDescent="0.25">
      <c r="B212" s="363" t="s">
        <v>562</v>
      </c>
      <c r="D212" s="363" t="s">
        <v>563</v>
      </c>
    </row>
    <row r="213" spans="2:7" x14ac:dyDescent="0.25">
      <c r="B213" s="363" t="s">
        <v>564</v>
      </c>
      <c r="D213" s="363" t="s">
        <v>565</v>
      </c>
    </row>
    <row r="214" spans="2:7" x14ac:dyDescent="0.25">
      <c r="B214" s="363" t="s">
        <v>566</v>
      </c>
      <c r="D214" s="363" t="s">
        <v>567</v>
      </c>
    </row>
    <row r="215" spans="2:7" x14ac:dyDescent="0.25">
      <c r="B215" s="363" t="s">
        <v>568</v>
      </c>
      <c r="D215" s="363" t="s">
        <v>569</v>
      </c>
    </row>
    <row r="216" spans="2:7" x14ac:dyDescent="0.25">
      <c r="B216" s="363" t="s">
        <v>570</v>
      </c>
      <c r="D216" s="363" t="s">
        <v>571</v>
      </c>
    </row>
    <row r="217" spans="2:7" x14ac:dyDescent="0.25">
      <c r="B217" s="363" t="s">
        <v>572</v>
      </c>
      <c r="D217" s="363" t="s">
        <v>573</v>
      </c>
    </row>
    <row r="218" spans="2:7" x14ac:dyDescent="0.25">
      <c r="D218" s="363" t="s">
        <v>574</v>
      </c>
    </row>
    <row r="219" spans="2:7" x14ac:dyDescent="0.25">
      <c r="B219" s="363" t="s">
        <v>575</v>
      </c>
      <c r="D219" s="363" t="s">
        <v>576</v>
      </c>
    </row>
    <row r="220" spans="2:7" x14ac:dyDescent="0.25">
      <c r="B220" s="363" t="s">
        <v>577</v>
      </c>
      <c r="D220" s="363" t="s">
        <v>578</v>
      </c>
    </row>
    <row r="221" spans="2:7" x14ac:dyDescent="0.25">
      <c r="D221" s="363" t="s">
        <v>579</v>
      </c>
    </row>
    <row r="222" spans="2:7" x14ac:dyDescent="0.25">
      <c r="D222" s="363" t="s">
        <v>580</v>
      </c>
    </row>
    <row r="223" spans="2:7" x14ac:dyDescent="0.25">
      <c r="D223" s="363" t="s">
        <v>581</v>
      </c>
    </row>
    <row r="224" spans="2:7" x14ac:dyDescent="0.25">
      <c r="D224" s="363" t="s">
        <v>582</v>
      </c>
    </row>
    <row r="225" spans="4:4" x14ac:dyDescent="0.25">
      <c r="D225" s="363" t="s">
        <v>583</v>
      </c>
    </row>
    <row r="226" spans="4:4" x14ac:dyDescent="0.25">
      <c r="D226" s="363" t="s">
        <v>584</v>
      </c>
    </row>
    <row r="227" spans="4:4" x14ac:dyDescent="0.25">
      <c r="D227" s="363" t="s">
        <v>585</v>
      </c>
    </row>
    <row r="228" spans="4:4" x14ac:dyDescent="0.25">
      <c r="D228" s="363" t="s">
        <v>586</v>
      </c>
    </row>
    <row r="229" spans="4:4" x14ac:dyDescent="0.25">
      <c r="D229" s="363" t="s">
        <v>587</v>
      </c>
    </row>
  </sheetData>
  <sheetProtection password="D41E" sheet="1" objects="1" scenarios="1"/>
  <mergeCells count="49">
    <mergeCell ref="G8:G9"/>
    <mergeCell ref="I8:K8"/>
    <mergeCell ref="L8:M8"/>
    <mergeCell ref="N8:P8"/>
    <mergeCell ref="R8:S8"/>
    <mergeCell ref="I9:K9"/>
    <mergeCell ref="L9:M9"/>
    <mergeCell ref="N9:P9"/>
    <mergeCell ref="R9:S9"/>
    <mergeCell ref="B8:B9"/>
    <mergeCell ref="E8:E9"/>
    <mergeCell ref="D8:D9"/>
    <mergeCell ref="C8:C9"/>
    <mergeCell ref="F8:F9"/>
    <mergeCell ref="U9:V9"/>
    <mergeCell ref="AL9:AN9"/>
    <mergeCell ref="Y8:Z8"/>
    <mergeCell ref="AA8:AD8"/>
    <mergeCell ref="AE8:AG8"/>
    <mergeCell ref="AH8:AJ8"/>
    <mergeCell ref="AL8:AN8"/>
    <mergeCell ref="W9:X9"/>
    <mergeCell ref="Y9:Z9"/>
    <mergeCell ref="AA9:AD9"/>
    <mergeCell ref="AE9:AG9"/>
    <mergeCell ref="AH9:AJ9"/>
    <mergeCell ref="W8:X8"/>
    <mergeCell ref="U8:V8"/>
    <mergeCell ref="G13:G14"/>
    <mergeCell ref="E13:E15"/>
    <mergeCell ref="D13:D15"/>
    <mergeCell ref="C13:C15"/>
    <mergeCell ref="B13:B15"/>
    <mergeCell ref="AI13:AK13"/>
    <mergeCell ref="AL13:AN13"/>
    <mergeCell ref="I14:K14"/>
    <mergeCell ref="L14:O14"/>
    <mergeCell ref="P14:S14"/>
    <mergeCell ref="T14:W14"/>
    <mergeCell ref="X14:AB14"/>
    <mergeCell ref="AC14:AH14"/>
    <mergeCell ref="AI14:AK14"/>
    <mergeCell ref="AL14:AN14"/>
    <mergeCell ref="I13:K13"/>
    <mergeCell ref="L13:O13"/>
    <mergeCell ref="P13:S13"/>
    <mergeCell ref="T13:W13"/>
    <mergeCell ref="X13:AB13"/>
    <mergeCell ref="AC13:AH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50"/>
  </sheetPr>
  <dimension ref="A1:N172"/>
  <sheetViews>
    <sheetView zoomScaleNormal="100" workbookViewId="0">
      <pane ySplit="13" topLeftCell="A95" activePane="bottomLeft" state="frozen"/>
      <selection pane="bottomLeft" activeCell="G41" sqref="G41"/>
    </sheetView>
  </sheetViews>
  <sheetFormatPr defaultColWidth="20.7265625" defaultRowHeight="12.5" x14ac:dyDescent="0.25"/>
  <cols>
    <col min="1" max="1" width="9.1796875" style="24" customWidth="1"/>
    <col min="2" max="2" width="9.1796875" style="26" customWidth="1"/>
    <col min="3" max="3" width="20.7265625" style="26"/>
    <col min="4" max="4" width="20.7265625" style="85"/>
    <col min="5" max="8" width="20.7265625" style="26"/>
    <col min="9" max="9" width="9.1796875" style="26" customWidth="1"/>
    <col min="10" max="16384" width="20.7265625" style="26"/>
  </cols>
  <sheetData>
    <row r="1" spans="1:14" ht="12.75" customHeight="1" x14ac:dyDescent="0.3">
      <c r="A1" s="236"/>
      <c r="B1" s="236"/>
      <c r="C1" s="239"/>
      <c r="D1" s="239"/>
      <c r="E1" s="239"/>
      <c r="F1" s="239"/>
      <c r="G1" s="239"/>
      <c r="H1" s="239"/>
      <c r="I1" s="239"/>
      <c r="J1" s="115"/>
      <c r="K1" s="115"/>
      <c r="L1" s="115"/>
      <c r="M1" s="115"/>
      <c r="N1" s="50"/>
    </row>
    <row r="2" spans="1:14" ht="12.75" customHeight="1" x14ac:dyDescent="0.3">
      <c r="A2" s="236"/>
      <c r="B2" s="435" t="str">
        <f>'Title-README'!$B$9</f>
        <v>Date: November 2nd, 2019</v>
      </c>
      <c r="C2" s="436"/>
      <c r="D2" s="436"/>
      <c r="E2" s="436"/>
      <c r="F2" s="436"/>
      <c r="G2" s="436"/>
      <c r="H2" s="436"/>
      <c r="I2" s="437"/>
      <c r="J2" s="115"/>
      <c r="K2" s="115"/>
      <c r="L2" s="115"/>
      <c r="M2" s="115"/>
      <c r="N2" s="50"/>
    </row>
    <row r="3" spans="1:14" ht="12.75" customHeight="1" x14ac:dyDescent="0.3">
      <c r="A3" s="236"/>
      <c r="B3" s="435" t="str">
        <f>'Title-README'!$B$11</f>
        <v>Revision: 2.0.3</v>
      </c>
      <c r="C3" s="436"/>
      <c r="D3" s="436"/>
      <c r="E3" s="436"/>
      <c r="F3" s="436"/>
      <c r="G3" s="436"/>
      <c r="H3" s="436"/>
      <c r="I3" s="437"/>
      <c r="J3" s="115"/>
      <c r="K3" s="115"/>
      <c r="L3" s="115"/>
      <c r="M3" s="115"/>
      <c r="N3" s="50"/>
    </row>
    <row r="4" spans="1:14" ht="12.75" customHeight="1" x14ac:dyDescent="0.3">
      <c r="A4" s="236"/>
      <c r="B4" s="520" t="s">
        <v>659</v>
      </c>
      <c r="C4" s="521"/>
      <c r="D4" s="521"/>
      <c r="E4" s="521"/>
      <c r="F4" s="521"/>
      <c r="G4" s="521"/>
      <c r="H4" s="521"/>
      <c r="I4" s="522"/>
      <c r="J4" s="115"/>
      <c r="K4" s="115"/>
      <c r="L4" s="115"/>
      <c r="M4" s="115"/>
      <c r="N4" s="50"/>
    </row>
    <row r="5" spans="1:14" ht="12.75" customHeight="1" x14ac:dyDescent="0.3">
      <c r="A5" s="236"/>
      <c r="B5" s="487"/>
      <c r="C5" s="488"/>
      <c r="D5" s="488"/>
      <c r="E5" s="488"/>
      <c r="F5" s="488"/>
      <c r="G5" s="488"/>
      <c r="H5" s="488"/>
      <c r="I5" s="489"/>
      <c r="J5" s="115"/>
      <c r="K5" s="115"/>
      <c r="L5" s="115"/>
      <c r="M5" s="115"/>
      <c r="N5" s="50"/>
    </row>
    <row r="6" spans="1:14" ht="12.75" customHeight="1" thickBot="1" x14ac:dyDescent="0.35">
      <c r="A6" s="236"/>
      <c r="B6" s="487"/>
      <c r="C6" s="488"/>
      <c r="D6" s="488"/>
      <c r="E6" s="488"/>
      <c r="F6" s="488"/>
      <c r="G6" s="488"/>
      <c r="H6" s="488"/>
      <c r="I6" s="489"/>
      <c r="J6" s="115"/>
      <c r="K6" s="115"/>
      <c r="L6" s="115"/>
      <c r="M6" s="115"/>
      <c r="N6" s="50"/>
    </row>
    <row r="7" spans="1:14" ht="12.75" customHeight="1" thickTop="1" x14ac:dyDescent="0.3">
      <c r="A7" s="244"/>
      <c r="B7" s="523" t="s">
        <v>198</v>
      </c>
      <c r="C7" s="524"/>
      <c r="D7" s="524"/>
      <c r="E7" s="524"/>
      <c r="F7" s="524"/>
      <c r="G7" s="524"/>
      <c r="H7" s="524"/>
      <c r="I7" s="525"/>
      <c r="J7" s="145"/>
      <c r="K7" s="25"/>
      <c r="L7" s="25"/>
      <c r="M7" s="25"/>
      <c r="N7" s="50"/>
    </row>
    <row r="8" spans="1:14" ht="12.75" customHeight="1" x14ac:dyDescent="0.3">
      <c r="A8" s="238"/>
      <c r="B8" s="526"/>
      <c r="C8" s="527"/>
      <c r="D8" s="527"/>
      <c r="E8" s="527"/>
      <c r="F8" s="527"/>
      <c r="G8" s="527"/>
      <c r="H8" s="527"/>
      <c r="I8" s="528"/>
      <c r="J8" s="146"/>
      <c r="K8" s="25"/>
      <c r="L8" s="25"/>
      <c r="M8" s="25"/>
      <c r="N8" s="50"/>
    </row>
    <row r="9" spans="1:14" ht="12.75" customHeight="1" x14ac:dyDescent="0.3">
      <c r="A9" s="238"/>
      <c r="B9" s="248" t="s">
        <v>98</v>
      </c>
      <c r="C9" s="289" t="s">
        <v>212</v>
      </c>
      <c r="D9" s="290"/>
      <c r="E9" s="290"/>
      <c r="F9" s="290"/>
      <c r="G9" s="290"/>
      <c r="H9" s="290"/>
      <c r="I9" s="291"/>
      <c r="J9" s="146"/>
      <c r="K9" s="25"/>
      <c r="L9" s="25"/>
      <c r="M9" s="25"/>
      <c r="N9" s="50"/>
    </row>
    <row r="10" spans="1:14" ht="13" x14ac:dyDescent="0.3">
      <c r="A10" s="238"/>
      <c r="B10" s="278"/>
      <c r="C10" s="246" t="s">
        <v>211</v>
      </c>
      <c r="D10" s="246"/>
      <c r="E10" s="294"/>
      <c r="F10" s="294"/>
      <c r="G10" s="301"/>
      <c r="H10" s="301"/>
      <c r="I10" s="279"/>
      <c r="J10" s="30"/>
      <c r="K10" s="27"/>
      <c r="L10" s="27"/>
      <c r="M10" s="27"/>
      <c r="N10" s="50"/>
    </row>
    <row r="11" spans="1:14" ht="13" x14ac:dyDescent="0.3">
      <c r="A11" s="238"/>
      <c r="B11" s="278"/>
      <c r="C11" s="302" t="s">
        <v>213</v>
      </c>
      <c r="D11" s="246"/>
      <c r="E11" s="247"/>
      <c r="F11" s="294"/>
      <c r="G11" s="301"/>
      <c r="H11" s="301"/>
      <c r="I11" s="279"/>
      <c r="J11" s="30"/>
      <c r="K11" s="27"/>
      <c r="L11" s="27"/>
      <c r="M11" s="27"/>
      <c r="N11" s="50"/>
    </row>
    <row r="12" spans="1:14" ht="13.5" thickBot="1" x14ac:dyDescent="0.35">
      <c r="A12" s="238"/>
      <c r="B12" s="280"/>
      <c r="C12" s="276"/>
      <c r="D12" s="303"/>
      <c r="E12" s="276"/>
      <c r="F12" s="276"/>
      <c r="G12" s="277"/>
      <c r="H12" s="277"/>
      <c r="I12" s="281"/>
      <c r="J12" s="30"/>
      <c r="K12" s="27"/>
      <c r="L12" s="27"/>
      <c r="M12" s="27"/>
      <c r="N12" s="50"/>
    </row>
    <row r="13" spans="1:14" ht="13.5" thickTop="1" thickBot="1" x14ac:dyDescent="0.3">
      <c r="A13" s="235"/>
      <c r="B13" s="51"/>
      <c r="C13" s="109"/>
      <c r="D13" s="124"/>
      <c r="E13" s="109"/>
      <c r="F13" s="109"/>
      <c r="G13" s="109"/>
      <c r="H13" s="109"/>
      <c r="I13" s="51"/>
      <c r="J13" s="51"/>
      <c r="K13" s="51"/>
      <c r="L13" s="51"/>
      <c r="M13" s="51"/>
    </row>
    <row r="14" spans="1:14" ht="13.5" thickTop="1" x14ac:dyDescent="0.3">
      <c r="B14" s="24"/>
      <c r="C14" s="175" t="s">
        <v>172</v>
      </c>
      <c r="D14" s="141"/>
      <c r="E14" s="125"/>
      <c r="F14" s="125"/>
      <c r="G14" s="125"/>
      <c r="H14" s="126"/>
      <c r="I14" s="50"/>
    </row>
    <row r="15" spans="1:14" ht="13" x14ac:dyDescent="0.3">
      <c r="B15" s="24"/>
      <c r="C15" s="144" t="s">
        <v>677</v>
      </c>
      <c r="D15" s="83"/>
      <c r="E15" s="51"/>
      <c r="F15" s="51"/>
      <c r="G15" s="51"/>
      <c r="H15" s="142"/>
      <c r="I15" s="50"/>
    </row>
    <row r="16" spans="1:14" ht="13" x14ac:dyDescent="0.3">
      <c r="B16" s="24"/>
      <c r="C16" s="144" t="s">
        <v>171</v>
      </c>
      <c r="D16" s="83"/>
      <c r="E16" s="51"/>
      <c r="F16" s="51"/>
      <c r="G16" s="51"/>
      <c r="H16" s="142"/>
      <c r="I16" s="50"/>
    </row>
    <row r="17" spans="2:9" ht="13" x14ac:dyDescent="0.3">
      <c r="B17" s="24"/>
      <c r="C17" s="132" t="s">
        <v>175</v>
      </c>
      <c r="D17" s="143"/>
      <c r="H17" s="58"/>
      <c r="I17" s="50"/>
    </row>
    <row r="18" spans="2:9" ht="13" x14ac:dyDescent="0.3">
      <c r="B18" s="24"/>
      <c r="C18" s="132" t="s">
        <v>176</v>
      </c>
      <c r="H18" s="58"/>
      <c r="I18" s="50"/>
    </row>
    <row r="19" spans="2:9" ht="13" x14ac:dyDescent="0.3">
      <c r="B19" s="24"/>
      <c r="C19" s="132" t="s">
        <v>177</v>
      </c>
      <c r="H19" s="58"/>
      <c r="I19" s="50"/>
    </row>
    <row r="20" spans="2:9" ht="13" x14ac:dyDescent="0.3">
      <c r="B20" s="24"/>
      <c r="C20" s="132" t="s">
        <v>171</v>
      </c>
      <c r="H20" s="58"/>
      <c r="I20" s="50"/>
    </row>
    <row r="21" spans="2:9" ht="13" x14ac:dyDescent="0.3">
      <c r="B21" s="24"/>
      <c r="C21" s="132" t="s">
        <v>178</v>
      </c>
      <c r="H21" s="58"/>
      <c r="I21" s="50"/>
    </row>
    <row r="22" spans="2:9" ht="13" x14ac:dyDescent="0.3">
      <c r="B22" s="24"/>
      <c r="C22" s="132" t="s">
        <v>179</v>
      </c>
      <c r="H22" s="58"/>
      <c r="I22" s="50"/>
    </row>
    <row r="23" spans="2:9" ht="13" x14ac:dyDescent="0.3">
      <c r="B23" s="24"/>
      <c r="C23" s="132" t="s">
        <v>180</v>
      </c>
      <c r="D23" s="121"/>
      <c r="H23" s="58"/>
      <c r="I23" s="50"/>
    </row>
    <row r="24" spans="2:9" ht="13" x14ac:dyDescent="0.3">
      <c r="B24" s="24"/>
      <c r="C24" s="130" t="s">
        <v>181</v>
      </c>
      <c r="D24" s="120"/>
      <c r="H24" s="58"/>
      <c r="I24" s="50"/>
    </row>
    <row r="25" spans="2:9" ht="13" x14ac:dyDescent="0.3">
      <c r="B25" s="24"/>
      <c r="C25" s="132" t="s">
        <v>174</v>
      </c>
      <c r="H25" s="58"/>
      <c r="I25" s="50"/>
    </row>
    <row r="26" spans="2:9" x14ac:dyDescent="0.25">
      <c r="B26" s="24"/>
      <c r="C26" s="117"/>
      <c r="H26" s="58"/>
      <c r="I26" s="50"/>
    </row>
    <row r="27" spans="2:9" ht="13" x14ac:dyDescent="0.3">
      <c r="B27" s="24"/>
      <c r="C27" s="144" t="s">
        <v>124</v>
      </c>
      <c r="H27" s="58"/>
      <c r="I27" s="50"/>
    </row>
    <row r="28" spans="2:9" ht="13" x14ac:dyDescent="0.3">
      <c r="B28" s="24"/>
      <c r="C28" s="144" t="str">
        <f>_user_config_name_txt2</f>
        <v xml:space="preserve"> *  AM576x_DDR3L_532MHz_AMR_SysCtrl_config.c</v>
      </c>
      <c r="H28" s="58"/>
      <c r="I28" s="50"/>
    </row>
    <row r="29" spans="2:9" ht="13" x14ac:dyDescent="0.3">
      <c r="B29" s="24"/>
      <c r="C29" s="132" t="str">
        <f ca="1">CONCATENATE(" *     Created on: ",TEXT(TODAY(),"MM/DD/YYYY"))</f>
        <v xml:space="preserve"> *     Created on: 12/01/2020</v>
      </c>
      <c r="H29" s="58"/>
      <c r="I29" s="50"/>
    </row>
    <row r="30" spans="2:9" ht="13" x14ac:dyDescent="0.3">
      <c r="B30" s="24"/>
      <c r="C30" s="132" t="str">
        <f>CONCATENATE(" *     Created with: EMIF_RegisterConfig_v",RIGHT('Title-README'!$B$11,5))</f>
        <v xml:space="preserve"> *     Created with: EMIF_RegisterConfig_v2.0.3</v>
      </c>
      <c r="H30" s="58"/>
      <c r="I30" s="50"/>
    </row>
    <row r="31" spans="2:9" ht="13" x14ac:dyDescent="0.3">
      <c r="B31" s="24"/>
      <c r="C31" s="132" t="s">
        <v>126</v>
      </c>
      <c r="H31" s="58"/>
      <c r="I31" s="50"/>
    </row>
    <row r="32" spans="2:9" x14ac:dyDescent="0.25">
      <c r="B32" s="24"/>
      <c r="C32" s="118"/>
      <c r="H32" s="58"/>
      <c r="I32" s="50"/>
    </row>
    <row r="33" spans="2:9" ht="13" x14ac:dyDescent="0.3">
      <c r="B33" s="24"/>
      <c r="C33" s="132"/>
      <c r="H33" s="58"/>
      <c r="I33" s="50"/>
    </row>
    <row r="34" spans="2:9" ht="13" x14ac:dyDescent="0.3">
      <c r="B34" s="24"/>
      <c r="C34" s="132" t="str">
        <f>_user_config_name_txt4</f>
        <v>const struct ctrl_ioregs AM576x_DDR3L_532MHz_AMR_SysCtrl_ctrl_ioregs = {</v>
      </c>
      <c r="H34" s="58"/>
      <c r="I34" s="50"/>
    </row>
    <row r="35" spans="2:9" x14ac:dyDescent="0.25">
      <c r="B35" s="24"/>
      <c r="C35" s="118" t="str">
        <f>CONCATENATE("    .ctrl_ddr3ch = 0x",_CTRL_CORE_CONTROL_DDRCACH1_0_VAL,",")</f>
        <v xml:space="preserve">    .ctrl_ddr3ch = 0x80808080,</v>
      </c>
      <c r="H35" s="58"/>
      <c r="I35" s="50"/>
    </row>
    <row r="36" spans="2:9" x14ac:dyDescent="0.25">
      <c r="B36" s="24"/>
      <c r="C36" s="118" t="str">
        <f>CONCATENATE("    .ctrl_ddrch = 0x",_CTRL_CORE_CONTROL_DDRCH1_0_VAL,",")</f>
        <v xml:space="preserve">    .ctrl_ddrch = 0x40404040,</v>
      </c>
      <c r="H36" s="58"/>
      <c r="I36" s="50"/>
    </row>
    <row r="37" spans="2:9" x14ac:dyDescent="0.25">
      <c r="B37" s="24"/>
      <c r="C37" s="118" t="str">
        <f>CONCATENATE("    .ctrl_ddrio_0 = 0x",_CTRL_CORE_CONTROL_DDRIO_0,",")</f>
        <v xml:space="preserve">    .ctrl_ddrio_0 = 0x00094A40,</v>
      </c>
      <c r="H37" s="58"/>
      <c r="I37" s="50"/>
    </row>
    <row r="38" spans="2:9" x14ac:dyDescent="0.25">
      <c r="B38" s="24"/>
      <c r="C38" s="118" t="str">
        <f>CONCATENATE("    .ctrl_ddrio_1 = 0x",_CTRL_CORE_CONTROL_DDRIO_1,",")</f>
        <v xml:space="preserve">    .ctrl_ddrio_1 = 0x00000000,</v>
      </c>
      <c r="H38" s="58"/>
      <c r="I38" s="50"/>
    </row>
    <row r="39" spans="2:9" x14ac:dyDescent="0.25">
      <c r="B39" s="24"/>
      <c r="C39" s="118" t="str">
        <f>CONCATENATE("    .ctrl_lpddr2ch = 0x",_CTRL_CORE_CONTROL_DDRCH1_2_VAL)</f>
        <v xml:space="preserve">    .ctrl_lpddr2ch = 0x00404000</v>
      </c>
      <c r="H39" s="58"/>
      <c r="I39" s="50"/>
    </row>
    <row r="40" spans="2:9" x14ac:dyDescent="0.25">
      <c r="B40" s="24"/>
      <c r="C40" s="118" t="str">
        <f>CONCATENATE("    .ctrl_emif_sdram_config_ext = 0x",_CTRL_WKUP_EMIF1_SDRAM_CONFIG_EXT)</f>
        <v xml:space="preserve">    .ctrl_emif_sdram_config_ext = 0x0000C123</v>
      </c>
      <c r="H40" s="58"/>
      <c r="I40" s="50"/>
    </row>
    <row r="41" spans="2:9" x14ac:dyDescent="0.25">
      <c r="B41" s="24"/>
      <c r="C41" s="117" t="s">
        <v>122</v>
      </c>
      <c r="D41" s="123"/>
      <c r="H41" s="58"/>
      <c r="I41" s="50"/>
    </row>
    <row r="42" spans="2:9" ht="13" x14ac:dyDescent="0.3">
      <c r="B42" s="24"/>
      <c r="C42" s="117"/>
      <c r="D42" s="119"/>
      <c r="H42" s="58"/>
      <c r="I42" s="50"/>
    </row>
    <row r="43" spans="2:9" ht="13" x14ac:dyDescent="0.3">
      <c r="B43" s="24"/>
      <c r="C43" s="132" t="str">
        <f>_user_config_name_txt5</f>
        <v>const struct dmm_lisa_map_regs AM576x_DDR3L_532MHz_AMR_SysCtrl_dmm_regs = {</v>
      </c>
      <c r="H43" s="58"/>
      <c r="I43" s="50"/>
    </row>
    <row r="44" spans="2:9" ht="13" x14ac:dyDescent="0.3">
      <c r="B44" s="24"/>
      <c r="C44" s="118" t="str">
        <f>IF(OR(_soc_name="adaslow1",_soc_name="adaslow2"),"",CONCATENATE("    .dmm_lisa_map_0 = 0x",_DMM_LISA_MAP_0_VAL,","))</f>
        <v xml:space="preserve">    .dmm_lisa_map_0 = 0x00000000,</v>
      </c>
      <c r="E44" s="343" t="str">
        <f>IF(TRUE,"",IF(OR(_soc_name="adaslow1",_soc_name="adaslow2"),"/* NOTE: These registers and",""))</f>
        <v/>
      </c>
      <c r="H44" s="58"/>
      <c r="I44" s="50"/>
    </row>
    <row r="45" spans="2:9" ht="13" x14ac:dyDescent="0.3">
      <c r="B45" s="24"/>
      <c r="C45" s="118" t="str">
        <f>IF(OR(_soc_name="adaslow1",_soc_name="adaslow2"),"",CONCATENATE("    .dmm_lisa_map_1 = 0x",_DMM_LISA_MAP_1_VAL,","))</f>
        <v xml:space="preserve">    .dmm_lisa_map_1 = 0x00000000,</v>
      </c>
      <c r="E45" s="343" t="str">
        <f>IF(TRUE,"",IF(OR(_soc_name="adaslow1",_soc_name="adaslow2")," * values are unused on this",""))</f>
        <v/>
      </c>
      <c r="H45" s="58"/>
      <c r="I45" s="50"/>
    </row>
    <row r="46" spans="2:9" ht="13" x14ac:dyDescent="0.3">
      <c r="B46" s="24"/>
      <c r="C46" s="118" t="str">
        <f>IF(OR(_soc_name="adaslow1",_soc_name="adaslow2"),"",CONCATENATE("    .dmm_lisa_map_2 = 0x",_DMM_LISA_MAP_2_VAL,","))</f>
        <v xml:space="preserve">    .dmm_lisa_map_2 = 0x80700100,</v>
      </c>
      <c r="E46" s="343" t="str">
        <f>IF(TRUE,"",IF(OR(_soc_name="adaslow1",_soc_name="adaslow2")," * device. This structure is",""))</f>
        <v/>
      </c>
      <c r="H46" s="58"/>
      <c r="I46" s="50"/>
    </row>
    <row r="47" spans="2:9" ht="13" x14ac:dyDescent="0.3">
      <c r="B47" s="24"/>
      <c r="C47" s="134" t="str">
        <f>IF(OR(_soc_name="adaslow1",_soc_name="adaslow2"),"",CONCATENATE("    .dmm_lisa_map_3 = 0x",_DMM_LISA_MAP_3_VAL,","))</f>
        <v xml:space="preserve">    .dmm_lisa_map_3 = 0xFF020100,</v>
      </c>
      <c r="D47" s="121"/>
      <c r="E47" s="343" t="str">
        <f>IF(TRUE,"",IF(OR(_soc_name="adaslow1",_soc_name="adaslow2")," * here for compatibility",""))</f>
        <v/>
      </c>
      <c r="H47" s="58"/>
      <c r="I47" s="50"/>
    </row>
    <row r="48" spans="2:9" ht="13" x14ac:dyDescent="0.3">
      <c r="B48" s="24"/>
      <c r="C48" s="133" t="str">
        <f>IF(OR(_soc_name="adaslow1",_soc_name="adaslow2"),"",CONCATENATE("    .is_ma_present = 0x",_is_ma_present))</f>
        <v xml:space="preserve">    .is_ma_present = 0x1</v>
      </c>
      <c r="D48" s="122"/>
      <c r="E48" s="343" t="str">
        <f>IF(TRUE,"",IF(OR(_soc_name="adaslow1",_soc_name="adaslow2")," * reasons only. */",""))</f>
        <v/>
      </c>
      <c r="H48" s="58"/>
      <c r="I48" s="50"/>
    </row>
    <row r="49" spans="2:9" x14ac:dyDescent="0.25">
      <c r="B49" s="24"/>
      <c r="C49" s="118" t="str">
        <f>IF(OR(_soc_name="adaslow1",_soc_name="adaslow2"),"","};")</f>
        <v>};</v>
      </c>
      <c r="H49" s="58"/>
      <c r="I49" s="50"/>
    </row>
    <row r="50" spans="2:9" x14ac:dyDescent="0.25">
      <c r="B50" s="24"/>
      <c r="C50" s="118"/>
      <c r="H50" s="58"/>
      <c r="I50" s="50"/>
    </row>
    <row r="51" spans="2:9" ht="13" x14ac:dyDescent="0.3">
      <c r="B51" s="24"/>
      <c r="C51" s="132" t="str">
        <f>_user_config_name_txt6</f>
        <v>const struct emif_regs AM576x_DDR3L_532MHz_AMR_SysCtrl_emif_regs = {</v>
      </c>
      <c r="H51" s="58"/>
      <c r="I51" s="50"/>
    </row>
    <row r="52" spans="2:9" x14ac:dyDescent="0.25">
      <c r="B52" s="24"/>
      <c r="C52" s="118" t="str">
        <f ca="1">CONCATENATE("    .sdram_config_init = 0x",_EMIF_SDRAM_CONFIG_VAL,",")</f>
        <v xml:space="preserve">    .sdram_config_init = 0x61873BB2,</v>
      </c>
      <c r="H52" s="58"/>
      <c r="I52" s="50"/>
    </row>
    <row r="53" spans="2:9" x14ac:dyDescent="0.25">
      <c r="B53" s="24"/>
      <c r="C53" s="117" t="str">
        <f ca="1">CONCATENATE("    .sdram_config = 0x",_EMIF_SDRAM_CONFIG_VAL,",")</f>
        <v xml:space="preserve">    .sdram_config = 0x61873BB2,</v>
      </c>
      <c r="F53" s="84"/>
      <c r="H53" s="58"/>
      <c r="I53" s="50"/>
    </row>
    <row r="54" spans="2:9" x14ac:dyDescent="0.25">
      <c r="B54" s="24"/>
      <c r="C54" s="134" t="str">
        <f>CONCATENATE("    .sdram_config2 = 0x",_EMIF_SDRAM_CONFIG_2_VAL,",")</f>
        <v xml:space="preserve">    .sdram_config2 = 0x00000000,</v>
      </c>
      <c r="F54" s="66"/>
      <c r="H54" s="58"/>
      <c r="I54" s="50"/>
    </row>
    <row r="55" spans="2:9" x14ac:dyDescent="0.25">
      <c r="B55" s="24"/>
      <c r="C55" s="135" t="str">
        <f>CONCATENATE("    .ref_ctrl = 0x",_EMIF_SDRAM_REF_CTRL_INIT_VAL,",")</f>
        <v xml:space="preserve">    .ref_ctrl = 0x000040F1,</v>
      </c>
      <c r="F55" s="66"/>
      <c r="H55" s="58"/>
      <c r="I55" s="50"/>
    </row>
    <row r="56" spans="2:9" x14ac:dyDescent="0.25">
      <c r="B56" s="24"/>
      <c r="C56" s="117" t="str">
        <f>CONCATENATE("    .ref_ctrl_final = 0x",_EMIF_SDRAM_REF_CTRL_VAL,",")</f>
        <v xml:space="preserve">    .ref_ctrl_final = 0x00001035,</v>
      </c>
      <c r="H56" s="58"/>
      <c r="I56" s="50"/>
    </row>
    <row r="57" spans="2:9" x14ac:dyDescent="0.25">
      <c r="B57" s="24"/>
      <c r="C57" s="117" t="str">
        <f>CONCATENATE("    .sdram_tim1 = 0x",_EMIF_SDRAM_TIM_1_VAL,",")</f>
        <v xml:space="preserve">    .sdram_tim1 = 0xCEEF2673,</v>
      </c>
      <c r="H57" s="58"/>
      <c r="I57" s="50"/>
    </row>
    <row r="58" spans="2:9" x14ac:dyDescent="0.25">
      <c r="B58" s="24"/>
      <c r="C58" s="117" t="str">
        <f>CONCATENATE("    .sdram_tim2 = 0x",_EMIF_SDRAM_TIM_2_VAL,",")</f>
        <v xml:space="preserve">    .sdram_tim2 = 0x30BF7FDA,</v>
      </c>
      <c r="H58" s="58"/>
      <c r="I58" s="50"/>
    </row>
    <row r="59" spans="2:9" x14ac:dyDescent="0.25">
      <c r="B59" s="24"/>
      <c r="C59" s="117" t="str">
        <f>CONCATENATE("    .sdram_tim3 = 0x",_EMIF_SDRAM_TIM_3_VAL,",")</f>
        <v xml:space="preserve">    .sdram_tim3 = 0x407F8BA8,</v>
      </c>
      <c r="H59" s="58"/>
      <c r="I59" s="50"/>
    </row>
    <row r="60" spans="2:9" x14ac:dyDescent="0.25">
      <c r="B60" s="24"/>
      <c r="C60" s="117" t="str">
        <f>CONCATENATE("    .read_idle_ctrl = 0x",_EMIF_DLL_CALIB_CTRL_VAL,",")</f>
        <v xml:space="preserve">    .read_idle_ctrl = 0x00050000,</v>
      </c>
      <c r="H60" s="58"/>
      <c r="I60" s="50"/>
    </row>
    <row r="61" spans="2:9" x14ac:dyDescent="0.25">
      <c r="B61" s="24"/>
      <c r="C61" s="117" t="str">
        <f>CONCATENATE("    .zq_config = 0x",_EMIF_ZQ_CONFIG_VAL,",")</f>
        <v xml:space="preserve">    .zq_config = 0x5007190B,</v>
      </c>
      <c r="H61" s="58"/>
      <c r="I61" s="50"/>
    </row>
    <row r="62" spans="2:9" x14ac:dyDescent="0.25">
      <c r="B62" s="24"/>
      <c r="C62" s="117" t="str">
        <f>CONCATENATE("    .temp_alert_config = 0x",_EMIF_TEMP_ALERT_CONFIG_VAL,",")</f>
        <v xml:space="preserve">    .temp_alert_config = 0x00000000,</v>
      </c>
      <c r="H62" s="58"/>
      <c r="I62" s="50"/>
    </row>
    <row r="63" spans="2:9" x14ac:dyDescent="0.25">
      <c r="B63" s="24"/>
      <c r="C63" s="117" t="str">
        <f>CONCATENATE("    .emif_rd_wr_lvl_rmp_ctl = 0x",_EMIF_RDWR_LVL_RMP_CTRL_VAL,",")</f>
        <v xml:space="preserve">    .emif_rd_wr_lvl_rmp_ctl = 0x80000000,</v>
      </c>
      <c r="H63" s="58"/>
      <c r="I63" s="50"/>
    </row>
    <row r="64" spans="2:9" x14ac:dyDescent="0.25">
      <c r="B64" s="24"/>
      <c r="C64" s="117" t="str">
        <f>CONCATENATE("    .emif_rd_wr_lvl_ctl = 0x",_EMIF_RDWR_LVL_CTRL_VAL,",")</f>
        <v xml:space="preserve">    .emif_rd_wr_lvl_ctl = 0x00000000,</v>
      </c>
      <c r="H64" s="58"/>
      <c r="I64" s="50"/>
    </row>
    <row r="65" spans="1:9" x14ac:dyDescent="0.25">
      <c r="B65" s="24"/>
      <c r="C65" s="117" t="str">
        <f ca="1">CONCATENATE("    .emif_ddr_phy_ctlr_1_init = 0x",_EMIF_DDR_PHY_CTRL_1_VAL,",")</f>
        <v xml:space="preserve">    .emif_ddr_phy_ctlr_1_init = 0x0024400F,</v>
      </c>
      <c r="H65" s="58"/>
      <c r="I65" s="50"/>
    </row>
    <row r="66" spans="1:9" x14ac:dyDescent="0.25">
      <c r="B66" s="24"/>
      <c r="C66" s="117" t="str">
        <f ca="1">CONCATENATE("    .emif_ddr_phy_ctlr_1 = 0x",_EMIF_DDR_PHY_CTRL_1_VAL_NOLVL,",")</f>
        <v xml:space="preserve">    .emif_ddr_phy_ctlr_1 = 0x0E24400F,</v>
      </c>
      <c r="H66" s="58"/>
      <c r="I66" s="50"/>
    </row>
    <row r="67" spans="1:9" x14ac:dyDescent="0.25">
      <c r="A67" s="36"/>
      <c r="B67" s="36"/>
      <c r="C67" s="117" t="str">
        <f>CONCATENATE("    .emif_rd_wr_exec_thresh = 0x",_EMIF_RD_WR_EXEC_THRESH_VAL,",")</f>
        <v xml:space="preserve">    .emif_rd_wr_exec_thresh = 0x00000305,</v>
      </c>
      <c r="H67" s="58"/>
      <c r="I67" s="50"/>
    </row>
    <row r="68" spans="1:9" x14ac:dyDescent="0.25">
      <c r="A68" s="36"/>
      <c r="B68" s="36"/>
      <c r="C68" s="117" t="str">
        <f>IF(_soc_market="auto","#ifdef EMIF_ECC_CTRL_REG_ECC_EN_MASK","")</f>
        <v/>
      </c>
      <c r="H68" s="58"/>
      <c r="I68" s="50"/>
    </row>
    <row r="69" spans="1:9" x14ac:dyDescent="0.25">
      <c r="A69" s="36"/>
      <c r="B69" s="36"/>
      <c r="C69" s="118" t="str">
        <f>CONCATENATE("    .emif_ecc_ctrl_reg = 0x",_EMIF_ECC_CTRL,",")</f>
        <v xml:space="preserve">    .emif_ecc_ctrl_reg = 0x00000000,</v>
      </c>
      <c r="H69" s="58"/>
      <c r="I69" s="50"/>
    </row>
    <row r="70" spans="1:9" x14ac:dyDescent="0.25">
      <c r="A70" s="36"/>
      <c r="B70" s="36"/>
      <c r="C70" s="118" t="str">
        <f>CONCATENATE("    .emif_ecc_address_range_1 = 0x",_EMIF_ECC_ADDR_RNG_1_VAL,",")</f>
        <v xml:space="preserve">    .emif_ecc_address_range_1 = 0x3FFF0000,</v>
      </c>
      <c r="H70" s="58"/>
      <c r="I70" s="50"/>
    </row>
    <row r="71" spans="1:9" x14ac:dyDescent="0.25">
      <c r="A71" s="36"/>
      <c r="B71" s="36"/>
      <c r="C71" s="118" t="str">
        <f>CONCATENATE("    .emif_ecc_address_range_2 = 0x",_EMIF_ECC_ADDR_RNG_2_VAL,",")</f>
        <v xml:space="preserve">    .emif_ecc_address_range_2 = 0x00000000,</v>
      </c>
      <c r="H71" s="58"/>
      <c r="I71" s="50"/>
    </row>
    <row r="72" spans="1:9" x14ac:dyDescent="0.25">
      <c r="A72" s="36"/>
      <c r="B72" s="36"/>
      <c r="C72" s="118" t="str">
        <f>IF(_soc_market="auto","#endif","")</f>
        <v/>
      </c>
      <c r="H72" s="58"/>
      <c r="I72" s="50"/>
    </row>
    <row r="73" spans="1:9" x14ac:dyDescent="0.25">
      <c r="A73" s="36"/>
      <c r="B73" s="36"/>
      <c r="C73" s="118" t="s">
        <v>122</v>
      </c>
      <c r="H73" s="58"/>
      <c r="I73" s="50"/>
    </row>
    <row r="74" spans="1:9" x14ac:dyDescent="0.25">
      <c r="A74" s="36"/>
      <c r="B74" s="36"/>
      <c r="C74" s="118"/>
      <c r="H74" s="58"/>
      <c r="I74" s="50"/>
    </row>
    <row r="75" spans="1:9" ht="13" x14ac:dyDescent="0.3">
      <c r="A75" s="36"/>
      <c r="B75" s="36"/>
      <c r="C75" s="132" t="s">
        <v>124</v>
      </c>
      <c r="H75" s="58"/>
      <c r="I75" s="50"/>
    </row>
    <row r="76" spans="1:9" ht="13" x14ac:dyDescent="0.3">
      <c r="A76" s="36"/>
      <c r="B76" s="36"/>
      <c r="C76" s="132" t="s">
        <v>678</v>
      </c>
      <c r="H76" s="58"/>
      <c r="I76" s="50"/>
    </row>
    <row r="77" spans="1:9" ht="13" x14ac:dyDescent="0.3">
      <c r="A77" s="36"/>
      <c r="B77" s="36"/>
      <c r="C77" s="132" t="str">
        <f>IF(_user_lvl_tech="H/W"," * Hardware leveling should be performed to determine"," * Software leveling should be performed to determine")</f>
        <v xml:space="preserve"> * Hardware leveling should be performed to determine</v>
      </c>
      <c r="H77" s="58"/>
      <c r="I77" s="50"/>
    </row>
    <row r="78" spans="1:9" ht="13" x14ac:dyDescent="0.3">
      <c r="A78" s="36"/>
      <c r="B78" s="36"/>
      <c r="C78" s="132" t="s">
        <v>679</v>
      </c>
      <c r="H78" s="58"/>
      <c r="I78" s="50"/>
    </row>
    <row r="79" spans="1:9" ht="13" x14ac:dyDescent="0.3">
      <c r="A79" s="36"/>
      <c r="B79" s="36"/>
      <c r="C79" s="132" t="s">
        <v>126</v>
      </c>
      <c r="H79" s="58"/>
      <c r="I79" s="50"/>
    </row>
    <row r="80" spans="1:9" ht="13" x14ac:dyDescent="0.3">
      <c r="A80" s="36"/>
      <c r="B80" s="36"/>
      <c r="C80" s="132" t="str">
        <f>_user_config_name_txt7</f>
        <v>const unsigned int AM576x_DDR3L_532MHz_AMR_SysCtrl_emif1_ext_phy_regs [] = {</v>
      </c>
      <c r="H80" s="58"/>
      <c r="I80" s="50"/>
    </row>
    <row r="81" spans="1:9" x14ac:dyDescent="0.25">
      <c r="A81" s="36"/>
      <c r="B81" s="36"/>
      <c r="C81" s="134" t="str">
        <f t="shared" ref="C81:C115" ca="1" si="0">CONCATENATE("    ",_soc_register_value,",")</f>
        <v xml:space="preserve">    ,</v>
      </c>
      <c r="D81" s="123" t="str">
        <f t="shared" ref="D81:D116" si="1">_soc_register_name_ddrphy1</f>
        <v>/* EMIF1_EXT_PHY_CTRL_1 */</v>
      </c>
      <c r="H81" s="58"/>
      <c r="I81" s="50"/>
    </row>
    <row r="82" spans="1:9" x14ac:dyDescent="0.25">
      <c r="A82" s="36"/>
      <c r="B82" s="36"/>
      <c r="C82" s="134" t="str">
        <f t="shared" ca="1" si="0"/>
        <v xml:space="preserve">    ,</v>
      </c>
      <c r="D82" s="123" t="str">
        <f t="shared" si="1"/>
        <v>/* EMIF1_EXT_PHY_CTRL_2 */</v>
      </c>
      <c r="H82" s="58"/>
      <c r="I82" s="50"/>
    </row>
    <row r="83" spans="1:9" x14ac:dyDescent="0.25">
      <c r="A83" s="36"/>
      <c r="B83" s="36"/>
      <c r="C83" s="134" t="str">
        <f t="shared" ca="1" si="0"/>
        <v xml:space="preserve">    ,</v>
      </c>
      <c r="D83" s="123" t="str">
        <f t="shared" si="1"/>
        <v>/* EMIF1_EXT_PHY_CTRL_3 */</v>
      </c>
      <c r="H83" s="58"/>
      <c r="I83" s="50"/>
    </row>
    <row r="84" spans="1:9" x14ac:dyDescent="0.25">
      <c r="A84" s="36"/>
      <c r="B84" s="36"/>
      <c r="C84" s="134" t="str">
        <f t="shared" ca="1" si="0"/>
        <v xml:space="preserve">    ,</v>
      </c>
      <c r="D84" s="123" t="str">
        <f t="shared" si="1"/>
        <v>/* EMIF1_EXT_PHY_CTRL_4 */</v>
      </c>
      <c r="H84" s="58"/>
      <c r="I84" s="50"/>
    </row>
    <row r="85" spans="1:9" x14ac:dyDescent="0.25">
      <c r="A85" s="36"/>
      <c r="B85" s="36"/>
      <c r="C85" s="134" t="str">
        <f t="shared" ca="1" si="0"/>
        <v xml:space="preserve">    ,</v>
      </c>
      <c r="D85" s="123" t="str">
        <f t="shared" si="1"/>
        <v>/* EMIF1_EXT_PHY_CTRL_5 */</v>
      </c>
      <c r="H85" s="58"/>
      <c r="I85" s="50"/>
    </row>
    <row r="86" spans="1:9" x14ac:dyDescent="0.25">
      <c r="A86" s="36"/>
      <c r="B86" s="36"/>
      <c r="C86" s="134" t="str">
        <f t="shared" ca="1" si="0"/>
        <v xml:space="preserve">    ,</v>
      </c>
      <c r="D86" s="123" t="str">
        <f t="shared" si="1"/>
        <v>/* EMIF1_EXT_PHY_CTRL_6 */</v>
      </c>
      <c r="H86" s="58"/>
      <c r="I86" s="50"/>
    </row>
    <row r="87" spans="1:9" x14ac:dyDescent="0.25">
      <c r="A87" s="36"/>
      <c r="B87" s="36"/>
      <c r="C87" s="134" t="str">
        <f t="shared" ca="1" si="0"/>
        <v xml:space="preserve">    ,</v>
      </c>
      <c r="D87" s="123" t="str">
        <f t="shared" si="1"/>
        <v>/* EMIF1_EXT_PHY_CTRL_7 */</v>
      </c>
      <c r="G87" s="66"/>
      <c r="H87" s="58"/>
      <c r="I87" s="50"/>
    </row>
    <row r="88" spans="1:9" x14ac:dyDescent="0.25">
      <c r="A88" s="36"/>
      <c r="B88" s="36"/>
      <c r="C88" s="134" t="str">
        <f t="shared" ca="1" si="0"/>
        <v xml:space="preserve">    ,</v>
      </c>
      <c r="D88" s="123" t="str">
        <f t="shared" si="1"/>
        <v>/* EMIF1_EXT_PHY_CTRL_8 */</v>
      </c>
      <c r="H88" s="58"/>
      <c r="I88" s="50"/>
    </row>
    <row r="89" spans="1:9" x14ac:dyDescent="0.25">
      <c r="A89" s="36"/>
      <c r="B89" s="36"/>
      <c r="C89" s="134" t="str">
        <f t="shared" ca="1" si="0"/>
        <v xml:space="preserve">    ,</v>
      </c>
      <c r="D89" s="123" t="str">
        <f t="shared" si="1"/>
        <v>/* EMIF1_EXT_PHY_CTRL_9 */</v>
      </c>
      <c r="H89" s="58"/>
      <c r="I89" s="50"/>
    </row>
    <row r="90" spans="1:9" x14ac:dyDescent="0.25">
      <c r="A90" s="36"/>
      <c r="B90" s="36"/>
      <c r="C90" s="134" t="str">
        <f t="shared" ca="1" si="0"/>
        <v xml:space="preserve">    ,</v>
      </c>
      <c r="D90" s="123" t="str">
        <f t="shared" si="1"/>
        <v>/* EMIF1_EXT_PHY_CTRL_10 */</v>
      </c>
      <c r="H90" s="58"/>
      <c r="I90" s="50"/>
    </row>
    <row r="91" spans="1:9" x14ac:dyDescent="0.25">
      <c r="A91" s="36"/>
      <c r="B91" s="36"/>
      <c r="C91" s="134" t="str">
        <f t="shared" ca="1" si="0"/>
        <v xml:space="preserve">    ,</v>
      </c>
      <c r="D91" s="123" t="str">
        <f t="shared" si="1"/>
        <v>/* EMIF1_EXT_PHY_CTRL_11 */</v>
      </c>
      <c r="H91" s="58"/>
      <c r="I91" s="50"/>
    </row>
    <row r="92" spans="1:9" x14ac:dyDescent="0.25">
      <c r="A92" s="36"/>
      <c r="B92" s="36"/>
      <c r="C92" s="134" t="str">
        <f t="shared" ca="1" si="0"/>
        <v xml:space="preserve">    ,</v>
      </c>
      <c r="D92" s="123" t="str">
        <f t="shared" si="1"/>
        <v>/* EMIF1_EXT_PHY_CTRL_12 */</v>
      </c>
      <c r="H92" s="58"/>
      <c r="I92" s="50"/>
    </row>
    <row r="93" spans="1:9" x14ac:dyDescent="0.25">
      <c r="A93" s="36"/>
      <c r="B93" s="36"/>
      <c r="C93" s="134" t="str">
        <f t="shared" ca="1" si="0"/>
        <v xml:space="preserve">    ,</v>
      </c>
      <c r="D93" s="123" t="str">
        <f t="shared" si="1"/>
        <v>/* EMIF1_EXT_PHY_CTRL_13 */</v>
      </c>
      <c r="H93" s="58"/>
      <c r="I93" s="50"/>
    </row>
    <row r="94" spans="1:9" x14ac:dyDescent="0.25">
      <c r="A94" s="36"/>
      <c r="B94" s="36"/>
      <c r="C94" s="134" t="str">
        <f t="shared" ca="1" si="0"/>
        <v xml:space="preserve">    ,</v>
      </c>
      <c r="D94" s="123" t="str">
        <f t="shared" si="1"/>
        <v>/* EMIF1_EXT_PHY_CTRL_14 */</v>
      </c>
      <c r="H94" s="58"/>
      <c r="I94" s="50"/>
    </row>
    <row r="95" spans="1:9" x14ac:dyDescent="0.25">
      <c r="A95" s="195"/>
      <c r="B95" s="195"/>
      <c r="C95" s="134" t="str">
        <f t="shared" ca="1" si="0"/>
        <v xml:space="preserve">    ,</v>
      </c>
      <c r="D95" s="123" t="str">
        <f t="shared" si="1"/>
        <v>/* EMIF1_EXT_PHY_CTRL_15 */</v>
      </c>
      <c r="H95" s="58"/>
      <c r="I95" s="50"/>
    </row>
    <row r="96" spans="1:9" x14ac:dyDescent="0.25">
      <c r="A96" s="195"/>
      <c r="B96" s="195"/>
      <c r="C96" s="134" t="str">
        <f t="shared" ca="1" si="0"/>
        <v xml:space="preserve">    ,</v>
      </c>
      <c r="D96" s="123" t="str">
        <f t="shared" si="1"/>
        <v>/* EMIF1_EXT_PHY_CTRL_16 */</v>
      </c>
      <c r="H96" s="58"/>
      <c r="I96" s="50"/>
    </row>
    <row r="97" spans="1:9" x14ac:dyDescent="0.25">
      <c r="A97" s="195"/>
      <c r="B97" s="195"/>
      <c r="C97" s="134" t="str">
        <f t="shared" ca="1" si="0"/>
        <v xml:space="preserve">    ,</v>
      </c>
      <c r="D97" s="123" t="str">
        <f t="shared" si="1"/>
        <v>/* EMIF1_EXT_PHY_CTRL_17 */</v>
      </c>
      <c r="H97" s="58"/>
      <c r="I97" s="50"/>
    </row>
    <row r="98" spans="1:9" x14ac:dyDescent="0.25">
      <c r="A98" s="195"/>
      <c r="B98" s="195"/>
      <c r="C98" s="134" t="str">
        <f t="shared" ca="1" si="0"/>
        <v xml:space="preserve">    ,</v>
      </c>
      <c r="D98" s="123" t="str">
        <f t="shared" si="1"/>
        <v>/* EMIF1_EXT_PHY_CTRL_18 */</v>
      </c>
      <c r="H98" s="58"/>
      <c r="I98" s="50"/>
    </row>
    <row r="99" spans="1:9" x14ac:dyDescent="0.25">
      <c r="A99" s="195"/>
      <c r="B99" s="195"/>
      <c r="C99" s="134" t="str">
        <f t="shared" ca="1" si="0"/>
        <v xml:space="preserve">    ,</v>
      </c>
      <c r="D99" s="123" t="str">
        <f t="shared" si="1"/>
        <v>/* EMIF1_EXT_PHY_CTRL_19 */</v>
      </c>
      <c r="H99" s="58"/>
      <c r="I99" s="50"/>
    </row>
    <row r="100" spans="1:9" x14ac:dyDescent="0.25">
      <c r="A100" s="195"/>
      <c r="B100" s="195"/>
      <c r="C100" s="134" t="str">
        <f t="shared" ca="1" si="0"/>
        <v xml:space="preserve">    ,</v>
      </c>
      <c r="D100" s="123" t="str">
        <f t="shared" si="1"/>
        <v>/* EMIF1_EXT_PHY_CTRL_20 */</v>
      </c>
      <c r="H100" s="58"/>
      <c r="I100" s="50"/>
    </row>
    <row r="101" spans="1:9" x14ac:dyDescent="0.25">
      <c r="A101" s="195"/>
      <c r="B101" s="195"/>
      <c r="C101" s="134" t="str">
        <f t="shared" ca="1" si="0"/>
        <v xml:space="preserve">    ,</v>
      </c>
      <c r="D101" s="123" t="str">
        <f t="shared" si="1"/>
        <v>/* EMIF1_EXT_PHY_CTRL_21 */</v>
      </c>
      <c r="H101" s="58"/>
      <c r="I101" s="50"/>
    </row>
    <row r="102" spans="1:9" x14ac:dyDescent="0.25">
      <c r="A102" s="195"/>
      <c r="B102" s="195"/>
      <c r="C102" s="134" t="str">
        <f t="shared" ca="1" si="0"/>
        <v xml:space="preserve">    ,</v>
      </c>
      <c r="D102" s="123" t="str">
        <f t="shared" si="1"/>
        <v>/* EMIF1_EXT_PHY_CTRL_22 */</v>
      </c>
      <c r="H102" s="58"/>
      <c r="I102" s="50"/>
    </row>
    <row r="103" spans="1:9" x14ac:dyDescent="0.25">
      <c r="A103" s="195"/>
      <c r="B103" s="195"/>
      <c r="C103" s="134" t="str">
        <f t="shared" ca="1" si="0"/>
        <v xml:space="preserve">    ,</v>
      </c>
      <c r="D103" s="123" t="str">
        <f t="shared" si="1"/>
        <v>/* EMIF1_EXT_PHY_CTRL_23 */</v>
      </c>
      <c r="H103" s="58"/>
      <c r="I103" s="50"/>
    </row>
    <row r="104" spans="1:9" x14ac:dyDescent="0.25">
      <c r="A104" s="195"/>
      <c r="B104" s="195"/>
      <c r="C104" s="134" t="str">
        <f t="shared" ca="1" si="0"/>
        <v xml:space="preserve">    ,</v>
      </c>
      <c r="D104" s="123" t="str">
        <f t="shared" si="1"/>
        <v>/* EMIF1_EXT_PHY_CTRL_24 */</v>
      </c>
      <c r="H104" s="58"/>
      <c r="I104" s="50"/>
    </row>
    <row r="105" spans="1:9" x14ac:dyDescent="0.25">
      <c r="A105" s="195"/>
      <c r="B105" s="195"/>
      <c r="C105" s="134" t="str">
        <f t="shared" ca="1" si="0"/>
        <v xml:space="preserve">    ,</v>
      </c>
      <c r="D105" s="123" t="str">
        <f t="shared" si="1"/>
        <v>/* EMIF1_EXT_PHY_CTRL_25 */</v>
      </c>
      <c r="H105" s="58"/>
      <c r="I105" s="50"/>
    </row>
    <row r="106" spans="1:9" x14ac:dyDescent="0.25">
      <c r="A106" s="195"/>
      <c r="B106" s="195"/>
      <c r="C106" s="134" t="str">
        <f t="shared" ca="1" si="0"/>
        <v xml:space="preserve">    ,</v>
      </c>
      <c r="D106" s="123" t="str">
        <f t="shared" si="1"/>
        <v>/* EMIF1_EXT_PHY_CTRL_26 */</v>
      </c>
      <c r="H106" s="58"/>
      <c r="I106" s="50"/>
    </row>
    <row r="107" spans="1:9" x14ac:dyDescent="0.25">
      <c r="B107" s="24"/>
      <c r="C107" s="134" t="str">
        <f t="shared" ca="1" si="0"/>
        <v xml:space="preserve">    ,</v>
      </c>
      <c r="D107" s="123" t="str">
        <f t="shared" si="1"/>
        <v>/* EMIF1_EXT_PHY_CTRL_27 */</v>
      </c>
      <c r="H107" s="58"/>
      <c r="I107" s="50"/>
    </row>
    <row r="108" spans="1:9" x14ac:dyDescent="0.25">
      <c r="B108" s="24"/>
      <c r="C108" s="134" t="str">
        <f t="shared" ca="1" si="0"/>
        <v xml:space="preserve">    ,</v>
      </c>
      <c r="D108" s="123" t="str">
        <f t="shared" si="1"/>
        <v>/* EMIF1_EXT_PHY_CTRL_28 */</v>
      </c>
      <c r="H108" s="58"/>
      <c r="I108" s="50"/>
    </row>
    <row r="109" spans="1:9" x14ac:dyDescent="0.25">
      <c r="B109" s="24"/>
      <c r="C109" s="134" t="str">
        <f t="shared" ca="1" si="0"/>
        <v xml:space="preserve">    ,</v>
      </c>
      <c r="D109" s="123" t="str">
        <f t="shared" si="1"/>
        <v>/* EMIF1_EXT_PHY_CTRL_29 */</v>
      </c>
      <c r="H109" s="58"/>
      <c r="I109" s="50"/>
    </row>
    <row r="110" spans="1:9" x14ac:dyDescent="0.25">
      <c r="B110" s="24"/>
      <c r="C110" s="134" t="str">
        <f t="shared" ca="1" si="0"/>
        <v xml:space="preserve">    ,</v>
      </c>
      <c r="D110" s="123" t="str">
        <f t="shared" si="1"/>
        <v>/* EMIF1_EXT_PHY_CTRL_30 */</v>
      </c>
      <c r="H110" s="58"/>
      <c r="I110" s="50"/>
    </row>
    <row r="111" spans="1:9" x14ac:dyDescent="0.25">
      <c r="B111" s="24"/>
      <c r="C111" s="134" t="str">
        <f t="shared" ca="1" si="0"/>
        <v xml:space="preserve">    ,</v>
      </c>
      <c r="D111" s="123" t="str">
        <f t="shared" si="1"/>
        <v>/* EMIF1_EXT_PHY_CTRL_31 */</v>
      </c>
      <c r="H111" s="58"/>
      <c r="I111" s="50"/>
    </row>
    <row r="112" spans="1:9" x14ac:dyDescent="0.25">
      <c r="B112" s="24"/>
      <c r="C112" s="134" t="str">
        <f t="shared" ca="1" si="0"/>
        <v xml:space="preserve">    ,</v>
      </c>
      <c r="D112" s="123" t="str">
        <f t="shared" si="1"/>
        <v>/* EMIF1_EXT_PHY_CTRL_32 */</v>
      </c>
      <c r="H112" s="58"/>
      <c r="I112" s="50"/>
    </row>
    <row r="113" spans="2:9" x14ac:dyDescent="0.25">
      <c r="B113" s="24"/>
      <c r="C113" s="134" t="str">
        <f t="shared" ca="1" si="0"/>
        <v xml:space="preserve">    ,</v>
      </c>
      <c r="D113" s="123" t="str">
        <f t="shared" si="1"/>
        <v>/* EMIF1_EXT_PHY_CTRL_33 */</v>
      </c>
      <c r="H113" s="58"/>
      <c r="I113" s="50"/>
    </row>
    <row r="114" spans="2:9" x14ac:dyDescent="0.25">
      <c r="B114" s="24"/>
      <c r="C114" s="134" t="str">
        <f t="shared" ca="1" si="0"/>
        <v xml:space="preserve">    ,</v>
      </c>
      <c r="D114" s="123" t="str">
        <f t="shared" si="1"/>
        <v>/* EMIF1_EXT_PHY_CTRL_34 */</v>
      </c>
      <c r="H114" s="58"/>
      <c r="I114" s="50"/>
    </row>
    <row r="115" spans="2:9" x14ac:dyDescent="0.25">
      <c r="B115" s="24"/>
      <c r="C115" s="134" t="str">
        <f t="shared" ca="1" si="0"/>
        <v xml:space="preserve">    ,</v>
      </c>
      <c r="D115" s="123" t="str">
        <f t="shared" si="1"/>
        <v>/* EMIF1_EXT_PHY_CTRL_35 */</v>
      </c>
      <c r="H115" s="58"/>
      <c r="I115" s="50"/>
    </row>
    <row r="116" spans="2:9" x14ac:dyDescent="0.25">
      <c r="B116" s="24"/>
      <c r="C116" s="134" t="str">
        <f ca="1">CONCATENATE("    ",_soc_register_value)</f>
        <v xml:space="preserve">    </v>
      </c>
      <c r="D116" s="123" t="str">
        <f t="shared" si="1"/>
        <v>/* EMIF1_EXT_PHY_CTRL_36 */</v>
      </c>
      <c r="H116" s="58"/>
      <c r="I116" s="50"/>
    </row>
    <row r="117" spans="2:9" x14ac:dyDescent="0.25">
      <c r="B117" s="24"/>
      <c r="C117" s="135" t="s">
        <v>122</v>
      </c>
      <c r="D117" s="85" t="str">
        <f t="shared" ref="D117:D118" ca="1" si="2">_soc_register_value</f>
        <v/>
      </c>
      <c r="H117" s="58"/>
      <c r="I117" s="50"/>
    </row>
    <row r="118" spans="2:9" x14ac:dyDescent="0.25">
      <c r="B118" s="24"/>
      <c r="C118" s="136"/>
      <c r="D118" s="85" t="str">
        <f t="shared" ca="1" si="2"/>
        <v/>
      </c>
      <c r="H118" s="58"/>
      <c r="I118" s="50"/>
    </row>
    <row r="119" spans="2:9" ht="13" x14ac:dyDescent="0.3">
      <c r="B119" s="24"/>
      <c r="C119" s="132" t="str">
        <f>_user_config_name_txt8</f>
        <v/>
      </c>
      <c r="H119" s="58"/>
      <c r="I119" s="50"/>
    </row>
    <row r="120" spans="2:9" x14ac:dyDescent="0.25">
      <c r="B120" s="24"/>
      <c r="C120" s="117" t="str">
        <f t="shared" ref="C120:C154" si="3">IF(_user_emifs=1,"",CONCATENATE("    ",_soc_register_value,","))</f>
        <v/>
      </c>
      <c r="D120" s="85" t="str">
        <f>IF(_user_emifs=1,"",_soc_register_name_ddrphy2)</f>
        <v/>
      </c>
      <c r="H120" s="58"/>
      <c r="I120" s="50"/>
    </row>
    <row r="121" spans="2:9" x14ac:dyDescent="0.25">
      <c r="B121" s="24"/>
      <c r="C121" s="117" t="str">
        <f t="shared" si="3"/>
        <v/>
      </c>
      <c r="D121" s="85" t="str">
        <f>IF(_user_emifs=1,"",_soc_register_name_ddrphy2)</f>
        <v/>
      </c>
      <c r="H121" s="58"/>
      <c r="I121" s="50"/>
    </row>
    <row r="122" spans="2:9" x14ac:dyDescent="0.25">
      <c r="B122" s="24"/>
      <c r="C122" s="117" t="str">
        <f t="shared" si="3"/>
        <v/>
      </c>
      <c r="D122" s="85" t="str">
        <f>IF(_user_emifs=1,"",_soc_register_name_ddrphy2)</f>
        <v/>
      </c>
      <c r="H122" s="58"/>
      <c r="I122" s="50"/>
    </row>
    <row r="123" spans="2:9" x14ac:dyDescent="0.25">
      <c r="B123" s="24"/>
      <c r="C123" s="117" t="str">
        <f t="shared" si="3"/>
        <v/>
      </c>
      <c r="D123" s="85" t="str">
        <f>IF(_user_emifs=1,"",_soc_register_name_ddrphy2)</f>
        <v/>
      </c>
      <c r="H123" s="58"/>
      <c r="I123" s="50"/>
    </row>
    <row r="124" spans="2:9" x14ac:dyDescent="0.25">
      <c r="B124" s="24"/>
      <c r="C124" s="117" t="str">
        <f t="shared" si="3"/>
        <v/>
      </c>
      <c r="D124" s="85" t="str">
        <f>IF(_user_emifs=1,"",_soc_register_name_ddrphy2)</f>
        <v/>
      </c>
      <c r="H124" s="58"/>
      <c r="I124" s="50"/>
    </row>
    <row r="125" spans="2:9" x14ac:dyDescent="0.25">
      <c r="B125" s="24"/>
      <c r="C125" s="117" t="str">
        <f t="shared" si="3"/>
        <v/>
      </c>
      <c r="D125" s="85" t="str">
        <f>IF(_user_emifs=1,"",_soc_register_name_ddrphy2)</f>
        <v/>
      </c>
      <c r="H125" s="58"/>
      <c r="I125" s="50"/>
    </row>
    <row r="126" spans="2:9" x14ac:dyDescent="0.25">
      <c r="B126" s="24"/>
      <c r="C126" s="117" t="str">
        <f t="shared" si="3"/>
        <v/>
      </c>
      <c r="D126" s="85" t="str">
        <f>IF(_user_emifs=1,"",_soc_register_name_ddrphy2)</f>
        <v/>
      </c>
      <c r="H126" s="58"/>
      <c r="I126" s="50"/>
    </row>
    <row r="127" spans="2:9" x14ac:dyDescent="0.25">
      <c r="B127" s="24"/>
      <c r="C127" s="117" t="str">
        <f t="shared" si="3"/>
        <v/>
      </c>
      <c r="D127" s="85" t="str">
        <f>IF(_user_emifs=1,"",_soc_register_name_ddrphy2)</f>
        <v/>
      </c>
      <c r="H127" s="58"/>
      <c r="I127" s="50"/>
    </row>
    <row r="128" spans="2:9" x14ac:dyDescent="0.25">
      <c r="B128" s="24"/>
      <c r="C128" s="117" t="str">
        <f t="shared" si="3"/>
        <v/>
      </c>
      <c r="D128" s="85" t="str">
        <f>IF(_user_emifs=1,"",_soc_register_name_ddrphy2)</f>
        <v/>
      </c>
      <c r="H128" s="58"/>
      <c r="I128" s="50"/>
    </row>
    <row r="129" spans="2:9" x14ac:dyDescent="0.25">
      <c r="B129" s="24"/>
      <c r="C129" s="117" t="str">
        <f t="shared" si="3"/>
        <v/>
      </c>
      <c r="D129" s="85" t="str">
        <f>IF(_user_emifs=1,"",_soc_register_name_ddrphy2)</f>
        <v/>
      </c>
      <c r="H129" s="58"/>
      <c r="I129" s="50"/>
    </row>
    <row r="130" spans="2:9" x14ac:dyDescent="0.25">
      <c r="B130" s="24"/>
      <c r="C130" s="117" t="str">
        <f t="shared" si="3"/>
        <v/>
      </c>
      <c r="D130" s="85" t="str">
        <f>IF(_user_emifs=1,"",_soc_register_name_ddrphy2)</f>
        <v/>
      </c>
      <c r="H130" s="58"/>
      <c r="I130" s="50"/>
    </row>
    <row r="131" spans="2:9" x14ac:dyDescent="0.25">
      <c r="B131" s="24"/>
      <c r="C131" s="117" t="str">
        <f t="shared" si="3"/>
        <v/>
      </c>
      <c r="D131" s="85" t="str">
        <f>IF(_user_emifs=1,"",_soc_register_name_ddrphy2)</f>
        <v/>
      </c>
      <c r="H131" s="58"/>
      <c r="I131" s="50"/>
    </row>
    <row r="132" spans="2:9" x14ac:dyDescent="0.25">
      <c r="B132" s="24"/>
      <c r="C132" s="117" t="str">
        <f t="shared" si="3"/>
        <v/>
      </c>
      <c r="D132" s="85" t="str">
        <f>IF(_user_emifs=1,"",_soc_register_name_ddrphy2)</f>
        <v/>
      </c>
      <c r="H132" s="58"/>
      <c r="I132" s="50"/>
    </row>
    <row r="133" spans="2:9" x14ac:dyDescent="0.25">
      <c r="B133" s="24"/>
      <c r="C133" s="117" t="str">
        <f t="shared" si="3"/>
        <v/>
      </c>
      <c r="D133" s="85" t="str">
        <f>IF(_user_emifs=1,"",_soc_register_name_ddrphy2)</f>
        <v/>
      </c>
      <c r="H133" s="58"/>
      <c r="I133" s="50"/>
    </row>
    <row r="134" spans="2:9" x14ac:dyDescent="0.25">
      <c r="B134" s="24"/>
      <c r="C134" s="117" t="str">
        <f t="shared" si="3"/>
        <v/>
      </c>
      <c r="D134" s="85" t="str">
        <f>IF(_user_emifs=1,"",_soc_register_name_ddrphy2)</f>
        <v/>
      </c>
      <c r="H134" s="58"/>
      <c r="I134" s="50"/>
    </row>
    <row r="135" spans="2:9" x14ac:dyDescent="0.25">
      <c r="B135" s="24"/>
      <c r="C135" s="117" t="str">
        <f t="shared" si="3"/>
        <v/>
      </c>
      <c r="D135" s="85" t="str">
        <f>IF(_user_emifs=1,"",_soc_register_name_ddrphy2)</f>
        <v/>
      </c>
      <c r="H135" s="58"/>
      <c r="I135" s="50"/>
    </row>
    <row r="136" spans="2:9" x14ac:dyDescent="0.25">
      <c r="B136" s="24"/>
      <c r="C136" s="117" t="str">
        <f t="shared" si="3"/>
        <v/>
      </c>
      <c r="D136" s="85" t="str">
        <f>IF(_user_emifs=1,"",_soc_register_name_ddrphy2)</f>
        <v/>
      </c>
      <c r="H136" s="58"/>
      <c r="I136" s="50"/>
    </row>
    <row r="137" spans="2:9" x14ac:dyDescent="0.25">
      <c r="B137" s="24"/>
      <c r="C137" s="117" t="str">
        <f t="shared" si="3"/>
        <v/>
      </c>
      <c r="D137" s="85" t="str">
        <f>IF(_user_emifs=1,"",_soc_register_name_ddrphy2)</f>
        <v/>
      </c>
      <c r="H137" s="58"/>
      <c r="I137" s="50"/>
    </row>
    <row r="138" spans="2:9" x14ac:dyDescent="0.25">
      <c r="B138" s="24"/>
      <c r="C138" s="117" t="str">
        <f t="shared" si="3"/>
        <v/>
      </c>
      <c r="D138" s="85" t="str">
        <f>IF(_user_emifs=1,"",_soc_register_name_ddrphy2)</f>
        <v/>
      </c>
      <c r="H138" s="58"/>
      <c r="I138" s="50"/>
    </row>
    <row r="139" spans="2:9" x14ac:dyDescent="0.25">
      <c r="B139" s="24"/>
      <c r="C139" s="117" t="str">
        <f t="shared" si="3"/>
        <v/>
      </c>
      <c r="D139" s="85" t="str">
        <f>IF(_user_emifs=1,"",_soc_register_name_ddrphy2)</f>
        <v/>
      </c>
      <c r="H139" s="58"/>
      <c r="I139" s="50"/>
    </row>
    <row r="140" spans="2:9" x14ac:dyDescent="0.25">
      <c r="B140" s="24"/>
      <c r="C140" s="117" t="str">
        <f t="shared" si="3"/>
        <v/>
      </c>
      <c r="D140" s="85" t="str">
        <f>IF(_user_emifs=1,"",_soc_register_name_ddrphy2)</f>
        <v/>
      </c>
      <c r="H140" s="58"/>
      <c r="I140" s="50"/>
    </row>
    <row r="141" spans="2:9" x14ac:dyDescent="0.25">
      <c r="B141" s="24"/>
      <c r="C141" s="117" t="str">
        <f t="shared" si="3"/>
        <v/>
      </c>
      <c r="D141" s="85" t="str">
        <f>IF(_user_emifs=1,"",_soc_register_name_ddrphy2)</f>
        <v/>
      </c>
      <c r="H141" s="58"/>
      <c r="I141" s="50"/>
    </row>
    <row r="142" spans="2:9" x14ac:dyDescent="0.25">
      <c r="B142" s="24"/>
      <c r="C142" s="117" t="str">
        <f t="shared" si="3"/>
        <v/>
      </c>
      <c r="D142" s="85" t="str">
        <f>IF(_user_emifs=1,"",_soc_register_name_ddrphy2)</f>
        <v/>
      </c>
      <c r="H142" s="58"/>
      <c r="I142" s="50"/>
    </row>
    <row r="143" spans="2:9" x14ac:dyDescent="0.25">
      <c r="B143" s="24"/>
      <c r="C143" s="117" t="str">
        <f t="shared" si="3"/>
        <v/>
      </c>
      <c r="D143" s="85" t="str">
        <f>IF(_user_emifs=1,"",_soc_register_name_ddrphy2)</f>
        <v/>
      </c>
      <c r="H143" s="58"/>
      <c r="I143" s="50"/>
    </row>
    <row r="144" spans="2:9" x14ac:dyDescent="0.25">
      <c r="B144" s="24"/>
      <c r="C144" s="117" t="str">
        <f t="shared" si="3"/>
        <v/>
      </c>
      <c r="D144" s="85" t="str">
        <f>IF(_user_emifs=1,"",_soc_register_name_ddrphy2)</f>
        <v/>
      </c>
      <c r="H144" s="58"/>
      <c r="I144" s="50"/>
    </row>
    <row r="145" spans="1:9" x14ac:dyDescent="0.25">
      <c r="B145" s="24"/>
      <c r="C145" s="117" t="str">
        <f t="shared" si="3"/>
        <v/>
      </c>
      <c r="D145" s="85" t="str">
        <f>IF(_user_emifs=1,"",_soc_register_name_ddrphy2)</f>
        <v/>
      </c>
      <c r="H145" s="58"/>
      <c r="I145" s="50"/>
    </row>
    <row r="146" spans="1:9" x14ac:dyDescent="0.25">
      <c r="B146" s="24"/>
      <c r="C146" s="117" t="str">
        <f t="shared" si="3"/>
        <v/>
      </c>
      <c r="D146" s="85" t="str">
        <f>IF(_user_emifs=1,"",_soc_register_name_ddrphy2)</f>
        <v/>
      </c>
      <c r="H146" s="58"/>
      <c r="I146" s="50"/>
    </row>
    <row r="147" spans="1:9" x14ac:dyDescent="0.25">
      <c r="B147" s="24"/>
      <c r="C147" s="117" t="str">
        <f t="shared" si="3"/>
        <v/>
      </c>
      <c r="D147" s="85" t="str">
        <f>IF(_user_emifs=1,"",_soc_register_name_ddrphy2)</f>
        <v/>
      </c>
      <c r="H147" s="58"/>
      <c r="I147" s="50"/>
    </row>
    <row r="148" spans="1:9" x14ac:dyDescent="0.25">
      <c r="A148" s="196"/>
      <c r="C148" s="117" t="str">
        <f t="shared" si="3"/>
        <v/>
      </c>
      <c r="D148" s="85" t="str">
        <f>IF(_user_emifs=1,"",_soc_register_name_ddrphy2)</f>
        <v/>
      </c>
      <c r="H148" s="58"/>
    </row>
    <row r="149" spans="1:9" x14ac:dyDescent="0.25">
      <c r="C149" s="117" t="str">
        <f t="shared" si="3"/>
        <v/>
      </c>
      <c r="D149" s="85" t="str">
        <f>IF(_user_emifs=1,"",_soc_register_name_ddrphy2)</f>
        <v/>
      </c>
      <c r="H149" s="58"/>
    </row>
    <row r="150" spans="1:9" x14ac:dyDescent="0.25">
      <c r="B150" s="24"/>
      <c r="C150" s="117" t="str">
        <f t="shared" si="3"/>
        <v/>
      </c>
      <c r="D150" s="85" t="str">
        <f>IF(_user_emifs=1,"",_soc_register_name_ddrphy2)</f>
        <v/>
      </c>
      <c r="H150" s="58"/>
    </row>
    <row r="151" spans="1:9" x14ac:dyDescent="0.25">
      <c r="B151" s="24"/>
      <c r="C151" s="117" t="str">
        <f t="shared" si="3"/>
        <v/>
      </c>
      <c r="D151" s="85" t="str">
        <f>IF(_user_emifs=1,"",_soc_register_name_ddrphy2)</f>
        <v/>
      </c>
      <c r="H151" s="58"/>
    </row>
    <row r="152" spans="1:9" x14ac:dyDescent="0.25">
      <c r="B152" s="24"/>
      <c r="C152" s="117" t="str">
        <f t="shared" si="3"/>
        <v/>
      </c>
      <c r="D152" s="85" t="str">
        <f>IF(_user_emifs=1,"",_soc_register_name_ddrphy2)</f>
        <v/>
      </c>
      <c r="H152" s="58"/>
    </row>
    <row r="153" spans="1:9" x14ac:dyDescent="0.25">
      <c r="B153" s="24"/>
      <c r="C153" s="117" t="str">
        <f t="shared" si="3"/>
        <v/>
      </c>
      <c r="D153" s="85" t="str">
        <f>IF(_user_emifs=1,"",_soc_register_name_ddrphy2)</f>
        <v/>
      </c>
      <c r="H153" s="58"/>
    </row>
    <row r="154" spans="1:9" x14ac:dyDescent="0.25">
      <c r="B154" s="24"/>
      <c r="C154" s="117" t="str">
        <f t="shared" si="3"/>
        <v/>
      </c>
      <c r="D154" s="85" t="str">
        <f>IF(_user_emifs=1,"",_soc_register_name_ddrphy2)</f>
        <v/>
      </c>
      <c r="H154" s="58"/>
    </row>
    <row r="155" spans="1:9" x14ac:dyDescent="0.25">
      <c r="B155" s="24"/>
      <c r="C155" s="117" t="str">
        <f>IF(_user_emifs=1,"",CONCATENATE("    ",_soc_register_value))</f>
        <v/>
      </c>
      <c r="D155" s="85" t="str">
        <f>IF(_user_emifs=1,"",_soc_register_name_ddrphy2)</f>
        <v/>
      </c>
      <c r="H155" s="58"/>
    </row>
    <row r="156" spans="1:9" x14ac:dyDescent="0.25">
      <c r="B156" s="24"/>
      <c r="C156" s="118" t="str">
        <f>IF(_user_emifs=1,"","};")</f>
        <v/>
      </c>
      <c r="H156" s="58"/>
    </row>
    <row r="157" spans="1:9" x14ac:dyDescent="0.25">
      <c r="B157" s="24"/>
      <c r="C157" s="118"/>
      <c r="H157" s="58"/>
      <c r="I157" s="50"/>
    </row>
    <row r="158" spans="1:9" ht="13" thickBot="1" x14ac:dyDescent="0.3">
      <c r="B158" s="24"/>
      <c r="C158" s="177"/>
      <c r="D158" s="128"/>
      <c r="E158" s="127"/>
      <c r="F158" s="127"/>
      <c r="G158" s="127"/>
      <c r="H158" s="129"/>
      <c r="I158" s="50"/>
    </row>
    <row r="159" spans="1:9" ht="13" thickTop="1" x14ac:dyDescent="0.25">
      <c r="B159" s="24"/>
      <c r="C159" s="51"/>
      <c r="D159" s="83"/>
      <c r="E159" s="176"/>
      <c r="F159" s="51"/>
      <c r="G159" s="51"/>
      <c r="H159" s="51"/>
    </row>
    <row r="160" spans="1:9" x14ac:dyDescent="0.25">
      <c r="B160" s="24"/>
      <c r="E160" s="50"/>
    </row>
    <row r="161" spans="2:5" x14ac:dyDescent="0.25">
      <c r="B161" s="24"/>
      <c r="E161" s="50"/>
    </row>
    <row r="162" spans="2:5" x14ac:dyDescent="0.25">
      <c r="B162" s="24"/>
      <c r="E162" s="50"/>
    </row>
    <row r="163" spans="2:5" x14ac:dyDescent="0.25">
      <c r="B163" s="24"/>
    </row>
    <row r="164" spans="2:5" x14ac:dyDescent="0.25">
      <c r="B164" s="24"/>
    </row>
    <row r="165" spans="2:5" x14ac:dyDescent="0.25">
      <c r="B165" s="24"/>
    </row>
    <row r="166" spans="2:5" x14ac:dyDescent="0.25">
      <c r="B166" s="24"/>
    </row>
    <row r="167" spans="2:5" x14ac:dyDescent="0.25">
      <c r="B167" s="24"/>
    </row>
    <row r="168" spans="2:5" x14ac:dyDescent="0.25">
      <c r="B168" s="24"/>
    </row>
    <row r="169" spans="2:5" x14ac:dyDescent="0.25">
      <c r="B169" s="24"/>
    </row>
    <row r="170" spans="2:5" x14ac:dyDescent="0.25">
      <c r="B170" s="24"/>
    </row>
    <row r="171" spans="2:5" x14ac:dyDescent="0.25">
      <c r="B171" s="24"/>
    </row>
    <row r="172" spans="2:5" x14ac:dyDescent="0.25">
      <c r="B172" s="24"/>
    </row>
  </sheetData>
  <sheetProtection password="D41E" sheet="1" objects="1" scenarios="1"/>
  <sortState ref="C15:C86">
    <sortCondition ref="C15"/>
  </sortState>
  <mergeCells count="4">
    <mergeCell ref="B4:I6"/>
    <mergeCell ref="B7:I8"/>
    <mergeCell ref="B3:I3"/>
    <mergeCell ref="B2:I2"/>
  </mergeCells>
  <pageMargins left="0.7" right="0.7" top="0.75" bottom="0.75" header="0.3" footer="0.3"/>
  <pageSetup orientation="portrait" r:id="rId1"/>
  <picture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rgb="FF00B050"/>
  </sheetPr>
  <dimension ref="A1:O173"/>
  <sheetViews>
    <sheetView zoomScaleNormal="100" workbookViewId="0">
      <pane ySplit="10" topLeftCell="A11" activePane="bottomLeft" state="frozen"/>
      <selection pane="bottomLeft" activeCell="I83" sqref="I83"/>
    </sheetView>
  </sheetViews>
  <sheetFormatPr defaultColWidth="20.7265625" defaultRowHeight="12.5" x14ac:dyDescent="0.25"/>
  <cols>
    <col min="1" max="1" width="5.7265625" style="26" customWidth="1"/>
    <col min="2" max="2" width="20.7265625" style="26"/>
    <col min="3" max="3" width="20.7265625" style="85"/>
    <col min="4" max="7" width="20.7265625" style="26"/>
    <col min="8" max="8" width="5.7265625" style="26" customWidth="1"/>
    <col min="9" max="16384" width="20.7265625" style="26"/>
  </cols>
  <sheetData>
    <row r="1" spans="1:15" ht="12.75" customHeight="1" x14ac:dyDescent="0.25">
      <c r="A1" s="24"/>
      <c r="B1" s="529"/>
      <c r="C1" s="529"/>
      <c r="D1" s="529"/>
      <c r="E1" s="529"/>
      <c r="F1" s="529"/>
      <c r="G1" s="529"/>
      <c r="H1" s="115"/>
      <c r="I1" s="115"/>
      <c r="J1" s="115"/>
      <c r="K1" s="115"/>
      <c r="L1" s="115"/>
      <c r="M1" s="50"/>
    </row>
    <row r="2" spans="1:15" ht="12.75" customHeight="1" x14ac:dyDescent="0.25">
      <c r="A2" s="24"/>
      <c r="B2" s="529"/>
      <c r="C2" s="529"/>
      <c r="D2" s="529"/>
      <c r="E2" s="529"/>
      <c r="F2" s="529"/>
      <c r="G2" s="529"/>
      <c r="H2" s="115"/>
      <c r="I2" s="115"/>
      <c r="J2" s="115"/>
      <c r="K2" s="115"/>
      <c r="L2" s="115"/>
      <c r="M2" s="50"/>
    </row>
    <row r="3" spans="1:15" ht="12.75" customHeight="1" x14ac:dyDescent="0.25">
      <c r="A3" s="24"/>
      <c r="B3" s="529"/>
      <c r="C3" s="529"/>
      <c r="D3" s="529"/>
      <c r="E3" s="529"/>
      <c r="F3" s="529"/>
      <c r="G3" s="529"/>
      <c r="H3" s="115"/>
      <c r="I3" s="115"/>
      <c r="J3" s="115"/>
      <c r="K3" s="115"/>
      <c r="L3" s="115"/>
      <c r="M3" s="50"/>
    </row>
    <row r="4" spans="1:15" ht="12.75" customHeight="1" thickBot="1" x14ac:dyDescent="0.3">
      <c r="A4" s="24"/>
      <c r="B4" s="530"/>
      <c r="C4" s="530"/>
      <c r="D4" s="530"/>
      <c r="E4" s="530"/>
      <c r="F4" s="530"/>
      <c r="G4" s="530"/>
      <c r="H4" s="148"/>
      <c r="I4" s="148"/>
      <c r="J4" s="148"/>
      <c r="K4" s="148"/>
      <c r="L4" s="148"/>
      <c r="M4" s="149"/>
      <c r="N4" s="52"/>
    </row>
    <row r="5" spans="1:15" ht="12.75" customHeight="1" thickTop="1" x14ac:dyDescent="0.25">
      <c r="A5" s="24"/>
      <c r="B5" s="531" t="s">
        <v>139</v>
      </c>
      <c r="C5" s="532"/>
      <c r="D5" s="532"/>
      <c r="E5" s="532"/>
      <c r="F5" s="532"/>
      <c r="G5" s="533"/>
      <c r="H5" s="168"/>
      <c r="I5" s="162"/>
      <c r="J5" s="162"/>
      <c r="K5" s="162"/>
      <c r="L5" s="162"/>
      <c r="M5" s="162"/>
      <c r="N5" s="163"/>
      <c r="O5" s="50"/>
    </row>
    <row r="6" spans="1:15" ht="12.75" customHeight="1" x14ac:dyDescent="0.25">
      <c r="A6" s="24"/>
      <c r="B6" s="534"/>
      <c r="C6" s="535"/>
      <c r="D6" s="535"/>
      <c r="E6" s="535"/>
      <c r="F6" s="535"/>
      <c r="G6" s="536"/>
      <c r="H6" s="146"/>
      <c r="I6" s="25"/>
      <c r="J6" s="25"/>
      <c r="K6" s="25"/>
      <c r="L6" s="25"/>
      <c r="M6" s="25"/>
      <c r="N6" s="164"/>
      <c r="O6" s="50"/>
    </row>
    <row r="7" spans="1:15" ht="12.75" customHeight="1" x14ac:dyDescent="0.25">
      <c r="A7" s="24"/>
      <c r="B7" s="537"/>
      <c r="C7" s="538"/>
      <c r="D7" s="538"/>
      <c r="E7" s="538"/>
      <c r="F7" s="538"/>
      <c r="G7" s="539"/>
      <c r="H7" s="146"/>
      <c r="I7" s="25"/>
      <c r="J7" s="25"/>
      <c r="K7" s="25"/>
      <c r="L7" s="25"/>
      <c r="M7" s="25"/>
      <c r="N7" s="164"/>
      <c r="O7" s="50"/>
    </row>
    <row r="8" spans="1:15" x14ac:dyDescent="0.25">
      <c r="A8" s="24"/>
      <c r="B8" s="150" t="s">
        <v>75</v>
      </c>
      <c r="C8" s="151"/>
      <c r="D8" s="152"/>
      <c r="E8" s="152"/>
      <c r="F8" s="153"/>
      <c r="G8" s="170"/>
      <c r="H8" s="30"/>
      <c r="I8" s="27"/>
      <c r="J8" s="27"/>
      <c r="K8" s="27"/>
      <c r="L8" s="27"/>
      <c r="M8" s="27"/>
      <c r="N8" s="165"/>
      <c r="O8" s="50"/>
    </row>
    <row r="9" spans="1:15" x14ac:dyDescent="0.25">
      <c r="A9" s="24"/>
      <c r="B9" s="154" t="s">
        <v>127</v>
      </c>
      <c r="C9" s="151"/>
      <c r="D9" s="155"/>
      <c r="E9" s="152"/>
      <c r="F9" s="153"/>
      <c r="G9" s="170"/>
      <c r="H9" s="30"/>
      <c r="I9" s="27"/>
      <c r="J9" s="27"/>
      <c r="K9" s="27"/>
      <c r="L9" s="27"/>
      <c r="M9" s="27"/>
      <c r="N9" s="165"/>
      <c r="O9" s="50"/>
    </row>
    <row r="10" spans="1:15" ht="13" thickBot="1" x14ac:dyDescent="0.3">
      <c r="A10" s="24"/>
      <c r="B10" s="156"/>
      <c r="C10" s="157"/>
      <c r="D10" s="158"/>
      <c r="E10" s="158"/>
      <c r="F10" s="159"/>
      <c r="G10" s="171"/>
      <c r="H10" s="169"/>
      <c r="I10" s="166"/>
      <c r="J10" s="166"/>
      <c r="K10" s="166"/>
      <c r="L10" s="166"/>
      <c r="M10" s="166"/>
      <c r="N10" s="167"/>
      <c r="O10" s="50"/>
    </row>
    <row r="11" spans="1:15" ht="13.5" thickTop="1" thickBot="1" x14ac:dyDescent="0.3">
      <c r="A11" s="52"/>
      <c r="B11" s="109"/>
      <c r="C11" s="124"/>
      <c r="D11" s="109"/>
      <c r="E11" s="109"/>
      <c r="F11" s="109"/>
      <c r="G11" s="109"/>
      <c r="H11" s="51"/>
      <c r="I11" s="51"/>
      <c r="J11" s="51"/>
      <c r="K11" s="51"/>
      <c r="L11" s="51"/>
      <c r="M11" s="51"/>
      <c r="N11" s="51"/>
    </row>
    <row r="12" spans="1:15" ht="13.5" thickTop="1" x14ac:dyDescent="0.3">
      <c r="A12" s="58"/>
      <c r="B12" s="175" t="s">
        <v>172</v>
      </c>
      <c r="C12" s="141"/>
      <c r="D12" s="125"/>
      <c r="E12" s="125"/>
      <c r="F12" s="125"/>
      <c r="G12" s="126"/>
      <c r="H12" s="50"/>
      <c r="I12" s="175" t="s">
        <v>172</v>
      </c>
      <c r="J12" s="141"/>
      <c r="K12" s="125"/>
      <c r="L12" s="125"/>
      <c r="M12" s="125"/>
      <c r="N12" s="126"/>
    </row>
    <row r="13" spans="1:15" ht="13" x14ac:dyDescent="0.3">
      <c r="A13" s="58"/>
      <c r="B13" s="144" t="s">
        <v>676</v>
      </c>
      <c r="C13" s="83"/>
      <c r="D13" s="51"/>
      <c r="E13" s="51"/>
      <c r="F13" s="51"/>
      <c r="G13" s="142"/>
      <c r="H13" s="50"/>
      <c r="I13" s="144" t="s">
        <v>676</v>
      </c>
      <c r="J13" s="83"/>
      <c r="K13" s="51"/>
      <c r="L13" s="51"/>
      <c r="M13" s="51"/>
      <c r="N13" s="142"/>
    </row>
    <row r="14" spans="1:15" ht="13" x14ac:dyDescent="0.3">
      <c r="A14" s="58"/>
      <c r="B14" s="144" t="s">
        <v>171</v>
      </c>
      <c r="C14" s="83"/>
      <c r="D14" s="51"/>
      <c r="E14" s="51"/>
      <c r="F14" s="51"/>
      <c r="G14" s="142"/>
      <c r="H14" s="50"/>
      <c r="I14" s="144" t="s">
        <v>171</v>
      </c>
      <c r="J14" s="83"/>
      <c r="K14" s="51"/>
      <c r="L14" s="51"/>
      <c r="M14" s="51"/>
      <c r="N14" s="142"/>
    </row>
    <row r="15" spans="1:15" ht="13" x14ac:dyDescent="0.3">
      <c r="A15" s="58"/>
      <c r="B15" s="132" t="s">
        <v>175</v>
      </c>
      <c r="C15" s="143"/>
      <c r="G15" s="58"/>
      <c r="H15" s="50"/>
      <c r="I15" s="132" t="s">
        <v>175</v>
      </c>
      <c r="J15" s="143"/>
      <c r="N15" s="58"/>
    </row>
    <row r="16" spans="1:15" ht="13" x14ac:dyDescent="0.3">
      <c r="A16" s="58"/>
      <c r="B16" s="132" t="s">
        <v>176</v>
      </c>
      <c r="G16" s="58"/>
      <c r="H16" s="50"/>
      <c r="I16" s="132" t="s">
        <v>176</v>
      </c>
      <c r="J16" s="85"/>
      <c r="N16" s="58"/>
    </row>
    <row r="17" spans="1:14" ht="13" x14ac:dyDescent="0.3">
      <c r="A17" s="58"/>
      <c r="B17" s="132" t="s">
        <v>177</v>
      </c>
      <c r="G17" s="58"/>
      <c r="H17" s="50"/>
      <c r="I17" s="132" t="s">
        <v>177</v>
      </c>
      <c r="J17" s="85"/>
      <c r="N17" s="58"/>
    </row>
    <row r="18" spans="1:14" ht="13" x14ac:dyDescent="0.3">
      <c r="A18" s="58"/>
      <c r="B18" s="132" t="s">
        <v>171</v>
      </c>
      <c r="G18" s="58"/>
      <c r="H18" s="50"/>
      <c r="I18" s="132" t="s">
        <v>171</v>
      </c>
      <c r="J18" s="85"/>
      <c r="N18" s="58"/>
    </row>
    <row r="19" spans="1:14" ht="13" x14ac:dyDescent="0.3">
      <c r="A19" s="58"/>
      <c r="B19" s="132" t="s">
        <v>178</v>
      </c>
      <c r="G19" s="58"/>
      <c r="H19" s="50"/>
      <c r="I19" s="132" t="s">
        <v>178</v>
      </c>
      <c r="J19" s="85"/>
      <c r="N19" s="58"/>
    </row>
    <row r="20" spans="1:14" ht="13" x14ac:dyDescent="0.3">
      <c r="A20" s="58"/>
      <c r="B20" s="132" t="s">
        <v>179</v>
      </c>
      <c r="G20" s="58"/>
      <c r="H20" s="50"/>
      <c r="I20" s="132" t="s">
        <v>179</v>
      </c>
      <c r="J20" s="85"/>
      <c r="N20" s="58"/>
    </row>
    <row r="21" spans="1:14" ht="13" x14ac:dyDescent="0.3">
      <c r="A21" s="58"/>
      <c r="B21" s="132" t="s">
        <v>180</v>
      </c>
      <c r="G21" s="58"/>
      <c r="H21" s="50"/>
      <c r="I21" s="132" t="s">
        <v>180</v>
      </c>
      <c r="J21" s="85"/>
      <c r="N21" s="58"/>
    </row>
    <row r="22" spans="1:14" ht="13" x14ac:dyDescent="0.3">
      <c r="A22" s="58"/>
      <c r="B22" s="130" t="s">
        <v>181</v>
      </c>
      <c r="C22" s="121"/>
      <c r="G22" s="58"/>
      <c r="H22" s="50"/>
      <c r="I22" s="130" t="s">
        <v>181</v>
      </c>
      <c r="J22" s="121"/>
      <c r="N22" s="58"/>
    </row>
    <row r="23" spans="1:14" ht="13" x14ac:dyDescent="0.3">
      <c r="A23" s="58"/>
      <c r="B23" s="132" t="s">
        <v>174</v>
      </c>
      <c r="C23" s="120"/>
      <c r="G23" s="58"/>
      <c r="H23" s="50"/>
      <c r="I23" s="132" t="s">
        <v>174</v>
      </c>
      <c r="J23" s="120"/>
      <c r="N23" s="58"/>
    </row>
    <row r="24" spans="1:14" ht="13" x14ac:dyDescent="0.3">
      <c r="A24" s="58"/>
      <c r="B24" s="132"/>
      <c r="G24" s="58"/>
      <c r="H24" s="50"/>
      <c r="I24" s="130"/>
      <c r="J24" s="85"/>
      <c r="N24" s="58"/>
    </row>
    <row r="25" spans="1:14" ht="13" x14ac:dyDescent="0.3">
      <c r="A25" s="58"/>
      <c r="B25" s="144" t="s">
        <v>124</v>
      </c>
      <c r="G25" s="58"/>
      <c r="H25" s="50"/>
      <c r="I25" s="144" t="s">
        <v>124</v>
      </c>
      <c r="J25" s="85"/>
      <c r="N25" s="58"/>
    </row>
    <row r="26" spans="1:14" ht="13" x14ac:dyDescent="0.3">
      <c r="A26" s="58"/>
      <c r="B26" s="144" t="s">
        <v>130</v>
      </c>
      <c r="G26" s="58"/>
      <c r="H26" s="50"/>
      <c r="I26" s="144" t="s">
        <v>134</v>
      </c>
      <c r="J26" s="85"/>
      <c r="N26" s="58"/>
    </row>
    <row r="27" spans="1:14" ht="13" x14ac:dyDescent="0.3">
      <c r="A27" s="58"/>
      <c r="B27" s="132" t="str">
        <f ca="1">CONCATENATE(" *     Created on: ",TEXT(TODAY(),"MM/DD/YYYY"))</f>
        <v xml:space="preserve"> *     Created on: 12/01/2020</v>
      </c>
      <c r="G27" s="58"/>
      <c r="H27" s="50"/>
      <c r="I27" s="132" t="str">
        <f ca="1">CONCATENATE(" *     Created on: ",TEXT(TODAY(),"MM/DD/YYYY"))</f>
        <v xml:space="preserve"> *     Created on: 12/01/2020</v>
      </c>
      <c r="J27" s="85"/>
      <c r="N27" s="58"/>
    </row>
    <row r="28" spans="1:14" ht="13" x14ac:dyDescent="0.3">
      <c r="A28" s="58"/>
      <c r="B28" s="132" t="str">
        <f>CONCATENATE(" *     Created with: EMIF_RegisterConfig_v",RIGHT('Title-README'!$B$11,5))</f>
        <v xml:space="preserve"> *     Created with: EMIF_RegisterConfig_v2.0.3</v>
      </c>
      <c r="G28" s="58"/>
      <c r="H28" s="50"/>
      <c r="I28" s="132" t="str">
        <f>CONCATENATE(" *     Created with: EMIF_RegisterConfig_v",RIGHT('Title-README'!$B$11,5))</f>
        <v xml:space="preserve"> *     Created with: EMIF_RegisterConfig_v2.0.3</v>
      </c>
      <c r="J28" s="85"/>
      <c r="N28" s="58"/>
    </row>
    <row r="29" spans="1:14" ht="13" x14ac:dyDescent="0.3">
      <c r="A29" s="58"/>
      <c r="B29" s="132" t="s">
        <v>126</v>
      </c>
      <c r="G29" s="58"/>
      <c r="H29" s="50"/>
      <c r="I29" s="132" t="s">
        <v>126</v>
      </c>
      <c r="J29" s="85"/>
      <c r="N29" s="58"/>
    </row>
    <row r="30" spans="1:14" ht="13" x14ac:dyDescent="0.3">
      <c r="A30" s="58"/>
      <c r="B30" s="132"/>
      <c r="G30" s="58"/>
      <c r="H30" s="50"/>
      <c r="I30" s="132"/>
      <c r="J30" s="85"/>
      <c r="N30" s="58"/>
    </row>
    <row r="31" spans="1:14" ht="13" x14ac:dyDescent="0.3">
      <c r="A31" s="58"/>
      <c r="B31" s="132" t="s">
        <v>128</v>
      </c>
      <c r="G31" s="58"/>
      <c r="H31" s="50"/>
      <c r="I31" s="132" t="s">
        <v>135</v>
      </c>
      <c r="J31" s="85"/>
      <c r="N31" s="58"/>
    </row>
    <row r="32" spans="1:14" ht="13" x14ac:dyDescent="0.3">
      <c r="A32" s="58"/>
      <c r="B32" s="132" t="s">
        <v>129</v>
      </c>
      <c r="G32" s="58"/>
      <c r="H32" s="50"/>
      <c r="I32" s="132" t="s">
        <v>136</v>
      </c>
      <c r="J32" s="85"/>
      <c r="N32" s="58"/>
    </row>
    <row r="33" spans="1:14" x14ac:dyDescent="0.25">
      <c r="A33" s="58"/>
      <c r="B33" s="117"/>
      <c r="G33" s="58"/>
      <c r="H33" s="50"/>
      <c r="I33" s="117"/>
      <c r="J33" s="85"/>
      <c r="N33" s="58"/>
    </row>
    <row r="34" spans="1:14" ht="13" x14ac:dyDescent="0.3">
      <c r="A34" s="58"/>
      <c r="B34" s="130" t="s">
        <v>131</v>
      </c>
      <c r="G34" s="58"/>
      <c r="H34" s="50"/>
      <c r="I34" s="130" t="s">
        <v>125</v>
      </c>
      <c r="J34" s="85"/>
      <c r="N34" s="58"/>
    </row>
    <row r="35" spans="1:14" x14ac:dyDescent="0.25">
      <c r="A35" s="58"/>
      <c r="B35" s="117"/>
      <c r="C35" s="123"/>
      <c r="G35" s="58"/>
      <c r="H35" s="50"/>
      <c r="I35" s="117"/>
      <c r="J35" s="123"/>
      <c r="N35" s="58"/>
    </row>
    <row r="36" spans="1:14" ht="13" x14ac:dyDescent="0.3">
      <c r="A36" s="58"/>
      <c r="B36" s="132" t="s">
        <v>172</v>
      </c>
      <c r="C36" s="119"/>
      <c r="G36" s="58"/>
      <c r="H36" s="50"/>
      <c r="I36" s="134" t="str">
        <f t="shared" ref="I36:I78" si="0">IFERROR(CONCATENATE("extern struct emif_cfg ",INDEX(_dyn_user_config_options,ROW(2:2)),";"),"")</f>
        <v>extern struct emif_cfg AM571x_DDR3L_666MHz_TI_AM571x_IDK;</v>
      </c>
      <c r="J36" s="119"/>
      <c r="N36" s="58"/>
    </row>
    <row r="37" spans="1:14" ht="13" x14ac:dyDescent="0.3">
      <c r="A37" s="58"/>
      <c r="B37" s="132" t="e">
        <f>CONCATENATE(" *             ",_company_project," ",_sdram_type," ",_ddr_pll_freq," MHz Configuration")</f>
        <v>#NAME?</v>
      </c>
      <c r="G37" s="58"/>
      <c r="H37" s="50"/>
      <c r="I37" s="134" t="str">
        <f t="shared" si="0"/>
        <v>extern struct emif_cfg AM572x_DDR3L_532MHz_AMR_SysCtrl;</v>
      </c>
      <c r="J37" s="85"/>
      <c r="N37" s="58"/>
    </row>
    <row r="38" spans="1:14" ht="13" x14ac:dyDescent="0.3">
      <c r="A38" s="58"/>
      <c r="B38" s="132" t="s">
        <v>174</v>
      </c>
      <c r="G38" s="58"/>
      <c r="H38" s="50"/>
      <c r="I38" s="134" t="str">
        <f t="shared" si="0"/>
        <v>extern struct emif_cfg AM572x_DDR3L_532MHz_TI_AM572x_EVM;</v>
      </c>
      <c r="J38" s="85"/>
      <c r="N38" s="58"/>
    </row>
    <row r="39" spans="1:14" x14ac:dyDescent="0.25">
      <c r="A39" s="58"/>
      <c r="B39" s="117" t="e">
        <f>CONCATENATE("    {",CHAR(34),_user_soc,"_",IFERROR(REPLACE(_sdram_type,FIND("/",_sdram_type),1,""),_sdram_type),"_",_ddr_pll_freq,"MHz_",_company_project,CHAR(34),",")</f>
        <v>#NAME?</v>
      </c>
      <c r="G39" s="58"/>
      <c r="H39" s="50"/>
      <c r="I39" s="134" t="str">
        <f t="shared" si="0"/>
        <v>extern struct emif_cfg AM572x_DDR3L_532MHz_TI_AM572x_IDK;</v>
      </c>
      <c r="J39" s="85"/>
      <c r="N39" s="58"/>
    </row>
    <row r="40" spans="1:14" x14ac:dyDescent="0.25">
      <c r="A40" s="58"/>
      <c r="B40" s="117" t="str">
        <f>CONCATENATE("        ",_user_emifs-1,",")</f>
        <v xml:space="preserve">        0,</v>
      </c>
      <c r="G40" s="58"/>
      <c r="H40" s="50"/>
      <c r="I40" s="134" t="str">
        <f t="shared" si="0"/>
        <v>extern struct emif_cfg AM574x_DDR3L_666MHz_TI_AM574x_IDK;</v>
      </c>
      <c r="J40" s="85"/>
      <c r="N40" s="58"/>
    </row>
    <row r="41" spans="1:14" ht="13" x14ac:dyDescent="0.3">
      <c r="A41" s="58"/>
      <c r="B41" s="117" t="e">
        <f>CONCATENATE("        &amp;",_user_soc,"_",IFERROR(REPLACE(_sdram_type,FIND("/",_sdram_type),1,""),_sdram_type),"_",_ddr_pll_freq,"MHz_",_company_project,"_pll_params,")</f>
        <v>#NAME?</v>
      </c>
      <c r="C41" s="121"/>
      <c r="G41" s="58"/>
      <c r="H41" s="50"/>
      <c r="I41" s="134" t="str">
        <f t="shared" si="0"/>
        <v>extern struct emif_cfg AM576x_DDR3L_532MHz_AMR_SysCtrl;</v>
      </c>
      <c r="J41" s="121"/>
      <c r="N41" s="58"/>
    </row>
    <row r="42" spans="1:14" ht="13" x14ac:dyDescent="0.3">
      <c r="A42" s="58"/>
      <c r="B42" s="117" t="e">
        <f>CONCATENATE("        &amp;",_user_soc,"_",IFERROR(REPLACE(_sdram_type,FIND("/",_sdram_type),1,""),_sdram_type),"_",_ddr_pll_freq,"MHz_",_company_project,"_ctrl_ioregs,")</f>
        <v>#NAME?</v>
      </c>
      <c r="C42" s="122"/>
      <c r="G42" s="58"/>
      <c r="H42" s="50"/>
      <c r="I42" s="134" t="str">
        <f t="shared" si="0"/>
        <v/>
      </c>
      <c r="J42" s="122"/>
      <c r="N42" s="58"/>
    </row>
    <row r="43" spans="1:14" x14ac:dyDescent="0.25">
      <c r="A43" s="58"/>
      <c r="B43" s="117" t="e">
        <f>CONCATENATE("        &amp;",_user_soc,"_",IFERROR(REPLACE(_sdram_type,FIND("/",_sdram_type),1,""),_sdram_type),"_",_ddr_pll_freq,"MHz_",_company_project,"_dmm_regs,")</f>
        <v>#NAME?</v>
      </c>
      <c r="G43" s="58"/>
      <c r="H43" s="50"/>
      <c r="I43" s="134" t="str">
        <f t="shared" si="0"/>
        <v/>
      </c>
      <c r="J43" s="85"/>
      <c r="N43" s="58"/>
    </row>
    <row r="44" spans="1:14" x14ac:dyDescent="0.25">
      <c r="A44" s="58"/>
      <c r="B44" s="117" t="e">
        <f>CONCATENATE("        &amp;",_user_soc,"_",IFERROR(REPLACE(_sdram_type,FIND("/",_sdram_type),1,""),_sdram_type),"_",_ddr_pll_freq,"MHz_",_company_project,"_emif_regs,")</f>
        <v>#NAME?</v>
      </c>
      <c r="G44" s="58"/>
      <c r="H44" s="50"/>
      <c r="I44" s="134" t="str">
        <f t="shared" si="0"/>
        <v/>
      </c>
      <c r="J44" s="85"/>
      <c r="N44" s="58"/>
    </row>
    <row r="45" spans="1:14" x14ac:dyDescent="0.25">
      <c r="A45" s="58"/>
      <c r="B45" s="117" t="e">
        <f>CONCATENATE("        &amp;",_user_soc,"_",IFERROR(REPLACE(_sdram_type,FIND("/",_sdram_type),1,""),_sdram_type),"_",_ddr_pll_freq,"MHz_",_company_project,"_emif1_ext_phy_regs,")</f>
        <v>#NAME?</v>
      </c>
      <c r="G45" s="58"/>
      <c r="H45" s="50"/>
      <c r="I45" s="134" t="str">
        <f t="shared" si="0"/>
        <v/>
      </c>
      <c r="J45" s="85"/>
      <c r="N45" s="58"/>
    </row>
    <row r="46" spans="1:14" x14ac:dyDescent="0.25">
      <c r="A46" s="58"/>
      <c r="B46" s="117" t="e">
        <f>IF(_user_emifs=1,CONCATENATE(B45,"  // Unused"),CONCATENATE("        &amp;",_user_soc,"_",IFERROR(REPLACE(_sdram_type,FIND("/",_sdram_type),1,""),_sdram_type),"_",_ddr_pll_freq,"MHz_",_company_project,"_emif2_ext_phy_regs"))</f>
        <v>#NAME?</v>
      </c>
      <c r="E46" s="84"/>
      <c r="G46" s="58"/>
      <c r="H46" s="50"/>
      <c r="I46" s="134" t="str">
        <f t="shared" si="0"/>
        <v/>
      </c>
      <c r="J46" s="85"/>
      <c r="L46" s="84"/>
      <c r="N46" s="58"/>
    </row>
    <row r="47" spans="1:14" x14ac:dyDescent="0.25">
      <c r="A47" s="58"/>
      <c r="B47" s="118" t="s">
        <v>132</v>
      </c>
      <c r="E47" s="66"/>
      <c r="G47" s="58"/>
      <c r="H47" s="50"/>
      <c r="I47" s="134" t="str">
        <f t="shared" si="0"/>
        <v/>
      </c>
      <c r="J47" s="85"/>
      <c r="L47" s="66"/>
      <c r="N47" s="58"/>
    </row>
    <row r="48" spans="1:14" x14ac:dyDescent="0.25">
      <c r="A48" s="58"/>
      <c r="B48" s="118"/>
      <c r="E48" s="66"/>
      <c r="G48" s="58"/>
      <c r="H48" s="50"/>
      <c r="I48" s="134" t="str">
        <f t="shared" si="0"/>
        <v/>
      </c>
      <c r="J48" s="85"/>
      <c r="L48" s="66"/>
      <c r="N48" s="58"/>
    </row>
    <row r="49" spans="1:14" ht="13" x14ac:dyDescent="0.3">
      <c r="A49" s="58"/>
      <c r="B49" s="132" t="s">
        <v>172</v>
      </c>
      <c r="G49" s="58"/>
      <c r="H49" s="50"/>
      <c r="I49" s="134" t="str">
        <f t="shared" si="0"/>
        <v/>
      </c>
      <c r="J49" s="85"/>
      <c r="N49" s="58"/>
    </row>
    <row r="50" spans="1:14" ht="13" x14ac:dyDescent="0.3">
      <c r="A50" s="58"/>
      <c r="B50" s="132" t="s">
        <v>173</v>
      </c>
      <c r="G50" s="58"/>
      <c r="H50" s="50"/>
      <c r="I50" s="134" t="str">
        <f t="shared" si="0"/>
        <v/>
      </c>
      <c r="J50" s="85"/>
      <c r="N50" s="58"/>
    </row>
    <row r="51" spans="1:14" ht="13" x14ac:dyDescent="0.3">
      <c r="A51" s="58"/>
      <c r="B51" s="132" t="s">
        <v>174</v>
      </c>
      <c r="G51" s="58"/>
      <c r="H51" s="50"/>
      <c r="I51" s="134" t="str">
        <f t="shared" si="0"/>
        <v/>
      </c>
      <c r="J51" s="85"/>
      <c r="N51" s="58"/>
    </row>
    <row r="52" spans="1:14" x14ac:dyDescent="0.25">
      <c r="A52" s="58"/>
      <c r="B52" s="118" t="s">
        <v>148</v>
      </c>
      <c r="G52" s="58"/>
      <c r="H52" s="50"/>
      <c r="I52" s="134" t="str">
        <f t="shared" si="0"/>
        <v/>
      </c>
      <c r="J52" s="85"/>
      <c r="N52" s="58"/>
    </row>
    <row r="53" spans="1:14" x14ac:dyDescent="0.25">
      <c r="A53" s="58"/>
      <c r="B53" s="118" t="s">
        <v>149</v>
      </c>
      <c r="G53" s="58"/>
      <c r="H53" s="50"/>
      <c r="I53" s="134" t="str">
        <f t="shared" si="0"/>
        <v/>
      </c>
      <c r="J53" s="85"/>
      <c r="N53" s="58"/>
    </row>
    <row r="54" spans="1:14" x14ac:dyDescent="0.25">
      <c r="A54" s="58"/>
      <c r="B54" s="118" t="s">
        <v>150</v>
      </c>
      <c r="G54" s="58"/>
      <c r="H54" s="50"/>
      <c r="I54" s="134" t="str">
        <f t="shared" si="0"/>
        <v/>
      </c>
      <c r="J54" s="85"/>
      <c r="N54" s="58"/>
    </row>
    <row r="55" spans="1:14" x14ac:dyDescent="0.25">
      <c r="A55" s="58"/>
      <c r="B55" s="118" t="s">
        <v>151</v>
      </c>
      <c r="G55" s="58"/>
      <c r="H55" s="50"/>
      <c r="I55" s="134" t="str">
        <f t="shared" si="0"/>
        <v/>
      </c>
      <c r="J55" s="85"/>
      <c r="N55" s="58"/>
    </row>
    <row r="56" spans="1:14" x14ac:dyDescent="0.25">
      <c r="A56" s="58"/>
      <c r="B56" s="118" t="s">
        <v>152</v>
      </c>
      <c r="G56" s="58"/>
      <c r="H56" s="50"/>
      <c r="I56" s="134" t="str">
        <f t="shared" si="0"/>
        <v/>
      </c>
      <c r="J56" s="85"/>
      <c r="N56" s="58"/>
    </row>
    <row r="57" spans="1:14" x14ac:dyDescent="0.25">
      <c r="A57" s="58"/>
      <c r="B57" s="118" t="s">
        <v>153</v>
      </c>
      <c r="G57" s="58"/>
      <c r="H57" s="50"/>
      <c r="I57" s="134" t="str">
        <f t="shared" si="0"/>
        <v/>
      </c>
      <c r="J57" s="85"/>
      <c r="N57" s="58"/>
    </row>
    <row r="58" spans="1:14" x14ac:dyDescent="0.25">
      <c r="A58" s="58"/>
      <c r="B58" s="118" t="s">
        <v>154</v>
      </c>
      <c r="G58" s="58"/>
      <c r="H58" s="50"/>
      <c r="I58" s="134" t="str">
        <f t="shared" si="0"/>
        <v/>
      </c>
      <c r="J58" s="85"/>
      <c r="N58" s="58"/>
    </row>
    <row r="59" spans="1:14" x14ac:dyDescent="0.25">
      <c r="A59" s="58"/>
      <c r="B59" s="118" t="s">
        <v>155</v>
      </c>
      <c r="G59" s="58"/>
      <c r="H59" s="50"/>
      <c r="I59" s="134" t="str">
        <f t="shared" si="0"/>
        <v/>
      </c>
      <c r="J59" s="85"/>
      <c r="N59" s="58"/>
    </row>
    <row r="60" spans="1:14" x14ac:dyDescent="0.25">
      <c r="A60" s="58"/>
      <c r="B60" s="134" t="s">
        <v>132</v>
      </c>
      <c r="C60" s="123"/>
      <c r="G60" s="58"/>
      <c r="H60" s="50"/>
      <c r="I60" s="134" t="str">
        <f t="shared" si="0"/>
        <v/>
      </c>
      <c r="J60" s="123"/>
      <c r="N60" s="58"/>
    </row>
    <row r="61" spans="1:14" x14ac:dyDescent="0.25">
      <c r="A61" s="58"/>
      <c r="B61" s="133"/>
      <c r="C61" s="123"/>
      <c r="G61" s="58"/>
      <c r="H61" s="50"/>
      <c r="I61" s="134" t="str">
        <f t="shared" si="0"/>
        <v/>
      </c>
      <c r="J61" s="123"/>
      <c r="N61" s="58"/>
    </row>
    <row r="62" spans="1:14" x14ac:dyDescent="0.25">
      <c r="A62" s="58"/>
      <c r="B62" s="118" t="s">
        <v>156</v>
      </c>
      <c r="C62" s="123"/>
      <c r="G62" s="58"/>
      <c r="H62" s="50"/>
      <c r="I62" s="134" t="str">
        <f t="shared" si="0"/>
        <v/>
      </c>
      <c r="J62" s="123"/>
      <c r="N62" s="58"/>
    </row>
    <row r="63" spans="1:14" x14ac:dyDescent="0.25">
      <c r="A63" s="137"/>
      <c r="B63" s="118" t="s">
        <v>157</v>
      </c>
      <c r="C63" s="123"/>
      <c r="G63" s="58"/>
      <c r="H63" s="50"/>
      <c r="I63" s="134" t="str">
        <f t="shared" si="0"/>
        <v/>
      </c>
      <c r="J63" s="123"/>
      <c r="N63" s="58"/>
    </row>
    <row r="64" spans="1:14" x14ac:dyDescent="0.25">
      <c r="A64" s="137"/>
      <c r="B64" s="118" t="s">
        <v>158</v>
      </c>
      <c r="C64" s="123"/>
      <c r="G64" s="58"/>
      <c r="H64" s="50"/>
      <c r="I64" s="134" t="str">
        <f t="shared" si="0"/>
        <v/>
      </c>
      <c r="J64" s="123"/>
      <c r="N64" s="58"/>
    </row>
    <row r="65" spans="1:14" x14ac:dyDescent="0.25">
      <c r="A65" s="137"/>
      <c r="B65" s="118" t="s">
        <v>159</v>
      </c>
      <c r="C65" s="123"/>
      <c r="G65" s="58"/>
      <c r="H65" s="50"/>
      <c r="I65" s="134" t="str">
        <f t="shared" si="0"/>
        <v/>
      </c>
      <c r="J65" s="123"/>
      <c r="N65" s="58"/>
    </row>
    <row r="66" spans="1:14" x14ac:dyDescent="0.25">
      <c r="A66" s="137"/>
      <c r="B66" s="134" t="s">
        <v>160</v>
      </c>
      <c r="C66" s="123"/>
      <c r="F66" s="66"/>
      <c r="G66" s="58"/>
      <c r="H66" s="50"/>
      <c r="I66" s="134" t="str">
        <f t="shared" si="0"/>
        <v/>
      </c>
      <c r="J66" s="123"/>
      <c r="M66" s="66"/>
      <c r="N66" s="58"/>
    </row>
    <row r="67" spans="1:14" x14ac:dyDescent="0.25">
      <c r="A67" s="137"/>
      <c r="B67" s="135" t="s">
        <v>161</v>
      </c>
      <c r="C67" s="123"/>
      <c r="G67" s="58"/>
      <c r="H67" s="50"/>
      <c r="I67" s="134" t="str">
        <f t="shared" si="0"/>
        <v/>
      </c>
      <c r="J67" s="123"/>
      <c r="N67" s="58"/>
    </row>
    <row r="68" spans="1:14" x14ac:dyDescent="0.25">
      <c r="A68" s="137"/>
      <c r="B68" s="118" t="s">
        <v>162</v>
      </c>
      <c r="C68" s="123"/>
      <c r="G68" s="58"/>
      <c r="H68" s="50"/>
      <c r="I68" s="134" t="str">
        <f t="shared" si="0"/>
        <v/>
      </c>
      <c r="J68" s="123"/>
      <c r="N68" s="58"/>
    </row>
    <row r="69" spans="1:14" x14ac:dyDescent="0.25">
      <c r="A69" s="137"/>
      <c r="B69" s="118" t="s">
        <v>163</v>
      </c>
      <c r="C69" s="123"/>
      <c r="G69" s="58"/>
      <c r="H69" s="50"/>
      <c r="I69" s="134" t="str">
        <f t="shared" si="0"/>
        <v/>
      </c>
      <c r="J69" s="123"/>
      <c r="N69" s="58"/>
    </row>
    <row r="70" spans="1:14" x14ac:dyDescent="0.25">
      <c r="A70" s="137"/>
      <c r="B70" s="118" t="s">
        <v>132</v>
      </c>
      <c r="C70" s="123"/>
      <c r="G70" s="58"/>
      <c r="H70" s="50"/>
      <c r="I70" s="134" t="str">
        <f t="shared" si="0"/>
        <v/>
      </c>
      <c r="J70" s="123"/>
      <c r="N70" s="58"/>
    </row>
    <row r="71" spans="1:14" x14ac:dyDescent="0.25">
      <c r="A71" s="137"/>
      <c r="B71" s="118"/>
      <c r="C71" s="123"/>
      <c r="G71" s="58"/>
      <c r="H71" s="50"/>
      <c r="I71" s="134" t="str">
        <f t="shared" si="0"/>
        <v/>
      </c>
      <c r="J71" s="123"/>
      <c r="N71" s="58"/>
    </row>
    <row r="72" spans="1:14" x14ac:dyDescent="0.25">
      <c r="A72" s="137"/>
      <c r="B72" s="118" t="s">
        <v>169</v>
      </c>
      <c r="C72" s="123"/>
      <c r="G72" s="58"/>
      <c r="H72" s="50"/>
      <c r="I72" s="134" t="str">
        <f t="shared" si="0"/>
        <v/>
      </c>
      <c r="J72" s="123"/>
      <c r="N72" s="58"/>
    </row>
    <row r="73" spans="1:14" x14ac:dyDescent="0.25">
      <c r="A73" s="137"/>
      <c r="B73" s="118" t="s">
        <v>157</v>
      </c>
      <c r="C73" s="123"/>
      <c r="G73" s="58"/>
      <c r="H73" s="50"/>
      <c r="I73" s="134" t="str">
        <f t="shared" si="0"/>
        <v/>
      </c>
      <c r="J73" s="123"/>
      <c r="N73" s="58"/>
    </row>
    <row r="74" spans="1:14" x14ac:dyDescent="0.25">
      <c r="A74" s="137"/>
      <c r="B74" s="118" t="s">
        <v>170</v>
      </c>
      <c r="C74" s="123"/>
      <c r="G74" s="58"/>
      <c r="H74" s="50"/>
      <c r="I74" s="134" t="str">
        <f t="shared" si="0"/>
        <v/>
      </c>
      <c r="J74" s="123"/>
      <c r="N74" s="58"/>
    </row>
    <row r="75" spans="1:14" x14ac:dyDescent="0.25">
      <c r="A75" s="137"/>
      <c r="B75" s="118" t="s">
        <v>164</v>
      </c>
      <c r="C75" s="123"/>
      <c r="G75" s="58"/>
      <c r="H75" s="50"/>
      <c r="I75" s="134" t="str">
        <f t="shared" si="0"/>
        <v/>
      </c>
      <c r="J75" s="123"/>
      <c r="N75" s="58"/>
    </row>
    <row r="76" spans="1:14" x14ac:dyDescent="0.25">
      <c r="A76" s="137"/>
      <c r="B76" s="118" t="s">
        <v>165</v>
      </c>
      <c r="C76" s="123"/>
      <c r="G76" s="58"/>
      <c r="H76" s="50"/>
      <c r="I76" s="134" t="str">
        <f t="shared" si="0"/>
        <v/>
      </c>
      <c r="J76" s="123"/>
      <c r="N76" s="58"/>
    </row>
    <row r="77" spans="1:14" x14ac:dyDescent="0.25">
      <c r="A77" s="137"/>
      <c r="B77" s="118" t="s">
        <v>166</v>
      </c>
      <c r="C77" s="123"/>
      <c r="G77" s="58"/>
      <c r="H77" s="50"/>
      <c r="I77" s="134" t="str">
        <f t="shared" si="0"/>
        <v/>
      </c>
      <c r="J77" s="123"/>
      <c r="N77" s="58"/>
    </row>
    <row r="78" spans="1:14" x14ac:dyDescent="0.25">
      <c r="A78" s="137"/>
      <c r="B78" s="118" t="s">
        <v>167</v>
      </c>
      <c r="C78" s="123"/>
      <c r="G78" s="58"/>
      <c r="H78" s="50"/>
      <c r="I78" s="134" t="str">
        <f t="shared" si="0"/>
        <v/>
      </c>
      <c r="J78" s="123"/>
      <c r="N78" s="58"/>
    </row>
    <row r="79" spans="1:14" x14ac:dyDescent="0.25">
      <c r="A79" s="137"/>
      <c r="B79" s="134" t="s">
        <v>168</v>
      </c>
      <c r="C79" s="123"/>
      <c r="G79" s="58"/>
      <c r="H79" s="50"/>
      <c r="I79" s="134"/>
      <c r="J79" s="123"/>
      <c r="N79" s="58"/>
    </row>
    <row r="80" spans="1:14" ht="13" x14ac:dyDescent="0.3">
      <c r="A80" s="137"/>
      <c r="B80" s="134" t="s">
        <v>132</v>
      </c>
      <c r="C80" s="123"/>
      <c r="G80" s="58"/>
      <c r="H80" s="50"/>
      <c r="I80" s="130" t="s">
        <v>182</v>
      </c>
      <c r="J80" s="123"/>
      <c r="N80" s="58"/>
    </row>
    <row r="81" spans="1:14" x14ac:dyDescent="0.25">
      <c r="A81" s="137"/>
      <c r="B81" s="134"/>
      <c r="C81" s="123"/>
      <c r="G81" s="58"/>
      <c r="H81" s="50"/>
      <c r="I81" s="134" t="str">
        <f t="shared" ref="I81:I123" si="1">IFERROR(CONCATENATE("    &amp;",INDEX(_dyn_user_config_options,ROW(2:2)),","),"")</f>
        <v xml:space="preserve">    &amp;AM571x_DDR3L_666MHz_TI_AM571x_IDK,</v>
      </c>
      <c r="J81" s="123"/>
      <c r="N81" s="58"/>
    </row>
    <row r="82" spans="1:14" x14ac:dyDescent="0.25">
      <c r="A82" s="137"/>
      <c r="B82" s="134" t="s">
        <v>133</v>
      </c>
      <c r="C82" s="123"/>
      <c r="G82" s="58"/>
      <c r="H82" s="50"/>
      <c r="I82" s="134" t="str">
        <f t="shared" si="1"/>
        <v xml:space="preserve">    &amp;AM572x_DDR3L_532MHz_AMR_SysCtrl,</v>
      </c>
      <c r="J82" s="123"/>
      <c r="N82" s="58"/>
    </row>
    <row r="83" spans="1:14" x14ac:dyDescent="0.25">
      <c r="A83" s="137"/>
      <c r="B83" s="134"/>
      <c r="C83" s="123"/>
      <c r="G83" s="58"/>
      <c r="H83" s="50"/>
      <c r="I83" s="134" t="str">
        <f t="shared" si="1"/>
        <v xml:space="preserve">    &amp;AM572x_DDR3L_532MHz_TI_AM572x_EVM,</v>
      </c>
      <c r="J83" s="123"/>
      <c r="N83" s="58"/>
    </row>
    <row r="84" spans="1:14" ht="13" x14ac:dyDescent="0.3">
      <c r="A84" s="137"/>
      <c r="B84" s="130" t="s">
        <v>122</v>
      </c>
      <c r="C84" s="123"/>
      <c r="G84" s="58"/>
      <c r="H84" s="50"/>
      <c r="I84" s="134" t="str">
        <f t="shared" si="1"/>
        <v xml:space="preserve">    &amp;AM572x_DDR3L_532MHz_TI_AM572x_IDK,</v>
      </c>
      <c r="J84" s="123"/>
      <c r="N84" s="58"/>
    </row>
    <row r="85" spans="1:14" x14ac:dyDescent="0.25">
      <c r="A85" s="137"/>
      <c r="B85" s="134"/>
      <c r="C85" s="123"/>
      <c r="G85" s="58"/>
      <c r="H85" s="50"/>
      <c r="I85" s="134" t="str">
        <f t="shared" si="1"/>
        <v xml:space="preserve">    &amp;AM574x_DDR3L_666MHz_TI_AM574x_IDK,</v>
      </c>
      <c r="J85" s="123"/>
      <c r="N85" s="58"/>
    </row>
    <row r="86" spans="1:14" x14ac:dyDescent="0.25">
      <c r="A86" s="138"/>
      <c r="B86" s="134"/>
      <c r="C86" s="123"/>
      <c r="G86" s="58"/>
      <c r="H86" s="50"/>
      <c r="I86" s="134" t="str">
        <f t="shared" si="1"/>
        <v xml:space="preserve">    &amp;AM576x_DDR3L_532MHz_AMR_SysCtrl,</v>
      </c>
      <c r="J86" s="123"/>
      <c r="N86" s="58"/>
    </row>
    <row r="87" spans="1:14" x14ac:dyDescent="0.25">
      <c r="A87" s="138"/>
      <c r="B87" s="134"/>
      <c r="C87" s="123"/>
      <c r="G87" s="58"/>
      <c r="H87" s="50"/>
      <c r="I87" s="134" t="str">
        <f t="shared" si="1"/>
        <v/>
      </c>
      <c r="J87" s="123"/>
      <c r="N87" s="58"/>
    </row>
    <row r="88" spans="1:14" x14ac:dyDescent="0.25">
      <c r="A88" s="138"/>
      <c r="B88" s="134"/>
      <c r="C88" s="123"/>
      <c r="G88" s="58"/>
      <c r="H88" s="50"/>
      <c r="I88" s="134" t="str">
        <f t="shared" si="1"/>
        <v/>
      </c>
      <c r="J88" s="123"/>
      <c r="N88" s="58"/>
    </row>
    <row r="89" spans="1:14" x14ac:dyDescent="0.25">
      <c r="A89" s="138"/>
      <c r="B89" s="134"/>
      <c r="C89" s="123"/>
      <c r="G89" s="58"/>
      <c r="H89" s="50"/>
      <c r="I89" s="134" t="str">
        <f t="shared" si="1"/>
        <v/>
      </c>
      <c r="J89" s="123"/>
      <c r="N89" s="58"/>
    </row>
    <row r="90" spans="1:14" x14ac:dyDescent="0.25">
      <c r="A90" s="138"/>
      <c r="B90" s="134"/>
      <c r="C90" s="123"/>
      <c r="G90" s="58"/>
      <c r="H90" s="50"/>
      <c r="I90" s="134" t="str">
        <f t="shared" si="1"/>
        <v/>
      </c>
      <c r="J90" s="123"/>
      <c r="N90" s="58"/>
    </row>
    <row r="91" spans="1:14" x14ac:dyDescent="0.25">
      <c r="A91" s="138"/>
      <c r="B91" s="134"/>
      <c r="C91" s="123"/>
      <c r="G91" s="58"/>
      <c r="H91" s="50"/>
      <c r="I91" s="134" t="str">
        <f t="shared" si="1"/>
        <v/>
      </c>
      <c r="J91" s="123"/>
      <c r="N91" s="58"/>
    </row>
    <row r="92" spans="1:14" x14ac:dyDescent="0.25">
      <c r="A92" s="138"/>
      <c r="B92" s="134"/>
      <c r="C92" s="123"/>
      <c r="G92" s="58"/>
      <c r="H92" s="50"/>
      <c r="I92" s="134" t="str">
        <f t="shared" si="1"/>
        <v/>
      </c>
      <c r="J92" s="123"/>
      <c r="N92" s="58"/>
    </row>
    <row r="93" spans="1:14" x14ac:dyDescent="0.25">
      <c r="A93" s="138"/>
      <c r="B93" s="134"/>
      <c r="C93" s="123"/>
      <c r="G93" s="58"/>
      <c r="H93" s="50"/>
      <c r="I93" s="134" t="str">
        <f t="shared" si="1"/>
        <v/>
      </c>
      <c r="J93" s="123"/>
      <c r="N93" s="58"/>
    </row>
    <row r="94" spans="1:14" x14ac:dyDescent="0.25">
      <c r="A94" s="138"/>
      <c r="B94" s="134"/>
      <c r="C94" s="123"/>
      <c r="G94" s="58"/>
      <c r="H94" s="50"/>
      <c r="I94" s="134" t="str">
        <f t="shared" si="1"/>
        <v/>
      </c>
      <c r="J94" s="123"/>
      <c r="N94" s="58"/>
    </row>
    <row r="95" spans="1:14" x14ac:dyDescent="0.25">
      <c r="A95" s="138"/>
      <c r="B95" s="134"/>
      <c r="C95" s="123"/>
      <c r="G95" s="58"/>
      <c r="H95" s="50"/>
      <c r="I95" s="134" t="str">
        <f t="shared" si="1"/>
        <v/>
      </c>
      <c r="J95" s="123"/>
      <c r="N95" s="58"/>
    </row>
    <row r="96" spans="1:14" x14ac:dyDescent="0.25">
      <c r="A96" s="138"/>
      <c r="B96" s="135"/>
      <c r="G96" s="58"/>
      <c r="H96" s="50"/>
      <c r="I96" s="134" t="str">
        <f t="shared" si="1"/>
        <v/>
      </c>
      <c r="J96" s="85"/>
      <c r="N96" s="58"/>
    </row>
    <row r="97" spans="1:14" x14ac:dyDescent="0.25">
      <c r="A97" s="138"/>
      <c r="B97" s="136"/>
      <c r="G97" s="58"/>
      <c r="H97" s="50"/>
      <c r="I97" s="134" t="str">
        <f t="shared" si="1"/>
        <v/>
      </c>
      <c r="J97" s="85"/>
      <c r="N97" s="58"/>
    </row>
    <row r="98" spans="1:14" ht="13" x14ac:dyDescent="0.3">
      <c r="A98" s="58"/>
      <c r="B98" s="132"/>
      <c r="G98" s="58"/>
      <c r="H98" s="50"/>
      <c r="I98" s="134" t="str">
        <f t="shared" si="1"/>
        <v/>
      </c>
      <c r="J98" s="85"/>
      <c r="N98" s="58"/>
    </row>
    <row r="99" spans="1:14" x14ac:dyDescent="0.25">
      <c r="A99" s="58"/>
      <c r="B99" s="117"/>
      <c r="G99" s="58"/>
      <c r="H99" s="50"/>
      <c r="I99" s="134" t="str">
        <f t="shared" si="1"/>
        <v/>
      </c>
      <c r="J99" s="85"/>
      <c r="N99" s="58"/>
    </row>
    <row r="100" spans="1:14" x14ac:dyDescent="0.25">
      <c r="A100" s="58"/>
      <c r="B100" s="117"/>
      <c r="G100" s="58"/>
      <c r="H100" s="50"/>
      <c r="I100" s="134" t="str">
        <f t="shared" si="1"/>
        <v/>
      </c>
      <c r="J100" s="85"/>
      <c r="N100" s="58"/>
    </row>
    <row r="101" spans="1:14" x14ac:dyDescent="0.25">
      <c r="A101" s="58"/>
      <c r="B101" s="117"/>
      <c r="G101" s="58"/>
      <c r="H101" s="50"/>
      <c r="I101" s="134" t="str">
        <f t="shared" si="1"/>
        <v/>
      </c>
      <c r="J101" s="85"/>
      <c r="N101" s="58"/>
    </row>
    <row r="102" spans="1:14" x14ac:dyDescent="0.25">
      <c r="A102" s="58"/>
      <c r="B102" s="117"/>
      <c r="G102" s="58"/>
      <c r="H102" s="50"/>
      <c r="I102" s="134" t="str">
        <f t="shared" si="1"/>
        <v/>
      </c>
      <c r="J102" s="85"/>
      <c r="N102" s="58"/>
    </row>
    <row r="103" spans="1:14" x14ac:dyDescent="0.25">
      <c r="A103" s="58"/>
      <c r="B103" s="117"/>
      <c r="G103" s="58"/>
      <c r="H103" s="50"/>
      <c r="I103" s="134" t="str">
        <f t="shared" si="1"/>
        <v/>
      </c>
      <c r="J103" s="85"/>
      <c r="N103" s="58"/>
    </row>
    <row r="104" spans="1:14" x14ac:dyDescent="0.25">
      <c r="A104" s="58"/>
      <c r="B104" s="117"/>
      <c r="G104" s="58"/>
      <c r="H104" s="50"/>
      <c r="I104" s="134" t="str">
        <f t="shared" si="1"/>
        <v/>
      </c>
      <c r="J104" s="85"/>
      <c r="N104" s="58"/>
    </row>
    <row r="105" spans="1:14" x14ac:dyDescent="0.25">
      <c r="A105" s="58"/>
      <c r="B105" s="117"/>
      <c r="G105" s="58"/>
      <c r="H105" s="50"/>
      <c r="I105" s="134" t="str">
        <f t="shared" si="1"/>
        <v/>
      </c>
      <c r="J105" s="85"/>
      <c r="N105" s="58"/>
    </row>
    <row r="106" spans="1:14" x14ac:dyDescent="0.25">
      <c r="A106" s="58"/>
      <c r="B106" s="117"/>
      <c r="G106" s="58"/>
      <c r="H106" s="50"/>
      <c r="I106" s="134" t="str">
        <f t="shared" si="1"/>
        <v/>
      </c>
      <c r="J106" s="85"/>
      <c r="N106" s="58"/>
    </row>
    <row r="107" spans="1:14" x14ac:dyDescent="0.25">
      <c r="A107" s="58"/>
      <c r="B107" s="117"/>
      <c r="G107" s="58"/>
      <c r="H107" s="50"/>
      <c r="I107" s="134" t="str">
        <f t="shared" si="1"/>
        <v/>
      </c>
      <c r="J107" s="85"/>
      <c r="N107" s="58"/>
    </row>
    <row r="108" spans="1:14" x14ac:dyDescent="0.25">
      <c r="A108" s="58"/>
      <c r="B108" s="117"/>
      <c r="G108" s="58"/>
      <c r="H108" s="50"/>
      <c r="I108" s="134" t="str">
        <f t="shared" si="1"/>
        <v/>
      </c>
      <c r="J108" s="85"/>
      <c r="N108" s="58"/>
    </row>
    <row r="109" spans="1:14" x14ac:dyDescent="0.25">
      <c r="A109" s="58"/>
      <c r="B109" s="117"/>
      <c r="G109" s="58"/>
      <c r="H109" s="50"/>
      <c r="I109" s="134" t="str">
        <f t="shared" si="1"/>
        <v/>
      </c>
      <c r="J109" s="85"/>
      <c r="N109" s="58"/>
    </row>
    <row r="110" spans="1:14" x14ac:dyDescent="0.25">
      <c r="A110" s="58"/>
      <c r="B110" s="117"/>
      <c r="G110" s="58"/>
      <c r="H110" s="50"/>
      <c r="I110" s="134" t="str">
        <f t="shared" si="1"/>
        <v/>
      </c>
      <c r="J110" s="85"/>
      <c r="N110" s="58"/>
    </row>
    <row r="111" spans="1:14" x14ac:dyDescent="0.25">
      <c r="A111" s="58"/>
      <c r="B111" s="117"/>
      <c r="G111" s="58"/>
      <c r="H111" s="50"/>
      <c r="I111" s="134" t="str">
        <f t="shared" si="1"/>
        <v/>
      </c>
      <c r="J111" s="85"/>
      <c r="N111" s="58"/>
    </row>
    <row r="112" spans="1:14" x14ac:dyDescent="0.25">
      <c r="A112" s="58"/>
      <c r="B112" s="117"/>
      <c r="G112" s="58"/>
      <c r="H112" s="50"/>
      <c r="I112" s="134" t="str">
        <f t="shared" si="1"/>
        <v/>
      </c>
      <c r="J112" s="85"/>
      <c r="N112" s="58"/>
    </row>
    <row r="113" spans="1:14" x14ac:dyDescent="0.25">
      <c r="A113" s="58"/>
      <c r="B113" s="117"/>
      <c r="G113" s="58"/>
      <c r="H113" s="50"/>
      <c r="I113" s="134" t="str">
        <f t="shared" si="1"/>
        <v/>
      </c>
      <c r="J113" s="85"/>
      <c r="N113" s="58"/>
    </row>
    <row r="114" spans="1:14" x14ac:dyDescent="0.25">
      <c r="A114" s="58"/>
      <c r="B114" s="117"/>
      <c r="G114" s="58"/>
      <c r="H114" s="50"/>
      <c r="I114" s="134" t="str">
        <f t="shared" si="1"/>
        <v/>
      </c>
      <c r="J114" s="85"/>
      <c r="N114" s="58"/>
    </row>
    <row r="115" spans="1:14" x14ac:dyDescent="0.25">
      <c r="A115" s="58"/>
      <c r="B115" s="117"/>
      <c r="G115" s="58"/>
      <c r="H115" s="50"/>
      <c r="I115" s="134" t="str">
        <f t="shared" si="1"/>
        <v/>
      </c>
      <c r="J115" s="85"/>
      <c r="N115" s="58"/>
    </row>
    <row r="116" spans="1:14" x14ac:dyDescent="0.25">
      <c r="A116" s="58"/>
      <c r="B116" s="117"/>
      <c r="G116" s="58"/>
      <c r="H116" s="50"/>
      <c r="I116" s="134" t="str">
        <f t="shared" si="1"/>
        <v/>
      </c>
      <c r="J116" s="85"/>
      <c r="N116" s="58"/>
    </row>
    <row r="117" spans="1:14" x14ac:dyDescent="0.25">
      <c r="A117" s="58"/>
      <c r="B117" s="117"/>
      <c r="G117" s="58"/>
      <c r="H117" s="50"/>
      <c r="I117" s="134" t="str">
        <f t="shared" si="1"/>
        <v/>
      </c>
      <c r="J117" s="85"/>
      <c r="N117" s="58"/>
    </row>
    <row r="118" spans="1:14" x14ac:dyDescent="0.25">
      <c r="A118" s="58"/>
      <c r="B118" s="117"/>
      <c r="G118" s="58"/>
      <c r="H118" s="50"/>
      <c r="I118" s="134" t="str">
        <f t="shared" si="1"/>
        <v/>
      </c>
      <c r="J118" s="85"/>
      <c r="N118" s="58"/>
    </row>
    <row r="119" spans="1:14" x14ac:dyDescent="0.25">
      <c r="A119" s="58"/>
      <c r="B119" s="117"/>
      <c r="G119" s="58"/>
      <c r="H119" s="50"/>
      <c r="I119" s="134" t="str">
        <f t="shared" si="1"/>
        <v/>
      </c>
      <c r="J119" s="85"/>
      <c r="N119" s="58"/>
    </row>
    <row r="120" spans="1:14" x14ac:dyDescent="0.25">
      <c r="A120" s="58"/>
      <c r="B120" s="117"/>
      <c r="G120" s="58"/>
      <c r="H120" s="50"/>
      <c r="I120" s="134" t="str">
        <f t="shared" si="1"/>
        <v/>
      </c>
      <c r="J120" s="85"/>
      <c r="N120" s="58"/>
    </row>
    <row r="121" spans="1:14" x14ac:dyDescent="0.25">
      <c r="A121" s="58"/>
      <c r="B121" s="117"/>
      <c r="G121" s="58"/>
      <c r="H121" s="50"/>
      <c r="I121" s="134" t="str">
        <f t="shared" si="1"/>
        <v/>
      </c>
      <c r="J121" s="85"/>
      <c r="N121" s="58"/>
    </row>
    <row r="122" spans="1:14" x14ac:dyDescent="0.25">
      <c r="A122" s="58"/>
      <c r="B122" s="117"/>
      <c r="G122" s="58"/>
      <c r="H122" s="50"/>
      <c r="I122" s="134" t="str">
        <f t="shared" si="1"/>
        <v/>
      </c>
      <c r="J122" s="85"/>
      <c r="N122" s="58"/>
    </row>
    <row r="123" spans="1:14" x14ac:dyDescent="0.25">
      <c r="A123" s="58"/>
      <c r="B123" s="117"/>
      <c r="G123" s="58"/>
      <c r="H123" s="50"/>
      <c r="I123" s="134" t="str">
        <f t="shared" si="1"/>
        <v/>
      </c>
      <c r="J123" s="85"/>
      <c r="N123" s="58"/>
    </row>
    <row r="124" spans="1:14" x14ac:dyDescent="0.25">
      <c r="A124" s="58"/>
      <c r="B124" s="117"/>
      <c r="G124" s="58"/>
      <c r="H124" s="50"/>
      <c r="I124" s="134" t="s">
        <v>122</v>
      </c>
      <c r="J124" s="85"/>
      <c r="N124" s="58"/>
    </row>
    <row r="125" spans="1:14" x14ac:dyDescent="0.25">
      <c r="A125" s="58"/>
      <c r="B125" s="117"/>
      <c r="G125" s="58"/>
      <c r="H125" s="50"/>
      <c r="I125" s="134"/>
      <c r="J125" s="85"/>
      <c r="N125" s="58"/>
    </row>
    <row r="126" spans="1:14" x14ac:dyDescent="0.25">
      <c r="A126" s="58"/>
      <c r="B126" s="117"/>
      <c r="G126" s="58"/>
      <c r="H126" s="50"/>
      <c r="I126" s="134"/>
      <c r="J126" s="85"/>
      <c r="N126" s="58"/>
    </row>
    <row r="127" spans="1:14" x14ac:dyDescent="0.25">
      <c r="A127" s="58"/>
      <c r="B127" s="117"/>
      <c r="G127" s="58"/>
      <c r="H127" s="50"/>
      <c r="I127" s="134"/>
      <c r="J127" s="85"/>
      <c r="N127" s="58"/>
    </row>
    <row r="128" spans="1:14" x14ac:dyDescent="0.25">
      <c r="A128" s="58"/>
      <c r="B128" s="117"/>
      <c r="G128" s="58"/>
      <c r="H128" s="50"/>
      <c r="I128" s="134"/>
      <c r="J128" s="85"/>
      <c r="N128" s="58"/>
    </row>
    <row r="129" spans="1:14" x14ac:dyDescent="0.25">
      <c r="A129" s="58"/>
      <c r="B129" s="117"/>
      <c r="G129" s="58"/>
      <c r="H129" s="50"/>
      <c r="I129" s="134"/>
      <c r="J129" s="85"/>
      <c r="N129" s="58"/>
    </row>
    <row r="130" spans="1:14" x14ac:dyDescent="0.25">
      <c r="A130" s="58"/>
      <c r="B130" s="117"/>
      <c r="G130" s="58"/>
      <c r="H130" s="50"/>
      <c r="I130" s="117"/>
      <c r="J130" s="85"/>
      <c r="N130" s="58"/>
    </row>
    <row r="131" spans="1:14" x14ac:dyDescent="0.25">
      <c r="A131" s="58"/>
      <c r="B131" s="117"/>
      <c r="G131" s="58"/>
      <c r="H131" s="50"/>
      <c r="I131" s="117"/>
      <c r="J131" s="85"/>
      <c r="N131" s="58"/>
    </row>
    <row r="132" spans="1:14" x14ac:dyDescent="0.25">
      <c r="A132" s="58"/>
      <c r="B132" s="117"/>
      <c r="G132" s="58"/>
      <c r="H132" s="50"/>
      <c r="I132" s="117"/>
      <c r="J132" s="85"/>
      <c r="N132" s="58"/>
    </row>
    <row r="133" spans="1:14" x14ac:dyDescent="0.25">
      <c r="A133" s="58"/>
      <c r="B133" s="117"/>
      <c r="G133" s="58"/>
      <c r="H133" s="50"/>
      <c r="I133" s="117"/>
      <c r="J133" s="85"/>
      <c r="N133" s="58"/>
    </row>
    <row r="134" spans="1:14" x14ac:dyDescent="0.25">
      <c r="A134" s="58"/>
      <c r="B134" s="117"/>
      <c r="G134" s="58"/>
      <c r="H134" s="50"/>
      <c r="I134" s="117"/>
      <c r="J134" s="85"/>
      <c r="N134" s="58"/>
    </row>
    <row r="135" spans="1:14" ht="13" x14ac:dyDescent="0.3">
      <c r="A135" s="58"/>
      <c r="B135" s="118"/>
      <c r="G135" s="58"/>
      <c r="H135" s="50"/>
      <c r="I135" s="132" t="s">
        <v>137</v>
      </c>
      <c r="J135" s="85"/>
      <c r="N135" s="58"/>
    </row>
    <row r="136" spans="1:14" ht="13" thickBot="1" x14ac:dyDescent="0.3">
      <c r="A136" s="58"/>
      <c r="B136" s="139"/>
      <c r="C136" s="128"/>
      <c r="D136" s="127"/>
      <c r="E136" s="127"/>
      <c r="F136" s="127"/>
      <c r="G136" s="129"/>
      <c r="H136" s="50"/>
      <c r="I136" s="139"/>
      <c r="J136" s="128"/>
      <c r="K136" s="127"/>
      <c r="L136" s="127"/>
      <c r="M136" s="127"/>
      <c r="N136" s="129"/>
    </row>
    <row r="137" spans="1:14" ht="13" thickTop="1" x14ac:dyDescent="0.25">
      <c r="A137" s="24"/>
      <c r="B137" s="140"/>
      <c r="C137" s="141"/>
      <c r="D137" s="125"/>
      <c r="E137" s="125"/>
      <c r="F137" s="125"/>
      <c r="G137" s="125"/>
      <c r="H137" s="50"/>
    </row>
    <row r="138" spans="1:14" x14ac:dyDescent="0.25">
      <c r="A138" s="24"/>
      <c r="H138" s="50"/>
    </row>
    <row r="139" spans="1:14" x14ac:dyDescent="0.25">
      <c r="A139" s="51"/>
      <c r="B139" s="51"/>
      <c r="C139" s="83"/>
      <c r="D139" s="51"/>
      <c r="E139" s="51"/>
      <c r="F139" s="51"/>
      <c r="G139" s="51"/>
    </row>
    <row r="141" spans="1:14" x14ac:dyDescent="0.25">
      <c r="A141" s="24"/>
      <c r="D141" s="50"/>
    </row>
    <row r="142" spans="1:14" x14ac:dyDescent="0.25">
      <c r="A142" s="24"/>
      <c r="D142" s="50"/>
    </row>
    <row r="143" spans="1:14" x14ac:dyDescent="0.25">
      <c r="A143" s="24"/>
      <c r="D143" s="50"/>
    </row>
    <row r="144" spans="1:14" x14ac:dyDescent="0.25">
      <c r="A144" s="24"/>
      <c r="D144" s="50"/>
    </row>
    <row r="145" spans="1:4" x14ac:dyDescent="0.25">
      <c r="A145" s="24"/>
      <c r="D145" s="50"/>
    </row>
    <row r="146" spans="1:4" x14ac:dyDescent="0.25">
      <c r="A146" s="24"/>
      <c r="D146" s="50"/>
    </row>
    <row r="147" spans="1:4" x14ac:dyDescent="0.25">
      <c r="A147" s="24"/>
      <c r="D147" s="50"/>
    </row>
    <row r="148" spans="1:4" x14ac:dyDescent="0.25">
      <c r="A148" s="24"/>
      <c r="D148" s="50"/>
    </row>
    <row r="149" spans="1:4" x14ac:dyDescent="0.25">
      <c r="A149" s="24"/>
      <c r="D149" s="50"/>
    </row>
    <row r="150" spans="1:4" x14ac:dyDescent="0.25">
      <c r="A150" s="24"/>
      <c r="D150" s="50"/>
    </row>
    <row r="151" spans="1:4" x14ac:dyDescent="0.25">
      <c r="A151" s="24"/>
      <c r="D151" s="50"/>
    </row>
    <row r="152" spans="1:4" x14ac:dyDescent="0.25">
      <c r="A152" s="24"/>
      <c r="D152" s="50"/>
    </row>
    <row r="153" spans="1:4" x14ac:dyDescent="0.25">
      <c r="A153" s="24"/>
      <c r="D153" s="50"/>
    </row>
    <row r="154" spans="1:4" x14ac:dyDescent="0.25">
      <c r="A154" s="24"/>
      <c r="D154" s="50"/>
    </row>
    <row r="155" spans="1:4" x14ac:dyDescent="0.25">
      <c r="A155" s="24"/>
      <c r="D155" s="50"/>
    </row>
    <row r="156" spans="1:4" x14ac:dyDescent="0.25">
      <c r="A156" s="24"/>
      <c r="D156" s="50"/>
    </row>
    <row r="157" spans="1:4" x14ac:dyDescent="0.25">
      <c r="A157" s="24"/>
      <c r="D157" s="50"/>
    </row>
    <row r="158" spans="1:4" x14ac:dyDescent="0.25">
      <c r="A158" s="24"/>
      <c r="D158" s="50"/>
    </row>
    <row r="159" spans="1:4" x14ac:dyDescent="0.25">
      <c r="A159" s="24"/>
      <c r="D159" s="50"/>
    </row>
    <row r="160" spans="1:4" x14ac:dyDescent="0.25">
      <c r="A160" s="24"/>
      <c r="D160" s="50"/>
    </row>
    <row r="161" spans="1:4" x14ac:dyDescent="0.25">
      <c r="A161" s="24"/>
      <c r="D161" s="50"/>
    </row>
    <row r="162" spans="1:4" x14ac:dyDescent="0.25">
      <c r="A162" s="24"/>
      <c r="D162" s="50"/>
    </row>
    <row r="163" spans="1:4" x14ac:dyDescent="0.25">
      <c r="A163" s="24"/>
      <c r="D163" s="50"/>
    </row>
    <row r="164" spans="1:4" x14ac:dyDescent="0.25">
      <c r="A164" s="24"/>
      <c r="D164" s="50"/>
    </row>
    <row r="165" spans="1:4" x14ac:dyDescent="0.25">
      <c r="A165" s="24"/>
      <c r="D165" s="50"/>
    </row>
    <row r="166" spans="1:4" x14ac:dyDescent="0.25">
      <c r="A166" s="24"/>
      <c r="D166" s="50"/>
    </row>
    <row r="167" spans="1:4" x14ac:dyDescent="0.25">
      <c r="A167" s="24"/>
      <c r="D167" s="50"/>
    </row>
    <row r="168" spans="1:4" x14ac:dyDescent="0.25">
      <c r="A168" s="24"/>
      <c r="D168" s="50"/>
    </row>
    <row r="169" spans="1:4" x14ac:dyDescent="0.25">
      <c r="A169" s="24"/>
      <c r="D169" s="50"/>
    </row>
    <row r="170" spans="1:4" x14ac:dyDescent="0.25">
      <c r="A170" s="24"/>
      <c r="D170" s="50"/>
    </row>
    <row r="171" spans="1:4" x14ac:dyDescent="0.25">
      <c r="A171" s="24"/>
      <c r="D171" s="50"/>
    </row>
    <row r="172" spans="1:4" x14ac:dyDescent="0.25">
      <c r="A172" s="24"/>
      <c r="D172" s="50"/>
    </row>
    <row r="173" spans="1:4" x14ac:dyDescent="0.25">
      <c r="A173" s="24"/>
      <c r="D173" s="50"/>
    </row>
  </sheetData>
  <sheetProtection password="D41E" sheet="1" objects="1" scenarios="1"/>
  <mergeCells count="2">
    <mergeCell ref="B1:G4"/>
    <mergeCell ref="B5:G7"/>
  </mergeCells>
  <pageMargins left="0.7" right="0.7" top="0.75" bottom="0.75" header="0.3" footer="0.3"/>
  <pageSetup orientation="portrait" r:id="rId1"/>
  <headerFooter>
    <oddHeader>&amp;C&amp;G</oddHeader>
  </headerFooter>
  <drawing r:id="rId2"/>
  <legacyDrawingHF r:id="rId3"/>
  <picture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00B050"/>
  </sheetPr>
  <dimension ref="A1:M183"/>
  <sheetViews>
    <sheetView tabSelected="1" zoomScaleNormal="100" workbookViewId="0"/>
  </sheetViews>
  <sheetFormatPr defaultColWidth="20.7265625" defaultRowHeight="12.5" x14ac:dyDescent="0.25"/>
  <cols>
    <col min="1" max="1" width="9.1796875" style="24" customWidth="1"/>
    <col min="2" max="2" width="9.1796875" style="26" customWidth="1"/>
    <col min="3" max="3" width="20.7265625" style="26"/>
    <col min="4" max="4" width="20.7265625" style="85"/>
    <col min="5" max="8" width="20.7265625" style="26"/>
    <col min="9" max="9" width="9.1796875" style="26" customWidth="1"/>
    <col min="10" max="16384" width="20.7265625" style="26"/>
  </cols>
  <sheetData>
    <row r="1" spans="1:13" ht="12.75" customHeight="1" x14ac:dyDescent="0.3">
      <c r="A1" s="236"/>
      <c r="B1" s="236"/>
      <c r="C1" s="239"/>
      <c r="D1" s="239"/>
      <c r="E1" s="239"/>
      <c r="F1" s="239"/>
      <c r="G1" s="239"/>
      <c r="H1" s="239"/>
      <c r="I1" s="239"/>
      <c r="J1" s="115"/>
      <c r="K1" s="51"/>
      <c r="L1" s="51"/>
      <c r="M1" s="51"/>
    </row>
    <row r="2" spans="1:13" ht="12.75" customHeight="1" x14ac:dyDescent="0.3">
      <c r="A2" s="236"/>
      <c r="B2" s="435" t="str">
        <f>'Title-README'!$B$9</f>
        <v>Date: November 2nd, 2019</v>
      </c>
      <c r="C2" s="436"/>
      <c r="D2" s="436"/>
      <c r="E2" s="436"/>
      <c r="F2" s="436"/>
      <c r="G2" s="436"/>
      <c r="H2" s="436"/>
      <c r="I2" s="437"/>
      <c r="J2" s="115"/>
      <c r="K2" s="51"/>
      <c r="L2" s="51"/>
      <c r="M2" s="51"/>
    </row>
    <row r="3" spans="1:13" ht="12.75" customHeight="1" x14ac:dyDescent="0.3">
      <c r="A3" s="236"/>
      <c r="B3" s="435" t="str">
        <f>'Title-README'!$B$11</f>
        <v>Revision: 2.0.3</v>
      </c>
      <c r="C3" s="436"/>
      <c r="D3" s="436"/>
      <c r="E3" s="436"/>
      <c r="F3" s="436"/>
      <c r="G3" s="436"/>
      <c r="H3" s="436"/>
      <c r="I3" s="437"/>
      <c r="J3" s="115"/>
      <c r="K3" s="51"/>
      <c r="L3" s="51"/>
      <c r="M3" s="51"/>
    </row>
    <row r="4" spans="1:13" ht="12.75" customHeight="1" x14ac:dyDescent="0.3">
      <c r="A4" s="236"/>
      <c r="B4" s="520" t="s">
        <v>660</v>
      </c>
      <c r="C4" s="521"/>
      <c r="D4" s="521"/>
      <c r="E4" s="521"/>
      <c r="F4" s="521"/>
      <c r="G4" s="521"/>
      <c r="H4" s="521"/>
      <c r="I4" s="522"/>
      <c r="J4" s="115"/>
      <c r="K4" s="51"/>
      <c r="L4" s="51"/>
      <c r="M4" s="51"/>
    </row>
    <row r="5" spans="1:13" ht="12.75" customHeight="1" x14ac:dyDescent="0.3">
      <c r="A5" s="236"/>
      <c r="B5" s="487"/>
      <c r="C5" s="488"/>
      <c r="D5" s="488"/>
      <c r="E5" s="488"/>
      <c r="F5" s="488"/>
      <c r="G5" s="488"/>
      <c r="H5" s="488"/>
      <c r="I5" s="489"/>
      <c r="J5" s="115"/>
      <c r="K5" s="51"/>
      <c r="L5" s="51"/>
      <c r="M5" s="51"/>
    </row>
    <row r="6" spans="1:13" ht="12.75" customHeight="1" thickBot="1" x14ac:dyDescent="0.35">
      <c r="A6" s="236"/>
      <c r="B6" s="487"/>
      <c r="C6" s="488"/>
      <c r="D6" s="488"/>
      <c r="E6" s="488"/>
      <c r="F6" s="488"/>
      <c r="G6" s="488"/>
      <c r="H6" s="488"/>
      <c r="I6" s="489"/>
      <c r="J6" s="115"/>
      <c r="K6" s="51"/>
      <c r="L6" s="51"/>
      <c r="M6" s="51"/>
    </row>
    <row r="7" spans="1:13" ht="12.75" customHeight="1" thickTop="1" x14ac:dyDescent="0.3">
      <c r="A7" s="244"/>
      <c r="B7" s="523" t="s">
        <v>198</v>
      </c>
      <c r="C7" s="524"/>
      <c r="D7" s="524"/>
      <c r="E7" s="524"/>
      <c r="F7" s="524"/>
      <c r="G7" s="524"/>
      <c r="H7" s="524"/>
      <c r="I7" s="525"/>
      <c r="J7" s="145"/>
      <c r="K7" s="51"/>
      <c r="L7" s="51"/>
      <c r="M7" s="51"/>
    </row>
    <row r="8" spans="1:13" ht="12.75" customHeight="1" x14ac:dyDescent="0.3">
      <c r="A8" s="238"/>
      <c r="B8" s="526"/>
      <c r="C8" s="527"/>
      <c r="D8" s="527"/>
      <c r="E8" s="527"/>
      <c r="F8" s="527"/>
      <c r="G8" s="527"/>
      <c r="H8" s="527"/>
      <c r="I8" s="528"/>
      <c r="J8" s="146"/>
      <c r="K8" s="51"/>
      <c r="L8" s="51"/>
      <c r="M8" s="51"/>
    </row>
    <row r="9" spans="1:13" ht="12.75" customHeight="1" x14ac:dyDescent="0.3">
      <c r="A9" s="238"/>
      <c r="B9" s="248" t="s">
        <v>98</v>
      </c>
      <c r="C9" s="289" t="s">
        <v>214</v>
      </c>
      <c r="D9" s="290"/>
      <c r="E9" s="290"/>
      <c r="F9" s="290"/>
      <c r="G9" s="290"/>
      <c r="H9" s="290"/>
      <c r="I9" s="291"/>
      <c r="J9" s="146"/>
      <c r="K9" s="51"/>
      <c r="L9" s="51"/>
      <c r="M9" s="51"/>
    </row>
    <row r="10" spans="1:13" ht="12.75" customHeight="1" x14ac:dyDescent="0.3">
      <c r="A10" s="238"/>
      <c r="B10" s="278"/>
      <c r="C10" s="246" t="s">
        <v>215</v>
      </c>
      <c r="D10" s="246"/>
      <c r="E10" s="294"/>
      <c r="F10" s="294"/>
      <c r="G10" s="301"/>
      <c r="H10" s="301"/>
      <c r="I10" s="279"/>
      <c r="J10" s="30"/>
      <c r="K10" s="51"/>
      <c r="L10" s="51"/>
      <c r="M10" s="51"/>
    </row>
    <row r="11" spans="1:13" ht="12.75" customHeight="1" thickBot="1" x14ac:dyDescent="0.35">
      <c r="A11" s="238"/>
      <c r="B11" s="280"/>
      <c r="C11" s="276"/>
      <c r="D11" s="303"/>
      <c r="E11" s="276"/>
      <c r="F11" s="276"/>
      <c r="G11" s="277"/>
      <c r="H11" s="277"/>
      <c r="I11" s="281"/>
      <c r="J11" s="30"/>
      <c r="K11" s="51"/>
      <c r="L11" s="51"/>
      <c r="M11" s="51"/>
    </row>
    <row r="12" spans="1:13" ht="12.75" customHeight="1" thickTop="1" thickBot="1" x14ac:dyDescent="0.3">
      <c r="A12" s="235"/>
      <c r="B12" s="51"/>
      <c r="C12" s="109"/>
      <c r="D12" s="124"/>
      <c r="E12" s="109"/>
      <c r="F12" s="109"/>
      <c r="G12" s="109"/>
      <c r="H12" s="109"/>
      <c r="I12" s="51"/>
      <c r="J12" s="51"/>
      <c r="K12" s="51"/>
      <c r="L12" s="51"/>
      <c r="M12" s="51"/>
    </row>
    <row r="13" spans="1:13" ht="13" thickTop="1" x14ac:dyDescent="0.25">
      <c r="B13" s="24"/>
      <c r="C13" s="182"/>
      <c r="D13" s="183"/>
      <c r="E13" s="140"/>
      <c r="F13" s="140"/>
      <c r="G13" s="140"/>
      <c r="H13" s="184"/>
      <c r="I13" s="50"/>
    </row>
    <row r="14" spans="1:13" ht="13" x14ac:dyDescent="0.3">
      <c r="B14" s="24"/>
      <c r="C14" s="144" t="str">
        <f>_user_config_name_txt17</f>
        <v>static void AM576x_DDR3L_532MHz_AMR_SysCtrl (uint32_t base_addr)</v>
      </c>
      <c r="D14" s="186"/>
      <c r="E14" s="77"/>
      <c r="F14" s="77"/>
      <c r="G14" s="77"/>
      <c r="H14" s="187"/>
      <c r="I14" s="50"/>
    </row>
    <row r="15" spans="1:13" x14ac:dyDescent="0.25">
      <c r="B15" s="24"/>
      <c r="C15" s="185" t="s">
        <v>184</v>
      </c>
      <c r="D15" s="186"/>
      <c r="E15" s="77"/>
      <c r="F15" s="77"/>
      <c r="G15" s="77"/>
      <c r="H15" s="187"/>
      <c r="I15" s="50"/>
    </row>
    <row r="16" spans="1:13" x14ac:dyDescent="0.25">
      <c r="B16" s="24"/>
      <c r="C16" s="185" t="str">
        <f>CONCATENATE("    SDRAM_TIM_1 = 0x",_EMIF_SDRAM_TIM_1_VAL,"U;")</f>
        <v xml:space="preserve">    SDRAM_TIM_1 = 0xCEEF2673U;</v>
      </c>
      <c r="D16" s="143"/>
      <c r="E16" s="66"/>
      <c r="F16" s="66"/>
      <c r="G16" s="66"/>
      <c r="H16" s="138"/>
      <c r="I16" s="50"/>
    </row>
    <row r="17" spans="2:9" x14ac:dyDescent="0.25">
      <c r="B17" s="24"/>
      <c r="C17" s="118" t="str">
        <f>CONCATENATE("    SDRAM_TIM_2 = 0x",_EMIF_SDRAM_TIM_2_VAL,"U;")</f>
        <v xml:space="preserve">    SDRAM_TIM_2 = 0x30BF7FDAU;</v>
      </c>
      <c r="D17" s="188"/>
      <c r="E17" s="66"/>
      <c r="F17" s="66"/>
      <c r="G17" s="66"/>
      <c r="H17" s="138"/>
      <c r="I17" s="50"/>
    </row>
    <row r="18" spans="2:9" x14ac:dyDescent="0.25">
      <c r="B18" s="24"/>
      <c r="C18" s="118" t="str">
        <f>CONCATENATE("    SDRAM_TIM_3 = 0x",_EMIF_SDRAM_TIM_3_VAL,"U;")</f>
        <v xml:space="preserve">    SDRAM_TIM_3 = 0x407F8BA8U;</v>
      </c>
      <c r="D18" s="188"/>
      <c r="E18" s="66"/>
      <c r="F18" s="66"/>
      <c r="G18" s="66"/>
      <c r="H18" s="138"/>
      <c r="I18" s="50"/>
    </row>
    <row r="19" spans="2:9" x14ac:dyDescent="0.25">
      <c r="B19" s="24"/>
      <c r="C19" s="118"/>
      <c r="D19" s="188"/>
      <c r="E19" s="66"/>
      <c r="F19" s="66"/>
      <c r="G19" s="66"/>
      <c r="H19" s="138"/>
      <c r="I19" s="50"/>
    </row>
    <row r="20" spans="2:9" x14ac:dyDescent="0.25">
      <c r="B20" s="24"/>
      <c r="C20" s="118" t="str">
        <f>CONCATENATE("    SDRAM_REF_CTRL = 0x",_EMIF_SDRAM_REF_CTRL_VAL,"U;")</f>
        <v xml:space="preserve">    SDRAM_REF_CTRL = 0x00001035U;</v>
      </c>
      <c r="D20" s="188"/>
      <c r="E20" s="66"/>
      <c r="F20" s="66"/>
      <c r="G20" s="66"/>
      <c r="H20" s="138"/>
      <c r="I20" s="50"/>
    </row>
    <row r="21" spans="2:9" x14ac:dyDescent="0.25">
      <c r="B21" s="24"/>
      <c r="C21" s="118" t="str">
        <f>CONCATENATE("    SDRAM_REF_CTRL_INIT = 0x",_EMIF_SDRAM_REF_CTRL_INIT_VAL,"U;")</f>
        <v xml:space="preserve">    SDRAM_REF_CTRL_INIT = 0x000040F1U;</v>
      </c>
      <c r="D21" s="188"/>
      <c r="E21" s="66"/>
      <c r="F21" s="66"/>
      <c r="G21" s="66"/>
      <c r="H21" s="138"/>
      <c r="I21" s="50"/>
    </row>
    <row r="22" spans="2:9" x14ac:dyDescent="0.25">
      <c r="B22" s="24"/>
      <c r="C22" s="118" t="str">
        <f ca="1">CONCATENATE("    SDRAM_CONFIG = 0x",_EMIF_SDRAM_CONFIG_VAL,"U;")</f>
        <v xml:space="preserve">    SDRAM_CONFIG = 0x61873BB2U;</v>
      </c>
      <c r="D22" s="189"/>
      <c r="E22" s="66"/>
      <c r="F22" s="66"/>
      <c r="G22" s="66"/>
      <c r="H22" s="138"/>
      <c r="I22" s="50"/>
    </row>
    <row r="23" spans="2:9" x14ac:dyDescent="0.25">
      <c r="B23" s="24"/>
      <c r="C23" s="118"/>
      <c r="D23" s="120"/>
      <c r="E23" s="66"/>
      <c r="F23" s="66"/>
      <c r="G23" s="66"/>
      <c r="H23" s="138"/>
      <c r="I23" s="50"/>
    </row>
    <row r="24" spans="2:9" x14ac:dyDescent="0.25">
      <c r="B24" s="24"/>
      <c r="C24" s="134" t="str">
        <f ca="1">CONCATENATE("    EMIF_PHY_READ_LATENCY = 0x",DEC2HEX(_phy_rd_rl_delay),"U;")</f>
        <v xml:space="preserve">    EMIF_PHY_READ_LATENCY = 0xFU;</v>
      </c>
      <c r="D24" s="188"/>
      <c r="E24" s="66"/>
      <c r="F24" s="66"/>
      <c r="G24" s="66"/>
      <c r="H24" s="138"/>
      <c r="I24" s="50"/>
    </row>
    <row r="25" spans="2:9" x14ac:dyDescent="0.25">
      <c r="B25" s="24"/>
      <c r="C25" s="118" t="str">
        <f>CONCATENATE("    EMIF_PHY_INVERT_CLKOUT = 0x",DEC2HEX(_phy_invert_clk),"U;")</f>
        <v xml:space="preserve">    EMIF_PHY_INVERT_CLKOUT = 0x1U;</v>
      </c>
      <c r="D25" s="188"/>
      <c r="E25" s="66"/>
      <c r="F25" s="66"/>
      <c r="G25" s="66"/>
      <c r="H25" s="138"/>
      <c r="I25" s="50"/>
    </row>
    <row r="26" spans="2:9" x14ac:dyDescent="0.25">
      <c r="B26" s="24"/>
      <c r="C26" s="118" t="str">
        <f>CONCATENATE("    EMIF_PHY_HALF_DELAY_MODE = 0x",DEC2HEX(_phy_half_delay),"U;")</f>
        <v xml:space="preserve">    EMIF_PHY_HALF_DELAY_MODE = 0x1U;</v>
      </c>
      <c r="D26" s="188"/>
      <c r="E26" s="66"/>
      <c r="F26" s="66"/>
      <c r="G26" s="66"/>
      <c r="H26" s="138"/>
      <c r="I26" s="50"/>
    </row>
    <row r="27" spans="2:9" x14ac:dyDescent="0.25">
      <c r="B27" s="24"/>
      <c r="C27" s="185" t="str">
        <f>CONCATENATE("    EMIF_PHY_DQ_OFFSET = 0x",DEC2HEX(_phy_dq_offset0),"U;")</f>
        <v xml:space="preserve">    EMIF_PHY_DQ_OFFSET = 0x40U;</v>
      </c>
      <c r="D27" s="188"/>
      <c r="E27" s="66"/>
      <c r="F27" s="66"/>
      <c r="G27" s="66"/>
      <c r="H27" s="138"/>
      <c r="I27" s="50"/>
    </row>
    <row r="28" spans="2:9" x14ac:dyDescent="0.25">
      <c r="B28" s="24"/>
      <c r="C28" s="185" t="str">
        <f>CONCATENATE("    EMIF_PHY_CTRL_SLAVE_RATIO = 0x",DEC2HEX(_phy_ctrl_delay),"U;")</f>
        <v xml:space="preserve">    EMIF_PHY_CTRL_SLAVE_RATIO = 0x80U;</v>
      </c>
      <c r="D28" s="188"/>
      <c r="E28" s="66"/>
      <c r="F28" s="66"/>
      <c r="G28" s="66"/>
      <c r="H28" s="138"/>
      <c r="I28" s="50"/>
    </row>
    <row r="29" spans="2:9" x14ac:dyDescent="0.25">
      <c r="B29" s="24"/>
      <c r="C29" s="118"/>
      <c r="D29" s="188"/>
      <c r="E29" s="66"/>
      <c r="F29" s="66"/>
      <c r="G29" s="66"/>
      <c r="H29" s="138"/>
      <c r="I29" s="50"/>
    </row>
    <row r="30" spans="2:9" x14ac:dyDescent="0.25">
      <c r="B30" s="24"/>
      <c r="C30" s="118" t="str">
        <f>CONCATENATE("    DISABLE_READ_LEVELING = 0x",_phy_rdlvl_mask,"U;")</f>
        <v xml:space="preserve">    DISABLE_READ_LEVELING = 0x0U;</v>
      </c>
      <c r="D30" s="188"/>
      <c r="E30" s="66"/>
      <c r="F30" s="66"/>
      <c r="G30" s="66"/>
      <c r="H30" s="138"/>
      <c r="I30" s="50"/>
    </row>
    <row r="31" spans="2:9" x14ac:dyDescent="0.25">
      <c r="B31" s="24"/>
      <c r="C31" s="118" t="str">
        <f>CONCATENATE("    DISABLE_READ_GATE_LEVELING = 0x",_phy_rdlvlgate_mask,"U;")</f>
        <v xml:space="preserve">    DISABLE_READ_GATE_LEVELING = 0x0U;</v>
      </c>
      <c r="D31" s="188"/>
      <c r="E31" s="66"/>
      <c r="F31" s="66"/>
      <c r="G31" s="66"/>
      <c r="H31" s="138"/>
      <c r="I31" s="50"/>
    </row>
    <row r="32" spans="2:9" x14ac:dyDescent="0.25">
      <c r="B32" s="24"/>
      <c r="C32" s="118" t="str">
        <f>CONCATENATE("    DISABLE_WRITE_LEVELING = 0x",_phy_wrlvl_mask,"U;")</f>
        <v xml:space="preserve">    DISABLE_WRITE_LEVELING = 0x0U;</v>
      </c>
      <c r="D32" s="188"/>
      <c r="E32" s="66"/>
      <c r="F32" s="66"/>
      <c r="G32" s="66"/>
      <c r="H32" s="138"/>
      <c r="I32" s="50"/>
    </row>
    <row r="33" spans="2:9" x14ac:dyDescent="0.25">
      <c r="B33" s="24"/>
      <c r="C33" s="118"/>
      <c r="D33" s="188"/>
      <c r="E33" s="66"/>
      <c r="F33" s="66"/>
      <c r="G33" s="66"/>
      <c r="H33" s="138"/>
      <c r="I33" s="50"/>
    </row>
    <row r="34" spans="2:9" ht="13" x14ac:dyDescent="0.3">
      <c r="B34" s="24"/>
      <c r="C34" s="132" t="str">
        <f>CONCATENATE("    /* EXT_PHY_CTRL_xx are used only in case of  HW_LEVELING_ENABLED  =  0*/")</f>
        <v xml:space="preserve">    /* EXT_PHY_CTRL_xx are used only in case of  HW_LEVELING_ENABLED  =  0*/</v>
      </c>
      <c r="D34" s="189"/>
      <c r="E34" s="66"/>
      <c r="F34" s="66"/>
      <c r="G34" s="66"/>
      <c r="H34" s="138"/>
      <c r="I34" s="50"/>
    </row>
    <row r="35" spans="2:9" ht="13" x14ac:dyDescent="0.3">
      <c r="B35" s="24"/>
      <c r="C35" s="132" t="str">
        <f>CONCATENATE("    /* EMIF_PHY_FIFO_WE_SLAVE_RATIO (RD_DQS_GATE) */")</f>
        <v xml:space="preserve">    /* EMIF_PHY_FIFO_WE_SLAVE_RATIO (RD_DQS_GATE) */</v>
      </c>
      <c r="D35" s="120"/>
      <c r="E35" s="66"/>
      <c r="F35" s="66"/>
      <c r="G35" s="66"/>
      <c r="H35" s="138"/>
      <c r="I35" s="50"/>
    </row>
    <row r="36" spans="2:9" x14ac:dyDescent="0.25">
      <c r="B36" s="24"/>
      <c r="C36" s="118" t="str">
        <f>CONCATENATE("    EXT_PHY_CTRL_2 = 0x",_EMIF1_EXT_PHY_CTRL_2_VAL,"U;")</f>
        <v xml:space="preserve">    EXT_PHY_CTRL_2 = 0x006B0098U;</v>
      </c>
      <c r="D36" s="188"/>
      <c r="E36" s="66"/>
      <c r="F36" s="66"/>
      <c r="G36" s="66"/>
      <c r="H36" s="138"/>
      <c r="I36" s="50"/>
    </row>
    <row r="37" spans="2:9" x14ac:dyDescent="0.25">
      <c r="B37" s="24"/>
      <c r="C37" s="134" t="str">
        <f>CONCATENATE("    EXT_PHY_CTRL_3 = 0x",_EMIF1_EXT_PHY_CTRL_3_VAL,"U;")</f>
        <v xml:space="preserve">    EXT_PHY_CTRL_3 = 0x006B0094U;</v>
      </c>
      <c r="D37" s="188"/>
      <c r="E37" s="66"/>
      <c r="F37" s="66"/>
      <c r="G37" s="66"/>
      <c r="H37" s="138"/>
      <c r="I37" s="50"/>
    </row>
    <row r="38" spans="2:9" x14ac:dyDescent="0.25">
      <c r="B38" s="24"/>
      <c r="C38" s="118" t="str">
        <f>CONCATENATE("    EXT_PHY_CTRL_4 = 0x",_EMIF1_EXT_PHY_CTRL_4_VAL,"U;")</f>
        <v xml:space="preserve">    EXT_PHY_CTRL_4 = 0x006B00A5U;</v>
      </c>
      <c r="D38" s="188"/>
      <c r="E38" s="66"/>
      <c r="F38" s="66"/>
      <c r="G38" s="66"/>
      <c r="H38" s="138"/>
      <c r="I38" s="50"/>
    </row>
    <row r="39" spans="2:9" x14ac:dyDescent="0.25">
      <c r="B39" s="24"/>
      <c r="C39" s="118" t="str">
        <f>CONCATENATE("    EXT_PHY_CTRL_5 = 0x",_EMIF1_EXT_PHY_CTRL_5_VAL,"U;")</f>
        <v xml:space="preserve">    EXT_PHY_CTRL_5 = 0x006B009FU;</v>
      </c>
      <c r="D39" s="188"/>
      <c r="E39" s="66"/>
      <c r="F39" s="66"/>
      <c r="G39" s="66"/>
      <c r="H39" s="138"/>
      <c r="I39" s="50"/>
    </row>
    <row r="40" spans="2:9" x14ac:dyDescent="0.25">
      <c r="B40" s="24"/>
      <c r="C40" s="118" t="str">
        <f>CONCATENATE("    EXT_PHY_CTRL_6 = 0x",_EMIF1_EXT_PHY_CTRL_6_VAL,"U;")</f>
        <v xml:space="preserve">    EXT_PHY_CTRL_6 = 0x006B006BU;</v>
      </c>
      <c r="D40" s="188"/>
      <c r="E40" s="66"/>
      <c r="F40" s="66"/>
      <c r="G40" s="66"/>
      <c r="H40" s="138"/>
      <c r="I40" s="50"/>
    </row>
    <row r="41" spans="2:9" x14ac:dyDescent="0.25">
      <c r="B41" s="24"/>
      <c r="C41" s="118"/>
      <c r="D41" s="188"/>
      <c r="E41" s="66"/>
      <c r="F41" s="66"/>
      <c r="G41" s="66"/>
      <c r="H41" s="138"/>
      <c r="I41" s="50"/>
    </row>
    <row r="42" spans="2:9" ht="13" x14ac:dyDescent="0.3">
      <c r="B42" s="24"/>
      <c r="C42" s="132" t="str">
        <f>CONCATENATE("    /* EMIF_PHY_RD_DQS_SLAVE_RATIO */")</f>
        <v xml:space="preserve">    /* EMIF_PHY_RD_DQS_SLAVE_RATIO */</v>
      </c>
      <c r="D42" s="188"/>
      <c r="E42" s="66"/>
      <c r="F42" s="66"/>
      <c r="G42" s="66"/>
      <c r="H42" s="138"/>
      <c r="I42" s="50"/>
    </row>
    <row r="43" spans="2:9" x14ac:dyDescent="0.25">
      <c r="B43" s="24"/>
      <c r="C43" s="118" t="str">
        <f>CONCATENATE("    EXT_PHY_CTRL_7 = 0x",_EMIF1_EXT_PHY_CTRL_7_VAL,"U;")</f>
        <v xml:space="preserve">    EXT_PHY_CTRL_7 = 0x002F002FU;</v>
      </c>
      <c r="D43" s="188"/>
      <c r="E43" s="66"/>
      <c r="F43" s="66"/>
      <c r="G43" s="66"/>
      <c r="H43" s="138"/>
      <c r="I43" s="50"/>
    </row>
    <row r="44" spans="2:9" x14ac:dyDescent="0.25">
      <c r="B44" s="24"/>
      <c r="C44" s="118" t="str">
        <f>CONCATENATE("    EXT_PHY_CTRL_8 = 0x",_EMIF1_EXT_PHY_CTRL_8_VAL,"U;")</f>
        <v xml:space="preserve">    EXT_PHY_CTRL_8 = 0x002F002FU;</v>
      </c>
      <c r="D44" s="188"/>
      <c r="E44" s="66"/>
      <c r="F44" s="66"/>
      <c r="G44" s="66"/>
      <c r="H44" s="138"/>
      <c r="I44" s="50"/>
    </row>
    <row r="45" spans="2:9" x14ac:dyDescent="0.25">
      <c r="B45" s="24"/>
      <c r="C45" s="133" t="str">
        <f>CONCATENATE("    EXT_PHY_CTRL_9 = 0x",_EMIF1_EXT_PHY_CTRL_9_VAL,"U;")</f>
        <v xml:space="preserve">    EXT_PHY_CTRL_9 = 0x002F002FU;</v>
      </c>
      <c r="D45" s="188"/>
      <c r="E45" s="66"/>
      <c r="F45" s="66"/>
      <c r="G45" s="66"/>
      <c r="H45" s="138"/>
      <c r="I45" s="50"/>
    </row>
    <row r="46" spans="2:9" x14ac:dyDescent="0.25">
      <c r="B46" s="24"/>
      <c r="C46" s="118" t="str">
        <f>CONCATENATE("    EXT_PHY_CTRL_10 = 0x",_EMIF1_EXT_PHY_CTRL_10_VAL,"U;")</f>
        <v xml:space="preserve">    EXT_PHY_CTRL_10 = 0x002F002FU;</v>
      </c>
      <c r="D46" s="188"/>
      <c r="E46" s="66"/>
      <c r="F46" s="66"/>
      <c r="G46" s="66"/>
      <c r="H46" s="138"/>
      <c r="I46" s="50"/>
    </row>
    <row r="47" spans="2:9" x14ac:dyDescent="0.25">
      <c r="B47" s="24"/>
      <c r="C47" s="118" t="str">
        <f>CONCATENATE("    EXT_PHY_CTRL_11 = 0x",_EMIF1_EXT_PHY_CTRL_11_VAL,"U;")</f>
        <v xml:space="preserve">    EXT_PHY_CTRL_11 = 0x002F002FU;</v>
      </c>
      <c r="D47" s="123"/>
      <c r="E47" s="66"/>
      <c r="F47" s="66"/>
      <c r="G47" s="66"/>
      <c r="H47" s="138"/>
      <c r="I47" s="50"/>
    </row>
    <row r="48" spans="2:9" x14ac:dyDescent="0.25">
      <c r="B48" s="24"/>
      <c r="C48" s="118"/>
      <c r="D48" s="190"/>
      <c r="E48" s="66"/>
      <c r="F48" s="66"/>
      <c r="G48" s="66"/>
      <c r="H48" s="138"/>
      <c r="I48" s="50"/>
    </row>
    <row r="49" spans="2:9" ht="13" x14ac:dyDescent="0.3">
      <c r="B49" s="24"/>
      <c r="C49" s="132" t="str">
        <f>CONCATENATE("    /* EMIF_PHY_WR_DQS_SLAVE_RATIO */")</f>
        <v xml:space="preserve">    /* EMIF_PHY_WR_DQS_SLAVE_RATIO */</v>
      </c>
      <c r="D49" s="188"/>
      <c r="E49" s="66"/>
      <c r="F49" s="66"/>
      <c r="G49" s="66"/>
      <c r="H49" s="138"/>
      <c r="I49" s="50"/>
    </row>
    <row r="50" spans="2:9" x14ac:dyDescent="0.25">
      <c r="B50" s="24"/>
      <c r="C50" s="118" t="str">
        <f>CONCATENATE("    EXT_PHY_CTRL_17 = 0x",_EMIF1_EXT_PHY_CTRL_17_VAL,"U;")</f>
        <v xml:space="preserve">    EXT_PHY_CTRL_17 = 0x00400043U;</v>
      </c>
      <c r="D50" s="188"/>
      <c r="E50" s="66"/>
      <c r="F50" s="66"/>
      <c r="G50" s="66"/>
      <c r="H50" s="138"/>
      <c r="I50" s="50"/>
    </row>
    <row r="51" spans="2:9" x14ac:dyDescent="0.25">
      <c r="B51" s="24"/>
      <c r="C51" s="118" t="str">
        <f>CONCATENATE("    EXT_PHY_CTRL_18 = 0x",_EMIF1_EXT_PHY_CTRL_18_VAL,"U;")</f>
        <v xml:space="preserve">    EXT_PHY_CTRL_18 = 0x00400046U;</v>
      </c>
      <c r="D51" s="188"/>
      <c r="E51" s="66"/>
      <c r="F51" s="66"/>
      <c r="G51" s="66"/>
      <c r="H51" s="138"/>
      <c r="I51" s="50"/>
    </row>
    <row r="52" spans="2:9" x14ac:dyDescent="0.25">
      <c r="B52" s="24"/>
      <c r="C52" s="118" t="str">
        <f>CONCATENATE("    EXT_PHY_CTRL_19 = 0x",_EMIF1_EXT_PHY_CTRL_19_VAL,"U;")</f>
        <v xml:space="preserve">    EXT_PHY_CTRL_19 = 0x00400043U;</v>
      </c>
      <c r="D52" s="188"/>
      <c r="E52" s="66"/>
      <c r="F52" s="66"/>
      <c r="G52" s="66"/>
      <c r="H52" s="138"/>
      <c r="I52" s="50"/>
    </row>
    <row r="53" spans="2:9" x14ac:dyDescent="0.25">
      <c r="B53" s="24"/>
      <c r="C53" s="118" t="str">
        <f>CONCATENATE("    EXT_PHY_CTRL_20 = 0x",_EMIF1_EXT_PHY_CTRL_20_VAL,"U;")</f>
        <v xml:space="preserve">    EXT_PHY_CTRL_20 = 0x00400049U;</v>
      </c>
      <c r="D53" s="189"/>
      <c r="E53" s="66"/>
      <c r="F53" s="66"/>
      <c r="G53" s="66"/>
      <c r="H53" s="138"/>
      <c r="I53" s="50"/>
    </row>
    <row r="54" spans="2:9" x14ac:dyDescent="0.25">
      <c r="B54" s="24"/>
      <c r="C54" s="118" t="str">
        <f>CONCATENATE("    EXT_PHY_CTRL_21 = 0x",_EMIF1_EXT_PHY_CTRL_21_VAL,"U;")</f>
        <v xml:space="preserve">    EXT_PHY_CTRL_21 = 0x00400040U;</v>
      </c>
      <c r="D54" s="191"/>
      <c r="E54" s="66"/>
      <c r="F54" s="66"/>
      <c r="G54" s="66"/>
      <c r="H54" s="138"/>
      <c r="I54" s="50"/>
    </row>
    <row r="55" spans="2:9" x14ac:dyDescent="0.25">
      <c r="B55" s="24"/>
      <c r="C55" s="118" t="s">
        <v>185</v>
      </c>
      <c r="D55" s="188"/>
      <c r="E55" s="66"/>
      <c r="F55" s="66"/>
      <c r="G55" s="66"/>
      <c r="H55" s="138"/>
      <c r="I55" s="50"/>
    </row>
    <row r="56" spans="2:9" x14ac:dyDescent="0.25">
      <c r="B56" s="24"/>
      <c r="C56" s="118"/>
      <c r="D56" s="188"/>
      <c r="E56" s="66"/>
      <c r="F56" s="66"/>
      <c r="G56" s="66"/>
      <c r="H56" s="138"/>
      <c r="I56" s="50"/>
    </row>
    <row r="57" spans="2:9" x14ac:dyDescent="0.25">
      <c r="B57" s="24"/>
      <c r="C57" s="118"/>
      <c r="D57" s="188"/>
      <c r="E57" s="66"/>
      <c r="F57" s="66"/>
      <c r="G57" s="66"/>
      <c r="H57" s="138"/>
      <c r="I57" s="50"/>
    </row>
    <row r="58" spans="2:9" x14ac:dyDescent="0.25">
      <c r="B58" s="24"/>
      <c r="C58" s="118"/>
      <c r="D58" s="188"/>
      <c r="E58" s="66"/>
      <c r="F58" s="66"/>
      <c r="G58" s="66"/>
      <c r="H58" s="138"/>
      <c r="I58" s="50"/>
    </row>
    <row r="59" spans="2:9" x14ac:dyDescent="0.25">
      <c r="B59" s="24"/>
      <c r="C59" s="118"/>
      <c r="D59" s="188"/>
      <c r="E59" s="66"/>
      <c r="F59" s="84"/>
      <c r="G59" s="66"/>
      <c r="H59" s="138"/>
      <c r="I59" s="50"/>
    </row>
    <row r="60" spans="2:9" x14ac:dyDescent="0.25">
      <c r="B60" s="24"/>
      <c r="C60" s="134"/>
      <c r="D60" s="188"/>
      <c r="E60" s="66"/>
      <c r="F60" s="66"/>
      <c r="G60" s="66"/>
      <c r="H60" s="138"/>
      <c r="I60" s="50"/>
    </row>
    <row r="61" spans="2:9" x14ac:dyDescent="0.25">
      <c r="B61" s="24"/>
      <c r="C61" s="135"/>
      <c r="D61" s="188"/>
      <c r="E61" s="66"/>
      <c r="F61" s="66"/>
      <c r="G61" s="66"/>
      <c r="H61" s="138"/>
      <c r="I61" s="50"/>
    </row>
    <row r="62" spans="2:9" x14ac:dyDescent="0.25">
      <c r="B62" s="24"/>
      <c r="C62" s="118"/>
      <c r="D62" s="188"/>
      <c r="E62" s="66"/>
      <c r="F62" s="66"/>
      <c r="G62" s="66"/>
      <c r="H62" s="138"/>
      <c r="I62" s="50"/>
    </row>
    <row r="63" spans="2:9" x14ac:dyDescent="0.25">
      <c r="B63" s="24"/>
      <c r="C63" s="118"/>
      <c r="D63" s="188"/>
      <c r="E63" s="66"/>
      <c r="F63" s="66"/>
      <c r="G63" s="66"/>
      <c r="H63" s="138"/>
      <c r="I63" s="50"/>
    </row>
    <row r="64" spans="2:9" x14ac:dyDescent="0.25">
      <c r="B64" s="24"/>
      <c r="C64" s="118"/>
      <c r="D64" s="188"/>
      <c r="E64" s="66"/>
      <c r="F64" s="66"/>
      <c r="G64" s="66"/>
      <c r="H64" s="138"/>
      <c r="I64" s="50"/>
    </row>
    <row r="65" spans="1:9" x14ac:dyDescent="0.25">
      <c r="B65" s="24"/>
      <c r="C65" s="118"/>
      <c r="D65" s="188"/>
      <c r="E65" s="66"/>
      <c r="F65" s="66"/>
      <c r="G65" s="66"/>
      <c r="H65" s="138"/>
      <c r="I65" s="50"/>
    </row>
    <row r="66" spans="1:9" x14ac:dyDescent="0.25">
      <c r="B66" s="24"/>
      <c r="C66" s="118"/>
      <c r="D66" s="188"/>
      <c r="E66" s="66"/>
      <c r="F66" s="66"/>
      <c r="G66" s="66"/>
      <c r="H66" s="138"/>
      <c r="I66" s="50"/>
    </row>
    <row r="67" spans="1:9" x14ac:dyDescent="0.25">
      <c r="B67" s="24"/>
      <c r="C67" s="118"/>
      <c r="D67" s="188"/>
      <c r="E67" s="66"/>
      <c r="F67" s="66"/>
      <c r="G67" s="66"/>
      <c r="H67" s="138"/>
      <c r="I67" s="50"/>
    </row>
    <row r="68" spans="1:9" x14ac:dyDescent="0.25">
      <c r="B68" s="24"/>
      <c r="C68" s="118"/>
      <c r="D68" s="188"/>
      <c r="E68" s="66"/>
      <c r="F68" s="66"/>
      <c r="G68" s="66"/>
      <c r="H68" s="138"/>
      <c r="I68" s="50"/>
    </row>
    <row r="69" spans="1:9" x14ac:dyDescent="0.25">
      <c r="B69" s="24"/>
      <c r="C69" s="118"/>
      <c r="D69" s="188"/>
      <c r="E69" s="66"/>
      <c r="F69" s="66"/>
      <c r="G69" s="66"/>
      <c r="H69" s="138"/>
      <c r="I69" s="50"/>
    </row>
    <row r="70" spans="1:9" x14ac:dyDescent="0.25">
      <c r="B70" s="24"/>
      <c r="C70" s="118"/>
      <c r="D70" s="188"/>
      <c r="E70" s="66"/>
      <c r="F70" s="66"/>
      <c r="G70" s="66"/>
      <c r="H70" s="138"/>
      <c r="I70" s="50"/>
    </row>
    <row r="71" spans="1:9" ht="13" thickBot="1" x14ac:dyDescent="0.3">
      <c r="B71" s="24"/>
      <c r="C71" s="139"/>
      <c r="D71" s="192"/>
      <c r="E71" s="193"/>
      <c r="F71" s="193"/>
      <c r="G71" s="193"/>
      <c r="H71" s="194"/>
      <c r="I71" s="50"/>
    </row>
    <row r="72" spans="1:9" ht="13.5" thickTop="1" thickBot="1" x14ac:dyDescent="0.3">
      <c r="B72" s="24"/>
      <c r="C72" s="197"/>
      <c r="D72" s="198"/>
      <c r="E72" s="197"/>
      <c r="F72" s="197"/>
      <c r="G72" s="197"/>
      <c r="H72" s="197"/>
      <c r="I72" s="50"/>
    </row>
    <row r="73" spans="1:9" ht="13.5" thickTop="1" thickBot="1" x14ac:dyDescent="0.3">
      <c r="A73" s="36"/>
      <c r="B73" s="36"/>
      <c r="C73" s="199"/>
      <c r="D73" s="200"/>
      <c r="E73" s="199"/>
      <c r="F73" s="199"/>
      <c r="G73" s="199"/>
      <c r="H73" s="199"/>
      <c r="I73" s="50"/>
    </row>
    <row r="74" spans="1:9" ht="13.5" thickTop="1" thickBot="1" x14ac:dyDescent="0.3">
      <c r="A74" s="36"/>
      <c r="B74" s="36"/>
      <c r="C74" s="199"/>
      <c r="D74" s="200"/>
      <c r="E74" s="199"/>
      <c r="F74" s="199"/>
      <c r="G74" s="199"/>
      <c r="H74" s="199"/>
      <c r="I74" s="50"/>
    </row>
    <row r="75" spans="1:9" ht="13.5" thickTop="1" thickBot="1" x14ac:dyDescent="0.3">
      <c r="A75" s="36"/>
      <c r="B75" s="36"/>
      <c r="C75" s="199"/>
      <c r="D75" s="200"/>
      <c r="E75" s="199"/>
      <c r="F75" s="199"/>
      <c r="G75" s="199"/>
      <c r="H75" s="199"/>
      <c r="I75" s="50"/>
    </row>
    <row r="76" spans="1:9" ht="13.5" thickTop="1" thickBot="1" x14ac:dyDescent="0.3">
      <c r="A76" s="36"/>
      <c r="B76" s="36"/>
      <c r="C76" s="199"/>
      <c r="D76" s="200"/>
      <c r="E76" s="199"/>
      <c r="F76" s="199"/>
      <c r="G76" s="199"/>
      <c r="H76" s="199"/>
      <c r="I76" s="50"/>
    </row>
    <row r="77" spans="1:9" ht="13.5" thickTop="1" thickBot="1" x14ac:dyDescent="0.3">
      <c r="A77" s="36"/>
      <c r="B77" s="36"/>
      <c r="C77" s="199"/>
      <c r="D77" s="200"/>
      <c r="E77" s="199"/>
      <c r="F77" s="199"/>
      <c r="G77" s="199"/>
      <c r="H77" s="199"/>
      <c r="I77" s="50"/>
    </row>
    <row r="78" spans="1:9" ht="13.5" thickTop="1" thickBot="1" x14ac:dyDescent="0.3">
      <c r="A78" s="36"/>
      <c r="B78" s="36"/>
      <c r="C78" s="199"/>
      <c r="D78" s="200"/>
      <c r="E78" s="199"/>
      <c r="F78" s="199"/>
      <c r="G78" s="199"/>
      <c r="H78" s="199"/>
      <c r="I78" s="50"/>
    </row>
    <row r="79" spans="1:9" ht="13.5" thickTop="1" thickBot="1" x14ac:dyDescent="0.3">
      <c r="A79" s="36"/>
      <c r="B79" s="36"/>
      <c r="C79" s="199"/>
      <c r="D79" s="200"/>
      <c r="E79" s="199"/>
      <c r="F79" s="199"/>
      <c r="G79" s="199"/>
      <c r="H79" s="199"/>
      <c r="I79" s="50"/>
    </row>
    <row r="80" spans="1:9" ht="13.5" thickTop="1" thickBot="1" x14ac:dyDescent="0.3">
      <c r="A80" s="36"/>
      <c r="B80" s="36"/>
      <c r="C80" s="199"/>
      <c r="D80" s="200"/>
      <c r="E80" s="199"/>
      <c r="F80" s="199"/>
      <c r="G80" s="199"/>
      <c r="H80" s="199"/>
      <c r="I80" s="50"/>
    </row>
    <row r="81" spans="1:9" ht="13.5" thickTop="1" thickBot="1" x14ac:dyDescent="0.3">
      <c r="A81" s="36"/>
      <c r="B81" s="36"/>
      <c r="C81" s="199"/>
      <c r="D81" s="200"/>
      <c r="E81" s="199"/>
      <c r="F81" s="199"/>
      <c r="G81" s="199"/>
      <c r="H81" s="199"/>
      <c r="I81" s="50"/>
    </row>
    <row r="82" spans="1:9" ht="13.5" thickTop="1" thickBot="1" x14ac:dyDescent="0.3">
      <c r="A82" s="36"/>
      <c r="B82" s="36"/>
      <c r="C82" s="201"/>
      <c r="D82" s="201"/>
      <c r="E82" s="199"/>
      <c r="F82" s="199"/>
      <c r="G82" s="199"/>
      <c r="H82" s="199"/>
      <c r="I82" s="50"/>
    </row>
    <row r="83" spans="1:9" ht="13.5" thickTop="1" thickBot="1" x14ac:dyDescent="0.3">
      <c r="A83" s="36"/>
      <c r="B83" s="36"/>
      <c r="C83" s="201"/>
      <c r="D83" s="201"/>
      <c r="E83" s="199"/>
      <c r="F83" s="199"/>
      <c r="G83" s="199"/>
      <c r="H83" s="199"/>
      <c r="I83" s="50"/>
    </row>
    <row r="84" spans="1:9" ht="13.5" thickTop="1" thickBot="1" x14ac:dyDescent="0.3">
      <c r="A84" s="36"/>
      <c r="B84" s="36"/>
      <c r="C84" s="201"/>
      <c r="D84" s="201"/>
      <c r="E84" s="199"/>
      <c r="F84" s="199"/>
      <c r="G84" s="199"/>
      <c r="H84" s="199"/>
      <c r="I84" s="50"/>
    </row>
    <row r="85" spans="1:9" ht="13.5" thickTop="1" thickBot="1" x14ac:dyDescent="0.3">
      <c r="A85" s="36"/>
      <c r="B85" s="36"/>
      <c r="C85" s="201"/>
      <c r="D85" s="201"/>
      <c r="E85" s="199"/>
      <c r="F85" s="199"/>
      <c r="G85" s="199"/>
      <c r="H85" s="199"/>
      <c r="I85" s="50"/>
    </row>
    <row r="86" spans="1:9" ht="13.5" thickTop="1" thickBot="1" x14ac:dyDescent="0.3">
      <c r="A86" s="36"/>
      <c r="B86" s="36"/>
      <c r="C86" s="201"/>
      <c r="D86" s="201"/>
      <c r="E86" s="199"/>
      <c r="F86" s="199"/>
      <c r="G86" s="199"/>
      <c r="H86" s="199"/>
      <c r="I86" s="50"/>
    </row>
    <row r="87" spans="1:9" ht="13.5" thickTop="1" thickBot="1" x14ac:dyDescent="0.3">
      <c r="A87" s="36"/>
      <c r="B87" s="36"/>
      <c r="C87" s="201"/>
      <c r="D87" s="201"/>
      <c r="E87" s="199"/>
      <c r="F87" s="199"/>
      <c r="G87" s="199"/>
      <c r="H87" s="199"/>
      <c r="I87" s="50"/>
    </row>
    <row r="88" spans="1:9" ht="13.5" thickTop="1" thickBot="1" x14ac:dyDescent="0.3">
      <c r="A88" s="36"/>
      <c r="B88" s="36"/>
      <c r="C88" s="201"/>
      <c r="D88" s="201"/>
      <c r="E88" s="199"/>
      <c r="F88" s="199"/>
      <c r="G88" s="199"/>
      <c r="H88" s="199"/>
      <c r="I88" s="50"/>
    </row>
    <row r="89" spans="1:9" ht="13.5" thickTop="1" thickBot="1" x14ac:dyDescent="0.3">
      <c r="A89" s="36"/>
      <c r="B89" s="36"/>
      <c r="C89" s="201"/>
      <c r="D89" s="201"/>
      <c r="E89" s="199"/>
      <c r="F89" s="199"/>
      <c r="G89" s="199"/>
      <c r="H89" s="199"/>
      <c r="I89" s="50"/>
    </row>
    <row r="90" spans="1:9" ht="13.5" thickTop="1" thickBot="1" x14ac:dyDescent="0.3">
      <c r="A90" s="36"/>
      <c r="B90" s="36"/>
      <c r="C90" s="201"/>
      <c r="D90" s="201"/>
      <c r="E90" s="199"/>
      <c r="F90" s="199"/>
      <c r="G90" s="199"/>
      <c r="H90" s="199"/>
      <c r="I90" s="50"/>
    </row>
    <row r="91" spans="1:9" ht="13.5" thickTop="1" thickBot="1" x14ac:dyDescent="0.3">
      <c r="A91" s="36"/>
      <c r="B91" s="36"/>
      <c r="C91" s="201"/>
      <c r="D91" s="201"/>
      <c r="E91" s="199"/>
      <c r="F91" s="199"/>
      <c r="G91" s="199"/>
      <c r="H91" s="199"/>
      <c r="I91" s="50"/>
    </row>
    <row r="92" spans="1:9" ht="13.5" thickTop="1" thickBot="1" x14ac:dyDescent="0.3">
      <c r="A92" s="36"/>
      <c r="B92" s="36"/>
      <c r="C92" s="201"/>
      <c r="D92" s="201"/>
      <c r="E92" s="199"/>
      <c r="F92" s="199"/>
      <c r="G92" s="199"/>
      <c r="H92" s="199"/>
      <c r="I92" s="50"/>
    </row>
    <row r="93" spans="1:9" ht="13.5" thickTop="1" thickBot="1" x14ac:dyDescent="0.3">
      <c r="A93" s="36"/>
      <c r="B93" s="36"/>
      <c r="C93" s="201"/>
      <c r="D93" s="201"/>
      <c r="E93" s="199"/>
      <c r="F93" s="199"/>
      <c r="G93" s="199"/>
      <c r="H93" s="199"/>
      <c r="I93" s="50"/>
    </row>
    <row r="94" spans="1:9" ht="13.5" thickTop="1" thickBot="1" x14ac:dyDescent="0.3">
      <c r="A94" s="36"/>
      <c r="B94" s="36"/>
      <c r="C94" s="201"/>
      <c r="D94" s="201"/>
      <c r="E94" s="199"/>
      <c r="F94" s="199"/>
      <c r="G94" s="199"/>
      <c r="H94" s="199"/>
      <c r="I94" s="50"/>
    </row>
    <row r="95" spans="1:9" ht="13.5" thickTop="1" thickBot="1" x14ac:dyDescent="0.3">
      <c r="A95" s="36"/>
      <c r="B95" s="36"/>
      <c r="C95" s="201"/>
      <c r="D95" s="201"/>
      <c r="E95" s="199"/>
      <c r="F95" s="199"/>
      <c r="G95" s="199"/>
      <c r="H95" s="199"/>
      <c r="I95" s="50"/>
    </row>
    <row r="96" spans="1:9" ht="13.5" thickTop="1" thickBot="1" x14ac:dyDescent="0.3">
      <c r="A96" s="195"/>
      <c r="B96" s="195"/>
      <c r="C96" s="201"/>
      <c r="D96" s="201"/>
      <c r="E96" s="199"/>
      <c r="F96" s="199"/>
      <c r="G96" s="199"/>
      <c r="H96" s="199"/>
      <c r="I96" s="50"/>
    </row>
    <row r="97" spans="1:9" ht="13.5" thickTop="1" thickBot="1" x14ac:dyDescent="0.3">
      <c r="A97" s="195"/>
      <c r="B97" s="195"/>
      <c r="C97" s="201"/>
      <c r="D97" s="201"/>
      <c r="E97" s="199"/>
      <c r="F97" s="199"/>
      <c r="G97" s="199"/>
      <c r="H97" s="199"/>
      <c r="I97" s="50"/>
    </row>
    <row r="98" spans="1:9" ht="13.5" thickTop="1" thickBot="1" x14ac:dyDescent="0.3">
      <c r="A98" s="195"/>
      <c r="B98" s="195"/>
      <c r="C98" s="201"/>
      <c r="D98" s="201"/>
      <c r="E98" s="199"/>
      <c r="F98" s="199"/>
      <c r="G98" s="199"/>
      <c r="H98" s="199"/>
      <c r="I98" s="50"/>
    </row>
    <row r="99" spans="1:9" ht="13.5" thickTop="1" thickBot="1" x14ac:dyDescent="0.3">
      <c r="A99" s="195"/>
      <c r="B99" s="195"/>
      <c r="C99" s="201"/>
      <c r="D99" s="201"/>
      <c r="E99" s="199"/>
      <c r="F99" s="199"/>
      <c r="G99" s="199"/>
      <c r="H99" s="199"/>
      <c r="I99" s="50"/>
    </row>
    <row r="100" spans="1:9" ht="13.5" thickTop="1" thickBot="1" x14ac:dyDescent="0.3">
      <c r="A100" s="195"/>
      <c r="B100" s="195"/>
      <c r="C100" s="201"/>
      <c r="D100" s="201"/>
      <c r="E100" s="199"/>
      <c r="F100" s="199"/>
      <c r="G100" s="199"/>
      <c r="H100" s="199"/>
      <c r="I100" s="50"/>
    </row>
    <row r="101" spans="1:9" ht="13.5" thickTop="1" thickBot="1" x14ac:dyDescent="0.3">
      <c r="A101" s="195"/>
      <c r="B101" s="195"/>
      <c r="C101" s="201"/>
      <c r="D101" s="201"/>
      <c r="E101" s="199"/>
      <c r="F101" s="199"/>
      <c r="G101" s="199"/>
      <c r="H101" s="199"/>
      <c r="I101" s="50"/>
    </row>
    <row r="102" spans="1:9" ht="13.5" thickTop="1" thickBot="1" x14ac:dyDescent="0.3">
      <c r="A102" s="195"/>
      <c r="B102" s="195"/>
      <c r="C102" s="201"/>
      <c r="D102" s="201"/>
      <c r="E102" s="199"/>
      <c r="F102" s="199"/>
      <c r="G102" s="199"/>
      <c r="H102" s="199"/>
      <c r="I102" s="50"/>
    </row>
    <row r="103" spans="1:9" ht="13.5" thickTop="1" thickBot="1" x14ac:dyDescent="0.3">
      <c r="A103" s="195"/>
      <c r="B103" s="195"/>
      <c r="C103" s="201"/>
      <c r="D103" s="201"/>
      <c r="E103" s="199"/>
      <c r="F103" s="199"/>
      <c r="G103" s="199"/>
      <c r="H103" s="199"/>
      <c r="I103" s="50"/>
    </row>
    <row r="104" spans="1:9" ht="13.5" thickTop="1" thickBot="1" x14ac:dyDescent="0.3">
      <c r="A104" s="195"/>
      <c r="B104" s="195"/>
      <c r="C104" s="201"/>
      <c r="D104" s="201"/>
      <c r="E104" s="199"/>
      <c r="F104" s="199"/>
      <c r="G104" s="199"/>
      <c r="H104" s="199"/>
      <c r="I104" s="50"/>
    </row>
    <row r="105" spans="1:9" ht="13.5" thickTop="1" thickBot="1" x14ac:dyDescent="0.3">
      <c r="A105" s="195"/>
      <c r="B105" s="195"/>
      <c r="C105" s="201"/>
      <c r="D105" s="201"/>
      <c r="E105" s="199"/>
      <c r="F105" s="199"/>
      <c r="G105" s="199"/>
      <c r="H105" s="199"/>
      <c r="I105" s="50"/>
    </row>
    <row r="106" spans="1:9" ht="13.5" thickTop="1" thickBot="1" x14ac:dyDescent="0.3">
      <c r="A106" s="195"/>
      <c r="B106" s="195"/>
      <c r="C106" s="201"/>
      <c r="D106" s="201"/>
      <c r="E106" s="199"/>
      <c r="F106" s="199"/>
      <c r="G106" s="199"/>
      <c r="H106" s="199"/>
      <c r="I106" s="50"/>
    </row>
    <row r="107" spans="1:9" ht="13.5" thickTop="1" thickBot="1" x14ac:dyDescent="0.3">
      <c r="A107" s="195"/>
      <c r="B107" s="195"/>
      <c r="C107" s="201"/>
      <c r="D107" s="201"/>
      <c r="E107" s="199"/>
      <c r="F107" s="199"/>
      <c r="G107" s="199"/>
      <c r="H107" s="199"/>
      <c r="I107" s="50"/>
    </row>
    <row r="108" spans="1:9" ht="13.5" thickTop="1" thickBot="1" x14ac:dyDescent="0.3">
      <c r="B108" s="24"/>
      <c r="C108" s="201"/>
      <c r="D108" s="201"/>
      <c r="E108" s="199"/>
      <c r="F108" s="199"/>
      <c r="G108" s="199"/>
      <c r="H108" s="199"/>
      <c r="I108" s="50"/>
    </row>
    <row r="109" spans="1:9" ht="13.5" thickTop="1" thickBot="1" x14ac:dyDescent="0.3">
      <c r="B109" s="24"/>
      <c r="C109" s="201"/>
      <c r="D109" s="201"/>
      <c r="E109" s="199"/>
      <c r="F109" s="199"/>
      <c r="G109" s="199"/>
      <c r="H109" s="199"/>
      <c r="I109" s="50"/>
    </row>
    <row r="110" spans="1:9" ht="13.5" thickTop="1" thickBot="1" x14ac:dyDescent="0.3">
      <c r="B110" s="24"/>
      <c r="C110" s="201"/>
      <c r="D110" s="201"/>
      <c r="E110" s="199"/>
      <c r="F110" s="199"/>
      <c r="G110" s="199"/>
      <c r="H110" s="199"/>
      <c r="I110" s="50"/>
    </row>
    <row r="111" spans="1:9" ht="13.5" thickTop="1" thickBot="1" x14ac:dyDescent="0.3">
      <c r="B111" s="24"/>
      <c r="C111" s="201"/>
      <c r="D111" s="201"/>
      <c r="E111" s="199"/>
      <c r="F111" s="199"/>
      <c r="G111" s="199"/>
      <c r="H111" s="199"/>
      <c r="I111" s="50"/>
    </row>
    <row r="112" spans="1:9" ht="13.5" thickTop="1" thickBot="1" x14ac:dyDescent="0.3">
      <c r="B112" s="24"/>
      <c r="C112" s="201"/>
      <c r="D112" s="201"/>
      <c r="E112" s="199"/>
      <c r="F112" s="199"/>
      <c r="G112" s="199"/>
      <c r="H112" s="199"/>
      <c r="I112" s="50"/>
    </row>
    <row r="113" spans="2:9" ht="13.5" thickTop="1" thickBot="1" x14ac:dyDescent="0.3">
      <c r="B113" s="24"/>
      <c r="C113" s="201"/>
      <c r="D113" s="201"/>
      <c r="E113" s="199"/>
      <c r="F113" s="199"/>
      <c r="G113" s="199"/>
      <c r="H113" s="199"/>
      <c r="I113" s="50"/>
    </row>
    <row r="114" spans="2:9" ht="13.5" thickTop="1" thickBot="1" x14ac:dyDescent="0.3">
      <c r="B114" s="24"/>
      <c r="C114" s="201"/>
      <c r="D114" s="201"/>
      <c r="E114" s="199"/>
      <c r="F114" s="199"/>
      <c r="G114" s="199"/>
      <c r="H114" s="199"/>
      <c r="I114" s="50"/>
    </row>
    <row r="115" spans="2:9" ht="13.5" thickTop="1" thickBot="1" x14ac:dyDescent="0.3">
      <c r="B115" s="24"/>
      <c r="C115" s="201"/>
      <c r="D115" s="201"/>
      <c r="E115" s="199"/>
      <c r="F115" s="199"/>
      <c r="G115" s="199"/>
      <c r="H115" s="199"/>
      <c r="I115" s="50"/>
    </row>
    <row r="116" spans="2:9" ht="13.5" thickTop="1" thickBot="1" x14ac:dyDescent="0.3">
      <c r="B116" s="24"/>
      <c r="C116" s="201"/>
      <c r="D116" s="201"/>
      <c r="E116" s="199"/>
      <c r="F116" s="199"/>
      <c r="G116" s="199"/>
      <c r="H116" s="199"/>
      <c r="I116" s="50"/>
    </row>
    <row r="117" spans="2:9" ht="13.5" thickTop="1" thickBot="1" x14ac:dyDescent="0.3">
      <c r="B117" s="24"/>
      <c r="C117" s="201"/>
      <c r="D117" s="201"/>
      <c r="E117" s="199"/>
      <c r="F117" s="199"/>
      <c r="G117" s="199"/>
      <c r="H117" s="199"/>
      <c r="I117" s="50"/>
    </row>
    <row r="118" spans="2:9" ht="13.5" thickTop="1" thickBot="1" x14ac:dyDescent="0.3">
      <c r="B118" s="24"/>
      <c r="C118" s="200"/>
      <c r="D118" s="200"/>
      <c r="E118" s="199"/>
      <c r="F118" s="199"/>
      <c r="G118" s="199"/>
      <c r="H118" s="199"/>
      <c r="I118" s="50"/>
    </row>
    <row r="119" spans="2:9" ht="13.5" thickTop="1" thickBot="1" x14ac:dyDescent="0.3">
      <c r="B119" s="24"/>
      <c r="C119" s="200"/>
      <c r="D119" s="200"/>
      <c r="E119" s="199"/>
      <c r="F119" s="199"/>
      <c r="G119" s="199"/>
      <c r="H119" s="199"/>
      <c r="I119" s="50"/>
    </row>
    <row r="120" spans="2:9" ht="13.5" thickTop="1" thickBot="1" x14ac:dyDescent="0.3">
      <c r="B120" s="24"/>
      <c r="C120" s="199"/>
      <c r="D120" s="200"/>
      <c r="E120" s="199"/>
      <c r="F120" s="199"/>
      <c r="G120" s="199"/>
      <c r="H120" s="199"/>
      <c r="I120" s="50"/>
    </row>
    <row r="121" spans="2:9" ht="13.5" thickTop="1" thickBot="1" x14ac:dyDescent="0.3">
      <c r="B121" s="24"/>
      <c r="C121" s="199"/>
      <c r="D121" s="200"/>
      <c r="E121" s="199"/>
      <c r="F121" s="199"/>
      <c r="G121" s="199"/>
      <c r="H121" s="199"/>
      <c r="I121" s="50"/>
    </row>
    <row r="122" spans="2:9" ht="13.5" thickTop="1" thickBot="1" x14ac:dyDescent="0.3">
      <c r="B122" s="24"/>
      <c r="C122" s="199"/>
      <c r="D122" s="200"/>
      <c r="E122" s="199"/>
      <c r="F122" s="199"/>
      <c r="G122" s="199"/>
      <c r="H122" s="199"/>
      <c r="I122" s="50"/>
    </row>
    <row r="123" spans="2:9" ht="13.5" thickTop="1" thickBot="1" x14ac:dyDescent="0.3">
      <c r="B123" s="24"/>
      <c r="C123" s="199"/>
      <c r="D123" s="200"/>
      <c r="E123" s="199"/>
      <c r="F123" s="199"/>
      <c r="G123" s="199"/>
      <c r="H123" s="199"/>
      <c r="I123" s="50"/>
    </row>
    <row r="124" spans="2:9" ht="13.5" thickTop="1" thickBot="1" x14ac:dyDescent="0.3">
      <c r="B124" s="24"/>
      <c r="C124" s="199"/>
      <c r="D124" s="200"/>
      <c r="E124" s="199"/>
      <c r="F124" s="199"/>
      <c r="G124" s="199"/>
      <c r="H124" s="199"/>
      <c r="I124" s="50"/>
    </row>
    <row r="125" spans="2:9" ht="13.5" thickTop="1" thickBot="1" x14ac:dyDescent="0.3">
      <c r="B125" s="24"/>
      <c r="C125" s="199"/>
      <c r="D125" s="200"/>
      <c r="E125" s="199"/>
      <c r="F125" s="199"/>
      <c r="G125" s="199"/>
      <c r="H125" s="199"/>
      <c r="I125" s="50"/>
    </row>
    <row r="126" spans="2:9" ht="13.5" thickTop="1" thickBot="1" x14ac:dyDescent="0.3">
      <c r="B126" s="24"/>
      <c r="C126" s="199"/>
      <c r="D126" s="200"/>
      <c r="E126" s="199"/>
      <c r="F126" s="199"/>
      <c r="G126" s="199"/>
      <c r="H126" s="199"/>
      <c r="I126" s="50"/>
    </row>
    <row r="127" spans="2:9" ht="13.5" thickTop="1" thickBot="1" x14ac:dyDescent="0.3">
      <c r="B127" s="24"/>
      <c r="C127" s="199"/>
      <c r="D127" s="200"/>
      <c r="E127" s="199"/>
      <c r="F127" s="199"/>
      <c r="G127" s="199"/>
      <c r="H127" s="199"/>
      <c r="I127" s="50"/>
    </row>
    <row r="128" spans="2:9" ht="13.5" thickTop="1" thickBot="1" x14ac:dyDescent="0.3">
      <c r="B128" s="24"/>
      <c r="C128" s="199"/>
      <c r="D128" s="200"/>
      <c r="E128" s="199"/>
      <c r="F128" s="199"/>
      <c r="G128" s="199"/>
      <c r="H128" s="199"/>
      <c r="I128" s="50"/>
    </row>
    <row r="129" spans="2:9" ht="13.5" thickTop="1" thickBot="1" x14ac:dyDescent="0.3">
      <c r="B129" s="24"/>
      <c r="C129" s="199"/>
      <c r="D129" s="200"/>
      <c r="E129" s="199"/>
      <c r="F129" s="199"/>
      <c r="G129" s="199"/>
      <c r="H129" s="199"/>
      <c r="I129" s="50"/>
    </row>
    <row r="130" spans="2:9" ht="13.5" thickTop="1" thickBot="1" x14ac:dyDescent="0.3">
      <c r="B130" s="24"/>
      <c r="C130" s="199"/>
      <c r="D130" s="200"/>
      <c r="E130" s="199"/>
      <c r="F130" s="199"/>
      <c r="G130" s="199"/>
      <c r="H130" s="199"/>
      <c r="I130" s="50"/>
    </row>
    <row r="131" spans="2:9" ht="13.5" thickTop="1" thickBot="1" x14ac:dyDescent="0.3">
      <c r="B131" s="24"/>
      <c r="C131" s="199"/>
      <c r="D131" s="200"/>
      <c r="E131" s="199"/>
      <c r="F131" s="199"/>
      <c r="G131" s="199"/>
      <c r="H131" s="199"/>
      <c r="I131" s="50"/>
    </row>
    <row r="132" spans="2:9" ht="13.5" thickTop="1" thickBot="1" x14ac:dyDescent="0.3">
      <c r="B132" s="24"/>
      <c r="C132" s="199"/>
      <c r="D132" s="200"/>
      <c r="E132" s="199"/>
      <c r="F132" s="199"/>
      <c r="G132" s="199"/>
      <c r="H132" s="199"/>
      <c r="I132" s="50"/>
    </row>
    <row r="133" spans="2:9" ht="13.5" thickTop="1" thickBot="1" x14ac:dyDescent="0.3">
      <c r="B133" s="24"/>
      <c r="C133" s="199"/>
      <c r="D133" s="200"/>
      <c r="E133" s="199"/>
      <c r="F133" s="199"/>
      <c r="G133" s="199"/>
      <c r="H133" s="199"/>
      <c r="I133" s="50"/>
    </row>
    <row r="134" spans="2:9" ht="13.5" thickTop="1" thickBot="1" x14ac:dyDescent="0.3">
      <c r="B134" s="24"/>
      <c r="C134" s="199"/>
      <c r="D134" s="200"/>
      <c r="E134" s="199"/>
      <c r="F134" s="199"/>
      <c r="G134" s="199"/>
      <c r="H134" s="199"/>
      <c r="I134" s="50"/>
    </row>
    <row r="135" spans="2:9" ht="13.5" thickTop="1" thickBot="1" x14ac:dyDescent="0.3">
      <c r="B135" s="24"/>
      <c r="C135" s="199"/>
      <c r="D135" s="200"/>
      <c r="E135" s="199"/>
      <c r="F135" s="199"/>
      <c r="G135" s="199"/>
      <c r="H135" s="199"/>
      <c r="I135" s="50"/>
    </row>
    <row r="136" spans="2:9" ht="13.5" thickTop="1" thickBot="1" x14ac:dyDescent="0.3">
      <c r="B136" s="24"/>
      <c r="C136" s="199"/>
      <c r="D136" s="200"/>
      <c r="E136" s="199"/>
      <c r="F136" s="199"/>
      <c r="G136" s="199"/>
      <c r="H136" s="199"/>
      <c r="I136" s="50"/>
    </row>
    <row r="137" spans="2:9" ht="13.5" thickTop="1" thickBot="1" x14ac:dyDescent="0.3">
      <c r="B137" s="24"/>
      <c r="C137" s="199"/>
      <c r="D137" s="200"/>
      <c r="E137" s="199"/>
      <c r="F137" s="199"/>
      <c r="G137" s="199"/>
      <c r="H137" s="199"/>
      <c r="I137" s="50"/>
    </row>
    <row r="138" spans="2:9" ht="13.5" thickTop="1" thickBot="1" x14ac:dyDescent="0.3">
      <c r="B138" s="24"/>
      <c r="C138" s="199"/>
      <c r="D138" s="200"/>
      <c r="E138" s="199"/>
      <c r="F138" s="199"/>
      <c r="G138" s="199"/>
      <c r="H138" s="199"/>
      <c r="I138" s="50"/>
    </row>
    <row r="139" spans="2:9" ht="13.5" thickTop="1" thickBot="1" x14ac:dyDescent="0.3">
      <c r="B139" s="24"/>
      <c r="C139" s="199"/>
      <c r="D139" s="200"/>
      <c r="E139" s="199"/>
      <c r="F139" s="199"/>
      <c r="G139" s="199"/>
      <c r="H139" s="199"/>
      <c r="I139" s="50"/>
    </row>
    <row r="140" spans="2:9" ht="13.5" thickTop="1" thickBot="1" x14ac:dyDescent="0.3">
      <c r="B140" s="24"/>
      <c r="C140" s="199"/>
      <c r="D140" s="200"/>
      <c r="E140" s="199"/>
      <c r="F140" s="199"/>
      <c r="G140" s="199"/>
      <c r="H140" s="199"/>
      <c r="I140" s="50"/>
    </row>
    <row r="141" spans="2:9" ht="13.5" thickTop="1" thickBot="1" x14ac:dyDescent="0.3">
      <c r="B141" s="24"/>
      <c r="C141" s="199"/>
      <c r="D141" s="200"/>
      <c r="E141" s="199"/>
      <c r="F141" s="199"/>
      <c r="G141" s="199"/>
      <c r="H141" s="199"/>
      <c r="I141" s="50"/>
    </row>
    <row r="142" spans="2:9" ht="13.5" thickTop="1" thickBot="1" x14ac:dyDescent="0.3">
      <c r="B142" s="24"/>
      <c r="C142" s="199"/>
      <c r="D142" s="200"/>
      <c r="E142" s="199"/>
      <c r="F142" s="199"/>
      <c r="G142" s="199"/>
      <c r="H142" s="199"/>
      <c r="I142" s="50"/>
    </row>
    <row r="143" spans="2:9" ht="13.5" thickTop="1" thickBot="1" x14ac:dyDescent="0.3">
      <c r="B143" s="24"/>
      <c r="C143" s="199"/>
      <c r="D143" s="200"/>
      <c r="E143" s="199"/>
      <c r="F143" s="199"/>
      <c r="G143" s="199"/>
      <c r="H143" s="199"/>
      <c r="I143" s="50"/>
    </row>
    <row r="144" spans="2:9" ht="13.5" thickTop="1" thickBot="1" x14ac:dyDescent="0.3">
      <c r="B144" s="24"/>
      <c r="C144" s="199"/>
      <c r="D144" s="200"/>
      <c r="E144" s="199"/>
      <c r="F144" s="199"/>
      <c r="G144" s="199"/>
      <c r="H144" s="199"/>
      <c r="I144" s="50"/>
    </row>
    <row r="145" spans="1:9" ht="13.5" thickTop="1" thickBot="1" x14ac:dyDescent="0.3">
      <c r="B145" s="24"/>
      <c r="C145" s="199"/>
      <c r="D145" s="200"/>
      <c r="E145" s="199"/>
      <c r="F145" s="199"/>
      <c r="G145" s="199"/>
      <c r="H145" s="199"/>
      <c r="I145" s="50"/>
    </row>
    <row r="146" spans="1:9" ht="13.5" thickTop="1" thickBot="1" x14ac:dyDescent="0.3">
      <c r="B146" s="24"/>
      <c r="C146" s="199"/>
      <c r="D146" s="200"/>
      <c r="E146" s="199"/>
      <c r="F146" s="199"/>
      <c r="G146" s="199"/>
      <c r="H146" s="199"/>
      <c r="I146" s="50"/>
    </row>
    <row r="147" spans="1:9" ht="13.5" thickTop="1" thickBot="1" x14ac:dyDescent="0.3">
      <c r="B147" s="24"/>
      <c r="C147" s="199"/>
      <c r="D147" s="200"/>
      <c r="E147" s="199"/>
      <c r="F147" s="199"/>
      <c r="G147" s="199"/>
      <c r="H147" s="199"/>
      <c r="I147" s="50"/>
    </row>
    <row r="148" spans="1:9" ht="13.5" thickTop="1" thickBot="1" x14ac:dyDescent="0.3">
      <c r="B148" s="24"/>
      <c r="C148" s="199"/>
      <c r="D148" s="200"/>
      <c r="E148" s="199"/>
      <c r="F148" s="199"/>
      <c r="G148" s="199"/>
      <c r="H148" s="199"/>
      <c r="I148" s="50"/>
    </row>
    <row r="149" spans="1:9" ht="13.5" thickTop="1" thickBot="1" x14ac:dyDescent="0.3">
      <c r="A149" s="196"/>
      <c r="B149" s="24"/>
      <c r="C149" s="199"/>
      <c r="D149" s="200"/>
      <c r="E149" s="199"/>
      <c r="F149" s="199"/>
      <c r="G149" s="199"/>
      <c r="H149" s="199"/>
      <c r="I149" s="50"/>
    </row>
    <row r="150" spans="1:9" ht="13.5" thickTop="1" thickBot="1" x14ac:dyDescent="0.3">
      <c r="B150" s="24"/>
      <c r="C150" s="199"/>
      <c r="D150" s="200"/>
      <c r="E150" s="199"/>
      <c r="F150" s="199"/>
      <c r="G150" s="199"/>
      <c r="H150" s="199"/>
      <c r="I150" s="50"/>
    </row>
    <row r="151" spans="1:9" ht="13.5" thickTop="1" thickBot="1" x14ac:dyDescent="0.3">
      <c r="B151" s="24"/>
      <c r="C151" s="199"/>
      <c r="D151" s="200"/>
      <c r="E151" s="199"/>
      <c r="F151" s="199"/>
      <c r="G151" s="199"/>
      <c r="H151" s="199"/>
      <c r="I151" s="50"/>
    </row>
    <row r="152" spans="1:9" ht="13.5" thickTop="1" thickBot="1" x14ac:dyDescent="0.3">
      <c r="B152" s="24"/>
      <c r="C152" s="199"/>
      <c r="D152" s="200"/>
      <c r="E152" s="199"/>
      <c r="F152" s="199"/>
      <c r="G152" s="199"/>
      <c r="H152" s="199"/>
      <c r="I152" s="50"/>
    </row>
    <row r="153" spans="1:9" ht="13.5" thickTop="1" thickBot="1" x14ac:dyDescent="0.3">
      <c r="B153" s="24"/>
      <c r="C153" s="199"/>
      <c r="D153" s="200"/>
      <c r="E153" s="199"/>
      <c r="F153" s="199"/>
      <c r="G153" s="199"/>
      <c r="H153" s="199"/>
      <c r="I153" s="50"/>
    </row>
    <row r="154" spans="1:9" ht="13.5" thickTop="1" thickBot="1" x14ac:dyDescent="0.3">
      <c r="B154" s="24"/>
      <c r="C154" s="199"/>
      <c r="D154" s="200"/>
      <c r="E154" s="199"/>
      <c r="F154" s="199"/>
      <c r="G154" s="199"/>
      <c r="H154" s="199"/>
      <c r="I154" s="50"/>
    </row>
    <row r="155" spans="1:9" ht="13.5" thickTop="1" thickBot="1" x14ac:dyDescent="0.3">
      <c r="B155" s="24"/>
      <c r="C155" s="199"/>
      <c r="D155" s="200"/>
      <c r="E155" s="199"/>
      <c r="F155" s="199"/>
      <c r="G155" s="199"/>
      <c r="H155" s="199"/>
      <c r="I155" s="50"/>
    </row>
    <row r="156" spans="1:9" ht="13.5" thickTop="1" thickBot="1" x14ac:dyDescent="0.3">
      <c r="B156" s="24"/>
      <c r="C156" s="199"/>
      <c r="D156" s="200"/>
      <c r="E156" s="199"/>
      <c r="F156" s="199"/>
      <c r="G156" s="199"/>
      <c r="H156" s="199"/>
      <c r="I156" s="50"/>
    </row>
    <row r="157" spans="1:9" ht="13.5" thickTop="1" thickBot="1" x14ac:dyDescent="0.3">
      <c r="B157" s="24"/>
      <c r="C157" s="199"/>
      <c r="D157" s="200"/>
      <c r="E157" s="199"/>
      <c r="F157" s="199"/>
      <c r="G157" s="199"/>
      <c r="H157" s="199"/>
      <c r="I157" s="50"/>
    </row>
    <row r="158" spans="1:9" ht="13.5" thickTop="1" thickBot="1" x14ac:dyDescent="0.3">
      <c r="B158" s="24"/>
      <c r="C158" s="199"/>
      <c r="D158" s="200"/>
      <c r="E158" s="199"/>
      <c r="F158" s="199"/>
      <c r="G158" s="199"/>
      <c r="H158" s="199"/>
      <c r="I158" s="50"/>
    </row>
    <row r="159" spans="1:9" ht="13.5" thickTop="1" thickBot="1" x14ac:dyDescent="0.3">
      <c r="B159" s="24"/>
      <c r="C159" s="179"/>
      <c r="D159" s="178"/>
      <c r="E159" s="179"/>
      <c r="F159" s="179"/>
      <c r="G159" s="179"/>
      <c r="H159" s="179"/>
      <c r="I159" s="50"/>
    </row>
    <row r="160" spans="1:9" ht="13.5" thickTop="1" thickBot="1" x14ac:dyDescent="0.3">
      <c r="B160" s="24"/>
      <c r="C160" s="179"/>
      <c r="D160" s="178"/>
      <c r="E160" s="179"/>
      <c r="F160" s="179"/>
      <c r="G160" s="179"/>
      <c r="H160" s="179"/>
      <c r="I160" s="50"/>
    </row>
    <row r="161" spans="2:9" ht="13.5" thickTop="1" thickBot="1" x14ac:dyDescent="0.3">
      <c r="B161" s="24"/>
      <c r="C161" s="179"/>
      <c r="D161" s="178"/>
      <c r="E161" s="179"/>
      <c r="F161" s="179"/>
      <c r="G161" s="179"/>
      <c r="H161" s="179"/>
      <c r="I161" s="50"/>
    </row>
    <row r="162" spans="2:9" ht="13.5" thickTop="1" thickBot="1" x14ac:dyDescent="0.3">
      <c r="B162" s="24"/>
      <c r="C162" s="179"/>
      <c r="D162" s="178"/>
      <c r="E162" s="179"/>
      <c r="F162" s="179"/>
      <c r="G162" s="179"/>
      <c r="H162" s="179"/>
      <c r="I162" s="50"/>
    </row>
    <row r="163" spans="2:9" ht="13.5" thickTop="1" thickBot="1" x14ac:dyDescent="0.3">
      <c r="B163" s="24"/>
      <c r="C163" s="179"/>
      <c r="D163" s="178"/>
      <c r="E163" s="179"/>
      <c r="F163" s="179"/>
      <c r="G163" s="179"/>
      <c r="H163" s="179"/>
      <c r="I163" s="50"/>
    </row>
    <row r="164" spans="2:9" ht="13.5" thickTop="1" thickBot="1" x14ac:dyDescent="0.3">
      <c r="B164" s="24"/>
      <c r="C164" s="179"/>
      <c r="D164" s="178"/>
      <c r="E164" s="179"/>
      <c r="F164" s="179"/>
      <c r="G164" s="179"/>
      <c r="H164" s="179"/>
      <c r="I164" s="50"/>
    </row>
    <row r="165" spans="2:9" ht="13.5" thickTop="1" thickBot="1" x14ac:dyDescent="0.3">
      <c r="B165" s="24"/>
      <c r="C165" s="179"/>
      <c r="D165" s="178"/>
      <c r="E165" s="179"/>
      <c r="F165" s="179"/>
      <c r="G165" s="179"/>
      <c r="H165" s="179"/>
      <c r="I165" s="50"/>
    </row>
    <row r="166" spans="2:9" ht="13.5" thickTop="1" thickBot="1" x14ac:dyDescent="0.3">
      <c r="B166" s="24"/>
      <c r="C166" s="179"/>
      <c r="D166" s="178"/>
      <c r="E166" s="179"/>
      <c r="F166" s="179"/>
      <c r="G166" s="179"/>
      <c r="H166" s="179"/>
      <c r="I166" s="50"/>
    </row>
    <row r="167" spans="2:9" ht="13.5" thickTop="1" thickBot="1" x14ac:dyDescent="0.3">
      <c r="B167" s="24"/>
      <c r="C167" s="179"/>
      <c r="D167" s="178"/>
      <c r="E167" s="179"/>
      <c r="F167" s="179"/>
      <c r="G167" s="179"/>
      <c r="H167" s="179"/>
      <c r="I167" s="50"/>
    </row>
    <row r="168" spans="2:9" ht="13.5" thickTop="1" thickBot="1" x14ac:dyDescent="0.3">
      <c r="B168" s="24"/>
      <c r="C168" s="179"/>
      <c r="D168" s="178"/>
      <c r="E168" s="179"/>
      <c r="F168" s="179"/>
      <c r="G168" s="179"/>
      <c r="H168" s="179"/>
      <c r="I168" s="50"/>
    </row>
    <row r="169" spans="2:9" ht="13.5" thickTop="1" thickBot="1" x14ac:dyDescent="0.3">
      <c r="B169" s="24"/>
      <c r="C169" s="179"/>
      <c r="D169" s="178"/>
      <c r="E169" s="179"/>
      <c r="F169" s="179"/>
      <c r="G169" s="179"/>
      <c r="H169" s="179"/>
      <c r="I169" s="50"/>
    </row>
    <row r="170" spans="2:9" ht="13" thickTop="1" x14ac:dyDescent="0.25">
      <c r="B170" s="24"/>
      <c r="C170" s="181"/>
      <c r="D170" s="180"/>
      <c r="E170" s="181"/>
      <c r="F170" s="181"/>
      <c r="G170" s="181"/>
      <c r="H170" s="181"/>
      <c r="I170" s="50"/>
    </row>
    <row r="171" spans="2:9" x14ac:dyDescent="0.25">
      <c r="B171" s="24"/>
      <c r="E171" s="50"/>
    </row>
    <row r="172" spans="2:9" x14ac:dyDescent="0.25">
      <c r="B172" s="24"/>
      <c r="E172" s="50"/>
    </row>
    <row r="173" spans="2:9" x14ac:dyDescent="0.25">
      <c r="B173" s="24"/>
      <c r="E173" s="50"/>
    </row>
    <row r="174" spans="2:9" x14ac:dyDescent="0.25">
      <c r="B174" s="24"/>
    </row>
    <row r="175" spans="2:9" x14ac:dyDescent="0.25">
      <c r="B175" s="24"/>
    </row>
    <row r="176" spans="2:9" x14ac:dyDescent="0.25">
      <c r="B176" s="24"/>
    </row>
    <row r="177" spans="2:2" x14ac:dyDescent="0.25">
      <c r="B177" s="24"/>
    </row>
    <row r="178" spans="2:2" x14ac:dyDescent="0.25">
      <c r="B178" s="24"/>
    </row>
    <row r="179" spans="2:2" x14ac:dyDescent="0.25">
      <c r="B179" s="24"/>
    </row>
    <row r="180" spans="2:2" x14ac:dyDescent="0.25">
      <c r="B180" s="24"/>
    </row>
    <row r="181" spans="2:2" x14ac:dyDescent="0.25">
      <c r="B181" s="24"/>
    </row>
    <row r="182" spans="2:2" x14ac:dyDescent="0.25">
      <c r="B182" s="24"/>
    </row>
    <row r="183" spans="2:2" x14ac:dyDescent="0.25">
      <c r="B183" s="24"/>
    </row>
  </sheetData>
  <sheetProtection password="D41E" sheet="1" objects="1" scenarios="1"/>
  <mergeCells count="4">
    <mergeCell ref="B4:I6"/>
    <mergeCell ref="B7:I8"/>
    <mergeCell ref="B2:I2"/>
    <mergeCell ref="B3:I3"/>
  </mergeCells>
  <pageMargins left="0.7" right="0.7" top="0.75" bottom="0.75" header="0.3" footer="0.3"/>
  <pageSetup orientation="portrait" r:id="rId1"/>
  <picture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Title-README</vt:lpstr>
      <vt:lpstr>Step1-SystemDetails</vt:lpstr>
      <vt:lpstr>Step2-BoardDetails</vt:lpstr>
      <vt:lpstr>Step3-DDRTimings</vt:lpstr>
      <vt:lpstr>Register Values (U-Boot)</vt:lpstr>
      <vt:lpstr>Register Values (GEL_SBL)</vt:lpstr>
      <vt:lpstr>TI Important Notice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EMIF Register Config</dc:title>
  <dc:creator>Scholz, Kevin</dc:creator>
  <dc:description>v2.0.0</dc:description>
  <cp:lastModifiedBy>Fike, Lindsey</cp:lastModifiedBy>
  <cp:lastPrinted>2014-06-23T17:59:16Z</cp:lastPrinted>
  <dcterms:created xsi:type="dcterms:W3CDTF">1996-10-14T23:33:28Z</dcterms:created>
  <dcterms:modified xsi:type="dcterms:W3CDTF">2020-12-01T18:15:23Z</dcterms:modified>
</cp:coreProperties>
</file>