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_rels/sheet14.xml.rels" ContentType="application/vnd.openxmlformats-package.relationships+xml"/>
  <Override PartName="/xl/worksheets/_rels/sheet13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2.xml.rels" ContentType="application/vnd.openxmlformats-package.relationships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7.xml.rels" ContentType="application/vnd.openxmlformats-package.relationships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worksheets/sheet1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media/image14.png" ContentType="image/png"/>
  <Override PartName="/xl/media/image13.png" ContentType="image/png"/>
  <Override PartName="/xl/media/image12.png" ContentType="image/png"/>
  <Override PartName="/xl/media/image11.png" ContentType="image/png"/>
  <Override PartName="/xl/media/image10.png" ContentType="image/png"/>
  <Override PartName="/xl/media/image9.png" ContentType="image/png"/>
  <Override PartName="/xl/media/image8.png" ContentType="image/png"/>
  <Override PartName="/xl/media/image7.png" ContentType="image/png"/>
  <Override PartName="/xl/media/image2.png" ContentType="image/png"/>
  <Override PartName="/xl/media/image1.png" ContentType="image/png"/>
  <Override PartName="/xl/media/image3.png" ContentType="image/png"/>
  <Override PartName="/xl/media/image4.png" ContentType="image/png"/>
  <Override PartName="/xl/media/image5.png" ContentType="image/png"/>
  <Override PartName="/xl/media/image6.png" ContentType="image/png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Revision History" sheetId="1" state="visible" r:id="rId2"/>
    <sheet name="Title-README" sheetId="2" state="visible" r:id="rId3"/>
    <sheet name="Step1-SystemDetails" sheetId="3" state="visible" r:id="rId4"/>
    <sheet name="Step2-BoardDetails" sheetId="4" state="visible" r:id="rId5"/>
    <sheet name="Step3-DDRTimings" sheetId="5" state="visible" r:id="rId6"/>
    <sheet name="Register Values" sheetId="6" state="hidden" r:id="rId7"/>
    <sheet name="Register Values (U-Boot)" sheetId="7" state="visible" r:id="rId8"/>
    <sheet name="EMIF_Configurations" sheetId="8" state="hidden" r:id="rId9"/>
    <sheet name="Register Values (GEL_SBL)" sheetId="9" state="visible" r:id="rId10"/>
    <sheet name="DynamicUserOptions" sheetId="10" state="hidden" r:id="rId11"/>
    <sheet name="LOCK" sheetId="11" state="hidden" r:id="rId12"/>
    <sheet name="UserConfig" sheetId="12" state="hidden" r:id="rId13"/>
    <sheet name="TI Important Notice" sheetId="13" state="visible" r:id="rId14"/>
    <sheet name="Register Values (OLD)" sheetId="14" state="hidden" r:id="rId15"/>
  </sheets>
  <definedNames>
    <definedName function="false" hidden="false" name="_auto_nda_config" vbProcedure="false">0</definedName>
    <definedName function="false" hidden="false" name="_company_project" vbProcedure="false">'Step1-SystemDetails'!$F$17</definedName>
    <definedName function="false" hidden="false" name="_company_project_invalid" vbProcedure="false">isspecial(_company_project)</definedName>
    <definedName function="false" hidden="false" name="_CTRL_CORE_CONTROL_DDRCACH1_0_VAL" vbProcedure="false">DEC2HEX(SUM(_ctrl_io_ch1_acc_i*2^29,_ctrl_io_ch1_acc_sr*2^26,_ctrl_io_ch1_acc_wd*2^24,_ctrl_io_ch1_acc_i*2^21,_ctrl_io_ch1_acc_sr*2^18,_ctrl_io_ch1_acc_wd*2^16,_ctrl_io_ch1_acc_i*2^13,_ctrl_io_ch1_acc_sr*2^10,_ctrl_io_ch1_acc_wd*2^8,_ctrl_io_ch1_acc_i*2^5,_ctrl_io_ch1_acc_sr*2^2,_ctrl_io_ch1_acc_wd),8)</definedName>
    <definedName function="false" hidden="false" name="_ctrl_io_ch1_acc_i" vbProcedure="false">MATCH(_emif_io_dr_acc,_emif_io_dr,0)-1</definedName>
    <definedName function="false" hidden="false" name="_emif_io_dr_acc" vbProcedure="false">'Step1-SystemDetails'!$F$55</definedName>
    <definedName function="false" hidden="false" name="_emif_io_dr" vbProcedure="false">{80;60;48;40;34}</definedName>
    <definedName function="false" hidden="false" name="_ctrl_io_ch1_acc_sr" vbProcedure="false">MATCH(_emif_io_sr_acc,_emif_io_sr,0)-1</definedName>
    <definedName function="false" hidden="false" name="_emif_io_sr_acc" vbProcedure="false">'Step1-SystemDetails'!$F$53</definedName>
    <definedName function="false" hidden="false" name="_emif_io_sr" vbProcedure="false">{"Fastest: SR[2:0] = 0b000";"SR[2:0] = 0b001";"SR[2:0] = 0b010";"SR[2:0] = 0b011";"SR[2:0] = 0b100";"SR[2:0] = 0b101";"SR[2:0] = 0b110";"Slowest: SR[2:0] = 0b111"}</definedName>
    <definedName function="false" hidden="false" name="_ctrl_io_ch1_acc_wd" vbProcedure="false">0</definedName>
    <definedName function="false" hidden="false" name="_CTRL_CORE_CONTROL_DDRCH1_0_VAL" vbProcedure="false">DEC2HEX(SUM(_ctrl_io_ch1_ds_i*2^29,_ctrl_io_ch1_ds_sr*2^26,_ctrl_io_ch1_ds_wd*2^24,_ctrl_io_ch1_ds_i*2^21,_ctrl_io_ch1_ds_sr*2^18,_ctrl_io_ch1_dqs_wd*2^16,_ctrl_io_ch1_ds_i*2^13,_ctrl_io_ch1_ds_sr*2^10,_ctrl_io_ch1_ds_wd*2^8,_ctrl_io_ch1_ds_i*2^5,_ctrl_io_ch1_ds_sr*2^2,_ctrl_io_ch1_dqs_wd),8)</definedName>
    <definedName function="false" hidden="false" name="_ctrl_io_ch1_ds_i" vbProcedure="false">MATCH(_emif_io_dr_ds,_emif_io_dr,0)-1</definedName>
    <definedName function="false" hidden="false" name="_emif_io_dr_ds" vbProcedure="false">'Step1-SystemDetails'!$F$56</definedName>
    <definedName function="false" hidden="false" name="_ctrl_io_ch1_ds_sr" vbProcedure="false">MATCH(_emif_io_sr_ds,_emif_io_sr,0)-1</definedName>
    <definedName function="false" hidden="false" name="_emif_io_sr_ds" vbProcedure="false">'Step1-SystemDetails'!$F$54</definedName>
    <definedName function="false" hidden="false" name="_ctrl_io_ch1_ds_wd" vbProcedure="false">0</definedName>
    <definedName function="false" hidden="false" name="_ctrl_io_ch1_dqs_wd" vbProcedure="false">IF(_user_sdram_type="LPDDR2",2,0)</definedName>
    <definedName function="false" hidden="false" name="_user_sdram_type" vbProcedure="false">'Step1-SystemDetails'!$F$21</definedName>
    <definedName function="false" hidden="false" name="_CTRL_CORE_CONTROL_DDRCH1_2_VAL" vbProcedure="false">DEC2HEX(SUM(_ctrl_io_ch1_ds_i*2^21,_ctrl_io_ch1_ds_sr*2^18,_ctrl_io_ch1_dqs_wd*2^16,_ctrl_io_ch1_ds_i*2^13,_ctrl_io_ch1_ds_sr*2^10,_ctrl_io_ch1_ds_wd*2^8),8)</definedName>
    <definedName function="false" hidden="false" name="_CTRL_CORE_CONTROL_DDRIO_0" vbProcedure="false">IF(OR(_soc_name="adaslow1",_soc_name="adaslow2"),DEC2HEX(642656,8),DEC2HEX(608832,8))</definedName>
    <definedName function="false" hidden="false" name="_soc_name" vbProcedure="false">CHOOSE(MATCH(_user_soc,_soc_partnum_list,0),"j6entry","j6eco","vayu","j6plus","j6plus","adaslow2","adaslow1","j6entry","j6eco","vayu","j6plus","vayu","j6plus","j6plus","j6plus","adaslow1","j6entry","j6eco","j6entry","j6plus","vayu","adaslow2","adaslow1")</definedName>
    <definedName function="false" hidden="false" name="_user_soc" vbProcedure="false">'Step1-SystemDetails'!$F$18</definedName>
    <definedName function="false" hidden="false" name="_soc_partnum_list" vbProcedure="false">{"AM570x";"AM571x";"AM572x";"AM574x";"AM576x";"DM50x_ABE";"DM50x_ABF";"DRA71x";"DRA72x";"DRA74x";"DRA74xP";"DRA75x";"DRA75xP";"DRA76x";"DRA77x";"DRA78x";"DRA79x";"TDA2Ex_ABC";"TDA2Ex_CBD";"TDA2Px";"TDA2x";"TDA3x_ABE";"TDA3x_ABF"}</definedName>
    <definedName function="false" hidden="false" name="_CTRL_CORE_CONTROL_DDRIO_1" vbProcedure="false">IF(_soc_name="vayu",DEC2HEX(77930496,8),DEC2HEX(0,8))</definedName>
    <definedName function="false" hidden="false" name="_ctrl_ratio0" vbProcedure="false">IF(_user_sdram_type="LPDDR2",64,IF(_phy_invert_clk=1,256,128))</definedName>
    <definedName function="false" hidden="false" name="_phy_invert_clk" vbProcedure="false">IF(_user_sdram_type="DDR3/L",1,0)</definedName>
    <definedName function="false" hidden="false" name="_ctrl_ratio1" vbProcedure="false">IF(_user_sdram_type="LPDDR2",64,IF(_phy_invert_clk=1,256,128))</definedName>
    <definedName function="false" hidden="false" name="_ctrl_ratio2" vbProcedure="false">64</definedName>
    <definedName function="false" hidden="false" name="_ctrl_wkup_emif1_dis_reset" vbProcedure="false">0</definedName>
    <definedName function="false" hidden="false" name="_ctrl_wkup_emif1_en_ecc" vbProcedure="false">IF(_user_ecc="Yes",1,0)</definedName>
    <definedName function="false" hidden="false" name="_user_ecc" vbProcedure="false">'Step1-SystemDetails'!$F$27</definedName>
    <definedName function="false" hidden="false" name="_ctrl_wkup_emif1_en_slice0" vbProcedure="false">1</definedName>
    <definedName function="false" hidden="false" name="_ctrl_wkup_emif1_en_slice1" vbProcedure="false">1</definedName>
    <definedName function="false" hidden="false" name="_ctrl_wkup_emif1_en_slice2" vbProcedure="false">IF(_user_sdram_type="LPDDR2",1,0)</definedName>
    <definedName function="false" hidden="false" name="_ctrl_wkup_emif1_odt" vbProcedure="false">MATCH(_emif_io_odt,_emif_io_odt_list,0)-1</definedName>
    <definedName function="false" hidden="false" name="_emif_io_odt" vbProcedure="false">'Step1-SystemDetails'!$F$52</definedName>
    <definedName function="false" hidden="false" name="_emif_io_odt_list" vbProcedure="false">{"Disabled";60;80;120}</definedName>
    <definedName function="false" hidden="false" name="_ctrl_wkup_emif1_phase_ctrl" vbProcedure="false">0</definedName>
    <definedName function="false" hidden="false" name="_ctrl_wkup_emif1_rdlvl_algo" vbProcedure="false">0</definedName>
    <definedName function="false" hidden="false" name="_ctrl_wkup_emif1_rdlvl_resp" vbProcedure="false">0</definedName>
    <definedName function="false" hidden="false" name="_ctrl_wkup_emif1_rdlvl_samp" vbProcedure="false">3</definedName>
    <definedName function="false" hidden="false" name="_ctrl_wkup_emif1_reserved" vbProcedure="false">1</definedName>
    <definedName function="false" hidden="false" name="_CTRL_WKUP_EMIF1_SDRAM_CONFIG_EXT" vbProcedure="false">DEC2HEX(SUM(_sdram_config_narrow_mode*2^17,_ctrl_wkup_emif1_en_ecc*2^16,_ctrl_wkup_emif1_rdlvl_samp*2^14,_ctrl_wkup_emif1_rdlvl_algo*2^13,_ctrl_wkup_emif1_rdlvl_resp*2^12,_ctrl_wkup_emif1_reserved*2^8,_ctrl_wkup_emif1_dis_reset*2^7,_ctrl_wkup_emif1_odt*2^5,_ctrl_wkup_emif1_phase_ctrl*2^3,_ctrl_wkup_emif1_en_slice2*2^2,_ctrl_wkup_emif1_en_slice1*2^1,_ctrl_wkup_emif1_en_slice0),8)</definedName>
    <definedName function="false" hidden="false" name="_sdram_config_narrow_mode" vbProcedure="false">MAX(MIN(IF(_sdram_bw=16,1,0),2^2-1),0)</definedName>
    <definedName function="false" hidden="false" name="_sdram_bw" vbProcedure="false">'Step1-SystemDetails'!$F$23</definedName>
    <definedName function="false" hidden="false" name="_ctrl_wkup_emif2_en_ecc" vbProcedure="false">0</definedName>
    <definedName function="false" hidden="false" name="_CTRL_WKUP_EMIF2_SDRAM_CONFIG_EXT" vbProcedure="false">DEC2HEX(SUM(_sdram_config_narrow_mode*2^17,_ctrl_wkup_emif2_en_ecc*2^16,_ctrl_wkup_emif1_rdlvl_samp*2^14,_ctrl_wkup_emif1_rdlvl_algo*2^13,_ctrl_wkup_emif1_rdlvl_resp*2^12,_ctrl_wkup_emif1_reserved*2^8,_ctrl_wkup_emif1_dis_reset*2^7,_ctrl_wkup_emif1_odt*2^5,_ctrl_wkup_emif1_phase_ctrl*2^3,_ctrl_wkup_emif1_en_slice2*2^2,_ctrl_wkup_emif1_en_slice1*2^1,_ctrl_wkup_emif1_en_slice0),8)</definedName>
    <definedName function="false" hidden="false" name="_ddr2_bankNum" vbProcedure="false">IF(_sdram_density&lt;1,4,8)</definedName>
    <definedName function="false" hidden="false" name="_sdram_density" vbProcedure="false">'Step1-SystemDetails'!$F$37</definedName>
    <definedName function="false" hidden="false" name="_ddr2_densities" vbProcedure="false">{0.25;0.5;1;2;4}</definedName>
    <definedName function="false" hidden="false" name="_ddr2_drive_imp" vbProcedure="false">{"Normal";"Weak"}</definedName>
    <definedName function="false" hidden="false" name="_ddr2_lvl" vbProcedure="false">{"S/W"}</definedName>
    <definedName function="false" hidden="false" name="_ddr2_rtt" vbProcedure="false">{"Disabled";"75 Ohm";"150 Ohm";"50 Ohm"}</definedName>
    <definedName function="false" hidden="false" name="_ddr2_rttwr" vbProcedure="false">{"NA"}</definedName>
    <definedName function="false" hidden="false" name="_ddr2_sb_403_ck" vbProcedure="false">{5;5}</definedName>
    <definedName function="false" hidden="false" name="_ddr2_sb_403_cl" vbProcedure="false">{3;4}</definedName>
    <definedName function="false" hidden="false" name="_ddr2_sb_404_ck" vbProcedure="false">{5}</definedName>
    <definedName function="false" hidden="false" name="_ddr2_sb_404_cl" vbProcedure="false">{4}</definedName>
    <definedName function="false" hidden="false" name="_ddr2_sb_536_ck" vbProcedure="false">{3.75;3.75}</definedName>
    <definedName function="false" hidden="false" name="_ddr2_sb_536_cl" vbProcedure="false">{3;4}</definedName>
    <definedName function="false" hidden="false" name="_ddr2_sb_537_ck" vbProcedure="false">{5;3.75}</definedName>
    <definedName function="false" hidden="false" name="_ddr2_sb_537_cl" vbProcedure="false">{3;4}</definedName>
    <definedName function="false" hidden="false" name="_ddr2_sb_671_ck" vbProcedure="false">{3;3}</definedName>
    <definedName function="false" hidden="false" name="_ddr2_sb_671_cl" vbProcedure="false">{4;5}</definedName>
    <definedName function="false" hidden="false" name="_ddr2_sb_672_ck" vbProcedure="false">{3.75;3}</definedName>
    <definedName function="false" hidden="false" name="_ddr2_sb_672_cl" vbProcedure="false">{4;5}</definedName>
    <definedName function="false" hidden="false" name="_ddr2_sb_804_ck" vbProcedure="false">{2.5;2.5}</definedName>
    <definedName function="false" hidden="false" name="_ddr2_sb_804_cl" vbProcedure="false">{4;5}</definedName>
    <definedName function="false" hidden="false" name="_ddr2_sb_805_ck" vbProcedure="false">{3.75;2.5}</definedName>
    <definedName function="false" hidden="false" name="_ddr2_sb_805_cl" vbProcedure="false">{4;5}</definedName>
    <definedName function="false" hidden="false" name="_ddr2_sb_806_ck" vbProcedure="false">{3.75;3;2.5}</definedName>
    <definedName function="false" hidden="false" name="_ddr2_sb_806_cl" vbProcedure="false">{4;5;6}</definedName>
    <definedName function="false" hidden="false" name="_ddr2_sb_data" vbProcedure="false">{400;533;667;800}</definedName>
    <definedName function="false" hidden="false" name="_ddr2_sb_dqsck_max" vbProcedure="false">{500;500;450;450;400;400;350;350;350}</definedName>
    <definedName function="false" hidden="false" name="_ddr2_sb_faw_1k" vbProcedure="false">{37.5;37.5;37.5;37.5;37.5;37.5;35;35;35}</definedName>
    <definedName function="false" hidden="false" name="_ddr2_sb_faw_2k" vbProcedure="false">{50;50;50;50;50;50;45;45;45}</definedName>
    <definedName function="false" hidden="false" name="_ddr2_sb_lookup" vbProcedure="false">{403;404;536;537;671;672;804;805;806}</definedName>
    <definedName function="false" hidden="false" name="_ddr2_sb_ras_min" vbProcedure="false">{40;45;45;45;45;45;45;45;45}</definedName>
    <definedName function="false" hidden="false" name="_ddr2_sb_rc" vbProcedure="false">{55;65;56.25;60;57;60;55;57.5;60}</definedName>
    <definedName function="false" hidden="false" name="_ddr2_sb_rcd" vbProcedure="false">{15;20;11.25;15;12;15;10;12.5;15}</definedName>
    <definedName function="false" hidden="false" name="_ddr2_sb_rp" vbProcedure="false">{15;20;11.25;15;12;15;10;12.5;15}</definedName>
    <definedName function="false" hidden="false" name="_ddr2_sb_wtr" vbProcedure="false">{10;10;7.5;7.5;7.5;7.5;7.5;7.5;7.5}</definedName>
    <definedName function="false" hidden="false" name="_ddr2_width" vbProcedure="false">{8;16;32}</definedName>
    <definedName function="false" hidden="false" name="_ddr3_bankNum" vbProcedure="false">8</definedName>
    <definedName function="false" hidden="false" name="_ddr3_densities" vbProcedure="false">{0.5;1;2;4;8}</definedName>
    <definedName function="false" hidden="false" name="_ddr3_drive_imp" vbProcedure="false">{"RZQ/6";"RZQ/7"}</definedName>
    <definedName function="false" hidden="false" name="_ddr3_lvl" vbProcedure="false">{"S/W","H/W"}</definedName>
    <definedName function="false" hidden="false" name="_ddr3_lvl_cat" vbProcedure="false">{"H/W"}</definedName>
    <definedName function="false" hidden="false" name="_ddr3_rtt" vbProcedure="false">{"Disabled";"RZQ/4";"RZQ/2";"RZQ/6";"RZQ/12";"RZQ/8"}</definedName>
    <definedName function="false" hidden="false" name="_ddr3_rttwr" vbProcedure="false">{"Disabled";"RZQ/4";"RZQ/2"}</definedName>
    <definedName function="false" hidden="false" name="_ddr3_sb_1072_ck" vbProcedure="false">{2.5;2.5;1.875;1.875;1.875}</definedName>
    <definedName function="false" hidden="false" name="_ddr3_sb_1072_cl" vbProcedure="false">{5;6;6;7;8}</definedName>
    <definedName function="false" hidden="false" name="_ddr3_sb_1072_cwl" vbProcedure="false">{5;5;6;6;6}</definedName>
    <definedName function="false" hidden="false" name="_ddr3_sb_1073_ck" vbProcedure="false">{3;2.5;1.875;1.875}</definedName>
    <definedName function="false" hidden="false" name="_ddr3_sb_1073_cl" vbProcedure="false">{5;6;7;8}</definedName>
    <definedName function="false" hidden="false" name="_ddr3_sb_1073_cwl" vbProcedure="false">{5;5;6;6}</definedName>
    <definedName function="false" hidden="false" name="_ddr3_sb_1074_ck" vbProcedure="false">{3;2.5;1.875}</definedName>
    <definedName function="false" hidden="false" name="_ddr3_sb_1074_cl" vbProcedure="false">{5;6;8}</definedName>
    <definedName function="false" hidden="false" name="_ddr3_sb_1074_cwl" vbProcedure="false">{5;5;6}</definedName>
    <definedName function="false" hidden="false" name="_ddr3_sb_1340_ck" vbProcedure="false">{2.5;2.5;1.875;1.875;1.5;1.875;1.5;1.5;1.5}</definedName>
    <definedName function="false" hidden="false" name="_ddr3_sb_1340_cl" vbProcedure="false">{5;6;6;7;7;8;8;9;10}</definedName>
    <definedName function="false" hidden="false" name="_ddr3_sb_1340_cwl" vbProcedure="false">{5;5;6;6;7;6;7;7;7}</definedName>
    <definedName function="false" hidden="false" name="_ddr3_sb_1341_ck" vbProcedure="false">{2.5;2.5;1.875;1.875;1.5;1.5;1.5}</definedName>
    <definedName function="false" hidden="false" name="_ddr3_sb_1341_cl" vbProcedure="false">{5;6;7;8;8;9;10}</definedName>
    <definedName function="false" hidden="false" name="_ddr3_sb_1341_cwl" vbProcedure="false">{5;5;6;6;7;7;7}</definedName>
    <definedName function="false" hidden="false" name="_ddr3_sb_1342_ck" vbProcedure="false">{3;2.5;1.875;1.875;1.5;1.5}</definedName>
    <definedName function="false" hidden="false" name="_ddr3_sb_1342_cl" vbProcedure="false">{5;6;7;8;9;10}</definedName>
    <definedName function="false" hidden="false" name="_ddr3_sb_1342_cwl" vbProcedure="false">{5;5;6;6;7;7}</definedName>
    <definedName function="false" hidden="false" name="_ddr3_sb_1343_ck" vbProcedure="false">{3;2.5;1.875;1.5}</definedName>
    <definedName function="false" hidden="false" name="_ddr3_sb_1343_cl" vbProcedure="false">{5;6;8;10}</definedName>
    <definedName function="false" hidden="false" name="_ddr3_sb_1343_cwl" vbProcedure="false">{5;5;6;7}</definedName>
    <definedName function="false" hidden="false" name="_ddr3_sb_1608_ck" vbProcedure="false">{2.5;2.5;1.875;1.875;1.5;1.875;1.5;1.25;1.5;1.25;1.5;1.25;1.25}</definedName>
    <definedName function="false" hidden="false" name="_ddr3_sb_1608_cl" vbProcedure="false">{5;6;6;7;7;8;8;8;9;9;10;10;11}</definedName>
    <definedName function="false" hidden="false" name="_ddr3_sb_1608_cwl" vbProcedure="false">{5;5;6;6;7;6;7;8;7;8;7;8;8}</definedName>
    <definedName function="false" hidden="false" name="_ddr3_sb_1609_ck" vbProcedure="false">{2.5;2.5;1.875;1.875;1.875;1.5;1.5;1.25;1.5;1.25;1.25}</definedName>
    <definedName function="false" hidden="false" name="_ddr3_sb_1609_cl" vbProcedure="false">{5;6;6;7;8;8;9;9;10;10;11}</definedName>
    <definedName function="false" hidden="false" name="_ddr3_sb_1609_cwl" vbProcedure="false">{5;5;6;6;6;7;7;8;7;8;8}</definedName>
    <definedName function="false" hidden="false" name="_ddr3_sb_1610_ck" vbProcedure="false">{2.5;2.5;1.875;1.875;1.5;1.5;1.25;1.25}</definedName>
    <definedName function="false" hidden="false" name="_ddr3_sb_1610_cl" vbProcedure="false">{5;6;7;8;9;10;10;11}</definedName>
    <definedName function="false" hidden="false" name="_ddr3_sb_1610_cwl" vbProcedure="false">{5;5;6;6;7;7;8;8}</definedName>
    <definedName function="false" hidden="false" name="_ddr3_sb_1611_ck" vbProcedure="false">{3;2.5;1.875;1.875;1.5;1.5;1.25}</definedName>
    <definedName function="false" hidden="false" name="_ddr3_sb_1611_cl" vbProcedure="false">{5;6;7;8;9;10;11}</definedName>
    <definedName function="false" hidden="false" name="_ddr3_sb_1611_cwl" vbProcedure="false">{5;5;6;6;7;7;8}</definedName>
    <definedName function="false" hidden="false" name="_ddr3_sb_1876_ck" vbProcedure="false">{2.5;2.5;1.875;1.875;1.875;1.5;1.5;1.25;1.5;1.25;1.25;1.07;1.07;1.07}</definedName>
    <definedName function="false" hidden="false" name="_ddr3_sb_1876_cl" vbProcedure="false">{5;6;6;7;8;8;9;9;10;10;11;11;12;13}</definedName>
    <definedName function="false" hidden="false" name="_ddr3_sb_1876_cwl" vbProcedure="false">{5;5;6;6;6;7;7;8;7;8;8;9;9;9}</definedName>
    <definedName function="false" hidden="false" name="_ddr3_sb_1877_ck" vbProcedure="false">{2.5;2.5;1.875;1.875;1.5;1.5;1.5;1.25;1.25;1.07;1.07;1.07}</definedName>
    <definedName function="false" hidden="false" name="_ddr3_sb_1877_cl" vbProcedure="false">{5;6;7;8;8;9;10;10;11;11;12;13}</definedName>
    <definedName function="false" hidden="false" name="_ddr3_sb_1877_cwl" vbProcedure="false">{5;5;6;6;7;7;7;8;8;9;9;9}</definedName>
    <definedName function="false" hidden="false" name="_ddr3_sb_1878_ck" vbProcedure="false">{2.5;1.875;1.875;1.5;1.5;1.25;1.07;1.07}</definedName>
    <definedName function="false" hidden="false" name="_ddr3_sb_1878_cl" vbProcedure="false">{6;7;8;9;10;11;12;13}</definedName>
    <definedName function="false" hidden="false" name="_ddr3_sb_1878_cwl" vbProcedure="false">{5;6;6;7;7;8;9;9}</definedName>
    <definedName function="false" hidden="false" name="_ddr3_sb_1879_ck" vbProcedure="false">{2.5;1.875;1.875;1.5;1.5;1.25;1.07}</definedName>
    <definedName function="false" hidden="false" name="_ddr3_sb_1879_cl" vbProcedure="false">{6;7;8;9;10;11;13}</definedName>
    <definedName function="false" hidden="false" name="_ddr3_sb_1879_cwl" vbProcedure="false">{5;6;6;7;7;8;9}</definedName>
    <definedName function="false" hidden="false" name="_ddr3_sb_2144_ck" vbProcedure="false">{2.5;2.5;1.875;1.875;1.5;1.875;1.5;1.5;1.25;1.5;1.25;1.07;1.25;1.07;0.938;1.07;0.938;1.07;0.938;0.938}</definedName>
    <definedName function="false" hidden="false" name="_ddr3_sb_2144_cl" vbProcedure="false">{5;6;6;7;7;8;8;9;9;10;10;10;11;11;11;12;12;13;13;14}</definedName>
    <definedName function="false" hidden="false" name="_ddr3_sb_2144_cwl" vbProcedure="false">{5;5;6;6;7;6;7;7;8;7;8;9;8;9;10;9;10;9;10;10}</definedName>
    <definedName function="false" hidden="false" name="_ddr3_sb_2145_ck" vbProcedure="false">{2.5;2.5;1.875;1.875;1.875;1.5;1.5;1.25;1.5;1.25;1.25;1.07;1.07;0.938;1.07;0.938;0.938}</definedName>
    <definedName function="false" hidden="false" name="_ddr3_sb_2145_cl" vbProcedure="false">{5;6;6;7;8;8;9;9;10;10;11;11;12;12;13;13;14}</definedName>
    <definedName function="false" hidden="false" name="_ddr3_sb_2145_cwl" vbProcedure="false">{5;5;6;6;6;7;7;8;7;8;8;9;9;10;9;10;10}</definedName>
    <definedName function="false" hidden="false" name="_ddr3_sb_2146_ck" vbProcedure="false">{2.5;2.5;1.875;1.875;1.5;1.5;1.25;1.25;1.07;1.07;0.938;0.938}</definedName>
    <definedName function="false" hidden="false" name="_ddr3_sb_2146_cl" vbProcedure="false">{5;6;7;8;9;10;10;11;12;13;13;14}</definedName>
    <definedName function="false" hidden="false" name="_ddr3_sb_2146_cwl" vbProcedure="false">{5;5;6;6;7;7;8;8;9;9;10;10}</definedName>
    <definedName function="false" hidden="false" name="_ddr3_sb_2147_ck" vbProcedure="false">{2.5;1.875;1.875;1.5;1.5;1.25;1.07;0.938}</definedName>
    <definedName function="false" hidden="false" name="_ddr3_sb_2147_cl" vbProcedure="false">{6;7;8;9;10;11;13;14}</definedName>
    <definedName function="false" hidden="false" name="_ddr3_sb_2147_cwl" vbProcedure="false">{5;6;6;7;7;8;9;10}</definedName>
    <definedName function="false" hidden="false" name="_ddr3_sb_805_ck" vbProcedure="false">{2.5;2.5}</definedName>
    <definedName function="false" hidden="false" name="_ddr3_sb_805_cl" vbProcedure="false">{5;6}</definedName>
    <definedName function="false" hidden="false" name="_ddr3_sb_805_cwl" vbProcedure="false">{5;5}</definedName>
    <definedName function="false" hidden="false" name="_ddr3_sb_806_ck" vbProcedure="false">{3;2.5}</definedName>
    <definedName function="false" hidden="false" name="_ddr3_sb_806_cl" vbProcedure="false">{5;6}</definedName>
    <definedName function="false" hidden="false" name="_ddr3_sb_806_cwl" vbProcedure="false">{5;5}</definedName>
    <definedName function="false" hidden="false" name="_ddr3_sb_cke" vbProcedure="false">{7.5;7.5;5.625;5.625;5.625;5.625;5.625;5.625;5.625;5;5;5;5;5;5;5;5;5;5;5;5}</definedName>
    <definedName function="false" hidden="false" name="_ddr3_sb_data" vbProcedure="false">{800;1066;1333;1600;1866;2133}</definedName>
    <definedName function="false" hidden="false" name="_ddr3_sb_dqsck_max" vbProcedure="false">{400;400;300;300;300;255;255;255;255;255;255;255;255;195;195;195;195;180;180;180;180}</definedName>
    <definedName function="false" hidden="false" name="_ddr3_sb_faw_1k" vbProcedure="false">{40;40;37.5;37.5;37.5;30;30;30;30;30;30;30;30;27;27;27;27;25;25;25;25}</definedName>
    <definedName function="false" hidden="false" name="_ddr3_sb_faw_2k" vbProcedure="false">{50;50;50;50;50;45;45;45;45;40;40;40;40;35;35;35;35;35;35;35;35}</definedName>
    <definedName function="false" hidden="false" name="_ddr3_sb_lookup" vbProcedure="false">{805;806;1072;1073;1074;1340;1341;1342;1343;1608;1609;1610;1611;1876;1877;1878;1879;2144;2145;2146;2147}</definedName>
    <definedName function="false" hidden="false" name="_ddr3_sb_ras_min" vbProcedure="false">{37.5;37.5;37.5;37.5;37.5;36;36;36;36;35;35;35;35;34;34;34;34;33;33;33;33}</definedName>
    <definedName function="false" hidden="false" name="_ddr3_sb_rc" vbProcedure="false">{50;52.5;48.75;50.625;52.5;46.5;48;49.5;51;45;46.25;47.5;48.75;44.7;45.77;46.84;47.91;43.285;44.22;45.155;46.09}</definedName>
    <definedName function="false" hidden="false" name="_ddr3_sb_rcd" vbProcedure="false">{12.5;15;11.25;13.125;15;10.5;12;13.5;15;10;11.25;12.5;13.75;10.7;11.77;12.84;13.91;10.285;11.22;12.155;13.09}</definedName>
    <definedName function="false" hidden="false" name="_ddr3_sb_rp" vbProcedure="false">{12.5;15;11.25;13.125;15;10.5;12;13.5;15;10;11.25;12.5;13.75;10.7;11.77;12.84;13.91;10.285;11.22;12.155;13.09}</definedName>
    <definedName function="false" hidden="false" name="_ddr3_sb_rrd_1k" vbProcedure="false">{10;10;7.5;7.5;7.5;6;6;6;6;6;6;6;6;5;5;5;5;5;5;5;5}</definedName>
    <definedName function="false" hidden="false" name="_ddr3_sb_rrd_2k" vbProcedure="false">{10;10;10;10;10;7.5;7.5;7.5;7.5;7.5;7.5;7.5;7.5;6;6;6;6;6;6;6;6}</definedName>
    <definedName function="false" hidden="false" name="_ddr3_sb_xp" vbProcedure="false">{7.5;7.5;7.5;7.5;7.5;6;6;6;6;6;6;6;6;6;6;6;6;6;6;6;6}</definedName>
    <definedName function="false" hidden="false" name="_ddr3_t_rfc" vbProcedure="false">{90;110;160;260;350}</definedName>
    <definedName function="false" hidden="false" name="_ddr3_width" vbProcedure="false">{8;16}</definedName>
    <definedName function="false" hidden="false" name="_ddr_pll_dco_div2" vbProcedure="false">_ddr_pll_freq*_ddr_pll_m2</definedName>
    <definedName function="false" hidden="false" name="_ddr_pll_freq" vbProcedure="false">'Step1-SystemDetails'!$F$22</definedName>
    <definedName function="false" hidden="false" name="_ddr_pll_m2" vbProcedure="false">MAX(IF(ISEVEN(ROUNDDOWN(_ddr_pll_m2_max,0)),ROUNDDOWN(_ddr_pll_m2_max,0),ROUNDDOWN(_ddr_pll_m2_max,0)-1),1)</definedName>
    <definedName function="false" hidden="false" name="_ddr_pll_m2_max" vbProcedure="false">1400/_ddr_pll_freq</definedName>
    <definedName function="false" hidden="false" name="_ddr_pll_m" vbProcedure="false">ROUNDDOWN(_ddr_pll_dco_div2*(_ddr_pll_n+1)/_user_sysclk1,0)</definedName>
    <definedName function="false" hidden="false" name="_ddr_pll_n" vbProcedure="false">MIN((_user_sysclk1*_sysclk1_mult/_ddr_pll_mn_gcd)-1,ROUNDDOWN(_user_sysclk1-1,0))</definedName>
    <definedName function="false" hidden="false" name="_user_sysclk1" vbProcedure="false">'Step1-SystemDetails'!$F$19</definedName>
    <definedName function="false" hidden="false" name="_sysclk1_mult" vbProcedure="false">IF((_user_sysclk1-ROUND(_user_sysclk1,0))&gt;0,ROUND(1/(_user_sysclk1-ROUND(_user_sysclk1,0)),0),1)</definedName>
    <definedName function="false" hidden="false" name="_ddr_pll_mn_gcd" vbProcedure="false">GCD(_ddr_pll_dco_div2*_sysclk1_mult,_user_sysclk1*_sysclk1_mult)</definedName>
    <definedName function="false" hidden="false" name="_dll_res" vbProcedure="false">IF(_phy_half_delay=1,1000000/_ddr_pll_freq/128,1000000/_ddr_pll_freq/256)</definedName>
    <definedName function="false" hidden="false" name="_phy_half_delay" vbProcedure="false">IF(_user_sdram_type="LPDDR2",0,1)</definedName>
    <definedName function="false" hidden="false" name="_DMM_LISA_MAP_0_VAL" vbProcedure="false">DEC2HEX(SUM(_dmm_sys_addr_0*2^24,_dmm_sys_size_0*2^20,_dmm_sdrc_intl_0*2^18,_dmm_sdrc_map_0*2^8),8)</definedName>
    <definedName function="false" hidden="false" name="_dmm_sys_addr_0" vbProcedure="false">0</definedName>
    <definedName function="false" hidden="false" name="_dmm_sys_size_0" vbProcedure="false">0</definedName>
    <definedName function="false" hidden="false" name="_dmm_sdrc_intl_0" vbProcedure="false">0</definedName>
    <definedName function="false" hidden="false" name="_dmm_sdrc_map_0" vbProcedure="false">0</definedName>
    <definedName function="false" hidden="false" name="_DMM_LISA_MAP_1_VAL" vbProcedure="false">DEC2HEX(SUM(_dmm_sys_addr_1*2^24,_dmm_sys_size_1*2^20,_dmm_sdrc_intl_1*2^18,_dmm_sdrc_map_1*2^8),8)</definedName>
    <definedName function="false" hidden="false" name="_dmm_sys_addr_1" vbProcedure="false">0</definedName>
    <definedName function="false" hidden="false" name="_dmm_sys_size_1" vbProcedure="false">0</definedName>
    <definedName function="false" hidden="false" name="_dmm_sdrc_intl_1" vbProcedure="false">0</definedName>
    <definedName function="false" hidden="false" name="_dmm_sdrc_map_1" vbProcedure="false">0</definedName>
    <definedName function="false" hidden="false" name="_DMM_LISA_MAP_2_VAL" vbProcedure="false">DEC2HEX(SUM(_dmm_sys_addr_2*2^24,_dmm_sys_size_2*2^20,_dmm_sdrc_intl_2*2^18,_dmm_sdrc_map_2*2^8),8)</definedName>
    <definedName function="false" hidden="false" name="_dmm_sys_addr_2" vbProcedure="false">IF(OR(_soc_name="adaslow1",_soc_name="adaslow2"),0,128)</definedName>
    <definedName function="false" hidden="false" name="_dmm_sys_size_2" vbProcedure="false">IF(OR(_soc_name="adaslow1",_soc_name="adaslow2"),0,IF(_user_emifs=1,MATCH(MIN(_sdram_density*_sdram_bw/_sdram_width/8,2),_dmm_sys_size_list,0)-1,MATCH(MIN(2*_sdram_density*_sdram_bw/_sdram_width/8,2),_dmm_sys_size_list,0)-1))</definedName>
    <definedName function="false" hidden="false" name="_user_emifs" vbProcedure="false">'Step1-SystemDetails'!$F$20</definedName>
    <definedName function="false" hidden="false" name="_sdram_width" vbProcedure="false">'Step1-SystemDetails'!$F$38</definedName>
    <definedName function="false" hidden="false" name="_dmm_sys_size_list" vbProcedure="false">{0.015625;0.03125;0.0625;0.125;0.25;0.5;1;2}</definedName>
    <definedName function="false" hidden="false" name="_dmm_sdrc_intl_2" vbProcedure="false">IF(OR(_soc_name="adaslow1",_soc_name="adaslow2"),0,IF(_user_emifs=1,0,1))</definedName>
    <definedName function="false" hidden="false" name="_dmm_sdrc_map_2" vbProcedure="false">IF(OR(_soc_name="adaslow1",_soc_name="adaslow2"),0,IF(_user_emifs=1,1,3))</definedName>
    <definedName function="false" hidden="false" name="_DMM_LISA_MAP_3_VAL" vbProcedure="false">DEC2HEX(SUM(_dmm_sys_addr_3*2^24,_dmm_sys_size_3*2^20,_dmm_sdrc_intl_3*2^18,_dmm_sdrc_addrspc_3*2^16,_dmm_sdrc_map_3*2^8),8)</definedName>
    <definedName function="false" hidden="false" name="_dmm_sys_addr_3" vbProcedure="false">IF(OR(_soc_name="adaslow1",_soc_name="adaslow2"),0,255)</definedName>
    <definedName function="false" hidden="false" name="_dmm_sys_size_3" vbProcedure="false">0</definedName>
    <definedName function="false" hidden="false" name="_dmm_sdrc_intl_3" vbProcedure="false">0</definedName>
    <definedName function="false" hidden="false" name="_dmm_sdrc_addrspc_3" vbProcedure="false">IF(OR(_soc_name="adaslow1",_soc_name="adaslow2"),0,2)</definedName>
    <definedName function="false" hidden="false" name="_dmm_sdrc_map_3" vbProcedure="false">IF(OR(_soc_name="adaslow1",_soc_name="adaslow2"),0,1)</definedName>
    <definedName function="false" hidden="false" name="_dyn_user_config_options" vbProcedure="false">UserConfig!$A$1:INDEX(UserConfig!$A$1:$A$100,COUNTIF(UserConfig!$A$1:$A$100,"?*"))</definedName>
    <definedName function="false" hidden="false" name="_dyn_user_cs" vbProcedure="false">DynamicUserOptions!$E$6:INDEX(DynamicUserOptions!$E$6:$E$33,COUNTIF(DynamicUserOptions!$E$6:$E$33,"&lt;&gt;"&amp;"*"))</definedName>
    <definedName function="false" hidden="false" name="_dyn_user_cs_list" vbProcedure="false">_soc_cs_vayu</definedName>
    <definedName function="false" hidden="false" name="_soc_cs_vayu" vbProcedure="false">{1}</definedName>
    <definedName function="false" hidden="false" name="_dyn_user_ecc" vbProcedure="false">DynamicUserOptions!$G$6:INDEX(DynamicUserOptions!$G$6:$G$33,COUNTIF(DynamicUserOptions!$G$6:$G$33,"?*"))</definedName>
    <definedName function="false" hidden="false" name="_dyn_user_ecc_list" vbProcedure="false">IF(OR(_user_sdram_type="LPDDR2",_soc_name="j6entry"),_ecc_NAvailable,_ecc_Available)</definedName>
    <definedName function="false" hidden="false" name="_ecc_NAvailable" vbProcedure="false">{"No"}</definedName>
    <definedName function="false" hidden="false" name="_ecc_Available" vbProcedure="false">{"Yes";"No"}</definedName>
    <definedName function="false" hidden="false" name="_dyn_user_emifs" vbProcedure="false">DynamicUserOptions!$D$6:INDEX(DynamicUserOptions!$D$6:$D$33,COUNTIF(DynamicUserOptions!$D$6:$D$33,"&lt;&gt;"&amp;"*"))</definedName>
    <definedName function="false" hidden="false" name="_dyn_user_emifs_list" vbProcedure="false">IF(OR(_soc_name="j6eco",_soc_name="adaslow1",_soc_name="adaslow2",_soc_name="j6entry"),_soc_emifs_j6eco,_soc_emifs_vayu)</definedName>
    <definedName function="false" hidden="false" name="_soc_emifs_j6eco" vbProcedure="false">{1}</definedName>
    <definedName function="false" hidden="false" name="_soc_emifs_vayu" vbProcedure="false">{1;2}</definedName>
    <definedName function="false" hidden="false" name="_dyn_user_emif_io_sr" vbProcedure="false">DynamicUserOptions!$Q$6:INDEX(DynamicUserOptions!$Q$6:$Q$33,COUNTIF(DynamicUserOptions!$Q$6:$Q$33,"?*"))</definedName>
    <definedName function="false" hidden="false" name="_dyn_user_freqmax" vbProcedure="false">DynamicUserOptions!$I$6</definedName>
    <definedName function="false" hidden="false" name="_dyn_user_freqmax_list" vbProcedure="false">IF(OR(_soc_name="adaslow1",_soc_name="adaslow2"),_soc_freqmax_adaslow,IF(OR(_soc_name="j6eco",_soc_name="j6entry"),_soc_freqmax_j6eco,IF(_soc_name="j6plus",_soc_freqmax_j6plus,_soc_freqmax_vayu)))</definedName>
    <definedName function="false" hidden="false" name="_soc_freqmax_adaslow" vbProcedure="false">IF(_user_sdram_type="DDR3/L",533,IF(_user_sdram_type="DDR2",333,IF(_user_soc="TDA3x_ABE",400,333)))</definedName>
    <definedName function="false" hidden="false" name="_soc_freqmax_j6eco" vbProcedure="false">667</definedName>
    <definedName function="false" hidden="false" name="_soc_freqmax_j6plus" vbProcedure="false">IF(_user_sdram_type="DDR2",400,667)</definedName>
    <definedName function="false" hidden="false" name="_soc_freqmax_vayu" vbProcedure="false">IF(_user_sdram_type="DDR2",400,533)</definedName>
    <definedName function="false" hidden="false" name="_dyn_user_freqmin" vbProcedure="false">DynamicUserOptions!$H$6</definedName>
    <definedName function="false" hidden="false" name="_dyn_user_freqmin_list" vbProcedure="false">IF(OR(_soc_name="adaslow1",_soc_name="adaslow2"),_soc_freqmin_adaslow,IF(OR(_soc_name="j6eco",_soc_name="j6entry"),_soc_freqmin_j6eco,_soc_freqmin_vayu))</definedName>
    <definedName function="false" hidden="false" name="_soc_freqmin_adaslow" vbProcedure="false">IF(_user_sdram_type="DDR3/L",303,IF(_user_sdram_type="DDR2",125,10))</definedName>
    <definedName function="false" hidden="false" name="_soc_freqmin_j6eco" vbProcedure="false">303</definedName>
    <definedName function="false" hidden="false" name="_soc_freqmin_vayu" vbProcedure="false">IF(_user_sdram_type="DDR2",125,303)</definedName>
    <definedName function="false" hidden="false" name="_dyn_user_memtype" vbProcedure="false">DynamicUserOptions!$C$6:INDEX(DynamicUserOptions!$C$6:$C$33,COUNTIF(DynamicUserOptions!$C$6:$C$33,"?*"))</definedName>
    <definedName function="false" hidden="false" name="_dyn_user_memtype_list" vbProcedure="false">CHOOSE(MATCH(_soc_name,_soc_names,0),_soc_memtype_vayu,_soc_memtype_vayu,_soc_memtype_j6eco,_soc_memtype_adaslow1,_soc_memtype_adaslow2,_soc_memtype_j6eco,_soc_memtype_j6plus)</definedName>
    <definedName function="false" hidden="false" name="_soc_names" vbProcedure="false">{"omap5";"vayu";"j6eco";"adaslow1";"adaslow2";"j6entry";"j6plus"}</definedName>
    <definedName function="false" hidden="false" name="_soc_memtype_vayu" vbProcedure="false">IF(_soc_market="cat",_soc_memtype_vayu_cat,_soc_memtype_vayu_auto)</definedName>
    <definedName function="false" hidden="false" name="_soc_market" vbProcedure="false">CHOOSE(MATCH(_user_soc,_soc_partnum_list,0),"cat","cat","cat","cat","cat","cat","cat","auto","auto","auto","auto","auto","auto","auto","auto","auto","auto","auto","auto","auto","auto","auto","auto")</definedName>
    <definedName function="false" hidden="false" name="_soc_memtype_vayu_cat" vbProcedure="false">{"DDR3/L"}</definedName>
    <definedName function="false" hidden="false" name="_soc_memtype_vayu_auto" vbProcedure="false">{"DDR2";"DDR3/L"}</definedName>
    <definedName function="false" hidden="false" name="_soc_memtype_j6eco" vbProcedure="false">{"DDR3/L"}</definedName>
    <definedName function="false" hidden="false" name="_soc_memtype_adaslow1" vbProcedure="false">{"DDR2";"DDR3/L";"LPDDR2"}</definedName>
    <definedName function="false" hidden="false" name="_soc_memtype_adaslow2" vbProcedure="false">{"LPDDR2"}</definedName>
    <definedName function="false" hidden="false" name="_soc_memtype_j6plus" vbProcedure="false">_soc_memtype_vayu</definedName>
    <definedName function="false" hidden="false" name="_dyn_user_project" vbProcedure="false">DynamicUserOptions!$T$6</definedName>
    <definedName function="false" hidden="false" name="_dyn_user_sdram_cl" vbProcedure="false">DynamicUserOptions!$L$6:INDEX(DynamicUserOptions!$L$6:$L$33,COUNTIF(DynamicUserOptions!$L$6:$L$33,"&lt;&gt;"&amp;"*")+COUNTIF(DynamicUserOptions!$L$6:$L$33,"?*"))</definedName>
    <definedName function="false" hidden="false" name="_dyn_user_sdram_data" vbProcedure="false">DynamicUserOptions!$J$6:INDEX(DynamicUserOptions!$J$6:$J$33,COUNTIF(DynamicUserOptions!$J$6:$J$33,"&lt;&gt;"&amp;"*"))</definedName>
    <definedName function="false" hidden="false" name="_dyn_user_sdram_data_list" vbProcedure="false">IF(_user_sdram_type="LPDDR2",_lpddr2_sb_data,IF(_user_sdram_type="DDR2",_ddr2_sb_data,_ddr3_sb_data))</definedName>
    <definedName function="false" hidden="false" name="_lpddr2_sb_data" vbProcedure="false">{333;400;533;667;800;933;1066}</definedName>
    <definedName function="false" hidden="false" name="_dyn_user_sdram_density" vbProcedure="false">DynamicUserOptions!$M$6:INDEX(DynamicUserOptions!$M$6:$M$33,COUNTIF(DynamicUserOptions!$M$6:$M$33,"&lt;&gt;"&amp;"*"))</definedName>
    <definedName function="false" hidden="false" name="_dyn_user_sdram_density_list" vbProcedure="false">IF(_user_sdram_type="LPDDR2",_lpddr2_densities,IF(_user_sdram_type="DDR2",_ddr2_densities,_ddr3_densities))</definedName>
    <definedName function="false" hidden="false" name="_lpddr2_densities" vbProcedure="false">{0.25;0.5;1;2;4;8}</definedName>
    <definedName function="false" hidden="false" name="_dyn_user_sdram_drivimp" vbProcedure="false">DynamicUserOptions!$P$6:INDEX(DynamicUserOptions!$P$6:$P$33,COUNTIF(DynamicUserOptions!$P$6:$P$33,"?*")+COUNTIF(DynamicUserOptions!$P$6:$P$33,"&lt;&gt;"&amp;"*"))</definedName>
    <definedName function="false" hidden="false" name="_dyn_user_sdram_drivimp_list" vbProcedure="false">IF(_user_sdram_type="LPDDR2",_lpddr2_drive_imp,IF(_user_sdram_type="DDR2",_ddr2_drive_imp,_ddr3_drive_imp))</definedName>
    <definedName function="false" hidden="false" name="_lpddr2_drive_imp" vbProcedure="false">{34.3;40;48;60;68.6;80;120}</definedName>
    <definedName function="false" hidden="false" name="_dyn_user_sdram_lvl" vbProcedure="false">DynamicUserOptions!$F$6:INDEX(DynamicUserOptions!$F$6:$F$33,COUNTIF(DynamicUserOptions!$F$6:$F$33,"?*"))</definedName>
    <definedName function="false" hidden="false" name="_dyn_user_sdram_lvl_list" vbProcedure="false">IF(OR(_user_sdram_type="DDR2",_user_sdram_type="LPDDR2"),_ddr2_lvl,IF(_soc_market="cat",_ddr3_lvl_cat,_ddr3_lvl))</definedName>
    <definedName function="false" hidden="false" name="_dyn_user_sdram_rtt" vbProcedure="false">DynamicUserOptions!$N$6:INDEX(DynamicUserOptions!$N$6:$N$33,COUNTIF(DynamicUserOptions!$N$6:$N$33,"?*"))</definedName>
    <definedName function="false" hidden="false" name="_dyn_user_sdram_rttwr" vbProcedure="false">DynamicUserOptions!$O$6:INDEX(DynamicUserOptions!$O$6:$O$33,COUNTIF(DynamicUserOptions!$O$6:$O$33,"?*"))</definedName>
    <definedName function="false" hidden="false" name="_dyn_user_sdram_rttwr_list" vbProcedure="false">IF(_user_sdram_type="LPDDR2",_lpddr2_rttwr,IF(_user_sdram_type="DDR2",_ddr2_rttwr,_ddr3_rttwr))</definedName>
    <definedName function="false" hidden="false" name="_lpddr2_rttwr" vbProcedure="false">{"NA"}</definedName>
    <definedName function="false" hidden="false" name="_dyn_user_sdram_rtt_list" vbProcedure="false">IF(_user_sdram_type="LPDDR2",_lpddr2_rtt,IF(_user_sdram_type="DDR2",_ddr2_rtt,_ddr3_rtt))</definedName>
    <definedName function="false" hidden="false" name="_lpddr2_rtt" vbProcedure="false">{"NA"}</definedName>
    <definedName function="false" hidden="false" name="_dyn_user_sdram_width" vbProcedure="false">DynamicUserOptions!$K$6:INDEX(DynamicUserOptions!$K$6:$K$33,COUNTIF(DynamicUserOptions!$K$6:$K$33,"&lt;&gt;"&amp;"*"))</definedName>
    <definedName function="false" hidden="false" name="_dyn_user_sdram_width_list" vbProcedure="false">IF(_user_sdram_type="LPDDR2",32,IF(AND(_soc_name="adaslow1",_user_sdram_type="DDR2",_sdram_density=0.5),_ddr2_width,_ddr3_width))</definedName>
    <definedName function="false" hidden="false" name="_dyn_user_soc_list" vbProcedure="false">DynamicUserOptions!$B$6:INDEX(DynamicUserOptions!$B$6:$B$33,COUNTIF(DynamicUserOptions!$B$6:$B$33,"?*"))</definedName>
    <definedName function="false" hidden="false" name="_ecc_end_addr_1" vbProcedure="false">HEX2DEC(LEFT(DEC2HEX(IF(HEX2DEC(RIGHT(_user_ecc_end_addr1,8))&lt;HEX2DEC(80000000),HEX2DEC(80000000),HEX2DEC(RIGHT(_user_ecc_end_addr1,8)))-HEX2DEC(80000000),8),4))</definedName>
    <definedName function="false" hidden="false" name="_user_ecc_end_addr1" vbProcedure="false">'Step1-SystemDetails'!$F$29</definedName>
    <definedName function="false" hidden="false" name="_ecc_end_addr_1_dataVal" vbProcedure="false">AND(IFERROR(HEX2DEC(_user_ecc_end_addr1),"BAD")&lt;&gt;"BAD",HEX2DEC(_user_ecc_end_addr1)&gt;=HEX2DEC(_user_ecc_start_addr1),HEX2DEC(_user_ecc_end_addr1)&lt;=HEX2DEC(RIGHT("0xFFFFFFFF",8)))</definedName>
    <definedName function="false" hidden="false" name="_user_ecc_start_addr1" vbProcedure="false">'Step1-SystemDetails'!$F$28</definedName>
    <definedName function="false" hidden="false" name="_ecc_end_addr_2" vbProcedure="false">HEX2DEC(LEFT(DEC2HEX(IF(HEX2DEC(RIGHT(_user_ecc_end_addr2,8))&lt;HEX2DEC(80000000),HEX2DEC(80000000),HEX2DEC(RIGHT(_user_ecc_end_addr2,8)))-HEX2DEC(80000000),8),4))</definedName>
    <definedName function="false" hidden="false" name="_user_ecc_end_addr2" vbProcedure="false">'Step1-SystemDetails'!$F$31</definedName>
    <definedName function="false" hidden="false" name="_ecc_end_addr_2_dataVal" vbProcedure="false">AND(IFERROR(HEX2DEC(_user_ecc_end_addr2),"BAD")&lt;&gt;"BAD",HEX2DEC(_user_ecc_end_addr2)&gt;=HEX2DEC(_user_ecc_start_addr2),HEX2DEC(_user_ecc_end_addr2)&lt;=HEX2DEC(RIGHT("0xFFFFFFFF",8)))</definedName>
    <definedName function="false" hidden="false" name="_user_ecc_start_addr2" vbProcedure="false">'Step1-SystemDetails'!$F$30</definedName>
    <definedName function="false" hidden="false" name="_ecc_start_addr_1" vbProcedure="false">HEX2DEC(LEFT(DEC2HEX(IF(HEX2DEC(RIGHT(_user_ecc_start_addr1,8))&lt;HEX2DEC(80000000),HEX2DEC(80000000),HEX2DEC(RIGHT(_user_ecc_start_addr1,8)))-HEX2DEC(80000000),8),4))</definedName>
    <definedName function="false" hidden="false" name="_ecc_start_addr_1_dataVal" vbProcedure="false">AND(IFERROR(HEX2DEC(_user_ecc_start_addr1),"BAD")&lt;&gt;"BAD",HEX2DEC(_user_ecc_start_addr1)&gt;=HEX2DEC(80000000),HEX2DEC(_user_ecc_start_addr1)&lt;=HEX2DEC(RIGHT("0xFFFFFFFF",8)))</definedName>
    <definedName function="false" hidden="false" name="_ecc_start_addr_2" vbProcedure="false">HEX2DEC(LEFT(DEC2HEX(IF(HEX2DEC(RIGHT(_user_ecc_start_addr2,8))&lt;HEX2DEC(80000000),HEX2DEC(80000000),HEX2DEC(RIGHT(_user_ecc_start_addr2,8)))-HEX2DEC(80000000),8),4))</definedName>
    <definedName function="false" hidden="false" name="_ecc_start_addr_2_dataVal" vbProcedure="false">AND(IFERROR(HEX2DEC(_user_ecc_start_addr2),"BAD")&lt;&gt;"BAD",HEX2DEC(_user_ecc_start_addr2)&gt;=HEX2DEC(80000000),HEX2DEC(_user_ecc_start_addr2)&lt;=HEX2DEC(RIGHT("0xFFFFFFFF",8)))</definedName>
    <definedName function="false" hidden="false" name="_EMIF1_EXT_PHY_CTRL_10_VAL" vbProcedure="false">_emif1_ext_phy_ctrl_10_val_vayu</definedName>
    <definedName function="false" hidden="false" name="_emif1_ext_phy_ctrl_10_val_vayu" vbProcedure="false">DEC2HEX(SUM(_rddqs_ratio3*2^16,_rddqs_ratio3),8)</definedName>
    <definedName function="false" hidden="false" name="_rddqs_ratio3" vbProcedure="false">_rddqs_ratio0</definedName>
    <definedName function="false" hidden="false" name="_rddqs_ratio0" vbProcedure="false">CHOOSE(MATCH(_soc_name,_soc_names,0),56,50,47,52,52,47,47)</definedName>
    <definedName function="false" hidden="false" name="_EMIF1_EXT_PHY_CTRL_11_VAL" vbProcedure="false">_emif1_ext_phy_ctrl_11_val_vayu</definedName>
    <definedName function="false" hidden="false" name="_emif1_ext_phy_ctrl_11_val_vayu" vbProcedure="false">DEC2HEX(SUM(_rddqs_ratio4*2^16,_rddqs_ratio4),8)</definedName>
    <definedName function="false" hidden="false" name="_rddqs_ratio4" vbProcedure="false">_rddqs_ratio0</definedName>
    <definedName function="false" hidden="false" name="_EMIF1_EXT_PHY_CTRL_12_VAL" vbProcedure="false">_emif1_ext_phy_ctrl_12_val_vayu</definedName>
    <definedName function="false" hidden="false" name="_emif1_ext_phy_ctrl_12_val_vayu" vbProcedure="false">DEC2HEX(SUM(_wrdata_ratio0_ch1_cs1*2^16,_wrdata_ratio0_ch1_cs0),8)</definedName>
    <definedName function="false" hidden="false" name="_wrdata_ratio0_ch1_cs1" vbProcedure="false">_wrdqs_ratio0_ch1_cs1 + ROUND((250000 / _ddr_pll_freq / _dll_res),0)</definedName>
    <definedName function="false" hidden="false" name="_wrdqs_ratio0_ch1_cs1" vbProcedure="false">ROUND(((_t_dqss_brdskew_p0_ch1_cs1 + (_phy_invert_clk * 500000 / _ddr_pll_freq)) / _dll_res),0)</definedName>
    <definedName function="false" hidden="false" name="_t_dqss_brdskew_p0_ch1_cs1" vbProcedure="false">((_tl_clk_p0_mi_ch1_cs1*_prop_vel_microstrip) + (_tl_clk_p0_st_ch1_cs1*_prop_vel_stripline) - (_tl_dqs0_mi_ch1_cs1*_prop_vel_microstrip) - (_tl_dqs0_st_ch1_cs1*_prop_vel_stripline))/1000</definedName>
    <definedName function="false" hidden="false" name="_tl_clk_p0_mi_ch1_cs1" vbProcedure="false">'Step2-BoardDetails'!$E$38</definedName>
    <definedName function="false" hidden="false" name="_prop_vel_microstrip" vbProcedure="false">136</definedName>
    <definedName function="false" hidden="false" name="_tl_clk_p0_st_ch1_cs1" vbProcedure="false">'Step2-BoardDetails'!$F$38</definedName>
    <definedName function="false" hidden="false" name="_prop_vel_stripline" vbProcedure="false">170</definedName>
    <definedName function="false" hidden="false" name="_tl_dqs0_mi_ch1_cs1" vbProcedure="false">'Step2-BoardDetails'!$E$39</definedName>
    <definedName function="false" hidden="false" name="_tl_dqs0_st_ch1_cs1" vbProcedure="false">'Step2-BoardDetails'!$F$39</definedName>
    <definedName function="false" hidden="false" name="_wrdata_ratio0_ch1_cs0" vbProcedure="false">_wrdqs_ratio0_ch1_cs0 + ROUND((250000 / _ddr_pll_freq / _dll_res),0)</definedName>
    <definedName function="false" hidden="false" name="_wrdqs_ratio0_ch1_cs0" vbProcedure="false">ROUND(((_t_dqss_brdskew_p0_ch1_cs0 + (_phy_invert_clk * 500000 / _ddr_pll_freq)) / _dll_res),0)</definedName>
    <definedName function="false" hidden="false" name="_t_dqss_brdskew_p0_ch1_cs0" vbProcedure="false">((_tl_clk_p0_mi_ch1_cs0*_prop_vel_microstrip) + (_tl_clk_p0_st_ch1_cs0*_prop_vel_stripline) - (_tl_dqs0_mi_ch1_cs0*_prop_vel_microstrip) - (_tl_dqs0_st_ch1_cs0*_prop_vel_stripline))/1000</definedName>
    <definedName function="false" hidden="false" name="_tl_clk_p0_mi_ch1_cs0" vbProcedure="false">'Step2-BoardDetails'!$E$28</definedName>
    <definedName function="false" hidden="false" name="_tl_clk_p0_st_ch1_cs0" vbProcedure="false">'Step2-BoardDetails'!$F$28</definedName>
    <definedName function="false" hidden="false" name="_tl_dqs0_mi_ch1_cs0" vbProcedure="false">'Step2-BoardDetails'!$E$29</definedName>
    <definedName function="false" hidden="false" name="_tl_dqs0_st_ch1_cs0" vbProcedure="false">'Step2-BoardDetails'!$F$29</definedName>
    <definedName function="false" hidden="false" name="_EMIF1_EXT_PHY_CTRL_13_VAL" vbProcedure="false">_emif1_ext_phy_ctrl_13_val_vayu</definedName>
    <definedName function="false" hidden="false" name="_emif1_ext_phy_ctrl_13_val_vayu" vbProcedure="false">DEC2HEX(SUM(_wrdata_ratio1_ch1_cs1*2^16,_wrdata_ratio1_ch1_cs0),8)</definedName>
    <definedName function="false" hidden="false" name="_wrdata_ratio1_ch1_cs1" vbProcedure="false">_wrdqs_ratio1_ch1_cs1 + ROUND((250000 / _ddr_pll_freq / _dll_res),0)</definedName>
    <definedName function="false" hidden="false" name="_wrdqs_ratio1_ch1_cs1" vbProcedure="false">ROUND(((_t_dqss_brdskew_p1_ch1_cs1 + (_phy_invert_clk * 500000 / _ddr_pll_freq)) / _dll_res),0)</definedName>
    <definedName function="false" hidden="false" name="_t_dqss_brdskew_p1_ch1_cs1" vbProcedure="false">((_tl_clk_p1_mi_ch1_cs1*_prop_vel_microstrip) + (_tl_clk_p1_st_ch1_cs1*_prop_vel_stripline) - (_tl_dqs1_mi_ch1_cs1*_prop_vel_microstrip) - (_tl_dqs1_st_ch1_cs1*_prop_vel_stripline))/1000</definedName>
    <definedName function="false" hidden="false" name="_tl_clk_p1_mi_ch1_cs1" vbProcedure="false">'Step2-BoardDetails'!$G$38</definedName>
    <definedName function="false" hidden="false" name="_tl_clk_p1_st_ch1_cs1" vbProcedure="false">'Step2-BoardDetails'!$H$38</definedName>
    <definedName function="false" hidden="false" name="_tl_dqs1_mi_ch1_cs1" vbProcedure="false">'Step2-BoardDetails'!$G$39</definedName>
    <definedName function="false" hidden="false" name="_tl_dqs1_st_ch1_cs1" vbProcedure="false">'Step2-BoardDetails'!$H$39</definedName>
    <definedName function="false" hidden="false" name="_wrdata_ratio1_ch1_cs0" vbProcedure="false">_wrdqs_ratio1_ch1_cs0 + ROUND((250000 / _ddr_pll_freq / _dll_res),0)</definedName>
    <definedName function="false" hidden="false" name="_wrdqs_ratio1_ch1_cs0" vbProcedure="false">ROUND(((_t_dqss_brdskew_p1_ch1_cs0 + (_phy_invert_clk * 500000 / _ddr_pll_freq)) / _dll_res),0)</definedName>
    <definedName function="false" hidden="false" name="_t_dqss_brdskew_p1_ch1_cs0" vbProcedure="false">((_tl_clk_p1_mi_ch1_cs0*_prop_vel_microstrip) + (_tl_clk_p1_st_ch1_cs0*_prop_vel_stripline) - (_tl_dqs1_mi_ch1_cs0*_prop_vel_microstrip) - (_tl_dqs1_st_ch1_cs0*_prop_vel_stripline))/1000</definedName>
    <definedName function="false" hidden="false" name="_tl_clk_p1_mi_ch1_cs0" vbProcedure="false">'Step2-BoardDetails'!$G$28</definedName>
    <definedName function="false" hidden="false" name="_tl_clk_p1_st_ch1_cs0" vbProcedure="false">'Step2-BoardDetails'!$H$28</definedName>
    <definedName function="false" hidden="false" name="_tl_dqs1_mi_ch1_cs0" vbProcedure="false">'Step2-BoardDetails'!$G$29</definedName>
    <definedName function="false" hidden="false" name="_tl_dqs1_st_ch1_cs0" vbProcedure="false">'Step2-BoardDetails'!$H$29</definedName>
    <definedName function="false" hidden="false" name="_EMIF1_EXT_PHY_CTRL_14_VAL" vbProcedure="false">_emif1_ext_phy_ctrl_14_val_vayu</definedName>
    <definedName function="false" hidden="false" name="_emif1_ext_phy_ctrl_14_val_vayu" vbProcedure="false">DEC2HEX(SUM(_wrdata_ratio2_ch1_cs1*2^16,_wrdata_ratio2_ch1_cs0),8)</definedName>
    <definedName function="false" hidden="false" name="_wrdata_ratio2_ch1_cs1" vbProcedure="false">_wrdqs_ratio2_ch1_cs1 + ROUND((250000 / _ddr_pll_freq / _dll_res),0)</definedName>
    <definedName function="false" hidden="false" name="_wrdqs_ratio2_ch1_cs1" vbProcedure="false">ROUND(((_t_dqss_brdskew_p2_ch1_cs1 + (_phy_invert_clk * 500000 / _ddr_pll_freq)) / _dll_res),0)</definedName>
    <definedName function="false" hidden="false" name="_t_dqss_brdskew_p2_ch1_cs1" vbProcedure="false">((_tl_clk_p2_mi_ch1_cs1*_prop_vel_microstrip) + (_tl_clk_p2_st_ch1_cs1*_prop_vel_stripline) - (_tl_dqs2_mi_ch1_cs1*_prop_vel_microstrip) - (_tl_dqs2_st_ch1_cs1*_prop_vel_stripline))/1000</definedName>
    <definedName function="false" hidden="false" name="_tl_clk_p2_mi_ch1_cs1" vbProcedure="false">'Step2-BoardDetails'!$I$38</definedName>
    <definedName function="false" hidden="false" name="_tl_clk_p2_st_ch1_cs1" vbProcedure="false">'Step2-BoardDetails'!$J$38</definedName>
    <definedName function="false" hidden="false" name="_tl_dqs2_mi_ch1_cs1" vbProcedure="false">'Step2-BoardDetails'!$I$39</definedName>
    <definedName function="false" hidden="false" name="_tl_dqs2_st_ch1_cs1" vbProcedure="false">'Step2-BoardDetails'!$J$39</definedName>
    <definedName function="false" hidden="false" name="_wrdata_ratio2_ch1_cs0" vbProcedure="false">_wrdqs_ratio2_ch1_cs0 + ROUND((250000 / _ddr_pll_freq / _dll_res),0)</definedName>
    <definedName function="false" hidden="false" name="_wrdqs_ratio2_ch1_cs0" vbProcedure="false">ROUND(((_t_dqss_brdskew_p2_ch1_cs0 + (_phy_invert_clk * 500000 / _ddr_pll_freq)) / _dll_res),0)</definedName>
    <definedName function="false" hidden="false" name="_t_dqss_brdskew_p2_ch1_cs0" vbProcedure="false">((_tl_clk_p2_mi_ch1_cs0*_prop_vel_microstrip) + (_tl_clk_p2_st_ch1_cs0*_prop_vel_stripline) - (_tl_dqs2_mi_ch1_cs0*_prop_vel_microstrip) - (_tl_dqs2_st_ch1_cs0*_prop_vel_stripline))/1000</definedName>
    <definedName function="false" hidden="false" name="_tl_clk_p2_mi_ch1_cs0" vbProcedure="false">'Step2-BoardDetails'!$I$28</definedName>
    <definedName function="false" hidden="false" name="_tl_clk_p2_st_ch1_cs0" vbProcedure="false">'Step2-BoardDetails'!$J$28</definedName>
    <definedName function="false" hidden="false" name="_tl_dqs2_mi_ch1_cs0" vbProcedure="false">'Step2-BoardDetails'!$I$29</definedName>
    <definedName function="false" hidden="false" name="_tl_dqs2_st_ch1_cs0" vbProcedure="false">'Step2-BoardDetails'!$J$29</definedName>
    <definedName function="false" hidden="false" name="_EMIF1_EXT_PHY_CTRL_15_VAL" vbProcedure="false">_emif1_ext_phy_ctrl_15_val_vayu</definedName>
    <definedName function="false" hidden="false" name="_emif1_ext_phy_ctrl_15_val_vayu" vbProcedure="false">DEC2HEX(SUM(_wrdata_ratio3_ch1_cs1*2^16,_wrdata_ratio3_ch1_cs0),8)</definedName>
    <definedName function="false" hidden="false" name="_wrdata_ratio3_ch1_cs1" vbProcedure="false">_wrdqs_ratio3_ch1_cs1 + ROUND((250000 / _ddr_pll_freq / _dll_res),0)</definedName>
    <definedName function="false" hidden="false" name="_wrdqs_ratio3_ch1_cs1" vbProcedure="false">ROUND(((_t_dqss_brdskew_p3_ch1_cs1 + (_phy_invert_clk * 500000 / _ddr_pll_freq)) / _dll_res),0)</definedName>
    <definedName function="false" hidden="false" name="_t_dqss_brdskew_p3_ch1_cs1" vbProcedure="false">((_tl_clk_p3_mi_ch1_cs1*_prop_vel_microstrip) + (_tl_clk_p3_st_ch1_cs1*_prop_vel_stripline) - (_tl_dqs3_mi_ch1_cs1*_prop_vel_microstrip) - (_tl_dqs3_st_ch1_cs1*_prop_vel_stripline))/1000</definedName>
    <definedName function="false" hidden="false" name="_tl_clk_p3_mi_ch1_cs1" vbProcedure="false">'Step2-BoardDetails'!$K$38</definedName>
    <definedName function="false" hidden="false" name="_tl_clk_p3_st_ch1_cs1" vbProcedure="false">'Step2-BoardDetails'!$L$38</definedName>
    <definedName function="false" hidden="false" name="_tl_dqs3_mi_ch1_cs1" vbProcedure="false">'Step2-BoardDetails'!$K$39</definedName>
    <definedName function="false" hidden="false" name="_tl_dqs3_st_ch1_cs1" vbProcedure="false">'Step2-BoardDetails'!$L$39</definedName>
    <definedName function="false" hidden="false" name="_wrdata_ratio3_ch1_cs0" vbProcedure="false">_wrdqs_ratio3_ch1_cs0 + ROUND((250000 / _ddr_pll_freq / _dll_res),0)</definedName>
    <definedName function="false" hidden="false" name="_wrdqs_ratio3_ch1_cs0" vbProcedure="false">ROUND(((_t_dqss_brdskew_p3_ch1_cs0 + (_phy_invert_clk * 500000 / _ddr_pll_freq)) / _dll_res),0)</definedName>
    <definedName function="false" hidden="false" name="_t_dqss_brdskew_p3_ch1_cs0" vbProcedure="false">((_tl_clk_p3_mi_ch1_cs0*_prop_vel_microstrip) + (_tl_clk_p3_st_ch1_cs0*_prop_vel_stripline) - (_tl_dqs3_mi_ch1_cs0*_prop_vel_microstrip) - (_tl_dqs3_st_ch1_cs0*_prop_vel_stripline))/1000</definedName>
    <definedName function="false" hidden="false" name="_tl_clk_p3_mi_ch1_cs0" vbProcedure="false">'Step2-BoardDetails'!$K$28</definedName>
    <definedName function="false" hidden="false" name="_tl_clk_p3_st_ch1_cs0" vbProcedure="false">'Step2-BoardDetails'!$L$28</definedName>
    <definedName function="false" hidden="false" name="_tl_dqs3_mi_ch1_cs0" vbProcedure="false">'Step2-BoardDetails'!$K$29</definedName>
    <definedName function="false" hidden="false" name="_tl_dqs3_st_ch1_cs0" vbProcedure="false">'Step2-BoardDetails'!$L$29</definedName>
    <definedName function="false" hidden="false" name="_EMIF1_EXT_PHY_CTRL_16_VAL" vbProcedure="false">_emif1_ext_phy_ctrl_16_val_vayu</definedName>
    <definedName function="false" hidden="false" name="_emif1_ext_phy_ctrl_16_val_vayu" vbProcedure="false">DEC2HEX(SUM(_wrdata_ratio4_ch1_cs1*2^16,_wrdata_ratio4_ch1_cs0),8)</definedName>
    <definedName function="false" hidden="false" name="_wrdata_ratio4_ch1_cs1" vbProcedure="false">_wrdqs_ratio4_ch1_cs1 + ROUND((250000 / _ddr_pll_freq / _dll_res),0)</definedName>
    <definedName function="false" hidden="false" name="_wrdqs_ratio4_ch1_cs1" vbProcedure="false">ROUND(((_t_dqss_brdskew_p4_ch1_cs1 + (_phy_invert_clk * 500000 / _ddr_pll_freq)) / _dll_res),0)</definedName>
    <definedName function="false" hidden="false" name="_t_dqss_brdskew_p4_ch1_cs1" vbProcedure="false">((_tl_clk_p4_mi_ch1_cs1*_prop_vel_microstrip) + (_tl_clk_p4_st_ch1_cs1*_prop_vel_stripline) - (_tl_dqs4_mi_ch1_cs1*_prop_vel_microstrip) - (_tl_dqs4_st_ch1_cs1*_prop_vel_stripline))/1000</definedName>
    <definedName function="false" hidden="false" name="_tl_clk_p4_mi_ch1_cs1" vbProcedure="false">'Step2-BoardDetails'!$M$38</definedName>
    <definedName function="false" hidden="false" name="_tl_clk_p4_st_ch1_cs1" vbProcedure="false">'Step2-BoardDetails'!$N$38</definedName>
    <definedName function="false" hidden="false" name="_tl_dqs4_mi_ch1_cs1" vbProcedure="false">'Step2-BoardDetails'!$M$39</definedName>
    <definedName function="false" hidden="false" name="_tl_dqs4_st_ch1_cs1" vbProcedure="false">'Step2-BoardDetails'!$N$39</definedName>
    <definedName function="false" hidden="false" name="_wrdata_ratio4_ch1_cs0" vbProcedure="false">_wrdqs_ratio4_ch1_cs0 + ROUND((250000 / _ddr_pll_freq / _dll_res),0)</definedName>
    <definedName function="false" hidden="false" name="_wrdqs_ratio4_ch1_cs0" vbProcedure="false">ROUND(((_t_dqss_brdskew_p4_ch1_cs0 + (_phy_invert_clk * 500000 / _ddr_pll_freq)) / _dll_res),0)</definedName>
    <definedName function="false" hidden="false" name="_t_dqss_brdskew_p4_ch1_cs0" vbProcedure="false">((_tl_clk_p4_mi_ch1_cs0*_prop_vel_microstrip) + (_tl_clk_p4_st_ch1_cs0*_prop_vel_stripline) - (_tl_dqs4_mi_ch1_cs0*_prop_vel_microstrip) - (_tl_dqs4_st_ch1_cs0*_prop_vel_stripline))/1000</definedName>
    <definedName function="false" hidden="false" name="_tl_clk_p4_mi_ch1_cs0" vbProcedure="false">'Step2-BoardDetails'!$M$28</definedName>
    <definedName function="false" hidden="false" name="_tl_clk_p4_st_ch1_cs0" vbProcedure="false">'Step2-BoardDetails'!$N$28</definedName>
    <definedName function="false" hidden="false" name="_tl_dqs4_mi_ch1_cs0" vbProcedure="false">'Step2-BoardDetails'!$M$29</definedName>
    <definedName function="false" hidden="false" name="_tl_dqs4_st_ch1_cs0" vbProcedure="false">'Step2-BoardDetails'!$N$29</definedName>
    <definedName function="false" hidden="false" name="_EMIF1_EXT_PHY_CTRL_17_VAL" vbProcedure="false">_emif1_ext_phy_ctrl_17_val_vayu</definedName>
    <definedName function="false" hidden="false" name="_emif1_ext_phy_ctrl_17_val_vayu" vbProcedure="false">DEC2HEX(SUM(_wrdqs_ratio0_ch1_cs1*2^16,_wrdqs_ratio0_ch1_cs0),8)</definedName>
    <definedName function="false" hidden="false" name="_EMIF1_EXT_PHY_CTRL_18_VAL" vbProcedure="false">_emif1_ext_phy_ctrl_18_val_vayu</definedName>
    <definedName function="false" hidden="false" name="_emif1_ext_phy_ctrl_18_val_vayu" vbProcedure="false">DEC2HEX(SUM(_wrdqs_ratio1_ch1_cs1*2^16,_wrdqs_ratio1_ch1_cs0),8)</definedName>
    <definedName function="false" hidden="false" name="_EMIF1_EXT_PHY_CTRL_19_VAL" vbProcedure="false">_emif1_ext_phy_ctrl_19_val_vayu</definedName>
    <definedName function="false" hidden="false" name="_emif1_ext_phy_ctrl_19_val_vayu" vbProcedure="false">DEC2HEX(SUM(_wrdqs_ratio2_ch1_cs1*2^16,_wrdqs_ratio2_ch1_cs0),8)</definedName>
    <definedName function="false" hidden="false" name="_EMIF1_EXT_PHY_CTRL_1_VAL" vbProcedure="false">_emif1_ext_phy_ctrl_1_val_vayu</definedName>
    <definedName function="false" hidden="false" name="_emif1_ext_phy_ctrl_1_val_vayu" vbProcedure="false">DEC2HEX(SUM(_ctrl_ratio2*2^20,_ctrl_ratio1*2^10,_ctrl_ratio0),8)</definedName>
    <definedName function="false" hidden="false" name="_EMIF1_EXT_PHY_CTRL_20_VAL" vbProcedure="false">_emif1_ext_phy_ctrl_20_val_vayu</definedName>
    <definedName function="false" hidden="false" name="_emif1_ext_phy_ctrl_20_val_vayu" vbProcedure="false">DEC2HEX(SUM(_wrdqs_ratio3_ch1_cs1*2^16,_wrdqs_ratio3_ch1_cs0),8)</definedName>
    <definedName function="false" hidden="false" name="_EMIF1_EXT_PHY_CTRL_21_VAL" vbProcedure="false">_emif1_ext_phy_ctrl_21_val_vayu</definedName>
    <definedName function="false" hidden="false" name="_emif1_ext_phy_ctrl_21_val_vayu" vbProcedure="false">DEC2HEX(SUM(_wrdqs_ratio4_ch1_cs1*2^16,_wrdqs_ratio4_ch1_cs0),8)</definedName>
    <definedName function="false" hidden="false" name="_EMIF1_EXT_PHY_CTRL_22_VAL" vbProcedure="false">_emif1_ext_phy_ctrl_22_val_vayu</definedName>
    <definedName function="false" hidden="false" name="_emif1_ext_phy_ctrl_22_val_vayu" vbProcedure="false">DEC2HEX(SUM(_phy_fifowe_delay*2^16,_phy_ctrl_delay),8)</definedName>
    <definedName function="false" hidden="false" name="_phy_fifowe_delay" vbProcedure="false">128</definedName>
    <definedName function="false" hidden="false" name="_phy_ctrl_delay" vbProcedure="false">128</definedName>
    <definedName function="false" hidden="false" name="_EMIF1_EXT_PHY_CTRL_23_VAL" vbProcedure="false">_emif1_ext_phy_ctrl_23_val_vayu</definedName>
    <definedName function="false" hidden="false" name="_emif1_ext_phy_ctrl_23_val_vayu" vbProcedure="false">DEC2HEX(SUM(_phy_wrdqs_delay*2^16,_phy_rddqs_delay),8)</definedName>
    <definedName function="false" hidden="false" name="_phy_wrdqs_delay" vbProcedure="false">128</definedName>
    <definedName function="false" hidden="false" name="_phy_rddqs_delay" vbProcedure="false">128</definedName>
    <definedName function="false" hidden="false" name="_EMIF1_EXT_PHY_CTRL_24_VAL" vbProcedure="false">_emif1_ext_phy_ctrl_24_val_vayu</definedName>
    <definedName function="false" hidden="false" name="_emif1_ext_phy_ctrl_24_val_vayu" vbProcedure="false">DEC2HEX(SUM(_phy_dq_offset4*2^24,_phy_gatelvl_init_mode*2^16,_phy_use_rank0_delays*2^12,_phy_wrdata_delay),8)</definedName>
    <definedName function="false" hidden="false" name="_phy_dq_offset4" vbProcedure="false">64</definedName>
    <definedName function="false" hidden="false" name="_phy_gatelvl_init_mode" vbProcedure="false">1</definedName>
    <definedName function="false" hidden="false" name="_phy_use_rank0_delays" vbProcedure="false">IF(_user_sdram_type="DDR3/L",0,IF(_user_sdram_type="LPDDR2",1,IF(_t_cl_user_reg&lt;6,1,0)))</definedName>
    <definedName function="false" hidden="false" name="_t_cl_user_reg" vbProcedure="false">'Step3-DDRTimings'!$H$25</definedName>
    <definedName function="false" hidden="false" name="_phy_wrdata_delay" vbProcedure="false">128</definedName>
    <definedName function="false" hidden="false" name="_EMIF1_EXT_PHY_CTRL_25_VAL" vbProcedure="false">DEC2HEX(SUM(_phy_dq_offset3*2^21,_phy_dq_offset2*2^14,_phy_dq_offset1*2^7,_phy_dq_offset0),8)</definedName>
    <definedName function="false" hidden="false" name="_phy_dq_offset3" vbProcedure="false">64</definedName>
    <definedName function="false" hidden="false" name="_phy_dq_offset2" vbProcedure="false">64</definedName>
    <definedName function="false" hidden="false" name="_phy_dq_offset1" vbProcedure="false">64</definedName>
    <definedName function="false" hidden="false" name="_phy_dq_offset0" vbProcedure="false">64</definedName>
    <definedName function="false" hidden="false" name="_EMIF1_EXT_PHY_CTRL_26_VAL" vbProcedure="false">DEC2HEX(SUM(_fifowe_init0_ch1_cs1*2^16,_fifowe_init0_ch1_cs0),8)</definedName>
    <definedName function="false" hidden="false" name="_fifowe_init0_ch1_cs1" vbProcedure="false">IF(_t_rdtrip_brddly_p0_ch1_cs1=0,0,_fifowe_ratio0_ch1_cs1 - ROUND((125000 / _ddr_pll_freq / _dll_res),0))</definedName>
    <definedName function="false" hidden="false" name="_t_rdtrip_brddly_p0_ch1_cs1" vbProcedure="false">((_tl_clk_p0_mi_ch1_cs1*_prop_vel_microstrip) + (_tl_clk_p0_st_ch1_cs1*_prop_vel_stripline) + (_tl_dqs0_mi_ch1_cs1*_prop_vel_microstrip) + (_tl_dqs0_st_ch1_cs1*_prop_vel_stripline))/1000</definedName>
    <definedName function="false" hidden="false" name="_fifowe_ratio0_ch1_cs1" vbProcedure="false">ROUND(IF(_user_sdram_type="LPDDR2",(_t_rdtrip_brddly_p0_ch1_cs1 + (500000 / _ddr_pll_freq)) / _dll_res,((_t_rdtrip_brddly_p0_ch1_cs1 + (333333 / _ddr_pll_freq) + (_phy_invert_clk * 500000 / _ddr_pll_freq)) / _dll_res)),0)</definedName>
    <definedName function="false" hidden="false" name="_fifowe_init0_ch1_cs0" vbProcedure="false">IF(_t_rdtrip_brddly_p0_ch1_cs0=0,0,_fifowe_ratio0_ch1_cs0 - ROUND((125000 / _ddr_pll_freq / _dll_res),0))</definedName>
    <definedName function="false" hidden="false" name="_t_rdtrip_brddly_p0_ch1_cs0" vbProcedure="false">((_tl_clk_p0_mi_ch1_cs0*_prop_vel_microstrip) + (_tl_clk_p0_st_ch1_cs0*_prop_vel_stripline) + (_tl_dqs0_mi_ch1_cs0*_prop_vel_microstrip) + (_tl_dqs0_st_ch1_cs0*_prop_vel_stripline))/1000</definedName>
    <definedName function="false" hidden="false" name="_fifowe_ratio0_ch1_cs0" vbProcedure="false">ROUND(IF(_user_sdram_type="LPDDR2",(_t_rdtrip_brddly_p0_ch1_cs0 + (500000 / _ddr_pll_freq)) / _dll_res,((_t_rdtrip_brddly_p0_ch1_cs0 + (333333 / _ddr_pll_freq) + (_phy_invert_clk * 500000 / _ddr_pll_freq)) / _dll_res)),0)</definedName>
    <definedName function="false" hidden="false" name="_EMIF1_EXT_PHY_CTRL_27_VAL" vbProcedure="false">DEC2HEX(SUM(_fifowe_init1_ch1_cs1*2^16,_fifowe_init1_ch1_cs0),8)</definedName>
    <definedName function="false" hidden="false" name="_fifowe_init1_ch1_cs1" vbProcedure="false">IF(_t_rdtrip_brddly_p1_ch1_cs1=0,0,_fifowe_ratio1_ch1_cs1 - ROUND((125000 / _ddr_pll_freq / _dll_res),0))</definedName>
    <definedName function="false" hidden="false" name="_t_rdtrip_brddly_p1_ch1_cs1" vbProcedure="false">((_tl_clk_p1_mi_ch1_cs1*_prop_vel_microstrip) + (_tl_clk_p1_st_ch1_cs1*_prop_vel_stripline) + (_tl_dqs1_mi_ch1_cs1*_prop_vel_microstrip) + (_tl_dqs1_st_ch1_cs1*_prop_vel_stripline))/1000</definedName>
    <definedName function="false" hidden="false" name="_fifowe_ratio1_ch1_cs1" vbProcedure="false">ROUND(IF(_user_sdram_type="LPDDR2",(_t_rdtrip_brddly_p1_ch1_cs1 + (500000 / _ddr_pll_freq)) / _dll_res,((_t_rdtrip_brddly_p1_ch1_cs1 + (333333 / _ddr_pll_freq) + (_phy_invert_clk * 500000 / _ddr_pll_freq)) / _dll_res)),0)</definedName>
    <definedName function="false" hidden="false" name="_fifowe_init1_ch1_cs0" vbProcedure="false">IF(_t_rdtrip_brddly_p1_ch1_cs0=0,0,_fifowe_ratio1_ch1_cs0 - ROUND((125000 / _ddr_pll_freq / _dll_res),0))</definedName>
    <definedName function="false" hidden="false" name="_t_rdtrip_brddly_p1_ch1_cs0" vbProcedure="false">((_tl_clk_p1_mi_ch1_cs0*_prop_vel_microstrip) + (_tl_clk_p1_st_ch1_cs0*_prop_vel_stripline) + (_tl_dqs1_mi_ch1_cs0*_prop_vel_microstrip) + (_tl_dqs1_st_ch1_cs0*_prop_vel_stripline))/1000</definedName>
    <definedName function="false" hidden="false" name="_fifowe_ratio1_ch1_cs0" vbProcedure="false">ROUND(IF(_user_sdram_type="LPDDR2",(_t_rdtrip_brddly_p1_ch1_cs0 + (500000 / _ddr_pll_freq)) / _dll_res,((_t_rdtrip_brddly_p1_ch1_cs0 + (333333 / _ddr_pll_freq) + (_phy_invert_clk * 500000 / _ddr_pll_freq)) / _dll_res)),0)</definedName>
    <definedName function="false" hidden="false" name="_EMIF1_EXT_PHY_CTRL_28_VAL" vbProcedure="false">DEC2HEX(SUM(_fifowe_init2_ch1_cs1*2^16,_fifowe_init2_ch1_cs0),8)</definedName>
    <definedName function="false" hidden="false" name="_fifowe_init2_ch1_cs1" vbProcedure="false">IF(_t_rdtrip_brddly_p2_ch1_cs1=0,0,_fifowe_ratio2_ch1_cs1 - ROUND((125000 / _ddr_pll_freq / _dll_res),0))</definedName>
    <definedName function="false" hidden="false" name="_t_rdtrip_brddly_p2_ch1_cs1" vbProcedure="false">((_tl_clk_p2_mi_ch1_cs1*_prop_vel_microstrip) + (_tl_clk_p2_st_ch1_cs1*_prop_vel_stripline) + (_tl_dqs2_mi_ch1_cs1*_prop_vel_microstrip) + (_tl_dqs2_st_ch1_cs1*_prop_vel_stripline))/1000</definedName>
    <definedName function="false" hidden="false" name="_fifowe_ratio2_ch1_cs1" vbProcedure="false">ROUND(IF(_user_sdram_type="LPDDR2",(_t_rdtrip_brddly_p2_ch1_cs1 + (500000 / _ddr_pll_freq)) / _dll_res,((_t_rdtrip_brddly_p2_ch1_cs1 + (333333 / _ddr_pll_freq) + (_phy_invert_clk * 500000 / _ddr_pll_freq)) / _dll_res)),0)</definedName>
    <definedName function="false" hidden="false" name="_fifowe_init2_ch1_cs0" vbProcedure="false">IF(_t_rdtrip_brddly_p2_ch1_cs0=0,0,_fifowe_ratio2_ch1_cs0 - ROUND((125000 / _ddr_pll_freq / _dll_res),0))</definedName>
    <definedName function="false" hidden="false" name="_t_rdtrip_brddly_p2_ch1_cs0" vbProcedure="false">((_tl_clk_p2_mi_ch1_cs0*_prop_vel_microstrip) + (_tl_clk_p2_st_ch1_cs0*_prop_vel_stripline) + (_tl_dqs2_mi_ch1_cs0*_prop_vel_microstrip) + (_tl_dqs2_st_ch1_cs0*_prop_vel_stripline))/1000</definedName>
    <definedName function="false" hidden="false" name="_fifowe_ratio2_ch1_cs0" vbProcedure="false">ROUND(IF(_user_sdram_type="LPDDR2",(_t_rdtrip_brddly_p2_ch1_cs0 + (500000 / _ddr_pll_freq)) / _dll_res,((_t_rdtrip_brddly_p2_ch1_cs0 + (333333 / _ddr_pll_freq) + (_phy_invert_clk * 500000 / _ddr_pll_freq)) / _dll_res)),0)</definedName>
    <definedName function="false" hidden="false" name="_EMIF1_EXT_PHY_CTRL_29_VAL" vbProcedure="false">DEC2HEX(SUM(_fifowe_init3_ch1_cs1*2^16,_fifowe_init3_ch1_cs0),8)</definedName>
    <definedName function="false" hidden="false" name="_fifowe_init3_ch1_cs1" vbProcedure="false">IF(_t_rdtrip_brddly_p3_ch1_cs1=0,0,_fifowe_ratio3_ch1_cs1 - ROUND((125000 / _ddr_pll_freq / _dll_res),0))</definedName>
    <definedName function="false" hidden="false" name="_t_rdtrip_brddly_p3_ch1_cs1" vbProcedure="false">((_tl_clk_p3_mi_ch1_cs1*_prop_vel_microstrip) + (_tl_clk_p3_st_ch1_cs1*_prop_vel_stripline) + (_tl_dqs3_mi_ch1_cs1*_prop_vel_microstrip) + (_tl_dqs3_st_ch1_cs1*_prop_vel_stripline))/1000</definedName>
    <definedName function="false" hidden="false" name="_fifowe_ratio3_ch1_cs1" vbProcedure="false">ROUND(IF(_user_sdram_type="LPDDR2",(_t_rdtrip_brddly_p3_ch1_cs1 + (500000 / _ddr_pll_freq)) / _dll_res,((_t_rdtrip_brddly_p3_ch1_cs1 + (333333 / _ddr_pll_freq) + (_phy_invert_clk * 500000 / _ddr_pll_freq)) / _dll_res)),0)</definedName>
    <definedName function="false" hidden="false" name="_fifowe_init3_ch1_cs0" vbProcedure="false">IF(_t_rdtrip_brddly_p3_ch1_cs0=0,0,_fifowe_ratio3_ch1_cs0 - ROUND((125000 / _ddr_pll_freq / _dll_res),0))</definedName>
    <definedName function="false" hidden="false" name="_t_rdtrip_brddly_p3_ch1_cs0" vbProcedure="false">((_tl_clk_p3_mi_ch1_cs0*_prop_vel_microstrip) + (_tl_clk_p3_st_ch1_cs0*_prop_vel_stripline) + (_tl_dqs3_mi_ch1_cs0*_prop_vel_microstrip) + (_tl_dqs3_st_ch1_cs0*_prop_vel_stripline))/1000</definedName>
    <definedName function="false" hidden="false" name="_fifowe_ratio3_ch1_cs0" vbProcedure="false">ROUND(IF(_user_sdram_type="LPDDR2",(_t_rdtrip_brddly_p3_ch1_cs0 + (500000 / _ddr_pll_freq)) / _dll_res,((_t_rdtrip_brddly_p3_ch1_cs0 + (333333 / _ddr_pll_freq) + (_phy_invert_clk * 500000 / _ddr_pll_freq)) / _dll_res)),0)</definedName>
    <definedName function="false" hidden="false" name="_EMIF1_EXT_PHY_CTRL_2_VAL" vbProcedure="false">_emif1_ext_phy_ctrl_2_val_vayu</definedName>
    <definedName function="false" hidden="false" name="_emif1_ext_phy_ctrl_2_val_vayu" vbProcedure="false">DEC2HEX(SUM(_fifowe_ratio0_ch1_cs1*2^16,_fifowe_ratio0_ch1_cs0),8)</definedName>
    <definedName function="false" hidden="false" name="_EMIF1_EXT_PHY_CTRL_30_VAL" vbProcedure="false">DEC2HEX(SUM(_fifowe_init4_ch1_cs1*2^16,_fifowe_init4_ch1_cs0),8)</definedName>
    <definedName function="false" hidden="false" name="_fifowe_init4_ch1_cs1" vbProcedure="false">IF(_t_rdtrip_brddly_p4_ch1_cs1=0,0,_fifowe_ratio4_ch1_cs1 - ROUND((125000 / _ddr_pll_freq / _dll_res),0))</definedName>
    <definedName function="false" hidden="false" name="_t_rdtrip_brddly_p4_ch1_cs1" vbProcedure="false">((_tl_clk_p4_mi_ch1_cs1*_prop_vel_microstrip) + (_tl_clk_p4_st_ch1_cs1*_prop_vel_stripline) + (_tl_dqs4_mi_ch1_cs1*_prop_vel_microstrip) + (_tl_dqs4_st_ch1_cs1*_prop_vel_stripline))/1000</definedName>
    <definedName function="false" hidden="false" name="_fifowe_ratio4_ch1_cs1" vbProcedure="false">ROUND(IF(_user_sdram_type="LPDDR2",(_t_rdtrip_brddly_p4_ch1_cs1 + (500000 / _ddr_pll_freq)) / _dll_res,((_t_rdtrip_brddly_p4_ch1_cs1 + (333333 / _ddr_pll_freq) + (_phy_invert_clk * 500000 / _ddr_pll_freq)) / _dll_res)),0)</definedName>
    <definedName function="false" hidden="false" name="_fifowe_init4_ch1_cs0" vbProcedure="false">IF(_t_rdtrip_brddly_p4_ch1_cs0=0,0,_fifowe_ratio4_ch1_cs0 - ROUND((125000 / _ddr_pll_freq / _dll_res),0))</definedName>
    <definedName function="false" hidden="false" name="_t_rdtrip_brddly_p4_ch1_cs0" vbProcedure="false">((_tl_clk_p4_mi_ch1_cs0*_prop_vel_microstrip) + (_tl_clk_p4_st_ch1_cs0*_prop_vel_stripline) + (_tl_dqs4_mi_ch1_cs0*_prop_vel_microstrip) + (_tl_dqs4_st_ch1_cs0*_prop_vel_stripline))/1000</definedName>
    <definedName function="false" hidden="false" name="_fifowe_ratio4_ch1_cs0" vbProcedure="false">ROUND(IF(_user_sdram_type="LPDDR2",(_t_rdtrip_brddly_p4_ch1_cs0 + (500000 / _ddr_pll_freq)) / _dll_res,((_t_rdtrip_brddly_p4_ch1_cs0 + (333333 / _ddr_pll_freq) + (_phy_invert_clk * 500000 / _ddr_pll_freq)) / _dll_res)),0)</definedName>
    <definedName function="false" hidden="false" name="_EMIF1_EXT_PHY_CTRL_31_VAL" vbProcedure="false">DEC2HEX(SUM(_wrdqs_init0_ch1_cs1*2^16,_wrdqs_init0_ch1_cs0),8)</definedName>
    <definedName function="false" hidden="false" name="_wrdqs_init0_ch1_cs1" vbProcedure="false">IF(_t_rdtrip_brddly_p0_ch1_cs1=0,0,MAX(_wrdqs_ratio0_ch1_cs1 - ROUND((125000 / _ddr_pll_freq / _dll_res),0),0))</definedName>
    <definedName function="false" hidden="false" name="_wrdqs_init0_ch1_cs0" vbProcedure="false">IF(_t_rdtrip_brddly_p0_ch1_cs0=0,0,MAX(_wrdqs_ratio0_ch1_cs0 - ROUND((125000 / _ddr_pll_freq / _dll_res),0),0))</definedName>
    <definedName function="false" hidden="false" name="_EMIF1_EXT_PHY_CTRL_32_VAL" vbProcedure="false">DEC2HEX(SUM(_wrdqs_init1_ch1_cs1*2^16,_wrdqs_init1_ch1_cs0),8)</definedName>
    <definedName function="false" hidden="false" name="_wrdqs_init1_ch1_cs1" vbProcedure="false">IF(_t_rdtrip_brddly_p1_ch1_cs1=0,0,MAX(_wrdqs_ratio1_ch1_cs1 - ROUND((125000 / _ddr_pll_freq / _dll_res),0),0))</definedName>
    <definedName function="false" hidden="false" name="_wrdqs_init1_ch1_cs0" vbProcedure="false">IF(_t_rdtrip_brddly_p1_ch1_cs0=0,0,MAX(_wrdqs_ratio1_ch1_cs0 - ROUND((125000 / _ddr_pll_freq / _dll_res),0),0))</definedName>
    <definedName function="false" hidden="false" name="_EMIF1_EXT_PHY_CTRL_33_VAL" vbProcedure="false">DEC2HEX(SUM(_wrdqs_init2_ch1_cs1*2^16,_wrdqs_init2_ch1_cs0),8)</definedName>
    <definedName function="false" hidden="false" name="_wrdqs_init2_ch1_cs1" vbProcedure="false">IF(_t_rdtrip_brddly_p2_ch1_cs1=0,0,MAX(_wrdqs_ratio2_ch1_cs1 - ROUND((125000 / _ddr_pll_freq / _dll_res),0),0))</definedName>
    <definedName function="false" hidden="false" name="_wrdqs_init2_ch1_cs0" vbProcedure="false">IF(_t_rdtrip_brddly_p2_ch1_cs0=0,0,MAX(_wrdqs_ratio2_ch1_cs0 - ROUND((125000 / _ddr_pll_freq / _dll_res),0),0))</definedName>
    <definedName function="false" hidden="false" name="_EMIF1_EXT_PHY_CTRL_34_VAL" vbProcedure="false">DEC2HEX(SUM(_wrdqs_init3_ch1_cs1*2^16,_wrdqs_init3_ch1_cs0),8)</definedName>
    <definedName function="false" hidden="false" name="_wrdqs_init3_ch1_cs1" vbProcedure="false">IF(_t_rdtrip_brddly_p3_ch1_cs1=0,0,MAX(_wrdqs_ratio3_ch1_cs1 - ROUND((125000 / _ddr_pll_freq / _dll_res),0),0))</definedName>
    <definedName function="false" hidden="false" name="_wrdqs_init3_ch1_cs0" vbProcedure="false">IF(_t_rdtrip_brddly_p3_ch1_cs0=0,0,MAX(_wrdqs_ratio3_ch1_cs0 - ROUND((125000 / _ddr_pll_freq / _dll_res),0),0))</definedName>
    <definedName function="false" hidden="false" name="_EMIF1_EXT_PHY_CTRL_35_VAL" vbProcedure="false">DEC2HEX(SUM(_wrdqs_init4_ch1_cs1*2^16,_wrdqs_init4_ch1_cs0),8)</definedName>
    <definedName function="false" hidden="false" name="_wrdqs_init4_ch1_cs1" vbProcedure="false">IF(_t_rdtrip_brddly_p4_ch1_cs1=0,0,MAX(_wrdqs_ratio4_ch1_cs1 - ROUND((125000 / _ddr_pll_freq / _dll_res),0),0))</definedName>
    <definedName function="false" hidden="false" name="_wrdqs_init4_ch1_cs0" vbProcedure="false">IF(_t_rdtrip_brddly_p4_ch1_cs0=0,0,MAX(_wrdqs_ratio4_ch1_cs0 - ROUND((125000 / _ddr_pll_freq / _dll_res),0),0))</definedName>
    <definedName function="false" hidden="false" name="_EMIF1_EXT_PHY_CTRL_36_VAL" vbProcedure="false">DEC2HEX(SUM(_phy_wrlvl_num_dq0*2^4,_phy_gatelvl_num_dq0),8)</definedName>
    <definedName function="false" hidden="false" name="_phy_wrlvl_num_dq0" vbProcedure="false">7</definedName>
    <definedName function="false" hidden="false" name="_phy_gatelvl_num_dq0" vbProcedure="false">7</definedName>
    <definedName function="false" hidden="false" name="_EMIF1_EXT_PHY_CTRL_3_VAL" vbProcedure="false">_emif1_ext_phy_ctrl_3_val_vayu</definedName>
    <definedName function="false" hidden="false" name="_emif1_ext_phy_ctrl_3_val_vayu" vbProcedure="false">DEC2HEX(SUM(_fifowe_ratio1_ch1_cs1*2^16,_fifowe_ratio1_ch1_cs0),8)</definedName>
    <definedName function="false" hidden="false" name="_EMIF1_EXT_PHY_CTRL_4_VAL" vbProcedure="false">_emif1_ext_phy_ctrl_4_val_vayu</definedName>
    <definedName function="false" hidden="false" name="_emif1_ext_phy_ctrl_4_val_vayu" vbProcedure="false">DEC2HEX(SUM(_fifowe_ratio2_ch1_cs1*2^16,_fifowe_ratio2_ch1_cs0),8)</definedName>
    <definedName function="false" hidden="false" name="_EMIF1_EXT_PHY_CTRL_5_VAL" vbProcedure="false">_emif1_ext_phy_ctrl_5_val_vayu</definedName>
    <definedName function="false" hidden="false" name="_emif1_ext_phy_ctrl_5_val_vayu" vbProcedure="false">DEC2HEX(SUM(_fifowe_ratio3_ch1_cs1*2^16,_fifowe_ratio3_ch1_cs0),8)</definedName>
    <definedName function="false" hidden="false" name="_EMIF1_EXT_PHY_CTRL_6_VAL" vbProcedure="false">_emif1_ext_phy_ctrl_6_val_vayu</definedName>
    <definedName function="false" hidden="false" name="_emif1_ext_phy_ctrl_6_val_vayu" vbProcedure="false">DEC2HEX(SUM(_fifowe_ratio4_ch1_cs1*2^16,_fifowe_ratio4_ch1_cs0),8)</definedName>
    <definedName function="false" hidden="false" name="_EMIF1_EXT_PHY_CTRL_7_VAL" vbProcedure="false">_emif1_ext_phy_ctrl_7_val_vayu</definedName>
    <definedName function="false" hidden="false" name="_emif1_ext_phy_ctrl_7_val_vayu" vbProcedure="false">DEC2HEX(SUM(_rddqs_ratio0*2^16,_rddqs_ratio0),8)</definedName>
    <definedName function="false" hidden="false" name="_EMIF1_EXT_PHY_CTRL_8_VAL" vbProcedure="false">_emif1_ext_phy_ctrl_8_val_vayu</definedName>
    <definedName function="false" hidden="false" name="_emif1_ext_phy_ctrl_8_val_vayu" vbProcedure="false">DEC2HEX(SUM(_rddqs_ratio1*2^16,_rddqs_ratio1),8)</definedName>
    <definedName function="false" hidden="false" name="_rddqs_ratio1" vbProcedure="false">_rddqs_ratio0</definedName>
    <definedName function="false" hidden="false" name="_EMIF1_EXT_PHY_CTRL_9_VAL" vbProcedure="false">_emif1_ext_phy_ctrl_9_val_vayu</definedName>
    <definedName function="false" hidden="false" name="_emif1_ext_phy_ctrl_9_val_vayu" vbProcedure="false">DEC2HEX(SUM(_rddqs_ratio2*2^16,_rddqs_ratio2),8)</definedName>
    <definedName function="false" hidden="false" name="_rddqs_ratio2" vbProcedure="false">_rddqs_ratio0</definedName>
    <definedName function="false" hidden="false" name="_EMIF2_EXT_PHY_CTRL_10_VAL" vbProcedure="false">_emif2_ext_phy_ctrl_10_val_vayu</definedName>
    <definedName function="false" hidden="false" name="_emif2_ext_phy_ctrl_10_val_vayu" vbProcedure="false">DEC2HEX(SUM(_rddqs_ratio3*2^16,_rddqs_ratio3),8)</definedName>
    <definedName function="false" hidden="false" name="_EMIF2_EXT_PHY_CTRL_11_VAL" vbProcedure="false">_emif2_ext_phy_ctrl_11_val_vayu</definedName>
    <definedName function="false" hidden="false" name="_emif2_ext_phy_ctrl_11_val_vayu" vbProcedure="false">DEC2HEX(SUM(_rddqs_ratio4*2^16,_rddqs_ratio4),8)</definedName>
    <definedName function="false" hidden="false" name="_EMIF2_EXT_PHY_CTRL_12_VAL" vbProcedure="false">_emif2_ext_phy_ctrl_12_val_vayu</definedName>
    <definedName function="false" hidden="false" name="_emif2_ext_phy_ctrl_12_val_vayu" vbProcedure="false">DEC2HEX(SUM(_wrdata_ratio0_ch2_cs1*2^16,_wrdata_ratio0_ch2_cs0),8)</definedName>
    <definedName function="false" hidden="false" name="_wrdata_ratio0_ch2_cs1" vbProcedure="false">_wrdqs_ratio0_ch2_cs1 + ROUND((250000 / _ddr_pll_freq / _dll_res),0)</definedName>
    <definedName function="false" hidden="false" name="_wrdqs_ratio0_ch2_cs1" vbProcedure="false">ROUND(((_t_dqss_brdskew_p0_ch2_cs1 + (_phy_invert_clk * 500000 / _ddr_pll_freq)) / _dll_res),0)</definedName>
    <definedName function="false" hidden="false" name="_t_dqss_brdskew_p0_ch2_cs1" vbProcedure="false">((_tl_clk_p0_mi_ch2_cs1*_prop_vel_microstrip) + (_tl_clk_p0_st_ch2_cs1*_prop_vel_stripline) - (_tl_dqs0_mi_ch2_cs1*_prop_vel_microstrip) - (_tl_dqs0_st_ch2_cs1*_prop_vel_stripline))/1000</definedName>
    <definedName function="false" hidden="false" name="_tl_clk_p0_mi_ch2_cs1" vbProcedure="false">'Step2-BoardDetails'!$E$58</definedName>
    <definedName function="false" hidden="false" name="_tl_clk_p0_st_ch2_cs1" vbProcedure="false">'Step2-BoardDetails'!$F$58</definedName>
    <definedName function="false" hidden="false" name="_tl_dqs0_mi_ch2_cs1" vbProcedure="false">'Step2-BoardDetails'!$E$59</definedName>
    <definedName function="false" hidden="false" name="_tl_dqs0_st_ch2_cs1" vbProcedure="false">'Step2-BoardDetails'!$F$59</definedName>
    <definedName function="false" hidden="false" name="_wrdata_ratio0_ch2_cs0" vbProcedure="false">_wrdqs_ratio0_ch2_cs0 + ROUND((250000 / _ddr_pll_freq / _dll_res),0)</definedName>
    <definedName function="false" hidden="false" name="_wrdqs_ratio0_ch2_cs0" vbProcedure="false">ROUND(((_t_dqss_brdskew_p0_ch2_cs0 + (_phy_invert_clk * 500000 / _ddr_pll_freq)) / _dll_res),0)</definedName>
    <definedName function="false" hidden="false" name="_t_dqss_brdskew_p0_ch2_cs0" vbProcedure="false">((_tl_clk_p0_mi_ch2_cs0*_prop_vel_microstrip) + (_tl_clk_p0_st_ch2_cs0*_prop_vel_stripline) - (_tl_dqs0_mi_ch2_cs0*_prop_vel_microstrip) - (_tl_dqs0_st_ch2_cs0*_prop_vel_stripline))/1000</definedName>
    <definedName function="false" hidden="false" name="_tl_clk_p0_mi_ch2_cs0" vbProcedure="false">'Step2-BoardDetails'!$E$48</definedName>
    <definedName function="false" hidden="false" name="_tl_clk_p0_st_ch2_cs0" vbProcedure="false">'Step2-BoardDetails'!$F$48</definedName>
    <definedName function="false" hidden="false" name="_tl_dqs0_mi_ch2_cs0" vbProcedure="false">'Step2-BoardDetails'!$E$49</definedName>
    <definedName function="false" hidden="false" name="_tl_dqs0_st_ch2_cs0" vbProcedure="false">'Step2-BoardDetails'!$F$49</definedName>
    <definedName function="false" hidden="false" name="_EMIF2_EXT_PHY_CTRL_13_VAL" vbProcedure="false">_emif2_ext_phy_ctrl_13_val_vayu</definedName>
    <definedName function="false" hidden="false" name="_emif2_ext_phy_ctrl_13_val_vayu" vbProcedure="false">DEC2HEX(SUM(_wrdata_ratio1_ch2_cs1*2^16,_wrdata_ratio1_ch2_cs0),8)</definedName>
    <definedName function="false" hidden="false" name="_wrdata_ratio1_ch2_cs1" vbProcedure="false">_wrdqs_ratio1_ch2_cs1 + ROUND((250000 / _ddr_pll_freq / _dll_res),0)</definedName>
    <definedName function="false" hidden="false" name="_wrdqs_ratio1_ch2_cs1" vbProcedure="false">ROUND(((_t_dqss_brdskew_p1_ch2_cs1 + (_phy_invert_clk * 500000 / _ddr_pll_freq)) / _dll_res),0)</definedName>
    <definedName function="false" hidden="false" name="_t_dqss_brdskew_p1_ch2_cs1" vbProcedure="false">((_tl_clk_p1_mi_ch2_cs1*_prop_vel_microstrip) + (_tl_clk_p1_st_ch2_cs1*_prop_vel_stripline) - (_tl_dqs1_mi_ch2_cs1*_prop_vel_microstrip) - (_tl_dqs1_st_ch2_cs1*_prop_vel_stripline))/1000</definedName>
    <definedName function="false" hidden="false" name="_tl_clk_p1_mi_ch2_cs1" vbProcedure="false">'Step2-BoardDetails'!$G$58</definedName>
    <definedName function="false" hidden="false" name="_tl_clk_p1_st_ch2_cs1" vbProcedure="false">'Step2-BoardDetails'!$H$58</definedName>
    <definedName function="false" hidden="false" name="_tl_dqs1_mi_ch2_cs1" vbProcedure="false">'Step2-BoardDetails'!$G$59</definedName>
    <definedName function="false" hidden="false" name="_tl_dqs1_st_ch2_cs1" vbProcedure="false">'Step2-BoardDetails'!$H$59</definedName>
    <definedName function="false" hidden="false" name="_wrdata_ratio1_ch2_cs0" vbProcedure="false">_wrdqs_ratio1_ch2_cs0 + ROUND((250000 / _ddr_pll_freq / _dll_res),0)</definedName>
    <definedName function="false" hidden="false" name="_wrdqs_ratio1_ch2_cs0" vbProcedure="false">ROUND(((_t_dqss_brdskew_p1_ch2_cs0 + (_phy_invert_clk * 500000 / _ddr_pll_freq)) / _dll_res),0)</definedName>
    <definedName function="false" hidden="false" name="_t_dqss_brdskew_p1_ch2_cs0" vbProcedure="false">((_tl_clk_p1_mi_ch2_cs0*_prop_vel_microstrip) + (_tl_clk_p1_st_ch2_cs0*_prop_vel_stripline) - (_tl_dqs1_mi_ch2_cs0*_prop_vel_microstrip) - (_tl_dqs1_st_ch2_cs0*_prop_vel_stripline))/1000</definedName>
    <definedName function="false" hidden="false" name="_tl_clk_p1_mi_ch2_cs0" vbProcedure="false">'Step2-BoardDetails'!$G$48</definedName>
    <definedName function="false" hidden="false" name="_tl_clk_p1_st_ch2_cs0" vbProcedure="false">'Step2-BoardDetails'!$H$48</definedName>
    <definedName function="false" hidden="false" name="_tl_dqs1_mi_ch2_cs0" vbProcedure="false">'Step2-BoardDetails'!$G$49</definedName>
    <definedName function="false" hidden="false" name="_tl_dqs1_st_ch2_cs0" vbProcedure="false">'Step2-BoardDetails'!$H$49</definedName>
    <definedName function="false" hidden="false" name="_EMIF2_EXT_PHY_CTRL_14_VAL" vbProcedure="false">_emif2_ext_phy_ctrl_14_val_vayu</definedName>
    <definedName function="false" hidden="false" name="_emif2_ext_phy_ctrl_14_val_vayu" vbProcedure="false">DEC2HEX(SUM(_wrdata_ratio2_ch2_cs1*2^16,_wrdata_ratio2_ch2_cs0),8)</definedName>
    <definedName function="false" hidden="false" name="_wrdata_ratio2_ch2_cs1" vbProcedure="false">_wrdqs_ratio2_ch2_cs1 + ROUND((250000 / _ddr_pll_freq / _dll_res),0)</definedName>
    <definedName function="false" hidden="false" name="_wrdqs_ratio2_ch2_cs1" vbProcedure="false">ROUND(((_t_dqss_brdskew_p2_ch2_cs1 + (_phy_invert_clk * 500000 / _ddr_pll_freq)) / _dll_res),0)</definedName>
    <definedName function="false" hidden="false" name="_t_dqss_brdskew_p2_ch2_cs1" vbProcedure="false">((_tl_clk_p2_mi_ch2_cs1*_prop_vel_microstrip) + (_tl_clk_p2_st_ch2_cs1*_prop_vel_stripline) - (_tl_dqs2_mi_ch2_cs1*_prop_vel_microstrip) - (_tl_dqs2_st_ch2_cs1*_prop_vel_stripline))/1000</definedName>
    <definedName function="false" hidden="false" name="_tl_clk_p2_mi_ch2_cs1" vbProcedure="false">'Step2-BoardDetails'!$I$58</definedName>
    <definedName function="false" hidden="false" name="_tl_clk_p2_st_ch2_cs1" vbProcedure="false">'Step2-BoardDetails'!$J$58</definedName>
    <definedName function="false" hidden="false" name="_tl_dqs2_mi_ch2_cs1" vbProcedure="false">'Step2-BoardDetails'!$I$59</definedName>
    <definedName function="false" hidden="false" name="_tl_dqs2_st_ch2_cs1" vbProcedure="false">'Step2-BoardDetails'!$J$59</definedName>
    <definedName function="false" hidden="false" name="_wrdata_ratio2_ch2_cs0" vbProcedure="false">_wrdqs_ratio2_ch2_cs0 + ROUND((250000 / _ddr_pll_freq / _dll_res),0)</definedName>
    <definedName function="false" hidden="false" name="_wrdqs_ratio2_ch2_cs0" vbProcedure="false">ROUND(((_t_dqss_brdskew_p2_ch2_cs0 + (_phy_invert_clk * 500000 / _ddr_pll_freq)) / _dll_res),0)</definedName>
    <definedName function="false" hidden="false" name="_t_dqss_brdskew_p2_ch2_cs0" vbProcedure="false">((_tl_clk_p2_mi_ch2_cs0*_prop_vel_microstrip) + (_tl_clk_p2_st_ch2_cs0*_prop_vel_stripline) - (_tl_dqs2_mi_ch2_cs0*_prop_vel_microstrip) - (_tl_dqs2_st_ch2_cs0*_prop_vel_stripline))/1000</definedName>
    <definedName function="false" hidden="false" name="_tl_clk_p2_mi_ch2_cs0" vbProcedure="false">'Step2-BoardDetails'!$I$48</definedName>
    <definedName function="false" hidden="false" name="_tl_clk_p2_st_ch2_cs0" vbProcedure="false">'Step2-BoardDetails'!$J$48</definedName>
    <definedName function="false" hidden="false" name="_tl_dqs2_mi_ch2_cs0" vbProcedure="false">'Step2-BoardDetails'!$I$49</definedName>
    <definedName function="false" hidden="false" name="_tl_dqs2_st_ch2_cs0" vbProcedure="false">'Step2-BoardDetails'!$J$49</definedName>
    <definedName function="false" hidden="false" name="_EMIF2_EXT_PHY_CTRL_15_VAL" vbProcedure="false">_emif2_ext_phy_ctrl_15_val_vayu</definedName>
    <definedName function="false" hidden="false" name="_emif2_ext_phy_ctrl_15_val_vayu" vbProcedure="false">DEC2HEX(SUM(_wrdata_ratio3_ch2_cs1*2^16,_wrdata_ratio3_ch2_cs0),8)</definedName>
    <definedName function="false" hidden="false" name="_wrdata_ratio3_ch2_cs1" vbProcedure="false">_wrdqs_ratio3_ch2_cs1 + ROUND((250000 / _ddr_pll_freq / _dll_res),0)</definedName>
    <definedName function="false" hidden="false" name="_wrdqs_ratio3_ch2_cs1" vbProcedure="false">ROUND(((_t_dqss_brdskew_p3_ch2_cs1 + (_phy_invert_clk * 500000 / _ddr_pll_freq)) / _dll_res),0)</definedName>
    <definedName function="false" hidden="false" name="_t_dqss_brdskew_p3_ch2_cs1" vbProcedure="false">((_tl_clk_p3_mi_ch2_cs1*_prop_vel_microstrip) + (_tl_clk_p3_st_ch2_cs1*_prop_vel_stripline) - (_tl_dqs3_mi_ch2_cs1*_prop_vel_microstrip) - (_tl_dqs3_st_ch2_cs1*_prop_vel_stripline))/1000</definedName>
    <definedName function="false" hidden="false" name="_tl_clk_p3_mi_ch2_cs1" vbProcedure="false">'Step2-BoardDetails'!$K$58</definedName>
    <definedName function="false" hidden="false" name="_tl_clk_p3_st_ch2_cs1" vbProcedure="false">'Step2-BoardDetails'!$L$58</definedName>
    <definedName function="false" hidden="false" name="_tl_dqs3_mi_ch2_cs1" vbProcedure="false">'Step2-BoardDetails'!$K$59</definedName>
    <definedName function="false" hidden="false" name="_tl_dqs3_st_ch2_cs1" vbProcedure="false">'Step2-BoardDetails'!$L$59</definedName>
    <definedName function="false" hidden="false" name="_wrdata_ratio3_ch2_cs0" vbProcedure="false">_wrdqs_ratio3_ch2_cs0 + ROUND((250000 / _ddr_pll_freq / _dll_res),0)</definedName>
    <definedName function="false" hidden="false" name="_wrdqs_ratio3_ch2_cs0" vbProcedure="false">ROUND(((_t_dqss_brdskew_p3_ch2_cs0 + (_phy_invert_clk * 500000 / _ddr_pll_freq)) / _dll_res),0)</definedName>
    <definedName function="false" hidden="false" name="_t_dqss_brdskew_p3_ch2_cs0" vbProcedure="false">((_tl_clk_p3_mi_ch2_cs0*_prop_vel_microstrip) + (_tl_clk_p3_st_ch2_cs0*_prop_vel_stripline) - (_tl_dqs3_mi_ch2_cs0*_prop_vel_microstrip) - (_tl_dqs3_st_ch2_cs0*_prop_vel_stripline))/1000</definedName>
    <definedName function="false" hidden="false" name="_tl_clk_p3_mi_ch2_cs0" vbProcedure="false">'Step2-BoardDetails'!$K$48</definedName>
    <definedName function="false" hidden="false" name="_tl_clk_p3_st_ch2_cs0" vbProcedure="false">'Step2-BoardDetails'!$L$48</definedName>
    <definedName function="false" hidden="false" name="_tl_dqs3_mi_ch2_cs0" vbProcedure="false">'Step2-BoardDetails'!$K$49</definedName>
    <definedName function="false" hidden="false" name="_tl_dqs3_st_ch2_cs0" vbProcedure="false">'Step2-BoardDetails'!$L$49</definedName>
    <definedName function="false" hidden="false" name="_EMIF2_EXT_PHY_CTRL_16_VAL" vbProcedure="false">_emif2_ext_phy_ctrl_16_val_vayu</definedName>
    <definedName function="false" hidden="false" name="_emif2_ext_phy_ctrl_16_val_vayu" vbProcedure="false">DEC2HEX(SUM(_wrdata_ratio4_ch2_cs1*2^16,_wrdata_ratio4_ch2_cs0),8)</definedName>
    <definedName function="false" hidden="false" name="_wrdata_ratio4_ch2_cs1" vbProcedure="false">_wrdqs_ratio4_ch2_cs1 + ROUND((250000 / _ddr_pll_freq / _dll_res),0)</definedName>
    <definedName function="false" hidden="false" name="_wrdqs_ratio4_ch2_cs1" vbProcedure="false">ROUND(((_t_dqss_brdskew_p4_ch2_cs1 + (_phy_invert_clk * 500000 / _ddr_pll_freq)) / _dll_res),0)</definedName>
    <definedName function="false" hidden="false" name="_t_dqss_brdskew_p4_ch2_cs1" vbProcedure="false">((_tl_clk_p4_mi_ch2_cs1*_prop_vel_microstrip) + (_tl_clk_p4_st_ch2_cs1*_prop_vel_stripline) - (_tl_dqs4_mi_ch2_cs1*_prop_vel_microstrip) - (_tl_dqs4_st_ch2_cs1*_prop_vel_stripline))/1000</definedName>
    <definedName function="false" hidden="false" name="_tl_clk_p4_mi_ch2_cs1" vbProcedure="false">'Step2-BoardDetails'!$M$58</definedName>
    <definedName function="false" hidden="false" name="_tl_clk_p4_st_ch2_cs1" vbProcedure="false">'Step2-BoardDetails'!$N$58</definedName>
    <definedName function="false" hidden="false" name="_tl_dqs4_mi_ch2_cs1" vbProcedure="false">'Step2-BoardDetails'!$M$59</definedName>
    <definedName function="false" hidden="false" name="_tl_dqs4_st_ch2_cs1" vbProcedure="false">'Step2-BoardDetails'!$N$59</definedName>
    <definedName function="false" hidden="false" name="_wrdata_ratio4_ch2_cs0" vbProcedure="false">_wrdqs_ratio4_ch2_cs0 + ROUND((250000 / _ddr_pll_freq / _dll_res),0)</definedName>
    <definedName function="false" hidden="false" name="_wrdqs_ratio4_ch2_cs0" vbProcedure="false">ROUND(((_t_dqss_brdskew_p4_ch2_cs0 + (_phy_invert_clk * 500000 / _ddr_pll_freq)) / _dll_res),0)</definedName>
    <definedName function="false" hidden="false" name="_t_dqss_brdskew_p4_ch2_cs0" vbProcedure="false">((_tl_clk_p4_mi_ch2_cs0*_prop_vel_microstrip) + (_tl_clk_p4_st_ch2_cs0*_prop_vel_stripline) - (_tl_dqs4_mi_ch2_cs0*_prop_vel_microstrip) - (_tl_dqs4_st_ch2_cs0*_prop_vel_stripline))/1000</definedName>
    <definedName function="false" hidden="false" name="_tl_clk_p4_mi_ch2_cs0" vbProcedure="false">'Step2-BoardDetails'!$M$48</definedName>
    <definedName function="false" hidden="false" name="_tl_clk_p4_st_ch2_cs0" vbProcedure="false">'Step2-BoardDetails'!$N$48</definedName>
    <definedName function="false" hidden="false" name="_tl_dqs4_mi_ch2_cs0" vbProcedure="false">'Step2-BoardDetails'!$M$49</definedName>
    <definedName function="false" hidden="false" name="_tl_dqs4_st_ch2_cs0" vbProcedure="false">'Step2-BoardDetails'!$N$49</definedName>
    <definedName function="false" hidden="false" name="_EMIF2_EXT_PHY_CTRL_17_VAL" vbProcedure="false">_emif2_ext_phy_ctrl_17_val_vayu</definedName>
    <definedName function="false" hidden="false" name="_emif2_ext_phy_ctrl_17_val_vayu" vbProcedure="false">DEC2HEX(SUM(_wrdqs_ratio0_ch2_cs1*2^16,_wrdqs_ratio0_ch2_cs0),8)</definedName>
    <definedName function="false" hidden="false" name="_EMIF2_EXT_PHY_CTRL_18_VAL" vbProcedure="false">_emif2_ext_phy_ctrl_18_val_vayu</definedName>
    <definedName function="false" hidden="false" name="_emif2_ext_phy_ctrl_18_val_vayu" vbProcedure="false">DEC2HEX(SUM(_wrdqs_ratio1_ch2_cs1*2^16,_wrdqs_ratio1_ch2_cs0),8)</definedName>
    <definedName function="false" hidden="false" name="_EMIF2_EXT_PHY_CTRL_19_VAL" vbProcedure="false">_emif2_ext_phy_ctrl_19_val_vayu</definedName>
    <definedName function="false" hidden="false" name="_emif2_ext_phy_ctrl_19_val_vayu" vbProcedure="false">DEC2HEX(SUM(_wrdqs_ratio2_ch2_cs1*2^16,_wrdqs_ratio2_ch2_cs0),8)</definedName>
    <definedName function="false" hidden="false" name="_EMIF2_EXT_PHY_CTRL_1_VAL" vbProcedure="false">_emif2_ext_phy_ctrl_1_val_vayu</definedName>
    <definedName function="false" hidden="false" name="_emif2_ext_phy_ctrl_1_val_vayu" vbProcedure="false">DEC2HEX(SUM(_ctrl_ratio2*2^20,_ctrl_ratio1*2^10,_ctrl_ratio0),8)</definedName>
    <definedName function="false" hidden="false" name="_EMIF2_EXT_PHY_CTRL_20_VAL" vbProcedure="false">_emif2_ext_phy_ctrl_20_val_vayu</definedName>
    <definedName function="false" hidden="false" name="_emif2_ext_phy_ctrl_20_val_vayu" vbProcedure="false">DEC2HEX(SUM(_wrdqs_ratio3_ch2_cs1*2^16,_wrdqs_ratio3_ch2_cs0),8)</definedName>
    <definedName function="false" hidden="false" name="_EMIF2_EXT_PHY_CTRL_21_VAL" vbProcedure="false">_emif2_ext_phy_ctrl_21_val_vayu</definedName>
    <definedName function="false" hidden="false" name="_emif2_ext_phy_ctrl_21_val_vayu" vbProcedure="false">DEC2HEX(SUM(_wrdqs_ratio4_ch2_cs1*2^16,_wrdqs_ratio4_ch2_cs0),8)</definedName>
    <definedName function="false" hidden="false" name="_EMIF2_EXT_PHY_CTRL_22_VAL" vbProcedure="false">_emif2_ext_phy_ctrl_22_val_vayu</definedName>
    <definedName function="false" hidden="false" name="_emif2_ext_phy_ctrl_22_val_vayu" vbProcedure="false">DEC2HEX(SUM(_phy_fifowe_delay*2^16,_phy_ctrl_delay),8)</definedName>
    <definedName function="false" hidden="false" name="_EMIF2_EXT_PHY_CTRL_23_VAL" vbProcedure="false">_emif2_ext_phy_ctrl_23_val_vayu</definedName>
    <definedName function="false" hidden="false" name="_emif2_ext_phy_ctrl_23_val_vayu" vbProcedure="false">DEC2HEX(SUM(_phy_wrdqs_delay*2^16,_phy_rddqs_delay),8)</definedName>
    <definedName function="false" hidden="false" name="_EMIF2_EXT_PHY_CTRL_24_VAL" vbProcedure="false">_emif2_ext_phy_ctrl_24_val_vayu</definedName>
    <definedName function="false" hidden="false" name="_emif2_ext_phy_ctrl_24_val_vayu" vbProcedure="false">DEC2HEX(SUM(_phy_dq_offset4*2^24,_phy_gatelvl_init_mode*2^16,_phy_use_rank0_delays*2^12,_phy_wrdata_delay),8)</definedName>
    <definedName function="false" hidden="false" name="_EMIF2_EXT_PHY_CTRL_25_VAL" vbProcedure="false">DEC2HEX(SUM(_phy_dq_offset3*2^21,_phy_dq_offset2*2^14,_phy_dq_offset1*2^7,_phy_dq_offset0),8)</definedName>
    <definedName function="false" hidden="false" name="_EMIF2_EXT_PHY_CTRL_26_VAL" vbProcedure="false">DEC2HEX(SUM(_fifowe_init0_ch2_cs1*2^16,_fifowe_init0_ch2_cs0),8)</definedName>
    <definedName function="false" hidden="false" name="_fifowe_init0_ch2_cs1" vbProcedure="false">IF(_t_rdtrip_brddly_p0_ch2_cs1=0,0,_fifowe_ratio0_ch2_cs1 - ROUND((125000 / _ddr_pll_freq / _dll_res),0))</definedName>
    <definedName function="false" hidden="false" name="_t_rdtrip_brddly_p0_ch2_cs1" vbProcedure="false">((_tl_clk_p0_mi_ch2_cs1*_prop_vel_microstrip) + (_tl_clk_p0_st_ch2_cs1*_prop_vel_stripline) + (_tl_dqs0_mi_ch2_cs1*_prop_vel_microstrip) + (_tl_dqs0_st_ch2_cs1*_prop_vel_stripline))/1000</definedName>
    <definedName function="false" hidden="false" name="_fifowe_ratio0_ch2_cs1" vbProcedure="false">ROUND(IF(_user_sdram_type="LPDDR2",(_t_rdtrip_brddly_p0_ch2_cs1 + (500000 / _ddr_pll_freq)) / _dll_res,((_t_rdtrip_brddly_p0_ch2_cs1 + (333333 / _ddr_pll_freq) + (_phy_invert_clk * 500000 / _ddr_pll_freq)) / _dll_res)),0)</definedName>
    <definedName function="false" hidden="false" name="_fifowe_init0_ch2_cs0" vbProcedure="false">IF(_t_rdtrip_brddly_p0_ch2_cs0=0,0,_fifowe_ratio0_ch2_cs0 - ROUND((125000 / _ddr_pll_freq / _dll_res),0))</definedName>
    <definedName function="false" hidden="false" name="_t_rdtrip_brddly_p0_ch2_cs0" vbProcedure="false">((_tl_clk_p0_mi_ch2_cs0*_prop_vel_microstrip) + (_tl_clk_p0_st_ch2_cs0*_prop_vel_stripline) + (_tl_dqs0_mi_ch2_cs0*_prop_vel_microstrip) + (_tl_dqs0_st_ch2_cs0*_prop_vel_stripline))/1000</definedName>
    <definedName function="false" hidden="false" name="_fifowe_ratio0_ch2_cs0" vbProcedure="false">ROUND(IF(_user_sdram_type="LPDDR2",(_t_rdtrip_brddly_p0_ch2_cs0 + (500000 / _ddr_pll_freq)) / _dll_res,((_t_rdtrip_brddly_p0_ch2_cs0 + (333333 / _ddr_pll_freq) + (_phy_invert_clk * 500000 / _ddr_pll_freq)) / _dll_res)),0)</definedName>
    <definedName function="false" hidden="false" name="_EMIF2_EXT_PHY_CTRL_27_VAL" vbProcedure="false">DEC2HEX(SUM(_fifowe_init1_ch2_cs1*2^16,_fifowe_init1_ch2_cs0),8)</definedName>
    <definedName function="false" hidden="false" name="_fifowe_init1_ch2_cs1" vbProcedure="false">IF(_t_rdtrip_brddly_p1_ch2_cs1=0,0,_fifowe_ratio1_ch2_cs1 - ROUND((125000 / _ddr_pll_freq / _dll_res),0))</definedName>
    <definedName function="false" hidden="false" name="_t_rdtrip_brddly_p1_ch2_cs1" vbProcedure="false">((_tl_clk_p1_mi_ch2_cs1*_prop_vel_microstrip) + (_tl_clk_p1_st_ch2_cs1*_prop_vel_stripline) + (_tl_dqs1_mi_ch2_cs1*_prop_vel_microstrip) + (_tl_dqs1_st_ch2_cs1*_prop_vel_stripline))/1000</definedName>
    <definedName function="false" hidden="false" name="_fifowe_ratio1_ch2_cs1" vbProcedure="false">ROUND(IF(_user_sdram_type="LPDDR2",(_t_rdtrip_brddly_p1_ch2_cs1 + (500000 / _ddr_pll_freq)) / _dll_res,((_t_rdtrip_brddly_p1_ch2_cs1 + (333333 / _ddr_pll_freq) + (_phy_invert_clk * 500000 / _ddr_pll_freq)) / _dll_res)),0)</definedName>
    <definedName function="false" hidden="false" name="_fifowe_init1_ch2_cs0" vbProcedure="false">IF(_t_rdtrip_brddly_p1_ch2_cs0=0,0,_fifowe_ratio1_ch2_cs0 - ROUND((125000 / _ddr_pll_freq / _dll_res),0))</definedName>
    <definedName function="false" hidden="false" name="_t_rdtrip_brddly_p1_ch2_cs0" vbProcedure="false">((_tl_clk_p1_mi_ch2_cs0*_prop_vel_microstrip) + (_tl_clk_p1_st_ch2_cs0*_prop_vel_stripline) + (_tl_dqs1_mi_ch2_cs0*_prop_vel_microstrip) + (_tl_dqs1_st_ch2_cs0*_prop_vel_stripline))/1000</definedName>
    <definedName function="false" hidden="false" name="_fifowe_ratio1_ch2_cs0" vbProcedure="false">ROUND(IF(_user_sdram_type="LPDDR2",(_t_rdtrip_brddly_p1_ch2_cs0 + (500000 / _ddr_pll_freq)) / _dll_res,((_t_rdtrip_brddly_p1_ch2_cs0 + (333333 / _ddr_pll_freq) + (_phy_invert_clk * 500000 / _ddr_pll_freq)) / _dll_res)),0)</definedName>
    <definedName function="false" hidden="false" name="_EMIF2_EXT_PHY_CTRL_28_VAL" vbProcedure="false">DEC2HEX(SUM(_fifowe_init2_ch2_cs1*2^16,_fifowe_init2_ch2_cs0),8)</definedName>
    <definedName function="false" hidden="false" name="_fifowe_init2_ch2_cs1" vbProcedure="false">IF(_t_rdtrip_brddly_p2_ch2_cs1=0,0,_fifowe_ratio2_ch2_cs1 - ROUND((125000 / _ddr_pll_freq / _dll_res),0))</definedName>
    <definedName function="false" hidden="false" name="_t_rdtrip_brddly_p2_ch2_cs1" vbProcedure="false">((_tl_clk_p2_mi_ch2_cs1*_prop_vel_microstrip) + (_tl_clk_p2_st_ch2_cs1*_prop_vel_stripline) + (_tl_dqs2_mi_ch2_cs1*_prop_vel_microstrip) + (_tl_dqs2_st_ch2_cs1*_prop_vel_stripline))/1000</definedName>
    <definedName function="false" hidden="false" name="_fifowe_ratio2_ch2_cs1" vbProcedure="false">ROUND(IF(_user_sdram_type="LPDDR2",(_t_rdtrip_brddly_p2_ch2_cs1 + (500000 / _ddr_pll_freq)) / _dll_res,((_t_rdtrip_brddly_p2_ch2_cs1 + (333333 / _ddr_pll_freq) + (_phy_invert_clk * 500000 / _ddr_pll_freq)) / _dll_res)),0)</definedName>
    <definedName function="false" hidden="false" name="_fifowe_init2_ch2_cs0" vbProcedure="false">IF(_t_rdtrip_brddly_p2_ch2_cs0=0,0,_fifowe_ratio2_ch2_cs0 - ROUND((125000 / _ddr_pll_freq / _dll_res),0))</definedName>
    <definedName function="false" hidden="false" name="_t_rdtrip_brddly_p2_ch2_cs0" vbProcedure="false">((_tl_clk_p2_mi_ch2_cs0*_prop_vel_microstrip) + (_tl_clk_p2_st_ch2_cs0*_prop_vel_stripline) + (_tl_dqs2_mi_ch2_cs0*_prop_vel_microstrip) + (_tl_dqs2_st_ch2_cs0*_prop_vel_stripline))/1000</definedName>
    <definedName function="false" hidden="false" name="_fifowe_ratio2_ch2_cs0" vbProcedure="false">ROUND(IF(_user_sdram_type="LPDDR2",(_t_rdtrip_brddly_p2_ch2_cs0 + (500000 / _ddr_pll_freq)) / _dll_res,((_t_rdtrip_brddly_p2_ch2_cs0 + (333333 / _ddr_pll_freq) + (_phy_invert_clk * 500000 / _ddr_pll_freq)) / _dll_res)),0)</definedName>
    <definedName function="false" hidden="false" name="_EMIF2_EXT_PHY_CTRL_29_VAL" vbProcedure="false">DEC2HEX(SUM(_fifowe_init3_ch2_cs1*2^16,_fifowe_init3_ch2_cs0),8)</definedName>
    <definedName function="false" hidden="false" name="_fifowe_init3_ch2_cs1" vbProcedure="false">IF(_t_rdtrip_brddly_p3_ch2_cs1=0,0,_fifowe_ratio3_ch2_cs1 - ROUND((125000 / _ddr_pll_freq / _dll_res),0))</definedName>
    <definedName function="false" hidden="false" name="_t_rdtrip_brddly_p3_ch2_cs1" vbProcedure="false">((_tl_clk_p3_mi_ch2_cs1*_prop_vel_microstrip) + (_tl_clk_p3_st_ch2_cs1*_prop_vel_stripline) + (_tl_dqs3_mi_ch2_cs1*_prop_vel_microstrip) + (_tl_dqs3_st_ch2_cs1*_prop_vel_stripline))/1000</definedName>
    <definedName function="false" hidden="false" name="_fifowe_ratio3_ch2_cs1" vbProcedure="false">ROUND(IF(_user_sdram_type="LPDDR2",(_t_rdtrip_brddly_p3_ch2_cs1 + (500000 / _ddr_pll_freq)) / _dll_res,((_t_rdtrip_brddly_p3_ch2_cs1 + (333333 / _ddr_pll_freq) + (_phy_invert_clk * 500000 / _ddr_pll_freq)) / _dll_res)),0)</definedName>
    <definedName function="false" hidden="false" name="_fifowe_init3_ch2_cs0" vbProcedure="false">IF(_t_rdtrip_brddly_p3_ch2_cs0=0,0,_fifowe_ratio3_ch2_cs0 - ROUND((125000 / _ddr_pll_freq / _dll_res),0))</definedName>
    <definedName function="false" hidden="false" name="_t_rdtrip_brddly_p3_ch2_cs0" vbProcedure="false">((_tl_clk_p3_mi_ch2_cs0*_prop_vel_microstrip) + (_tl_clk_p3_st_ch2_cs0*_prop_vel_stripline) + (_tl_dqs3_mi_ch2_cs0*_prop_vel_microstrip) + (_tl_dqs3_st_ch2_cs0*_prop_vel_stripline))/1000</definedName>
    <definedName function="false" hidden="false" name="_fifowe_ratio3_ch2_cs0" vbProcedure="false">ROUND(IF(_user_sdram_type="LPDDR2",(_t_rdtrip_brddly_p3_ch2_cs0 + (500000 / _ddr_pll_freq)) / _dll_res,((_t_rdtrip_brddly_p3_ch2_cs0 + (333333 / _ddr_pll_freq) + (_phy_invert_clk * 500000 / _ddr_pll_freq)) / _dll_res)),0)</definedName>
    <definedName function="false" hidden="false" name="_EMIF2_EXT_PHY_CTRL_2_VAL" vbProcedure="false">_emif2_ext_phy_ctrl_2_val_vayu</definedName>
    <definedName function="false" hidden="false" name="_emif2_ext_phy_ctrl_2_val_vayu" vbProcedure="false">DEC2HEX(SUM(_fifowe_ratio0_ch2_cs1*2^16,_fifowe_ratio0_ch2_cs0),8)</definedName>
    <definedName function="false" hidden="false" name="_EMIF2_EXT_PHY_CTRL_30_VAL" vbProcedure="false">DEC2HEX(SUM(_fifowe_init4_ch2_cs1*2^16,_fifowe_init4_ch2_cs0),8)</definedName>
    <definedName function="false" hidden="false" name="_fifowe_init4_ch2_cs1" vbProcedure="false">IF(_t_rdtrip_brddly_p4_ch2_cs1=0,0,_fifowe_ratio4_ch2_cs1 - ROUND((125000 / _ddr_pll_freq / _dll_res),0))</definedName>
    <definedName function="false" hidden="false" name="_t_rdtrip_brddly_p4_ch2_cs1" vbProcedure="false">((_tl_clk_p4_mi_ch2_cs1*_prop_vel_microstrip) + (_tl_clk_p4_st_ch2_cs1*_prop_vel_stripline) + (_tl_dqs4_mi_ch2_cs1*_prop_vel_microstrip) + (_tl_dqs4_st_ch2_cs1*_prop_vel_stripline))/1000</definedName>
    <definedName function="false" hidden="false" name="_fifowe_ratio4_ch2_cs1" vbProcedure="false">ROUND(IF(_user_sdram_type="LPDDR2",(_t_rdtrip_brddly_p4_ch2_cs1 + (500000 / _ddr_pll_freq)) / _dll_res,((_t_rdtrip_brddly_p4_ch2_cs1 + (333333 / _ddr_pll_freq) + (_phy_invert_clk * 500000 / _ddr_pll_freq)) / _dll_res)),0)</definedName>
    <definedName function="false" hidden="false" name="_fifowe_init4_ch2_cs0" vbProcedure="false">IF(_t_rdtrip_brddly_p4_ch2_cs0=0,0,_fifowe_ratio4_ch2_cs0 - ROUND((125000 / _ddr_pll_freq / _dll_res),0))</definedName>
    <definedName function="false" hidden="false" name="_t_rdtrip_brddly_p4_ch2_cs0" vbProcedure="false">((_tl_clk_p4_mi_ch2_cs0*_prop_vel_microstrip) + (_tl_clk_p4_st_ch2_cs0*_prop_vel_stripline) + (_tl_dqs4_mi_ch2_cs0*_prop_vel_microstrip) + (_tl_dqs4_st_ch2_cs0*_prop_vel_stripline))/1000</definedName>
    <definedName function="false" hidden="false" name="_fifowe_ratio4_ch2_cs0" vbProcedure="false">ROUND(IF(_user_sdram_type="LPDDR2",(_t_rdtrip_brddly_p4_ch2_cs0 + (500000 / _ddr_pll_freq)) / _dll_res,((_t_rdtrip_brddly_p4_ch2_cs0 + (333333 / _ddr_pll_freq) + (_phy_invert_clk * 500000 / _ddr_pll_freq)) / _dll_res)),0)</definedName>
    <definedName function="false" hidden="false" name="_EMIF2_EXT_PHY_CTRL_31_VAL" vbProcedure="false">DEC2HEX(SUM(_wrdqs_init0_ch2_cs1*2^16,_wrdqs_init0_ch2_cs0),8)</definedName>
    <definedName function="false" hidden="false" name="_wrdqs_init0_ch2_cs1" vbProcedure="false">IF(_t_rdtrip_brddly_p0_ch2_cs1=0,0,MAX(_wrdqs_ratio0_ch2_cs1 - ROUND((125000 / _ddr_pll_freq / _dll_res),0),0))</definedName>
    <definedName function="false" hidden="false" name="_wrdqs_init0_ch2_cs0" vbProcedure="false">IF(_t_rdtrip_brddly_p0_ch2_cs0=0,0,MAX(_wrdqs_ratio0_ch2_cs0 - ROUND((125000 / _ddr_pll_freq / _dll_res),0),0))</definedName>
    <definedName function="false" hidden="false" name="_EMIF2_EXT_PHY_CTRL_32_VAL" vbProcedure="false">DEC2HEX(SUM(_wrdqs_init1_ch2_cs1*2^16,_wrdqs_init1_ch2_cs0),8)</definedName>
    <definedName function="false" hidden="false" name="_wrdqs_init1_ch2_cs1" vbProcedure="false">IF(_t_rdtrip_brddly_p1_ch2_cs1=0,0,MAX(_wrdqs_ratio1_ch2_cs1 - ROUND((125000 / _ddr_pll_freq / _dll_res),0),0))</definedName>
    <definedName function="false" hidden="false" name="_wrdqs_init1_ch2_cs0" vbProcedure="false">IF(_t_rdtrip_brddly_p1_ch2_cs0=0,0,MAX(_wrdqs_ratio1_ch2_cs0 - ROUND((125000 / _ddr_pll_freq / _dll_res),0),0))</definedName>
    <definedName function="false" hidden="false" name="_EMIF2_EXT_PHY_CTRL_33_VAL" vbProcedure="false">DEC2HEX(SUM(_wrdqs_init2_ch2_cs1*2^16,_wrdqs_init2_ch2_cs0),8)</definedName>
    <definedName function="false" hidden="false" name="_wrdqs_init2_ch2_cs1" vbProcedure="false">IF(_t_rdtrip_brddly_p2_ch2_cs1=0,0,MAX(_wrdqs_ratio2_ch2_cs1 - ROUND((125000 / _ddr_pll_freq / _dll_res),0),0))</definedName>
    <definedName function="false" hidden="false" name="_wrdqs_init2_ch2_cs0" vbProcedure="false">IF(_t_rdtrip_brddly_p2_ch2_cs0=0,0,MAX(_wrdqs_ratio2_ch2_cs0 - ROUND((125000 / _ddr_pll_freq / _dll_res),0),0))</definedName>
    <definedName function="false" hidden="false" name="_EMIF2_EXT_PHY_CTRL_34_VAL" vbProcedure="false">DEC2HEX(SUM(_wrdqs_init3_ch2_cs1*2^16,_wrdqs_init3_ch2_cs0),8)</definedName>
    <definedName function="false" hidden="false" name="_wrdqs_init3_ch2_cs1" vbProcedure="false">IF(_t_rdtrip_brddly_p3_ch2_cs1=0,0,MAX(_wrdqs_ratio3_ch2_cs1 - ROUND((125000 / _ddr_pll_freq / _dll_res),0),0))</definedName>
    <definedName function="false" hidden="false" name="_wrdqs_init3_ch2_cs0" vbProcedure="false">IF(_t_rdtrip_brddly_p3_ch2_cs0=0,0,MAX(_wrdqs_ratio3_ch2_cs0 - ROUND((125000 / _ddr_pll_freq / _dll_res),0),0))</definedName>
    <definedName function="false" hidden="false" name="_EMIF2_EXT_PHY_CTRL_35_VAL" vbProcedure="false">DEC2HEX(SUM(_wrdqs_init4_ch2_cs1*2^16,_wrdqs_init4_ch2_cs0),8)</definedName>
    <definedName function="false" hidden="false" name="_wrdqs_init4_ch2_cs1" vbProcedure="false">IF(_t_rdtrip_brddly_p4_ch2_cs1=0,0,MAX(_wrdqs_ratio4_ch2_cs1 - ROUND((125000 / _ddr_pll_freq / _dll_res),0),0))</definedName>
    <definedName function="false" hidden="false" name="_wrdqs_init4_ch2_cs0" vbProcedure="false">IF(_t_rdtrip_brddly_p4_ch2_cs0=0,0,MAX(_wrdqs_ratio4_ch2_cs0 - ROUND((125000 / _ddr_pll_freq / _dll_res),0),0))</definedName>
    <definedName function="false" hidden="false" name="_EMIF2_EXT_PHY_CTRL_36_VAL" vbProcedure="false">DEC2HEX(SUM(_phy_wrlvl_num_dq0*2^4,_phy_gatelvl_num_dq0),8)</definedName>
    <definedName function="false" hidden="false" name="_EMIF2_EXT_PHY_CTRL_3_VAL" vbProcedure="false">_emif2_ext_phy_ctrl_3_val_vayu</definedName>
    <definedName function="false" hidden="false" name="_emif2_ext_phy_ctrl_3_val_vayu" vbProcedure="false">DEC2HEX(SUM(_fifowe_ratio1_ch2_cs1*2^16,_fifowe_ratio1_ch2_cs0),8)</definedName>
    <definedName function="false" hidden="false" name="_EMIF2_EXT_PHY_CTRL_4_VAL" vbProcedure="false">_emif2_ext_phy_ctrl_4_val_vayu</definedName>
    <definedName function="false" hidden="false" name="_emif2_ext_phy_ctrl_4_val_vayu" vbProcedure="false">DEC2HEX(SUM(_fifowe_ratio2_ch2_cs1*2^16,_fifowe_ratio2_ch2_cs0),8)</definedName>
    <definedName function="false" hidden="false" name="_EMIF2_EXT_PHY_CTRL_5_VAL" vbProcedure="false">_emif2_ext_phy_ctrl_5_val_vayu</definedName>
    <definedName function="false" hidden="false" name="_emif2_ext_phy_ctrl_5_val_vayu" vbProcedure="false">DEC2HEX(SUM(_fifowe_ratio3_ch2_cs1*2^16,_fifowe_ratio3_ch2_cs0),8)</definedName>
    <definedName function="false" hidden="false" name="_EMIF2_EXT_PHY_CTRL_6_VAL" vbProcedure="false">_emif2_ext_phy_ctrl_6_val_vayu</definedName>
    <definedName function="false" hidden="false" name="_emif2_ext_phy_ctrl_6_val_vayu" vbProcedure="false">DEC2HEX(SUM(_fifowe_ratio4_ch2_cs1*2^16,_fifowe_ratio4_ch2_cs0),8)</definedName>
    <definedName function="false" hidden="false" name="_EMIF2_EXT_PHY_CTRL_7_VAL" vbProcedure="false">_emif2_ext_phy_ctrl_7_val_vayu</definedName>
    <definedName function="false" hidden="false" name="_emif2_ext_phy_ctrl_7_val_vayu" vbProcedure="false">DEC2HEX(SUM(_rddqs_ratio0*2^16,_rddqs_ratio0),8)</definedName>
    <definedName function="false" hidden="false" name="_EMIF2_EXT_PHY_CTRL_8_VAL" vbProcedure="false">_emif2_ext_phy_ctrl_8_val_vayu</definedName>
    <definedName function="false" hidden="false" name="_emif2_ext_phy_ctrl_8_val_vayu" vbProcedure="false">DEC2HEX(SUM(_rddqs_ratio1*2^16,_rddqs_ratio1),8)</definedName>
    <definedName function="false" hidden="false" name="_EMIF2_EXT_PHY_CTRL_9_VAL" vbProcedure="false">_emif2_ext_phy_ctrl_9_val_vayu</definedName>
    <definedName function="false" hidden="false" name="_emif2_ext_phy_ctrl_9_val_vayu" vbProcedure="false">DEC2HEX(SUM(_rddqs_ratio2*2^16,_rddqs_ratio2),8)</definedName>
    <definedName function="false" hidden="false" name="_emif4d5e_sdram_types" vbProcedure="false">{"DDR1";"LPDDR1";"DDR2";"DDR3/L";"LPDDR2"}</definedName>
    <definedName function="false" hidden="false" name="_EMIF_DDR_PHY_CTRL_1_VAL" vbProcedure="false">DEC2HEX(SUM(_phy_rdlvl_mask*2^27,_phy_rdlvlgate_mask*2^26,_phy_wrlvl_mask*2^25,_phy_half_delay*2^21,_phy_clk_stall_level*2^20,_phy_dis_calib_rst*2^19,_phy_invert_clk*2^18,_phy_dll_lock_diff*2^10,_phy_fast_dll_lock*2^9,_phy_rd_rl_delay),8)</definedName>
    <definedName function="false" hidden="false" name="_phy_rdlvl_mask" vbProcedure="false">IF(OR(_soc_name="j6eco",_soc_name="j6entry"),1,IF(_user_lvl_tech="H/W",0,1))</definedName>
    <definedName function="false" hidden="false" name="_user_lvl_tech" vbProcedure="false">'Step1-SystemDetails'!$F$25</definedName>
    <definedName function="false" hidden="false" name="_phy_rdlvlgate_mask" vbProcedure="false">IF(_user_lvl_tech="H/W",0,1)</definedName>
    <definedName function="false" hidden="false" name="_phy_wrlvl_mask" vbProcedure="false">IF(_user_lvl_tech="H/W",0,1)</definedName>
    <definedName function="false" hidden="false" name="_phy_clk_stall_level" vbProcedure="false">0</definedName>
    <definedName function="false" hidden="false" name="_phy_dis_calib_rst" vbProcedure="false">0</definedName>
    <definedName function="false" hidden="false" name="_phy_dll_lock_diff" vbProcedure="false">16</definedName>
    <definedName function="false" hidden="false" name="_phy_fast_dll_lock" vbProcedure="false">0</definedName>
    <definedName function="false" hidden="false" name="_phy_rd_rl_delay" vbProcedure="false">MAX(MIN(IF(_ddr_pll_freq &gt; 533, _t_cl_user + 5, _t_cl_user + 4),2^5-1),0)</definedName>
    <definedName function="false" hidden="false" name="_t_cl_user" vbProcedure="false">MAX(MIN(_t_cl_ck_user,MAX(_sdram_sb_cl)),INDEX(_sdram_sb_cl,ROW(INDIRECT("1:1"))))</definedName>
    <definedName function="false" hidden="false" name="_t_cl_ck_user" vbProcedure="false">'Step3-DDRTimings'!$F$25</definedName>
    <definedName function="false" hidden="false" name="_sdram_sb_cl" vbProcedure="false">IF(_user_sdram_type="DDR2",CHOOSE(_sdram_sb,_ddr2_sb_403_cl,_ddr2_sb_404_cl,_ddr2_sb_536_cl,_ddr2_sb_537_cl,_ddr2_sb_671_cl,_ddr2_sb_672_cl,_ddr2_sb_804_cl,_ddr2_sb_805_cl,_ddr2_sb_806_cl),IF(_user_sdram_type="DDR3/L",CHOOSE(_sdram_sb,_ddr3_sb_805_cl,_ddr3_sb_806_cl,_ddr3_sb_1072_cl,_ddr3_sb_1073_cl,_ddr3_sb_1074_cl,_ddr3_sb_1340_cl,_ddr3_sb_1341_cl,_ddr3_sb_1342_cl,_ddr3_sb_1343_cl,_ddr3_sb_1608_cl,_ddr3_sb_1609_cl,_ddr3_sb_1610_cl,_ddr3_sb_1611_cl,_ddr3_sb_1876_cl,_ddr3_sb_1877_cl,_ddr3_sb_1878_cl,_ddr3_sb_1879_cl,_ddr3_sb_2144_cl,_ddr3_sb_2145_cl,_ddr3_sb_2146_cl,_ddr3_sb_2147_cl),CHOOSE(_sdram_sb,_lpddr2_sb_336_cl,_lpddr2_sb_403_cl,_lpddr2_sb_537_cl,_lpddr2_sb_672_cl,_lpddr2_sb_806_cl,_lpddr2_sb_940_cl,_lpddr2_sb_1074_cl)))</definedName>
    <definedName function="false" hidden="false" name="_sdram_sb" vbProcedure="false">MATCH(_sdram_data_rate + _sdram_cl_max,_sdram_sb_lookup,0)</definedName>
    <definedName function="false" hidden="false" name="_sdram_data_rate" vbProcedure="false">'Step1-SystemDetails'!$F$36</definedName>
    <definedName function="false" hidden="false" name="_sdram_cl_max" vbProcedure="false">'Step1-SystemDetails'!$F$39</definedName>
    <definedName function="false" hidden="false" name="_sdram_sb_lookup" vbProcedure="false">IF(_user_sdram_type="DDR2",_ddr2_sb_lookup,IF(_user_sdram_type="DDR3/L",_ddr3_sb_lookup,_lpddr2_sb_lookup))</definedName>
    <definedName function="false" hidden="false" name="_lpddr2_sb_lookup" vbProcedure="false">{336;403;537;672;806;940;1074}</definedName>
    <definedName function="false" hidden="false" name="_lpddr2_sb_336_cl" vbProcedure="false">{3}</definedName>
    <definedName function="false" hidden="false" name="_lpddr2_sb_403_cl" vbProcedure="false">{3}</definedName>
    <definedName function="false" hidden="false" name="_lpddr2_sb_537_cl" vbProcedure="false">{4}</definedName>
    <definedName function="false" hidden="false" name="_lpddr2_sb_672_cl" vbProcedure="false">{5}</definedName>
    <definedName function="false" hidden="false" name="_lpddr2_sb_806_cl" vbProcedure="false">{6}</definedName>
    <definedName function="false" hidden="false" name="_lpddr2_sb_940_cl" vbProcedure="false">{7}</definedName>
    <definedName function="false" hidden="false" name="_lpddr2_sb_1074_cl" vbProcedure="false">{8}</definedName>
    <definedName function="false" hidden="false" name="_EMIF_DDR_PHY_CTRL_1_VAL_NOLVL" vbProcedure="false">DEC2HEX(SUM(1*2^27,1*2^26,1*2^25,_phy_half_delay*2^21,_phy_clk_stall_level*2^20,_phy_dis_calib_rst*2^19,_phy_invert_clk*2^18,_phy_dll_lock_diff*2^10,_phy_fast_dll_lock*2^9,_phy_rd_rl_delay),8)</definedName>
    <definedName function="false" hidden="false" name="_EMIF_DLL_CALIB_CTRL_VAL" vbProcedure="false">"00050000"</definedName>
    <definedName function="false" hidden="false" name="_EMIF_ECC_ADDR_RNG_1_VAL" vbProcedure="false">DEC2HEX(SUM(_ecc_end_addr_1*2^16,_ecc_start_addr_1),8)</definedName>
    <definedName function="false" hidden="false" name="_EMIF_ECC_ADDR_RNG_2_VAL" vbProcedure="false">DEC2HEX(SUM(_ecc_end_addr_2*2^16,_ecc_start_addr_2),8)</definedName>
    <definedName function="false" hidden="false" name="_EMIF_ECC_CTRL" vbProcedure="false">DEC2HEX(SUM(_reg_ecc_en*2^31,_reg_ecc_addr_rng_prot*2^30,_reg_ecc_verify_dis*2^29,_reg_rmw_en*2^28,_reg_ecc_addr_rng_2_en*2^1,_reg_ecc_addr_rng_1_en),8)</definedName>
    <definedName function="false" hidden="false" name="_reg_ecc_en" vbProcedure="false">IF(_user_ecc="Yes",1,0)</definedName>
    <definedName function="false" hidden="false" name="_reg_ecc_addr_rng_prot" vbProcedure="false">IF(_user_ecc="Yes",1,0)</definedName>
    <definedName function="false" hidden="false" name="_reg_ecc_verify_dis" vbProcedure="false">0</definedName>
    <definedName function="false" hidden="false" name="_reg_rmw_en" vbProcedure="false">IF(_soc_name="j6plus",IF(_user_ecc="Yes",1,0),0)</definedName>
    <definedName function="false" hidden="false" name="_reg_ecc_addr_rng_2_en" vbProcedure="false">IF(AND(_user_ecc="Yes",HEX2DEC(_user_ecc_start_addr2)&lt;HEX2DEC(_user_ecc_end_addr2),OR(AND(HEX2DEC(_user_ecc_start_addr2)&lt;HEX2DEC(_user_ecc_start_addr1),HEX2DEC(_user_ecc_end_addr2)&lt;HEX2DEC(_user_ecc_start_addr1)),AND(HEX2DEC(_user_ecc_start_addr2)&gt;HEX2DEC(_user_ecc_end_addr1),HEX2DEC(_user_ecc_end_addr2)&gt;HEX2DEC(_user_ecc_end_addr1)))),1,0)</definedName>
    <definedName function="false" hidden="false" name="_reg_ecc_addr_rng_1_en" vbProcedure="false">IF(AND(_user_ecc="Yes",HEX2DEC(_user_ecc_start_addr1)&lt;HEX2DEC(_user_ecc_end_addr1)),1,0)</definedName>
    <definedName function="false" hidden="false" name="_emif_io_dr_acc_rec" vbProcedure="false">CHOOSE(MATCH(_soc_name,_soc_names,0),_soc_emif_io_dr_acc_vayu,_soc_emif_io_dr_acc_vayu,_soc_emif_io_dr_acc_j6eco,_soc_emif_io_dr_acc_adaslow,_soc_emif_io_dr_acc_adaslow,_soc_emif_io_dr_acc_vayu,_soc_emif_io_dr_acc_j6plus)</definedName>
    <definedName function="false" hidden="false" name="_soc_emif_io_dr_acc_vayu" vbProcedure="false">34</definedName>
    <definedName function="false" hidden="false" name="_soc_emif_io_dr_acc_j6eco" vbProcedure="false">40</definedName>
    <definedName function="false" hidden="false" name="_soc_emif_io_dr_acc_adaslow" vbProcedure="false">IF(_user_sdram_type="DDR3/L",40,48)</definedName>
    <definedName function="false" hidden="false" name="_soc_emif_io_dr_acc_j6plus" vbProcedure="false">34</definedName>
    <definedName function="false" hidden="false" name="_emif_io_dr_ds_rec" vbProcedure="false">CHOOSE(MATCH(_soc_name,_soc_names,0),_soc_emif_io_dr_ds_vayu,_soc_emif_io_dr_ds_vayu,_soc_emif_io_dr_ds_j6eco,_soc_emif_io_dr_ds_adaslow,_soc_emif_io_dr_ds_adaslow,_soc_emif_io_dr_ds_vayu,_soc_emif_io_dr_ds_j6plus)</definedName>
    <definedName function="false" hidden="false" name="_soc_emif_io_dr_ds_vayu" vbProcedure="false">48</definedName>
    <definedName function="false" hidden="false" name="_soc_emif_io_dr_ds_j6eco" vbProcedure="false">48</definedName>
    <definedName function="false" hidden="false" name="_soc_emif_io_dr_ds_adaslow" vbProcedure="false">IF(AND(_user_sdram_type="LPDDR2",_user_soc="TDA3x_ABF"),60,48)</definedName>
    <definedName function="false" hidden="false" name="_soc_emif_io_dr_ds_j6plus" vbProcedure="false">48</definedName>
    <definedName function="false" hidden="false" name="_emif_io_odt_rec" vbProcedure="false">IF(_user_sdram_type="LPDDR2","Disabled",60)</definedName>
    <definedName function="false" hidden="false" name="_emif_io_sr_acc_rec" vbProcedure="false">CHOOSE(MATCH(_soc_name,_soc_names,0),_soc_emif_io_sr_vayu,_soc_emif_io_sr_vayu,_soc_emif_io_sr_j6eco,_soc_emif_io_sr_acc_adaslow,_soc_emif_io_sr_acc_adaslow,_soc_emif_io_sr_j6eco,_soc_emif_io_sr_j6plus)</definedName>
    <definedName function="false" hidden="false" name="_soc_emif_io_sr_vayu" vbProcedure="false">"Fastest: SR[2:0] = 0b000"</definedName>
    <definedName function="false" hidden="false" name="_soc_emif_io_sr_j6eco" vbProcedure="false">"Fastest: SR[2:0] = 0b000"</definedName>
    <definedName function="false" hidden="false" name="_soc_emif_io_sr_acc_adaslow" vbProcedure="false">IF(_user_sdram_type="DDR3/L","Fastest: SR[2:0] = 0b000","SR[2:0] = 0b010")</definedName>
    <definedName function="false" hidden="false" name="_soc_emif_io_sr_j6plus" vbProcedure="false">"Fastest: SR[2:0] = 0b000"</definedName>
    <definedName function="false" hidden="false" name="_emif_io_sr_ds_rec" vbProcedure="false">CHOOSE(MATCH(_soc_name,_soc_names,0),_soc_emif_io_sr_vayu,_soc_emif_io_sr_vayu,_soc_emif_io_sr_j6eco,_soc_emif_io_sr_ds_adaslow,_soc_emif_io_sr_ds_adaslow,_soc_emif_io_sr_j6eco,_soc_emif_io_sr_j6plus)</definedName>
    <definedName function="false" hidden="false" name="_soc_emif_io_sr_ds_adaslow" vbProcedure="false">"SR[2:0] = 0b010"</definedName>
    <definedName function="false" hidden="false" name="_EMIF_RDWR_LVL_CTRL_VAL" vbProcedure="false">DEC2HEX(SUM(_phy_rdwrlvlfull_start*2^31),8)</definedName>
    <definedName function="false" hidden="false" name="_phy_rdwrlvlfull_start" vbProcedure="false">0</definedName>
    <definedName function="false" hidden="false" name="_EMIF_RDWR_LVL_RMP_CTRL_VAL" vbProcedure="false">DEC2HEX(SUM(_phy_rdwrlvl_en*2^31),8)</definedName>
    <definedName function="false" hidden="false" name="_phy_rdwrlvl_en" vbProcedure="false">IF(_user_lvl_tech="H/W",1,0)</definedName>
    <definedName function="false" hidden="false" name="_EMIF_RDWR_LVL_RMP_WIN_VAL" vbProcedure="false">DEC2HEX(SUM(_phy_rdwrlvlinc_rmp_win),8)</definedName>
    <definedName function="false" hidden="false" name="_phy_rdwrlvlinc_rmp_win" vbProcedure="false">0</definedName>
    <definedName function="false" hidden="false" name="_EMIF_RD_WR_EXEC_THRESH_VAL" vbProcedure="false">"00000305"</definedName>
    <definedName function="false" hidden="false" name="_EMIF_SDRAM_CONFIG_2_VAL" vbProcedure="false">DEC2HEX(SUM(_sdram_cs1nvmen*2^30,_sdram_ebank_pos*2^27,_sdram_rdbnum*2^4,_sdram_rdbsize),8)</definedName>
    <definedName function="false" hidden="false" name="_sdram_cs1nvmen" vbProcedure="false">0</definedName>
    <definedName function="false" hidden="false" name="_sdram_ebank_pos" vbProcedure="false">0</definedName>
    <definedName function="false" hidden="false" name="_sdram_rdbnum" vbProcedure="false">0</definedName>
    <definedName function="false" hidden="false" name="_sdram_rdbsize" vbProcedure="false">0</definedName>
    <definedName function="false" hidden="false" name="_EMIF_SDRAM_CONFIG_VAL" vbProcedure="false">DEC2HEX(SUM(_sdram_config_type*2^29,_sdram_config_ibank_pos*2^27,_sdram_config_rtt*2^24,_sdram_config_ddr2_dqs*2^23,_sdram_config_dyn_rtt*2^21,_sdram_config_dll_dis*2^20,_sdram_config_drive_imp*2^18,_sdram_cwl_val*2^16,_sdram_config_narrow_mode*2^14,_sdram_cl_val*2^10,_sdram_config_rowsize*2^7,_sdram_ibank_val*2^4,_sdram_config_ebank*2^3,_sdram_config_pagesize),8)</definedName>
    <definedName function="false" hidden="false" name="_sdram_config_type" vbProcedure="false">MAX(MIN(MATCH(_user_sdram_type,_emif4d5e_sdram_types,0)-1,2^3-1),0)</definedName>
    <definedName function="false" hidden="false" name="_sdram_config_ibank_pos" vbProcedure="false">0</definedName>
    <definedName function="false" hidden="false" name="_sdram_config_rtt" vbProcedure="false">MAX(MIN(IF(_user_sdram_type="DDR3/L",MATCH(_sdram_rtt,_ddr3_rtt,0)-1,IF(_user_sdram_type="DDR2",MATCH(_sdram_rtt,_ddr2_rtt,0)-1,0)),2^3-1),0)</definedName>
    <definedName function="false" hidden="false" name="_sdram_rtt" vbProcedure="false">'Step1-SystemDetails'!$F$44</definedName>
    <definedName function="false" hidden="false" name="_sdram_config_ddr2_dqs" vbProcedure="false">1</definedName>
    <definedName function="false" hidden="false" name="_sdram_config_dyn_rtt" vbProcedure="false">MAX(MIN(IF(_user_sdram_type="DDR3/L",MATCH(_sdram_rttwr,_ddr3_rttwr,0)-1,0),2^2-1),0)</definedName>
    <definedName function="false" hidden="false" name="_sdram_rttwr" vbProcedure="false">'Step1-SystemDetails'!$F$45</definedName>
    <definedName function="false" hidden="false" name="_sdram_config_dll_dis" vbProcedure="false">0</definedName>
    <definedName function="false" hidden="false" name="_sdram_config_drive_imp" vbProcedure="false">MAX(MIN(IF(_user_sdram_type="DDR3/L",MATCH(_sdram_drive_imp,_ddr3_drive_imp,0)-1,IF(_user_sdram_type="DDR2",MATCH(_sdram_drive_imp,_ddr2_drive_imp,0)-1,0)),2^2-1),0)</definedName>
    <definedName function="false" hidden="false" name="_sdram_drive_imp" vbProcedure="false">'Step1-SystemDetails'!$F$46</definedName>
    <definedName function="false" hidden="false" name="_sdram_cwl_val" vbProcedure="false">MAX(MIN(_t_cwl_user - 5,2^2-1),0)</definedName>
    <definedName function="false" hidden="false" name="_t_cwl_user" vbProcedure="false">MAX(MIN(_t_cwl_ck_user,8),5)</definedName>
    <definedName function="false" hidden="false" name="_t_cwl_ck_user" vbProcedure="false">'Step3-DDRTimings'!$F$26</definedName>
    <definedName function="false" hidden="false" name="_sdram_cl_val" vbProcedure="false">MAX(MIN(IF(_user_sdram_type="DDR3/L",2 * (_t_cl_user - 4),_t_cl_user),2^4-1),0)</definedName>
    <definedName function="false" hidden="false" name="_sdram_config_rowsize" vbProcedure="false">MAX(MIN(_sdram_row_bits - 9,2^3-1),0)</definedName>
    <definedName function="false" hidden="false" name="_sdram_row_bits" vbProcedure="false">LOG(2^_sdram_density_mult/_sdram_width/_sdram_config_ibank/2^_sdram_col_bits,2)</definedName>
    <definedName function="false" hidden="false" name="_sdram_density_mult" vbProcedure="false">IF(_user_sdram_type="DDR2",MATCH(_sdram_density,_ddr2_densities,0)+27,IF(_user_sdram_type="DDR3/L",MATCH(_sdram_density,_ddr3_densities,0)+28,MATCH(_sdram_density,_lpddr2_densities,0)+27))</definedName>
    <definedName function="false" hidden="false" name="_sdram_config_ibank" vbProcedure="false">IF(_user_sdram_type="DDR3/L",_ddr3_bankNum,IF(_user_sdram_type="DDR2",_ddr2_bankNum,_lpddr2_bankNum))</definedName>
    <definedName function="false" hidden="false" name="_lpddr2_bankNum" vbProcedure="false">IF(_sdram_density&lt;1,4,8)</definedName>
    <definedName function="false" hidden="false" name="_sdram_col_bits" vbProcedure="false">IF(_user_sdram_type="DDR3/L",_sdram_col_bits_ddr3,IF(_user_sdram_type="DDR2",_sdram_col_bits_ddr2,_sdram_col_bits_lpddr2))</definedName>
    <definedName function="false" hidden="false" name="_sdram_col_bits_ddr3" vbProcedure="false">IF(AND(_sdram_density=8,_sdram_width=4),12,IF(OR(AND(_sdram_density=8,_sdram_width=8),_sdram_width=4),11,10))</definedName>
    <definedName function="false" hidden="false" name="_sdram_col_bits_ddr2" vbProcedure="false">IF(_sdram_width=32,9,IF(AND(_sdram_density=0.25,_sdram_width=16),9,IF(_sdram_width=4,11,10)))</definedName>
    <definedName function="false" hidden="false" name="_sdram_col_bits_lpddr2" vbProcedure="false">IF(_sdram_density&lt;0.5,IF(_sdram_width=32,8,IF(_sdram_width=16,9,10)),IF(_sdram_density&gt;2,IF(_sdram_width=32,10,IF(_sdram_width=16,11,12)),IF(_sdram_width=32,9,IF(_sdram_width=16,10,11))))</definedName>
    <definedName function="false" hidden="false" name="_sdram_ibank_val" vbProcedure="false">MAX(MIN(LOG(_sdram_config_ibank,2),2^3-1),0)</definedName>
    <definedName function="false" hidden="false" name="_sdram_config_ebank" vbProcedure="false">MAX(MIN(_sdram_ebank-1,1),0)</definedName>
    <definedName function="false" hidden="false" name="_sdram_ebank" vbProcedure="false">'Step1-SystemDetails'!$F$24</definedName>
    <definedName function="false" hidden="false" name="_sdram_config_pagesize" vbProcedure="false">MAX(MIN(_sdram_col_bits - 8,2^3-1),0)</definedName>
    <definedName function="false" hidden="false" name="_EMIF_SDRAM_REF_CTRL_INIT_VAL" vbProcedure="false">DEC2HEX(SUM(_sdram_initref_dis*2^31,_sdram_srt*2^29,_sdram_asr*2^28,_sdram_pasr*2^24,_t_refi_init),8)</definedName>
    <definedName function="false" hidden="false" name="_sdram_initref_dis" vbProcedure="false">0</definedName>
    <definedName function="false" hidden="false" name="_sdram_srt" vbProcedure="false">0</definedName>
    <definedName function="false" hidden="false" name="_sdram_asr" vbProcedure="false">IF(_user_max_op_temp&lt;&gt;"&lt;= 85",1,0)</definedName>
    <definedName function="false" hidden="false" name="_user_max_op_temp" vbProcedure="false">'Step1-SystemDetails'!$F$26</definedName>
    <definedName function="false" hidden="false" name="_sdram_pasr" vbProcedure="false">0</definedName>
    <definedName function="false" hidden="false" name="_t_refi_init" vbProcedure="false">MAX(MIN(ROUNDUP( _t_refi_ns_init*_ddr_pll_freq/1000,0),2^16-1),6*_t_rfc_user)</definedName>
    <definedName function="false" hidden="false" name="_t_refi_ns_init" vbProcedure="false">IF(_user_sdram_type="DDR3/L",31250,12500)</definedName>
    <definedName function="false" hidden="false" name="_t_rfc_user" vbProcedure="false">MAX(MIN(ROUNDUP(MAX(_t_rfc_ck_user, _t_rfc_ns_user*_ddr_pll_freq/1000),0)-1,2^9-1),0)</definedName>
    <definedName function="false" hidden="false" name="_t_rfc_ck_user" vbProcedure="false">'Step3-DDRTimings'!$F$41</definedName>
    <definedName function="false" hidden="false" name="_t_rfc_ns_user" vbProcedure="false">'Step3-DDRTimings'!$G$41</definedName>
    <definedName function="false" hidden="false" name="_EMIF_SDRAM_REF_CTRL_VAL" vbProcedure="false">DEC2HEX(SUM(_sdram_initref_dis*2^31,_sdram_srt*2^29,_sdram_asr*2^28,_sdram_pasr*2^24,_t_refi),8)</definedName>
    <definedName function="false" hidden="false" name="_t_refi" vbProcedure="false">IF(_enable_jedec=1,_t_refi_jedec,_t_refi_user)</definedName>
    <definedName function="false" hidden="false" name="_enable_jedec" vbProcedure="false">0</definedName>
    <definedName function="false" hidden="false" name="_t_refi_jedec" vbProcedure="false">IFERROR(ROUNDDOWN(_t_refi_ns*_ddr_pll_freq/1000,0),0)</definedName>
    <definedName function="false" hidden="false" name="_t_refi_ns" vbProcedure="false">CHOOSE(MATCH(_user_max_op_temp,{"&lt;= 85","&lt;= 95","&lt;= 105","&lt;= 125"},0),7800,3900,1950,975)</definedName>
    <definedName function="false" hidden="false" name="_t_refi_user" vbProcedure="false">MAX(MIN(ROUNDDOWN( _t_refi_ns_user*_ddr_pll_freq/1000,0),2^16-1),6*_t_rfc_user)</definedName>
    <definedName function="false" hidden="false" name="_t_refi_ns_user" vbProcedure="false">'Step3-DDRTimings'!$G$43</definedName>
    <definedName function="false" hidden="false" name="_EMIF_SDRAM_TIM_1_VAL" vbProcedure="false">DEC2HEX(SUM(_t_rtw_gel*2^29,_t_rp*2^25,_t_rcd*2^21,_t_wr*2^17,_t_ras*2^12,_t_rc*2^6,_t_rrd*2^3,_t_wtr),8)</definedName>
    <definedName function="false" hidden="false" name="_t_rtw_gel" vbProcedure="false">6</definedName>
    <definedName function="false" hidden="false" name="_t_rp" vbProcedure="false">IF(_enable_jedec=1,_t_rp_jedec,_t_rp_user)</definedName>
    <definedName function="false" hidden="false" name="_t_rp_jedec" vbProcedure="false">IFERROR(ROUNDUP(_t_rp_ns*_ddr_pll_freq/1000,0)-1,0)</definedName>
    <definedName function="false" hidden="false" name="_t_rp_ns" vbProcedure="false">IF(_user_sdram_type="LPDDR2",MAX(3*1000/_ddr_pll_freq,IF(_sdram_config_ibank=4,18,21)),IF(_user_sdram_type="DDR2",INDEX(_ddr2_sb_rp,_sdram_sb),INDEX(_ddr3_sb_rp,_sdram_sb)))</definedName>
    <definedName function="false" hidden="false" name="_t_rp_user" vbProcedure="false">MAX(MIN(ROUNDUP(MAX(_t_rp_ck_user, _t_rp_ns_user*_ddr_pll_freq/1000),0)-1,2^4-1),0)</definedName>
    <definedName function="false" hidden="false" name="_t_rp_ck_user" vbProcedure="false">'Step3-DDRTimings'!$F$27</definedName>
    <definedName function="false" hidden="false" name="_t_rp_ns_user" vbProcedure="false">'Step3-DDRTimings'!$G$27</definedName>
    <definedName function="false" hidden="false" name="_t_rcd" vbProcedure="false">IF(_enable_jedec=1,_t_rcd_jedec,_t_rcd_user)</definedName>
    <definedName function="false" hidden="false" name="_t_rcd_jedec" vbProcedure="false">IFERROR(ROUNDUP(_t_rcd_ns*_ddr_pll_freq/1000,0)-1,0)</definedName>
    <definedName function="false" hidden="false" name="_t_rcd_ns" vbProcedure="false">IF(_user_sdram_type="LPDDR2",MAX(3*1000/_ddr_pll_freq,18),IF(_user_sdram_type="DDR2",INDEX(_ddr2_sb_rcd,_sdram_sb),INDEX(_ddr3_sb_rcd,_sdram_sb)))</definedName>
    <definedName function="false" hidden="false" name="_t_rcd_user" vbProcedure="false">MAX(MIN(ROUNDUP(MAX(_t_rcd_ck_user, _t_rcd_ns_user*_ddr_pll_freq/1000),0)-1,2^4-1),0)</definedName>
    <definedName function="false" hidden="false" name="_t_rcd_ck_user" vbProcedure="false">'Step3-DDRTimings'!$F$28</definedName>
    <definedName function="false" hidden="false" name="_t_rcd_ns_user" vbProcedure="false">'Step3-DDRTimings'!$G$28</definedName>
    <definedName function="false" hidden="false" name="_t_wr" vbProcedure="false">IF(_enable_jedec=1,_t_wr_jedec,_t_wr_user)</definedName>
    <definedName function="false" hidden="false" name="_t_wr_jedec" vbProcedure="false">IFERROR(ROUNDUP(_t_wr_ns*_ddr_pll_freq/1000,0)-1,0)</definedName>
    <definedName function="false" hidden="false" name="_t_wr_ns" vbProcedure="false">IF(_user_sdram_type="LPDDR2",MAX(3*1000/_ddr_pll_freq,15),15)</definedName>
    <definedName function="false" hidden="false" name="_t_wr_user" vbProcedure="false">MAX(MIN(ROUNDUP(MAX(_t_wr_ck_user, _t_wr_ns_user*_ddr_pll_freq/1000),0)-1,2^4-1),0)</definedName>
    <definedName function="false" hidden="false" name="_t_wr_ck_user" vbProcedure="false">'Step3-DDRTimings'!$F$29</definedName>
    <definedName function="false" hidden="false" name="_t_wr_ns_user" vbProcedure="false">'Step3-DDRTimings'!$G$29</definedName>
    <definedName function="false" hidden="false" name="_t_ras" vbProcedure="false">IF(_enable_jedec=1,_t_ras_jedec,_t_ras_user)</definedName>
    <definedName function="false" hidden="false" name="_t_ras_jedec" vbProcedure="false">IFERROR(ROUNDUP(_t_ras_ns*_ddr_pll_freq/1000,0)-1,0)</definedName>
    <definedName function="false" hidden="false" name="_t_ras_ns" vbProcedure="false">IF(_user_sdram_type="LPDDR2",MAX(3*1000/_ddr_pll_freq,42),IF(_user_sdram_type="DDR2",INDEX(_ddr2_sb_ras_min,_sdram_sb),INDEX(_ddr3_sb_ras_min,_sdram_sb)))</definedName>
    <definedName function="false" hidden="false" name="_t_ras_user" vbProcedure="false">MAX(MIN(ROUNDUP(MAX(_t_ras_ck_user, _t_ras_ns_user*_ddr_pll_freq/1000),0)-1,2^5-1),_t_rcd_user)</definedName>
    <definedName function="false" hidden="false" name="_t_ras_ck_user" vbProcedure="false">'Step3-DDRTimings'!$F$30</definedName>
    <definedName function="false" hidden="false" name="_t_ras_ns_user" vbProcedure="false">'Step3-DDRTimings'!$G$30</definedName>
    <definedName function="false" hidden="false" name="_t_rc" vbProcedure="false">IF(_enable_jedec=1,_t_rc_jedec,_t_rc_user)</definedName>
    <definedName function="false" hidden="false" name="_t_rc_jedec" vbProcedure="false">IFERROR(ROUNDUP(_t_rc_ns*_ddr_pll_freq/1000,0)-1,0)</definedName>
    <definedName function="false" hidden="false" name="_t_rc_ns" vbProcedure="false">IF(_user_sdram_type="LPDDR2",_t_ras_ns+_t_rp_ns,IF(_user_sdram_type="DDR2",INDEX(_ddr2_sb_rc,_sdram_sb),INDEX(_ddr3_sb_rc,_sdram_sb)))</definedName>
    <definedName function="false" hidden="false" name="_t_rc_user" vbProcedure="false">MAX(MIN(ROUNDUP(MAX(_t_rc_ck_user, _t_rc_ns_user*_ddr_pll_freq/1000),0)-1,2^6-1),0)</definedName>
    <definedName function="false" hidden="false" name="_t_rc_ck_user" vbProcedure="false">'Step3-DDRTimings'!$F$31</definedName>
    <definedName function="false" hidden="false" name="_t_rc_ns_user" vbProcedure="false">'Step3-DDRTimings'!$G$31</definedName>
    <definedName function="false" hidden="false" name="_t_rrd" vbProcedure="false">IF(_enable_jedec=1,_t_rrd_jedec,_t_rrd_user)</definedName>
    <definedName function="false" hidden="false" name="_t_rrd_jedec" vbProcedure="false">IFERROR(ROUNDUP(_t_rrd_ns*_ddr_pll_freq/1000,0)-1,0)</definedName>
    <definedName function="false" hidden="false" name="_t_rrd_ns" vbProcedure="false">IF(_user_sdram_type="LPDDR2",MAX(2*1000/_ddr_pll_freq,10),IF(_user_sdram_type="DDR2",IF(_sdram_pagesize=2048,10,7.5),IF(_sdram_pagesize=2048,MAX(4*1000/_ddr_pll_freq,INDEX(_ddr3_sb_rrd_2k,_sdram_sb)),MAX(4*1000/_ddr_pll_freq,INDEX(_ddr3_sb_rrd_1k,_sdram_sb)))))</definedName>
    <definedName function="false" hidden="false" name="_sdram_pagesize" vbProcedure="false">2^_sdram_col_bits * _sdram_width / 8</definedName>
    <definedName function="false" hidden="false" name="_t_rrd_user" vbProcedure="false">MAX(MIN(MAX(_t_faw_user,ROUNDUP(IF(AND(_user_sdram_type="DDR2",_sdram_config_ibank=8),((4*MAX(_t_rrd_ck_user,_t_rrd_ns_user*_ddr_pll_freq/1000))+2)/4,MAX(_t_rrd_ck_user,_t_rrd_ns_user*_ddr_pll_freq/1000)),0)-1),2^3-1),0)</definedName>
    <definedName function="false" hidden="false" name="_t_faw_user" vbProcedure="false">ROUNDUP(MAX(_t_faw_ck_user, _t_faw_ns_user*_ddr_pll_freq/1000)/4,0)-1</definedName>
    <definedName function="false" hidden="false" name="_t_faw_ck_user" vbProcedure="false">'Step3-DDRTimings'!$F$44</definedName>
    <definedName function="false" hidden="false" name="_t_faw_ns_user" vbProcedure="false">'Step3-DDRTimings'!$G$44</definedName>
    <definedName function="false" hidden="false" name="_t_rrd_ck_user" vbProcedure="false">'Step3-DDRTimings'!$F$32</definedName>
    <definedName function="false" hidden="false" name="_t_rrd_ns_user" vbProcedure="false">'Step3-DDRTimings'!$G$32</definedName>
    <definedName function="false" hidden="false" name="_t_wtr" vbProcedure="false">IF(_enable_jedec=1,_t_wtr_jedec,_t_wtr_user)</definedName>
    <definedName function="false" hidden="false" name="_t_wtr_jedec" vbProcedure="false">IFERROR(ROUNDUP(_t_wtr_ns*_ddr_pll_freq/1000,0)-1,0)</definedName>
    <definedName function="false" hidden="false" name="_t_wtr_ns" vbProcedure="false">IF(_user_sdram_type="LPDDR2",MAX(2*1000/_ddr_pll_freq,INDEX(_lpddr2_sb_wtr,_sdram_sb)),IF(_user_sdram_type="DDR2",INDEX(_ddr2_sb_wtr,_sdram_sb),MAX(4*1000/_ddr_pll_freq,7.5)))</definedName>
    <definedName function="false" hidden="false" name="_lpddr2_sb_wtr" vbProcedure="false">{10;10;7.5;7.5;7.5;7.5;7.5}</definedName>
    <definedName function="false" hidden="false" name="_t_wtr_user" vbProcedure="false">MAX(MIN(ROUNDUP(MAX(_t_wtr_ck_user, _t_wtr_ns_user*_ddr_pll_freq/1000),0)-1,2^3-1),0)</definedName>
    <definedName function="false" hidden="false" name="_t_wtr_ck_user" vbProcedure="false">'Step3-DDRTimings'!$F$33</definedName>
    <definedName function="false" hidden="false" name="_t_wtr_ns_user" vbProcedure="false">'Step3-DDRTimings'!$G$33</definedName>
    <definedName function="false" hidden="false" name="_EMIF_SDRAM_TIM_2_VAL" vbProcedure="false">DEC2HEX(SUM(_t_xp*2^28,_t_xsnr*2^16,_t_xsrd*2^6,_t_rtp*2^3,_t_cke),8)</definedName>
    <definedName function="false" hidden="false" name="_t_xp" vbProcedure="false">IF(_enable_jedec=1,_t_xp_jedec,IF(_user_sdram_type="DDR2",MAX(_t_xp_user,_t_cke_user),_t_xp_user))</definedName>
    <definedName function="false" hidden="false" name="_t_xp_jedec" vbProcedure="false">IFERROR(ROUNDUP(_t_xp_ns*_ddr_pll_freq/1000,0)-1,0)</definedName>
    <definedName function="false" hidden="false" name="_t_xp_ns" vbProcedure="false">IF(_user_sdram_type="LPDDR2",MAX(2*1000/_ddr_pll_freq,7.5),IF(_user_sdram_type="DDR2",2*1000/_ddr_pll_freq,MAX(3*1000/_ddr_pll_freq,INDEX(_ddr3_sb_xp,_sdram_sb))))</definedName>
    <definedName function="false" hidden="false" name="_t_xp_user" vbProcedure="false">MAX(MIN(ROUNDUP(MAX(_t_xp_ck_user, _t_xp_ns_user*_ddr_pll_freq/1000),0)-1,2^3-1),0)</definedName>
    <definedName function="false" hidden="false" name="_t_xp_ck_user" vbProcedure="false">'Step3-DDRTimings'!$F$34</definedName>
    <definedName function="false" hidden="false" name="_t_xp_ns_user" vbProcedure="false">'Step3-DDRTimings'!$G$34</definedName>
    <definedName function="false" hidden="false" name="_t_cke_user" vbProcedure="false">MAX(MIN(ROUNDUP(MAX(_t_cke_ck_user, _t_cke_ns_user*_ddr_pll_freq/1000),0)-1,2^3-1),0)</definedName>
    <definedName function="false" hidden="false" name="_t_cke_ck_user" vbProcedure="false">'Step3-DDRTimings'!$F$38</definedName>
    <definedName function="false" hidden="false" name="_t_cke_ns_user" vbProcedure="false">'Step3-DDRTimings'!$G$38</definedName>
    <definedName function="false" hidden="false" name="_t_xsnr" vbProcedure="false">IF(_enable_jedec=1,_t_xsnr_jedec,_t_xsnr_user)</definedName>
    <definedName function="false" hidden="false" name="_t_xsnr_jedec" vbProcedure="false">IFERROR(ROUNDUP(_t_xsnr_ns*_ddr_pll_freq/1000,0)-1,0)</definedName>
    <definedName function="false" hidden="false" name="_t_xsnr_ns" vbProcedure="false">IF(_user_sdram_type="LPDDR2",MAX(2*1000/_ddr_pll_freq,_t_rfc_ns+10),IF(_user_sdram_type="DDR2",_t_rfc_ns+10,MAX(5*1000/_ddr_pll_freq,_t_rfc_ns+10)))</definedName>
    <definedName function="false" hidden="false" name="_t_rfc_ns" vbProcedure="false">IF(_user_sdram_type="LPDDR2",INDEX(_t_rfc_lpddr2,MATCH(_sdram_density,_lpddr2_densities,0)),IF(_user_sdram_type="DDR2",INDEX(_t_rfc_ddr2,MATCH(_sdram_density,_ddr2_densities,0)),INDEX(_ddr3_t_rfc,MATCH(_sdram_density,_ddr3_densities,0))))</definedName>
    <definedName function="false" hidden="false" name="_t_rfc_lpddr2" vbProcedure="false">{90;90;130;130;130;210}</definedName>
    <definedName function="false" hidden="false" name="_t_rfc_ddr2" vbProcedure="false">{75;105;127.5;195;327.5}</definedName>
    <definedName function="false" hidden="false" name="_t_xsnr_user" vbProcedure="false">MAX(MIN(ROUNDUP(MAX(_t_xsnr_ck_user, _t_xsnr_ns_user*_ddr_pll_freq/1000),0)-1,2^9-1),0)</definedName>
    <definedName function="false" hidden="false" name="_t_xsnr_ck_user" vbProcedure="false">'Step3-DDRTimings'!$F$35</definedName>
    <definedName function="false" hidden="false" name="_t_xsnr_ns_user" vbProcedure="false">'Step3-DDRTimings'!$G$35</definedName>
    <definedName function="false" hidden="false" name="_t_xsrd" vbProcedure="false">IF(_enable_jedec=1,_t_xsrd_jedec,_t_xsrd_user)</definedName>
    <definedName function="false" hidden="false" name="_t_xsrd_jedec" vbProcedure="false">IFERROR(ROUNDUP(_t_xsrd_ns*_ddr_pll_freq/1000,0)-1,0)</definedName>
    <definedName function="false" hidden="false" name="_t_xsrd_ns" vbProcedure="false">IF(_user_sdram_type="LPDDR2",_t_xsnr_ns,IF(_user_sdram_type="DDR2",200*1000/_ddr_pll_freq,_t_dllk_ns))</definedName>
    <definedName function="false" hidden="false" name="_t_dllk_ns" vbProcedure="false">512*1000/_ddr_pll_freq</definedName>
    <definedName function="false" hidden="false" name="_t_xsrd_user" vbProcedure="false">MAX(MIN(ROUNDUP(MAX(_t_xsrd_ck_user, _t_xsrd_ns_user*_ddr_pll_freq/1000),0)-1,2^10-1),0)</definedName>
    <definedName function="false" hidden="false" name="_t_xsrd_ck_user" vbProcedure="false">'Step3-DDRTimings'!$F$36</definedName>
    <definedName function="false" hidden="false" name="_t_xsrd_ns_user" vbProcedure="false">'Step3-DDRTimings'!$G$36</definedName>
    <definedName function="false" hidden="false" name="_t_rtp" vbProcedure="false">IF(_enable_jedec=1,_t_rtp_jedec,_t_rtp_user)</definedName>
    <definedName function="false" hidden="false" name="_t_rtp_jedec" vbProcedure="false">IFERROR(ROUNDUP(_t_rtp_ns*_ddr_pll_freq/1000,0)-1,0)</definedName>
    <definedName function="false" hidden="false" name="_t_rtp_ns" vbProcedure="false">IF(_user_sdram_type="LPDDR2",MAX(2*1000/_ddr_pll_freq,7.5),IF(_user_sdram_type="DDR2",7.5,MAX(4*1000/_ddr_pll_freq,7.5)))</definedName>
    <definedName function="false" hidden="false" name="_t_rtp_user" vbProcedure="false">MAX(MIN(ROUNDUP(MAX(_t_rtp_ck_user, _t_rtp_ns_user*_ddr_pll_freq/1000),0)-1,2^3-1),0)</definedName>
    <definedName function="false" hidden="false" name="_t_rtp_ck_user" vbProcedure="false">'Step3-DDRTimings'!$F$37</definedName>
    <definedName function="false" hidden="false" name="_t_rtp_ns_user" vbProcedure="false">'Step3-DDRTimings'!$G$37</definedName>
    <definedName function="false" hidden="false" name="_t_cke" vbProcedure="false">IF(_enable_jedec=1,_t_cke_jedec,_t_cke_user)</definedName>
    <definedName function="false" hidden="false" name="_t_cke_jedec" vbProcedure="false">IFERROR(ROUNDUP(_t_cke_ns*_ddr_pll_freq/1000,0)-1,0)</definedName>
    <definedName function="false" hidden="false" name="_t_cke_ns" vbProcedure="false">IF(_user_sdram_type="LPDDR2",3*1000/_ddr_pll_freq,IF(_user_sdram_type="DDR2",3*1000/_ddr_pll_freq,MAX(3*1000/_ddr_pll_freq,INDEX(_ddr3_sb_cke,_sdram_sb))))</definedName>
    <definedName function="false" hidden="false" name="_EMIF_SDRAM_TIM_3_VAL" vbProcedure="false">DEC2HEX(SUM(_t_pdll_ul*2^28,_t_csta*2^24,_t_ckesr*2^21,_t_zqcs*2^15,_t_dqsck_max*2^13,_t_rfc*2^4,_t_ras_max),8)</definedName>
    <definedName function="false" hidden="false" name="_t_pdll_ul" vbProcedure="false">4</definedName>
    <definedName function="false" hidden="false" name="_t_csta" vbProcedure="false">IF(_sdram_config_ebank=1,6-1,0)</definedName>
    <definedName function="false" hidden="false" name="_t_ckesr" vbProcedure="false">IF(_enable_jedec=1,_t_ckesr_jedec,_t_ckesr_user)</definedName>
    <definedName function="false" hidden="false" name="_t_ckesr_jedec" vbProcedure="false">IF(_user_sdram_type="LPDDR2",IFERROR(ROUNDUP(_t_ckesr_ns*_ddr_pll_freq/1000,0)-1,0),_t_cke_jedec+1)</definedName>
    <definedName function="false" hidden="false" name="_t_ckesr_ns" vbProcedure="false">MAX(3*1000/_ddr_pll_freq,15)</definedName>
    <definedName function="false" hidden="false" name="_t_ckesr_user" vbProcedure="false">MAX(MIN(ROUNDUP(MAX(_t_ckesr_ck_user, _t_ckesr_ns_user*_ddr_pll_freq/1000),0)-1,2^3-1),0)</definedName>
    <definedName function="false" hidden="false" name="_t_ckesr_ck_user" vbProcedure="false">'Step3-DDRTimings'!$F$39</definedName>
    <definedName function="false" hidden="false" name="_t_ckesr_ns_user" vbProcedure="false">'Step3-DDRTimings'!$G$39</definedName>
    <definedName function="false" hidden="false" name="_t_zqcs" vbProcedure="false">IF(_enable_jedec=1,_t_zqcs_jedec,_t_zqcs_user)</definedName>
    <definedName function="false" hidden="false" name="_t_zqcs_jedec" vbProcedure="false">IFERROR(ROUNDUP(_t_zqcs_ns*_ddr_pll_freq/1000,0)-1,0)</definedName>
    <definedName function="false" hidden="false" name="_t_zqcs_ns" vbProcedure="false">IF(_user_sdram_type="LPDDR2",MAX(6*1000/_ddr_pll_freq,90),MAX(64*1000/_ddr_pll_freq,80))</definedName>
    <definedName function="false" hidden="false" name="_t_zqcs_user" vbProcedure="false">MAX(MIN(ROUNDUP(MAX(_t_zqcs_ck_user, _t_zqcs_ns_user*_ddr_pll_freq/1000),0)-1,2^6-1),0)</definedName>
    <definedName function="false" hidden="false" name="_t_zqcs_ck_user" vbProcedure="false">'Step3-DDRTimings'!$F$40</definedName>
    <definedName function="false" hidden="false" name="_t_zqcs_ns_user" vbProcedure="false">'Step3-DDRTimings'!$G$40</definedName>
    <definedName function="false" hidden="false" name="_t_dqsck_max" vbProcedure="false">IF(_user_sdram_type="LPDDR2",MAX(MIN(ROUNDUP(_t_dqsck_max_ps*_ddr_pll_freq/1000000,0)-1,2^2-1),0),0)</definedName>
    <definedName function="false" hidden="false" name="_t_dqsck_max_ps" vbProcedure="false">6000</definedName>
    <definedName function="false" hidden="false" name="_t_rfc" vbProcedure="false">IF(_enable_jedec=1,_t_rfc_jedec,_t_rfc_user)</definedName>
    <definedName function="false" hidden="false" name="_t_rfc_jedec" vbProcedure="false">IFERROR(ROUNDUP(_t_rfc_ns*_ddr_pll_freq/1000,0)-1,0)</definedName>
    <definedName function="false" hidden="false" name="_t_ras_max" vbProcedure="false">IF(_enable_jedec=1,_t_ras_max_jedec,_t_ras_max_user)</definedName>
    <definedName function="false" hidden="false" name="_t_ras_max_jedec" vbProcedure="false">IFERROR(ROUNDDOWN(_t_ras_max_ns/_t_refi_ns,0)-1,0)</definedName>
    <definedName function="false" hidden="false" name="_t_ras_max_ns" vbProcedure="false">IF(_user_sdram_type="LPDDR2",70000,IF(_user_sdram_type="DDR2",70000,9*_t_refi_ns))</definedName>
    <definedName function="false" hidden="false" name="_t_ras_max_user" vbProcedure="false">MAX(MIN(ROUNDDOWN(_t_ras_max_ns_user/_t_refi_ns_user,0)-1,2^4-1),0)</definedName>
    <definedName function="false" hidden="false" name="_t_ras_max_ns_user" vbProcedure="false">'Step3-DDRTimings'!$G$42</definedName>
    <definedName function="false" hidden="false" name="_EMIF_TEMP_ALERT_CONFIG_VAL" vbProcedure="false">"00000000"</definedName>
    <definedName function="false" hidden="false" name="_EMIF_ZQ_CONFIG_VAL" vbProcedure="false">DEC2HEX(SUM(_zq_cs1en*2^31,_zq_cs0en*2^30,_zq_dualcalen*2^29,_zq_sfexiten*2^28,_zq_zqinit_mult*2^18,_zq_zqcl_mult*2^16,_zq_refinterval),8)</definedName>
    <definedName function="false" hidden="false" name="_zq_cs1en" vbProcedure="false">_sdram_ebank - 1</definedName>
    <definedName function="false" hidden="false" name="_zq_cs0en" vbProcedure="false">1</definedName>
    <definedName function="false" hidden="false" name="_zq_dualcalen" vbProcedure="false">0</definedName>
    <definedName function="false" hidden="false" name="_zq_sfexiten" vbProcedure="false">1</definedName>
    <definedName function="false" hidden="false" name="_zq_zqinit_mult" vbProcedure="false">IF(_user_sdram_type="LPDDR2",2,1)</definedName>
    <definedName function="false" hidden="false" name="_zq_zqcl_mult" vbProcedure="false">3</definedName>
    <definedName function="false" hidden="false" name="_zq_refinterval" vbProcedure="false">6411</definedName>
    <definedName function="false" hidden="false" name="_is_ma_present" vbProcedure="false">IF(OR(_soc_name="adaslow1",_soc_name="adaslow2"),0,1)</definedName>
    <definedName function="false" hidden="false" name="_lpddr2_cl" vbProcedure="false">{"NA"}</definedName>
    <definedName function="false" hidden="false" name="_lpddr2_sb_1074_ck" vbProcedure="false">{1.875}</definedName>
    <definedName function="false" hidden="false" name="_lpddr2_sb_336_ck" vbProcedure="false">{6}</definedName>
    <definedName function="false" hidden="false" name="_lpddr2_sb_403_ck" vbProcedure="false">{5}</definedName>
    <definedName function="false" hidden="false" name="_lpddr2_sb_537_ck" vbProcedure="false">{3.75}</definedName>
    <definedName function="false" hidden="false" name="_lpddr2_sb_672_ck" vbProcedure="false">{3}</definedName>
    <definedName function="false" hidden="false" name="_lpddr2_sb_806_ck" vbProcedure="false">{2.5}</definedName>
    <definedName function="false" hidden="false" name="_lpddr2_sb_940_ck" vbProcedure="false">{2.14}</definedName>
    <definedName function="false" hidden="false" name="_phy_fifowe_mis_clr" vbProcedure="false">0</definedName>
    <definedName function="false" hidden="false" name="_phy_mdll_unlock_clr" vbProcedure="false">0</definedName>
    <definedName function="false" hidden="false" name="_phy_rdc_fifo_rst_err_cnt_clr" vbProcedure="false">0</definedName>
    <definedName function="false" hidden="false" name="_phy_rdlvlgateinc_int" vbProcedure="false">0</definedName>
    <definedName function="false" hidden="false" name="_phy_rdlvlgateinc_rmp_int" vbProcedure="false">0</definedName>
    <definedName function="false" hidden="false" name="_phy_rdlvlinc_int" vbProcedure="false">0</definedName>
    <definedName function="false" hidden="false" name="_phy_rdlvlinc_rmp_int" vbProcedure="false">0</definedName>
    <definedName function="false" hidden="false" name="_phy_rdwrlvlinc_pre" vbProcedure="false">0</definedName>
    <definedName function="false" hidden="false" name="_phy_rdwrlvlinc_rmp_pre" vbProcedure="false">0</definedName>
    <definedName function="false" hidden="false" name="_phy_wrlvlinc_int" vbProcedure="false">0</definedName>
    <definedName function="false" hidden="false" name="_phy_wrlvlinc_rmp_int" vbProcedure="false">0</definedName>
    <definedName function="false" hidden="false" name="_sdram_cl" vbProcedure="false">INDEX(_sdram_sb_cl,SMALL(IF(1000/_ddr_pll_freq&gt;=_sdram_sb_ck,ROW(INDIRECT(CONCATENATE("1:",ROWS(_sdram_sb_ck)))),""),ROW(INDIRECT("1:1"))))</definedName>
    <definedName function="false" hidden="false" name="_sdram_sb_ck" vbProcedure="false">IF(_user_sdram_type="DDR2",CHOOSE(_sdram_sb,_ddr2_sb_403_ck,_ddr2_sb_404_ck,_ddr2_sb_536_ck,_ddr2_sb_537_ck,_ddr2_sb_671_ck,_ddr2_sb_672_ck,_ddr2_sb_804_ck,_ddr2_sb_805_ck,_ddr2_sb_806_ck),IF(_user_sdram_type="DDR3/L",CHOOSE(_sdram_sb,_ddr3_sb_805_ck,_ddr3_sb_806_ck,_ddr3_sb_1072_ck,_ddr3_sb_1073_ck,_ddr3_sb_1074_ck,_ddr3_sb_1340_ck,_ddr3_sb_1341_ck,_ddr3_sb_1342_ck,_ddr3_sb_1343_ck,_ddr3_sb_1608_ck,_ddr3_sb_1609_ck,_ddr3_sb_1610_ck,_ddr3_sb_1611_ck,_ddr3_sb_1876_ck,_ddr3_sb_1877_ck,_ddr3_sb_1878_ck,_ddr3_sb_1879_ck,_ddr3_sb_2144_ck,_ddr3_sb_2145_ck,_ddr3_sb_2146_ck,_ddr3_sb_2147_ck),CHOOSE(_sdram_sb,_lpddr2_sb_336_ck,_lpddr2_sb_403_ck,_lpddr2_sb_537_ck,_lpddr2_sb_672_ck,_lpddr2_sb_806_ck,_lpddr2_sb_940_ck,_lpddr2_sb_1074_ck)))</definedName>
    <definedName function="false" hidden="false" name="_sdram_cwl" vbProcedure="false">IF(_user_sdram_type="DDR3/L",INDEX(_sdram_sb_cwl,SMALL(IF(1000/_ddr_pll_freq&gt;=_sdram_sb_ck,ROW(INDIRECT(CONCATENATE("1:",ROWS(_sdram_sb_ck)))),""),ROW(INDIRECT("1:1")))),0)</definedName>
    <definedName function="false" hidden="false" name="_sdram_sb_cwl" vbProcedure="false">CHOOSE(_sdram_sb,_ddr3_sb_805_cwl,_ddr3_sb_806_cwl,_ddr3_sb_1072_cwl,_ddr3_sb_1073_cwl,_ddr3_sb_1074_cwl,_ddr3_sb_1340_cwl,_ddr3_sb_1341_cwl,_ddr3_sb_1342_cwl,_ddr3_sb_1343_cwl,_ddr3_sb_1608_cwl,_ddr3_sb_1609_cwl,_ddr3_sb_1610_cwl,_ddr3_sb_1611_cwl,_ddr3_sb_1876_cwl,_ddr3_sb_1877_cwl,_ddr3_sb_1878_cwl,_ddr3_sb_1879_cwl,_ddr3_sb_2144_cwl,_ddr3_sb_2145_cwl,_ddr3_sb_2146_cwl,_ddr3_sb_2147_cwl)</definedName>
    <definedName function="false" hidden="false" name="_sdram_cwl_jedec" vbProcedure="false">IF(_user_sdram_type="DDR3/L",_sdram_cwl,"NA")</definedName>
    <definedName function="false" hidden="false" name="_sdram_drive_imp_rec" vbProcedure="false">IF(_user_sdram_type="LPDDR2",40,IF(_soc_name="j6entry","RZQ/6",IF(_user_sdram_type="DDR2","Normal","RZQ/7")))</definedName>
    <definedName function="false" hidden="false" name="_sdram_rttwr_rec" vbProcedure="false">IF(_user_sdram_type="LPDDR2","NA",IF(_user_sdram_type="DDR2","NA","Disabled"))</definedName>
    <definedName function="false" hidden="false" name="_sdram_rtt_rec" vbProcedure="false">IF(_user_sdram_type="LPDDR2","NA",IF(_soc_name="j6entry","RZQ/2",IF(_user_sdram_type="DDR2","75 Ohm","RZQ/4")))</definedName>
    <definedName function="false" hidden="false" name="_sdram_sb_list" vbProcedure="false">IF(IF(_sdram_sb_lookup-_sdram_data_rate&gt;100,1,0)+IF(_sdram_sb_lookup-_sdram_data_rate&lt;0,1,0)=0,ROW(INDIRECT(CONCATENATE("1:",ROWS(_sdram_sb_lookup)))),"")</definedName>
    <definedName function="false" hidden="false" name="_soc_cs_j6eco" vbProcedure="false">{1}</definedName>
    <definedName function="false" hidden="false" name="_soc_io_i_part0_vayu" vbProcedure="false">4</definedName>
    <definedName function="false" hidden="false" name="_soc_register_name" vbProcedure="false">INDIRECT(ADDRESS(ROW(),COLUMN()+1))</definedName>
    <definedName function="false" hidden="false" name="_soc_register_name_ctrl_vayu" vbProcedure="false">{"CTRL_CORE_CONTROL_DDRCACH1_0_VAL";"CTRL_CORE_CONTROL_DDRCACH2_0_VAL";"CTRL_CORE_CONTROL_DDRCH1_0_VAL";"CTRL_CORE_CONTROL_DDRCH1_1_VAL";"CTRL_CORE_CONTROL_DDRCH2_0_VAL";"CTRL_CORE_CONTROL_DDRCH2_1_VAL";"CTRL_CORE_CONTROL_DDRCH1_2_VAL";"CTRL_WKUP_EMIF1_SDRAM_CONFIG_EXT";"CTRL_WKUP_EMIF2_SDRAM_CONFIG_EXT"}</definedName>
    <definedName function="false" hidden="false" name="_soc_register_name_ddrphy1" vbProcedure="false">IFERROR(CONCATENATE("/* EMIF1_",INDEX(_soc_register_name_ddrphy_list,ROW()-ROW(_soc_register_name_ddrphy1_start)+1)," */"),"")</definedName>
    <definedName function="false" hidden="false" name="_soc_register_name_ddrphy_list" vbProcedure="false">CHOOSE(MATCH(_soc_name,_soc_names,0),_soc_register_name_ddrphy_omap5_list,_soc_register_name_ddrphy_vayu_list,_soc_register_name_ddrphy_vayu_list,_soc_register_name_ddrphy_vayu_list,_soc_register_name_ddrphy_vayu_list,_soc_register_name_ddrphy_vayu_list,_soc_register_name_ddrphy_vayu_list)</definedName>
    <definedName function="false" hidden="false" name="_soc_register_name_ddrphy_omap5_list" vbProcedure="false">{"EXT_PHY_CTRL_1";"EXT_PHY_CTRL_2";"EXT_PHY_CTRL_3";"EXT_PHY_CTRL_4";"EXT_PHY_CTRL_5";"EXT_PHY_CTRL_6";"EXT_PHY_CTRL_7";"EXT_PHY_CTRL_8";"EXT_PHY_CTRL_9";"EXT_PHY_CTRL_10";"EXT_PHY_CTRL_11";"EXT_PHY_CTRL_12";"EXT_PHY_CTRL_13";"EXT_PHY_CTRL_14";"EXT_PHY_CTRL_15";"EXT_PHY_CTRL_16";"EXT_PHY_CTRL_17";"EXT_PHY_CTRL_18";"EXT_PHY_CTRL_19";"EXT_PHY_CTRL_20";"EXT_PHY_CTRL_21";"EXT_PHY_CTRL_22";"EXT_PHY_CTRL_23";"EXT_PHY_CTRL_24"}</definedName>
    <definedName function="false" hidden="false" name="_soc_register_name_ddrphy_vayu_list" vbProcedure="false">{"EXT_PHY_CTRL_1";"EXT_PHY_CTRL_2";"EXT_PHY_CTRL_3";"EXT_PHY_CTRL_4";"EXT_PHY_CTRL_5";"EXT_PHY_CTRL_6";"EXT_PHY_CTRL_7";"EXT_PHY_CTRL_8";"EXT_PHY_CTRL_9";"EXT_PHY_CTRL_10";"EXT_PHY_CTRL_11";"EXT_PHY_CTRL_12";"EXT_PHY_CTRL_13";"EXT_PHY_CTRL_14";"EXT_PHY_CTRL_15";"EXT_PHY_CTRL_16";"EXT_PHY_CTRL_17";"EXT_PHY_CTRL_18";"EXT_PHY_CTRL_19";"EXT_PHY_CTRL_20";"EXT_PHY_CTRL_21";"EXT_PHY_CTRL_22";"EXT_PHY_CTRL_23";"EXT_PHY_CTRL_24";"EXT_PHY_CTRL_25";"EXT_PHY_CTRL_26";"EXT_PHY_CTRL_27";"EXT_PHY_CTRL_28";"EXT_PHY_CTRL_29";"EXT_PHY_CTRL_30";"EXT_PHY_CTRL_31";"EXT_PHY_CTRL_32";"EXT_PHY_CTRL_33";"EXT_PHY_CTRL_34";"EXT_PHY_CTRL_35";"EXT_PHY_CTRL_36"}</definedName>
    <definedName function="false" hidden="false" name="_soc_register_name_ddrphy1_start" vbProcedure="false">'Register Values'!$C$81</definedName>
    <definedName function="false" hidden="false" name="_soc_register_name_ddrphy2" vbProcedure="false">IFERROR(CONCATENATE("/* EMIF2_",INDEX(_soc_register_name_ddrphy_list,ROW()-ROW(_soc_register_name_ddrphy2_start)+1)," */"),"")</definedName>
    <definedName function="false" hidden="false" name="_soc_register_name_ddrphy2_start" vbProcedure="false">'Register Values'!$C$120</definedName>
    <definedName function="false" hidden="false" name="_soc_register_name_dmm" vbProcedure="false">{"DMM_LISA_MAP_0_VAL";"DMM_LISA_MAP_1_VAL"}</definedName>
    <definedName function="false" hidden="false" name="_soc_register_name_emif" vbProcedure="false">{"EMIF_SDRAM_CONFIG_VAL";"EMIF_SDRAM_CONFIG_2_VAL";"EMIF_SDRAM_REF_CTRL_VAL";"EMIF_SDRAM_TIM_1_VAL";"EMIF_SDRAM_TIM_2_VAL";"EMIF_SDRAM_TIM_3_VAL";"EMIF_SDRAM_ZQ_CONFIG_VAL";"EMIF_RDWR_LVL_RMP_CTRL_VAL";"EMIF_RDWR_LVL_CTRL_VAL";"EMIF_DDR_PHY_CTRL_1_VAL"}</definedName>
    <definedName function="false" hidden="false" name="_soc_register_value" vbProcedure="false">IFERROR(CONCATENATE("0x",eval(CONCATENATE(LEFT(REPLACE(_soc_register_name,1,3,"_"),LEN(REPLACE(_soc_register_name,1,3,"_"))-3),"_VAL"))),"")</definedName>
    <definedName function="false" hidden="false" name="_soc_sdram_drive_imp_j6plus" vbProcedure="false">IF(_user_sdram_type="DDR2","Normal","RZQ/6")</definedName>
    <definedName function="false" hidden="false" name="_soc_sdram_rtt_j6plus" vbProcedure="false">IF(_user_sdram_type="DDR2","75 Ohm","RZQ/2")</definedName>
    <definedName function="false" hidden="false" name="_ti_supported_socs" vbProcedure="false">CONCATENATE(DynamicUserOptions!$V$6,DynamicUserOptions!$V$7,DynamicUserOptions!$V$8,DynamicUserOptions!$V$9,DynamicUserOptions!$V$10,DynamicUserOptions!$V$11,DynamicUserOptions!$V$12,DynamicUserOptions!$V$13,DynamicUserOptions!$V$14,DynamicUserOptions!$V$15,DynamicUserOptions!$V$16,DynamicUserOptions!$V$17,DynamicUserOptions!$V$18,DynamicUserOptions!$V$19,DynamicUserOptions!$V$20,DynamicUserOptions!$V$21,DynamicUserOptions!$V$22,DynamicUserOptions!$V$23,DynamicUserOptions!$V$24,DynamicUserOptions!$V$25,DynamicUserOptions!$V$26,DynamicUserOptions!$V$27,DynamicUserOptions!$V$28,DynamicUserOptions!$V$29,DynamicUserOptions!$V$30,DynamicUserOptions!$V$31,DynamicUserOptions!$V$32,DynamicUserOptions!$V$33)</definedName>
    <definedName function="false" hidden="false" name="_t_cl_ns_user" vbProcedure="false">'Step3-DDRTimings'!$G$25</definedName>
    <definedName function="false" hidden="false" name="_t_cl_user_max" vbProcedure="false">MAX(_sdram_sb_cl)</definedName>
    <definedName function="false" hidden="false" name="_t_cl_user_min" vbProcedure="false">MIN(_sdram_sb_cl)</definedName>
    <definedName function="false" hidden="false" name="_t_cwl_ns_user" vbProcedure="false">'Step3-DDRTimings'!$G$26</definedName>
    <definedName function="false" hidden="false" name="_t_faw_jedec" vbProcedure="false">IFERROR(ROUNDUP(_t_faw_ns*_ddr_pll_freq/4000,0)-1,0)</definedName>
    <definedName function="false" hidden="false" name="_t_faw_ns" vbProcedure="false">IF(_user_sdram_type="DDR2",IF(_sdram_pagesize=2048,INDEX(_ddr2_sb_faw_2k,_sdram_sb),INDEX(_ddr2_sb_faw_1k,_sdram_sb)),IF(_sdram_pagesize=2048,INDEX(_ddr3_sb_faw_2k,_sdram_sb),INDEX(_ddr3_sb_faw_1k,_sdram_sb)))</definedName>
    <definedName function="false" hidden="false" name="_t_odt" vbProcedure="false">0</definedName>
    <definedName function="false" hidden="false" name="_t_ras_max_ck_user" vbProcedure="false">'Step3-DDRTimings'!$F$42</definedName>
    <definedName function="false" hidden="false" name="_t_refi_ck_user" vbProcedure="false">'Step3-DDRTimings'!$F$43</definedName>
    <definedName function="false" hidden="false" name="_user_config" vbProcedure="false">'Title-README'!$J$25</definedName>
    <definedName function="false" hidden="false" name="_user_config_name" vbProcedure="false">CONCATENATE(_user_soc,"_",IFERROR(REPLACE(_user_sdram_type,FIND("/",_user_sdram_type),1,""),_user_sdram_type),"_",_ddr_pll_freq,"MHz_",_company_project)</definedName>
    <definedName function="false" hidden="false" name="_user_config_name_txt1" vbProcedure="false">CONCATENATE("Configuration Name (based on current input): ", _user_config_name)</definedName>
    <definedName function="false" hidden="false" name="_user_config_name_txt10" vbProcedure="false">CONCATENATE("    .platform = ",CHAR(34),_user_config_name,CHAR(34),",")</definedName>
    <definedName function="false" hidden="false" name="_user_config_name_txt11" vbProcedure="false">CONCATENATE("    .pll_regs = &amp;",_user_config_name,"_pll_params,")</definedName>
    <definedName function="false" hidden="false" name="_user_config_name_txt12" vbProcedure="false">CONCATENATE("    .ctrl_regs = &amp;",_user_config_name,"_ctrl_ioregs,")</definedName>
    <definedName function="false" hidden="false" name="_user_config_name_txt13" vbProcedure="false">IF(OR(_soc_name="adaslow1",_soc_name="adaslow2"),"",CONCATENATE("    .dmm_regs = &amp;",_user_config_name,"_dmm_regs,"))</definedName>
    <definedName function="false" hidden="false" name="_user_config_name_txt14" vbProcedure="false">CONCATENATE("    .regs = &amp;",_user_config_name,"_emif_regs,")</definedName>
    <definedName function="false" hidden="false" name="_user_config_name_txt15" vbProcedure="false">CONCATENATE("    .phy_regs1 = ",_user_config_name,"_emif1_ext_phy_regs,")</definedName>
    <definedName function="false" hidden="false" name="_user_config_name_txt16" vbProcedure="false">IF(_user_emifs=2,CONCATENATE("    .phy_regs2 = ",_user_config_name,"_emif2_ext_phy_regs,"),"")</definedName>
    <definedName function="false" hidden="false" name="_user_config_name_txt17" vbProcedure="false">CONCATENATE("static void ",_user_config_name," (uint32_t base_addr)")</definedName>
    <definedName function="false" hidden="false" name="_user_config_name_txt2" vbProcedure="false">CONCATENATE(" *  ",_user_config_name,"_config.c")</definedName>
    <definedName function="false" hidden="false" name="_user_config_name_txt3" vbProcedure="false">CONCATENATE("const struct dpll_params ",_user_config_name,"_pll_params = {")</definedName>
    <definedName function="false" hidden="false" name="_user_config_name_txt4" vbProcedure="false">CONCATENATE("const struct ctrl_ioregs ",_user_config_name,"_ctrl_ioregs = {")</definedName>
    <definedName function="false" hidden="false" name="_user_config_name_txt5" vbProcedure="false">IF(OR(_soc_name="adaslow1",_soc_name="adaslow2"),"",CONCATENATE("const struct dmm_lisa_map_regs ",_user_config_name,"_dmm_regs = {"))</definedName>
    <definedName function="false" hidden="false" name="_user_config_name_txt6" vbProcedure="false">CONCATENATE("const struct emif_regs ",_user_config_name,"_emif_regs = {")</definedName>
    <definedName function="false" hidden="false" name="_user_config_name_txt7" vbProcedure="false">CONCATENATE("const unsigned int ",_user_config_name,"_emif1_ext_phy_regs [] = {")</definedName>
    <definedName function="false" hidden="false" name="_user_config_name_txt8" vbProcedure="false">IF(_user_emifs=1,"",CONCATENATE("const unsigned int ",_user_config_name,"_emif2_ext_phy_regs [] = {"))</definedName>
    <definedName function="false" hidden="false" name="_user_config_name_txt9" vbProcedure="false">CONCATENATE("struct emif_cfg ",_user_config_name," = {")</definedName>
    <definedName function="false" hidden="false" localSheetId="13" name="_company_project_invalid" vbProcedure="false">isspecial(0 _company_project)</definedName>
    <definedName function="false" hidden="false" localSheetId="13" name="_soc_register_value" vbProcedure="false">IFERROR(CONCATENATE("0x",eval(CONCATENATE(REPLACE(_soc_register_name,1,3,"_"),"_VAL"))),"")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<sst xmlns="http://schemas.openxmlformats.org/spreadsheetml/2006/main" count="1145" uniqueCount="695">
  <si>
    <t xml:space="preserve">Revision</t>
  </si>
  <si>
    <t xml:space="preserve">Release Date</t>
  </si>
  <si>
    <t xml:space="preserve">Author</t>
  </si>
  <si>
    <t xml:space="preserve">Description</t>
  </si>
  <si>
    <t xml:space="preserve">0.x.x</t>
  </si>
  <si>
    <t xml:space="preserve">NA</t>
  </si>
  <si>
    <t xml:space="preserve">Kevin Scholz</t>
  </si>
  <si>
    <t xml:space="preserve">Internal / misc release(s)</t>
  </si>
  <si>
    <t xml:space="preserve">1.0.0</t>
  </si>
  <si>
    <t xml:space="preserve">First release to CDDS</t>
  </si>
  <si>
    <t xml:space="preserve">1.1.1</t>
  </si>
  <si>
    <t xml:space="preserve">Release to TI.com (catalog) and CDDS (auto)
  - Workbook:
     * Remove pre-defined configuration push buttons (now below)
     * Remove NDA banners
  - Macros: Changed ECC configuration in pre-defined macros
  - Bug #s: 1 (first released in v1.1.0)
  - Enhancement #s: 1, 3, 4, 5</t>
  </si>
  <si>
    <t xml:space="preserve">2.0.0</t>
  </si>
  <si>
    <t xml:space="preserve">EMIF Tools:  Register Configuration</t>
  </si>
  <si>
    <t xml:space="preserve">TEXAS INSTRUMENTS</t>
  </si>
  <si>
    <r>
      <rPr>
        <b val="true"/>
        <sz val="20"/>
        <rFont val="Times New Roman"/>
        <family val="1"/>
      </rPr>
      <t xml:space="preserve">Date:</t>
    </r>
    <r>
      <rPr>
        <sz val="20"/>
        <rFont val="Times New Roman"/>
        <family val="1"/>
      </rPr>
      <t xml:space="preserve"> November 2nd, 2019</t>
    </r>
  </si>
  <si>
    <r>
      <rPr>
        <b val="true"/>
        <sz val="20"/>
        <rFont val="Times New Roman"/>
        <family val="1"/>
      </rPr>
      <t xml:space="preserve">Revision:</t>
    </r>
    <r>
      <rPr>
        <sz val="20"/>
        <rFont val="Times New Roman"/>
        <family val="1"/>
      </rPr>
      <t xml:space="preserve"> 2.0.3</t>
    </r>
  </si>
  <si>
    <t xml:space="preserve">Load / Save User Defined Configurations</t>
  </si>
  <si>
    <t xml:space="preserve">Save configurations by clicking the 'Save User Config' push button after filling in all user input from the worksheets with red tabs. Accompanying software auto-populated. The saved configuration name is based on details 1, 2, 5, and 6 from worksheet 'Step1-SystemDetails'.</t>
  </si>
  <si>
    <t xml:space="preserve">Select the desired configuration from drop down menu, then click the 'Load User Config' push button.</t>
  </si>
  <si>
    <t xml:space="preserve">AM572x_DDR3L_532MHz_TI_AM572x_EVM</t>
  </si>
  <si>
    <t xml:space="preserve">Pre-defined Configurations</t>
  </si>
  <si>
    <t xml:space="preserve">Click push buttons to auto-populate worksheets per TI EVMs:</t>
  </si>
  <si>
    <r>
      <rPr>
        <b val="true"/>
        <u val="single"/>
        <sz val="10"/>
        <color rgb="FFFFFFFF"/>
        <rFont val="Times New Roman"/>
        <family val="1"/>
      </rPr>
      <t xml:space="preserve">Workbook Supported Configurations</t>
    </r>
    <r>
      <rPr>
        <vertAlign val="superscript"/>
        <sz val="10"/>
        <color rgb="FFFFFFFF"/>
        <rFont val="Times New Roman"/>
        <family val="1"/>
      </rPr>
      <t xml:space="preserve">1</t>
    </r>
  </si>
  <si>
    <t xml:space="preserve">TI Part Numbers:</t>
  </si>
  <si>
    <t xml:space="preserve">DDR Types:</t>
  </si>
  <si>
    <t xml:space="preserve">DDR2, DDR3, DDR3L, LPDDR2</t>
  </si>
  <si>
    <r>
      <rPr>
        <b val="true"/>
        <u val="single"/>
        <sz val="10"/>
        <color rgb="FFFFFFFF"/>
        <rFont val="Times New Roman"/>
        <family val="1"/>
      </rPr>
      <t xml:space="preserve">Workbook Usage Notes</t>
    </r>
    <r>
      <rPr>
        <vertAlign val="superscript"/>
        <sz val="10"/>
        <color rgb="FFFFFFFF"/>
        <rFont val="Times New Roman"/>
        <family val="1"/>
      </rPr>
      <t xml:space="preserve">2</t>
    </r>
  </si>
  <si>
    <t xml:space="preserve">1)</t>
  </si>
  <si>
    <t xml:space="preserve">Fill in the required parameters listed in tab 'Step1-SystemDetails'.</t>
  </si>
  <si>
    <t xml:space="preserve">2)</t>
  </si>
  <si>
    <t xml:space="preserve">Fill in the required parameters listed in tab 'Step2-BoardDetails'.</t>
  </si>
  <si>
    <t xml:space="preserve">3)</t>
  </si>
  <si>
    <t xml:space="preserve">Fill in the required parameters listed in tab 'Step3-DDRTimings'.</t>
  </si>
  <si>
    <t xml:space="preserve">4)</t>
  </si>
  <si>
    <t xml:space="preserve">Save the configuration by pressing the 'Save User Config' push button above. Compile, load, and run the accompanying software.</t>
  </si>
  <si>
    <t xml:space="preserve">Workbook Limitations</t>
  </si>
  <si>
    <t xml:space="preserve">Non conventional memory configurations (as defined by JEDEC standards) may or may not be supportable by this tool.</t>
  </si>
  <si>
    <t xml:space="preserve">    1 - For further details on supported configurations of the TI processor, please review the corresponding datasheet of the TI part</t>
  </si>
  <si>
    <r>
      <rPr>
        <sz val="8"/>
        <rFont val="Times New Roman"/>
        <family val="1"/>
      </rPr>
      <t xml:space="preserve">    2 - Detailed steps can be found in corresponding documentation: </t>
    </r>
    <r>
      <rPr>
        <b val="true"/>
        <i val="true"/>
        <sz val="8"/>
        <rFont val="Times New Roman"/>
        <family val="1"/>
      </rPr>
      <t xml:space="preserve">EMIF_Tools_UserGuide.pdf</t>
    </r>
  </si>
  <si>
    <t xml:space="preserve">EMIF Tools: Register Configuration - Step 1, System Details</t>
  </si>
  <si>
    <t xml:space="preserve">Directions</t>
  </si>
  <si>
    <t xml:space="preserve">Enter in your specific system application details for all values. Recommended values are provided for steps 1C and 1D.</t>
  </si>
  <si>
    <r>
      <rPr>
        <b val="true"/>
        <u val="single"/>
        <sz val="10"/>
        <color rgb="FFFF0000"/>
        <rFont val="Times New Roman"/>
        <family val="1"/>
      </rPr>
      <t xml:space="preserve">Note</t>
    </r>
    <r>
      <rPr>
        <b val="true"/>
        <sz val="10"/>
        <color rgb="FFFF0000"/>
        <rFont val="Times New Roman"/>
        <family val="1"/>
      </rPr>
      <t xml:space="preserve">: Values shown in red must be changed!</t>
    </r>
  </si>
  <si>
    <t xml:space="preserve">1A) System application details:</t>
  </si>
  <si>
    <t xml:space="preserve">Detail</t>
  </si>
  <si>
    <t xml:space="preserve">Value</t>
  </si>
  <si>
    <t xml:space="preserve">Units</t>
  </si>
  <si>
    <t xml:space="preserve">Company / Board Name / Revision (Ex: TI_EVM_revC)</t>
  </si>
  <si>
    <t xml:space="preserve">TI_AM572x_IDK</t>
  </si>
  <si>
    <t xml:space="preserve">-</t>
  </si>
  <si>
    <t xml:space="preserve">TI SOC Part Number</t>
  </si>
  <si>
    <t xml:space="preserve">AM572x</t>
  </si>
  <si>
    <t xml:space="preserve">SYS_CLK1 Frequency</t>
  </si>
  <si>
    <t xml:space="preserve">MHz</t>
  </si>
  <si>
    <t xml:space="preserve">Required EMIF Interfaces</t>
  </si>
  <si>
    <t xml:space="preserve">DDR Memory Type</t>
  </si>
  <si>
    <t xml:space="preserve">DDR3/L</t>
  </si>
  <si>
    <t xml:space="preserve">DDR Memory Frequency</t>
  </si>
  <si>
    <t xml:space="preserve">DDR Data Bus Width Per EMIF</t>
  </si>
  <si>
    <t xml:space="preserve">Bits</t>
  </si>
  <si>
    <t xml:space="preserve">Required Chip Select Lines</t>
  </si>
  <si>
    <t xml:space="preserve">Leveling Technique: "S/W" or "H/W"</t>
  </si>
  <si>
    <t xml:space="preserve">H/W</t>
  </si>
  <si>
    <t xml:space="preserve">Max DRAM Operating Temperature</t>
  </si>
  <si>
    <t xml:space="preserve">&lt;= 85</t>
  </si>
  <si>
    <t xml:space="preserve">°C</t>
  </si>
  <si>
    <t xml:space="preserve">Enable ECC (May not apply to all EMIFs)</t>
  </si>
  <si>
    <t xml:space="preserve">No</t>
  </si>
  <si>
    <t xml:space="preserve">ECC Region 1: System Start Address</t>
  </si>
  <si>
    <r>
      <rPr>
        <b val="true"/>
        <u val="single"/>
        <sz val="7"/>
        <rFont val="Times New Roman"/>
        <family val="1"/>
      </rPr>
      <t xml:space="preserve">NOTE</t>
    </r>
    <r>
      <rPr>
        <sz val="7"/>
        <rFont val="Times New Roman"/>
        <family val="1"/>
      </rPr>
      <t xml:space="preserve">: Values entered into details 11 - 14 must be a hexadecimal value between "80000000" and "FFFFFFFF". </t>
    </r>
    <r>
      <rPr>
        <b val="true"/>
        <u val="single"/>
        <sz val="7"/>
        <color rgb="FFFF0000"/>
        <rFont val="Times New Roman"/>
        <family val="1"/>
      </rPr>
      <t xml:space="preserve">Set start and end address to equal values to disable region.</t>
    </r>
  </si>
  <si>
    <t xml:space="preserve">ECC Region 1: System End Address</t>
  </si>
  <si>
    <t xml:space="preserve">BFFFFFFF</t>
  </si>
  <si>
    <t xml:space="preserve">ECC Region 2: System Start Address</t>
  </si>
  <si>
    <t xml:space="preserve">ECC Region 2: System End Address</t>
  </si>
  <si>
    <t xml:space="preserve">1B) DDR memory specifications:</t>
  </si>
  <si>
    <t xml:space="preserve">Speed Bin: Data Rate</t>
  </si>
  <si>
    <t xml:space="preserve">Density</t>
  </si>
  <si>
    <t xml:space="preserve">Gb</t>
  </si>
  <si>
    <t xml:space="preserve">Width</t>
  </si>
  <si>
    <t xml:space="preserve">ntCK</t>
  </si>
  <si>
    <t xml:space="preserve">1C) DDR memory I/O settings (termination / output driver impedance):</t>
  </si>
  <si>
    <t xml:space="preserve">TI EVM Values**</t>
  </si>
  <si>
    <t xml:space="preserve">ODT / Rtt_Nom</t>
  </si>
  <si>
    <t xml:space="preserve">RZQ/4</t>
  </si>
  <si>
    <t xml:space="preserve">Ohms</t>
  </si>
  <si>
    <t xml:space="preserve">Dynamic ODT / Rtt_Wr</t>
  </si>
  <si>
    <t xml:space="preserve">Disabled</t>
  </si>
  <si>
    <t xml:space="preserve">Output Driver Impedance</t>
  </si>
  <si>
    <t xml:space="preserve">RZQ/7</t>
  </si>
  <si>
    <t xml:space="preserve">** NOTE: IBIS models should be used for signal integrity analysis. I/O settings programmed should match simulation settings.</t>
  </si>
  <si>
    <t xml:space="preserve">1D) EMIF controller I/O settings (termination / output driver impedance / and slew rate):</t>
  </si>
  <si>
    <t xml:space="preserve">ODT</t>
  </si>
  <si>
    <t xml:space="preserve">Slew Rate: Addr/Ctrl/Clk</t>
  </si>
  <si>
    <t xml:space="preserve">Fastest: SR[2:0] = 0b000</t>
  </si>
  <si>
    <t xml:space="preserve">Slew Rate: Data/Strobe</t>
  </si>
  <si>
    <t xml:space="preserve">Output Driver Impedance: Addr/Ctrl/Clk</t>
  </si>
  <si>
    <t xml:space="preserve">Output Driver Impedance: Data/Strobe</t>
  </si>
  <si>
    <t xml:space="preserve">EMIF Tools: Register Configuration - Step 2, Board Details</t>
  </si>
  <si>
    <t xml:space="preserve">Fill in the trace lengths for the associated clock and data strobe signals for each appropriate EMIF channel / rank. Lengths should be measured in MILs (1/1000 in.)</t>
  </si>
  <si>
    <t xml:space="preserve">Notes:</t>
  </si>
  <si>
    <t xml:space="preserve">Microstrip' refers to the trace length in MILs routed on the outer PCB layers. 'Stripline' refers to the trace length in MILs routed on the inner PCB layers between two planes.</t>
  </si>
  <si>
    <t xml:space="preserve">For each byte lane, the clock trace length should be equal to the routing length from the SOC to the DDR memory associated with the DQSn signal.</t>
  </si>
  <si>
    <t xml:space="preserve">Not each EMIF channel / rank will be accessible for every SOC. Refer to your SOC device data manual for further details.</t>
  </si>
  <si>
    <t xml:space="preserve">Flight skew calculations assumes standard FR-4 material</t>
  </si>
  <si>
    <t xml:space="preserve">CLICK for diagram.</t>
  </si>
  <si>
    <t xml:space="preserve">2A)</t>
  </si>
  <si>
    <t xml:space="preserve">DRAMs Connected to EMIF1, Rank 0</t>
  </si>
  <si>
    <t xml:space="preserve">Signal</t>
  </si>
  <si>
    <t xml:space="preserve">PCB Trace Length in MILs (1/1000 inch)</t>
  </si>
  <si>
    <t xml:space="preserve">Byte 0</t>
  </si>
  <si>
    <t xml:space="preserve">Byte 1</t>
  </si>
  <si>
    <t xml:space="preserve">Byte 2</t>
  </si>
  <si>
    <t xml:space="preserve">Byte 3</t>
  </si>
  <si>
    <t xml:space="preserve">ECC</t>
  </si>
  <si>
    <t xml:space="preserve">Microstrip</t>
  </si>
  <si>
    <t xml:space="preserve">Stripline</t>
  </si>
  <si>
    <t xml:space="preserve">CLK</t>
  </si>
  <si>
    <t xml:space="preserve">DQSn</t>
  </si>
  <si>
    <t xml:space="preserve">2B)</t>
  </si>
  <si>
    <t xml:space="preserve">DRAMs Connected to EMIF1, Rank 1</t>
  </si>
  <si>
    <t xml:space="preserve">2C)</t>
  </si>
  <si>
    <t xml:space="preserve">DRAMs Connected to EMIF2, Rank 0</t>
  </si>
  <si>
    <t xml:space="preserve">2D)</t>
  </si>
  <si>
    <t xml:space="preserve">DRAMs Connected to EMIF2, Rank 1</t>
  </si>
  <si>
    <t xml:space="preserve">EXAMPLE</t>
  </si>
  <si>
    <t xml:space="preserve">RETURN</t>
  </si>
  <si>
    <t xml:space="preserve">EMIF Tools: Register Configuration - Step 3, DDR Timings</t>
  </si>
  <si>
    <r>
      <rPr>
        <sz val="10"/>
        <color rgb="FFFFFFFF"/>
        <rFont val="Times New Roman"/>
        <family val="1"/>
      </rPr>
      <t xml:space="preserve">Review the DDR datasheet and provide the "</t>
    </r>
    <r>
      <rPr>
        <i val="true"/>
        <sz val="10"/>
        <color rgb="FFFFFFFF"/>
        <rFont val="Times New Roman"/>
        <family val="1"/>
      </rPr>
      <t xml:space="preserve">Datasheet Values</t>
    </r>
    <r>
      <rPr>
        <sz val="10"/>
        <color rgb="FFFFFFFF"/>
        <rFont val="Times New Roman"/>
        <family val="1"/>
      </rPr>
      <t xml:space="preserve">" for the corresponding parameters listed in the table in Step 3A.</t>
    </r>
  </si>
  <si>
    <r>
      <rPr>
        <sz val="10"/>
        <color rgb="FFFFFFFF"/>
        <rFont val="Times New Roman"/>
        <family val="1"/>
      </rPr>
      <t xml:space="preserve">Compare the "</t>
    </r>
    <r>
      <rPr>
        <i val="true"/>
        <sz val="10"/>
        <color rgb="FFFFFFFF"/>
        <rFont val="Times New Roman"/>
        <family val="1"/>
      </rPr>
      <t xml:space="preserve">Final Bit Field Values</t>
    </r>
    <r>
      <rPr>
        <sz val="10"/>
        <color rgb="FFFFFFFF"/>
        <rFont val="Times New Roman"/>
        <family val="1"/>
      </rPr>
      <t xml:space="preserve">" to the "</t>
    </r>
    <r>
      <rPr>
        <i val="true"/>
        <sz val="10"/>
        <color rgb="FFFFFFFF"/>
        <rFont val="Times New Roman"/>
        <family val="1"/>
      </rPr>
      <t xml:space="preserve">JEDEC Bit Field Values</t>
    </r>
    <r>
      <rPr>
        <sz val="10"/>
        <color rgb="FFFFFFFF"/>
        <rFont val="Times New Roman"/>
        <family val="1"/>
      </rPr>
      <t xml:space="preserve">". For more details, please review the Avatar EMIF Tools User Guide or the notes listed below.</t>
    </r>
  </si>
  <si>
    <r>
      <rPr>
        <sz val="10"/>
        <color rgb="FFFF0000"/>
        <rFont val="Times New Roman"/>
        <family val="1"/>
      </rPr>
      <t xml:space="preserve">The "</t>
    </r>
    <r>
      <rPr>
        <i val="true"/>
        <sz val="10"/>
        <color rgb="FFFF0000"/>
        <rFont val="Times New Roman"/>
        <family val="1"/>
      </rPr>
      <t xml:space="preserve">Final Bit Field Values</t>
    </r>
    <r>
      <rPr>
        <sz val="10"/>
        <color rgb="FFFF0000"/>
        <rFont val="Times New Roman"/>
        <family val="1"/>
      </rPr>
      <t xml:space="preserve">" are used to calculate the register values. These are auto-populated based off of the user provided "</t>
    </r>
    <r>
      <rPr>
        <i val="true"/>
        <sz val="10"/>
        <color rgb="FFFF0000"/>
        <rFont val="Times New Roman"/>
        <family val="1"/>
      </rPr>
      <t xml:space="preserve">Datasheet Values</t>
    </r>
    <r>
      <rPr>
        <sz val="10"/>
        <color rgb="FFFF0000"/>
        <rFont val="Times New Roman"/>
        <family val="1"/>
      </rPr>
      <t xml:space="preserve">"</t>
    </r>
  </si>
  <si>
    <r>
      <rPr>
        <sz val="10"/>
        <color rgb="FFFF0000"/>
        <rFont val="Times New Roman"/>
        <family val="1"/>
      </rPr>
      <t xml:space="preserve">The "</t>
    </r>
    <r>
      <rPr>
        <i val="true"/>
        <sz val="10"/>
        <color rgb="FFFF0000"/>
        <rFont val="Times New Roman"/>
        <family val="1"/>
      </rPr>
      <t xml:space="preserve">JEDEC Bit Field Values</t>
    </r>
    <r>
      <rPr>
        <sz val="10"/>
        <color rgb="FFFF0000"/>
        <rFont val="Times New Roman"/>
        <family val="1"/>
      </rPr>
      <t xml:space="preserve">" are dynamically populated based off of the user provided DDR speed grade and frequency operation specified in worksheet '</t>
    </r>
    <r>
      <rPr>
        <i val="true"/>
        <sz val="10"/>
        <color rgb="FFFF0000"/>
        <rFont val="Times New Roman"/>
        <family val="1"/>
      </rPr>
      <t xml:space="preserve">Step1-SystemDetails</t>
    </r>
    <r>
      <rPr>
        <sz val="10"/>
        <color rgb="FFFF0000"/>
        <rFont val="Times New Roman"/>
        <family val="1"/>
      </rPr>
      <t xml:space="preserve">'.</t>
    </r>
  </si>
  <si>
    <r>
      <rPr>
        <sz val="10"/>
        <color rgb="FFFF0000"/>
        <rFont val="Times New Roman"/>
        <family val="1"/>
      </rPr>
      <t xml:space="preserve">The "</t>
    </r>
    <r>
      <rPr>
        <i val="true"/>
        <sz val="10"/>
        <color rgb="FFFF0000"/>
        <rFont val="Times New Roman"/>
        <family val="1"/>
      </rPr>
      <t xml:space="preserve">Final Bit Field Values</t>
    </r>
    <r>
      <rPr>
        <sz val="10"/>
        <color rgb="FFFF0000"/>
        <rFont val="Times New Roman"/>
        <family val="1"/>
      </rPr>
      <t xml:space="preserve">" and "</t>
    </r>
    <r>
      <rPr>
        <i val="true"/>
        <sz val="10"/>
        <color rgb="FFFF0000"/>
        <rFont val="Times New Roman"/>
        <family val="1"/>
      </rPr>
      <t xml:space="preserve">JEDEC Bit Field Values</t>
    </r>
    <r>
      <rPr>
        <sz val="10"/>
        <color rgb="FFFF0000"/>
        <rFont val="Times New Roman"/>
        <family val="1"/>
      </rPr>
      <t xml:space="preserve">" are provided to allow the user to perform a quick sanity check (Example: check for data possibly entered incorrectly)</t>
    </r>
  </si>
  <si>
    <r>
      <rPr>
        <sz val="10"/>
        <color rgb="FFFF0000"/>
        <rFont val="Times New Roman"/>
        <family val="1"/>
      </rPr>
      <t xml:space="preserve">The user is responsible to ensure that the "</t>
    </r>
    <r>
      <rPr>
        <i val="true"/>
        <sz val="10"/>
        <color rgb="FFFF0000"/>
        <rFont val="Times New Roman"/>
        <family val="1"/>
      </rPr>
      <t xml:space="preserve">Datasheet Values</t>
    </r>
    <r>
      <rPr>
        <sz val="10"/>
        <color rgb="FFFF0000"/>
        <rFont val="Times New Roman"/>
        <family val="1"/>
      </rPr>
      <t xml:space="preserve">" adhere to their DDR device datasheet.</t>
    </r>
  </si>
  <si>
    <t xml:space="preserve">3A)</t>
  </si>
  <si>
    <t xml:space="preserve">Enter the numerical values listed in your DDR datasheet into columns F and G for each timing entry.</t>
  </si>
  <si>
    <t xml:space="preserve">Enter Values Here!</t>
  </si>
  <si>
    <t xml:space="preserve">Parameter</t>
  </si>
  <si>
    <t xml:space="preserve">Datasheet Values</t>
  </si>
  <si>
    <t xml:space="preserve">Final Bit Field Values</t>
  </si>
  <si>
    <t xml:space="preserve">tCK</t>
  </si>
  <si>
    <t xml:space="preserve">ns</t>
  </si>
  <si>
    <t xml:space="preserve">CAS Latency</t>
  </si>
  <si>
    <t xml:space="preserve">Delay between internal READ command and data ready</t>
  </si>
  <si>
    <t xml:space="preserve">CWL Latency</t>
  </si>
  <si>
    <t xml:space="preserve">Delay between internal WRITE command and data ready</t>
  </si>
  <si>
    <t xml:space="preserve">tRP</t>
  </si>
  <si>
    <t xml:space="preserve">Precharge command period</t>
  </si>
  <si>
    <t xml:space="preserve">tRCD</t>
  </si>
  <si>
    <t xml:space="preserve">Active to read or write delay</t>
  </si>
  <si>
    <t xml:space="preserve">tWR</t>
  </si>
  <si>
    <t xml:space="preserve">Write recovery time</t>
  </si>
  <si>
    <t xml:space="preserve">tRAS</t>
  </si>
  <si>
    <t xml:space="preserve">Active to Precharge command period</t>
  </si>
  <si>
    <t xml:space="preserve">tRC</t>
  </si>
  <si>
    <t xml:space="preserve">Active to Active/Refresh command period</t>
  </si>
  <si>
    <t xml:space="preserve">tRRD</t>
  </si>
  <si>
    <t xml:space="preserve">Active Bank to Active Bank command period</t>
  </si>
  <si>
    <t xml:space="preserve">tWTR</t>
  </si>
  <si>
    <t xml:space="preserve">Internal Write to Read command delay</t>
  </si>
  <si>
    <t xml:space="preserve">tXP</t>
  </si>
  <si>
    <t xml:space="preserve">Exit power down mode to first valid command</t>
  </si>
  <si>
    <t xml:space="preserve">tXSNR/tXS</t>
  </si>
  <si>
    <t xml:space="preserve">Exit self refresh to commands not requiring a locked DLL</t>
  </si>
  <si>
    <t xml:space="preserve">tXSRD/tXSDLL</t>
  </si>
  <si>
    <t xml:space="preserve">Exit self refresh to commands requiring a locked DLL</t>
  </si>
  <si>
    <t xml:space="preserve">tRTP</t>
  </si>
  <si>
    <t xml:space="preserve">Internal Read to Precharge command delay</t>
  </si>
  <si>
    <t xml:space="preserve">tCKE</t>
  </si>
  <si>
    <t xml:space="preserve">CKE minimum pulse width</t>
  </si>
  <si>
    <t xml:space="preserve">tCKESR</t>
  </si>
  <si>
    <t xml:space="preserve">Minimum CKE low width for Self Refresh entry to exit</t>
  </si>
  <si>
    <t xml:space="preserve">tZQCS</t>
  </si>
  <si>
    <t xml:space="preserve">ZQ short calibration time</t>
  </si>
  <si>
    <t xml:space="preserve">tRFC</t>
  </si>
  <si>
    <t xml:space="preserve">Refresh to Active/Refresh command period</t>
  </si>
  <si>
    <t xml:space="preserve">tRAS (max)</t>
  </si>
  <si>
    <t xml:space="preserve">Active to Precharge command period (Max Value)</t>
  </si>
  <si>
    <t xml:space="preserve">tREFI intervals</t>
  </si>
  <si>
    <t xml:space="preserve">tREFI</t>
  </si>
  <si>
    <t xml:space="preserve">Average periodic refresh interval</t>
  </si>
  <si>
    <t xml:space="preserve">tFAW</t>
  </si>
  <si>
    <t xml:space="preserve">Minimum Window for 4 Active Bank commands</t>
  </si>
  <si>
    <t xml:space="preserve">See tRRD</t>
  </si>
  <si>
    <t xml:space="preserve">MODULE</t>
  </si>
  <si>
    <t xml:space="preserve">REGISTER</t>
  </si>
  <si>
    <t xml:space="preserve">TYPE</t>
  </si>
  <si>
    <t xml:space="preserve">OFFSET</t>
  </si>
  <si>
    <t xml:space="preserve">VALUE (FINAL)</t>
  </si>
  <si>
    <t xml:space="preserve">VALUE (INIT)</t>
  </si>
  <si>
    <t xml:space="preserve">EMIF_REVISION</t>
  </si>
  <si>
    <t xml:space="preserve">R</t>
  </si>
  <si>
    <t xml:space="preserve">0x4c000000</t>
  </si>
  <si>
    <t xml:space="preserve">EMIF_STATUS</t>
  </si>
  <si>
    <t xml:space="preserve">0x4c000004</t>
  </si>
  <si>
    <t xml:space="preserve">EMIF_SDRAM_CONFIG</t>
  </si>
  <si>
    <t xml:space="preserve">R/W</t>
  </si>
  <si>
    <t xml:space="preserve">0x4c000008</t>
  </si>
  <si>
    <t xml:space="preserve">SDRAM_TYPE</t>
  </si>
  <si>
    <t xml:space="preserve">IBANK_POS</t>
  </si>
  <si>
    <t xml:space="preserve">DDR_TERM</t>
  </si>
  <si>
    <t xml:space="preserve">DYN_ODT</t>
  </si>
  <si>
    <t xml:space="preserve">SDRAM_DRIVE</t>
  </si>
  <si>
    <t xml:space="preserve">CWL</t>
  </si>
  <si>
    <t xml:space="preserve">NARROW_MODE</t>
  </si>
  <si>
    <t xml:space="preserve">CL</t>
  </si>
  <si>
    <t xml:space="preserve">ROWSIZE</t>
  </si>
  <si>
    <t xml:space="preserve">IBANK</t>
  </si>
  <si>
    <t xml:space="preserve">EBANK</t>
  </si>
  <si>
    <t xml:space="preserve">PAGESIZE</t>
  </si>
  <si>
    <t xml:space="preserve">EMIF_SDRAM_CONFIG_2</t>
  </si>
  <si>
    <t xml:space="preserve">0x4c00000c</t>
  </si>
  <si>
    <t xml:space="preserve">EMIF_SDRAM_REFRESH_CONTROL</t>
  </si>
  <si>
    <t xml:space="preserve">0x4c000010</t>
  </si>
  <si>
    <t xml:space="preserve">EMIF_SDRAM_REFRESH_CONTROL_SHADOW</t>
  </si>
  <si>
    <t xml:space="preserve">0x4c000014</t>
  </si>
  <si>
    <t xml:space="preserve">EMIF_SDRAM_TIMING_1</t>
  </si>
  <si>
    <t xml:space="preserve">0x4c000018</t>
  </si>
  <si>
    <t xml:space="preserve">T_RTW</t>
  </si>
  <si>
    <t xml:space="preserve">T_RP</t>
  </si>
  <si>
    <t xml:space="preserve">T_RCD</t>
  </si>
  <si>
    <t xml:space="preserve">T_WR</t>
  </si>
  <si>
    <t xml:space="preserve">T_RAS</t>
  </si>
  <si>
    <t xml:space="preserve">R_TC</t>
  </si>
  <si>
    <t xml:space="preserve">T_RRD</t>
  </si>
  <si>
    <t xml:space="preserve">T_WTR</t>
  </si>
  <si>
    <t xml:space="preserve">EMIF_SDRAM_TIMING_1_SHADOW</t>
  </si>
  <si>
    <t xml:space="preserve">0x4c00001c</t>
  </si>
  <si>
    <t xml:space="preserve">EMIF_SDRAM_TIMING_2</t>
  </si>
  <si>
    <t xml:space="preserve">0x4c000020</t>
  </si>
  <si>
    <t xml:space="preserve">EMIF_SDRAM_TIMING_2_SHADOW</t>
  </si>
  <si>
    <t xml:space="preserve">0x4c000024</t>
  </si>
  <si>
    <t xml:space="preserve">EMIF_SDRAM_TIMING_3</t>
  </si>
  <si>
    <t xml:space="preserve">0x4c000028</t>
  </si>
  <si>
    <t xml:space="preserve">EMIF_SDRAM_TIMING_3_SHADOW</t>
  </si>
  <si>
    <t xml:space="preserve">0x4c00002c</t>
  </si>
  <si>
    <t xml:space="preserve">EMIF_LPDDR2_NVM_TIMING</t>
  </si>
  <si>
    <t xml:space="preserve">0x4c000030</t>
  </si>
  <si>
    <t xml:space="preserve">EMIF_LPDDR2_NVM_TIMING_SHADOW</t>
  </si>
  <si>
    <t xml:space="preserve">0x4c000034</t>
  </si>
  <si>
    <t xml:space="preserve">EMIF_POWER_MANAGEMENT_CONTROL</t>
  </si>
  <si>
    <t xml:space="preserve">0x4c000038</t>
  </si>
  <si>
    <t xml:space="preserve">EMIF_POWER_MANAGEMENT_CONTROL_SHAD OW</t>
  </si>
  <si>
    <t xml:space="preserve">0x4c00003c</t>
  </si>
  <si>
    <t xml:space="preserve">EMIF_LPDDR2_MODE_REG_DATA</t>
  </si>
  <si>
    <t xml:space="preserve">0x4c000040</t>
  </si>
  <si>
    <t xml:space="preserve">RESERVED</t>
  </si>
  <si>
    <t xml:space="preserve">0x4c000044</t>
  </si>
  <si>
    <t xml:space="preserve">0x4c000048</t>
  </si>
  <si>
    <t xml:space="preserve">0x4c00004c</t>
  </si>
  <si>
    <t xml:space="preserve">EMIF_LPDDR2_MODE_REG_CFG</t>
  </si>
  <si>
    <t xml:space="preserve">0x4c000050</t>
  </si>
  <si>
    <t xml:space="preserve">EMIF_OCP_CONFIG</t>
  </si>
  <si>
    <t xml:space="preserve">0x4c000054</t>
  </si>
  <si>
    <t xml:space="preserve">EMIF_OCP_CONFIG_VALUE_1</t>
  </si>
  <si>
    <t xml:space="preserve">0x4c000058</t>
  </si>
  <si>
    <t xml:space="preserve">EMIF_OCP_CONFIG_VALUE_2</t>
  </si>
  <si>
    <t xml:space="preserve">0x4c00005c</t>
  </si>
  <si>
    <t xml:space="preserve">EMIF_IODFT_TLGC</t>
  </si>
  <si>
    <t xml:space="preserve">0x4c000060</t>
  </si>
  <si>
    <t xml:space="preserve">EMIF_IODFT_CTRL_MISR_RSLT</t>
  </si>
  <si>
    <t xml:space="preserve">0x4c000064</t>
  </si>
  <si>
    <t xml:space="preserve">0x4c000068</t>
  </si>
  <si>
    <t xml:space="preserve">0x4c00006c</t>
  </si>
  <si>
    <t xml:space="preserve">0x4c000070</t>
  </si>
  <si>
    <t xml:space="preserve">0x4c000074</t>
  </si>
  <si>
    <t xml:space="preserve">0x4c000078</t>
  </si>
  <si>
    <t xml:space="preserve">0x4c00007c</t>
  </si>
  <si>
    <t xml:space="preserve">EMIF_PERFORMANCE_COUNTER_1</t>
  </si>
  <si>
    <t xml:space="preserve">0x4c000080</t>
  </si>
  <si>
    <t xml:space="preserve">EMIF_PERFORMANCE_COUNTER_2</t>
  </si>
  <si>
    <t xml:space="preserve">0x4c000084</t>
  </si>
  <si>
    <t xml:space="preserve">EMIF_PERFORMANCE_COUNTER_CONFIG</t>
  </si>
  <si>
    <t xml:space="preserve">0x4c000088</t>
  </si>
  <si>
    <t xml:space="preserve">EMIF_PERFORMANCE_COUNTER_MASTER_REG ION_SELECT</t>
  </si>
  <si>
    <t xml:space="preserve">0x4c00008c</t>
  </si>
  <si>
    <t xml:space="preserve">EMIF_PERFORMANCE_COUNTER_TIME</t>
  </si>
  <si>
    <t xml:space="preserve">0x4c000090</t>
  </si>
  <si>
    <t xml:space="preserve">EMIF_MISC_REG</t>
  </si>
  <si>
    <t xml:space="preserve">0x4c000094</t>
  </si>
  <si>
    <t xml:space="preserve">EMIF_DLL_CALIB_CTRL</t>
  </si>
  <si>
    <t xml:space="preserve">0x4c000098</t>
  </si>
  <si>
    <t xml:space="preserve">EMIF_DLL_CALIB_CTRL_SHADOW</t>
  </si>
  <si>
    <t xml:space="preserve">0x4c00009c</t>
  </si>
  <si>
    <t xml:space="preserve">EMIF_END_OF_INTERRUPT</t>
  </si>
  <si>
    <t xml:space="preserve">0x4c0000a0</t>
  </si>
  <si>
    <t xml:space="preserve">EMIF_SYSTEM_OCP_INTERRUPT_RAW_STATUS</t>
  </si>
  <si>
    <t xml:space="preserve">0x4c0000a4</t>
  </si>
  <si>
    <t xml:space="preserve">0x4c0000a8</t>
  </si>
  <si>
    <t xml:space="preserve">EMIF_SYSTEM_OCP_INTERRUPT_STATUS</t>
  </si>
  <si>
    <t xml:space="preserve">0x4c0000ac</t>
  </si>
  <si>
    <t xml:space="preserve">0x4c0000b0</t>
  </si>
  <si>
    <t xml:space="preserve">EMIF_SYSTEM_OCP_INTERRUPT_ENABLE_SET</t>
  </si>
  <si>
    <t xml:space="preserve">0x4c0000b4</t>
  </si>
  <si>
    <t xml:space="preserve">0x4c0000b8</t>
  </si>
  <si>
    <t xml:space="preserve">EMIF_SYSTEM_OCP_INTERRUPT_ENABLE_CLEA R</t>
  </si>
  <si>
    <t xml:space="preserve">0x4c0000bc</t>
  </si>
  <si>
    <t xml:space="preserve">0x4c0000c0</t>
  </si>
  <si>
    <t xml:space="preserve">0x4c0000c4</t>
  </si>
  <si>
    <t xml:space="preserve">EMIF_SDRAM_OUTPUT_IMPEDANCE_CALIBRATI ON_CONFIG</t>
  </si>
  <si>
    <t xml:space="preserve">0x4c0000c8</t>
  </si>
  <si>
    <t xml:space="preserve">EMIF_TEMP_ALERT_CONFIG</t>
  </si>
  <si>
    <t xml:space="preserve">0x4c0000cc</t>
  </si>
  <si>
    <t xml:space="preserve">EMIF_OCP_ERROR_LOG</t>
  </si>
  <si>
    <t xml:space="preserve">0x4c0000d0</t>
  </si>
  <si>
    <t xml:space="preserve">EMIF_READ_WRITE_LEVELING_RAMP_WINDOW</t>
  </si>
  <si>
    <t xml:space="preserve">0x4c0000d4</t>
  </si>
  <si>
    <t xml:space="preserve">EMIF_READ_WRITE_LEVELING_RAMP_CONTROL</t>
  </si>
  <si>
    <t xml:space="preserve">0x4c0000d8</t>
  </si>
  <si>
    <t xml:space="preserve">EMIF_READ_WRITE_LEVELING_CONTROL</t>
  </si>
  <si>
    <t xml:space="preserve">0x4c0000dc</t>
  </si>
  <si>
    <t xml:space="preserve">0x4c0000e0</t>
  </si>
  <si>
    <t xml:space="preserve">EMIF_DDR_PHY_CONTROL_1</t>
  </si>
  <si>
    <t xml:space="preserve">0x4c0000e4</t>
  </si>
  <si>
    <t xml:space="preserve">EMIF_DDR_PHY_CONTROL_1_SHADOW</t>
  </si>
  <si>
    <t xml:space="preserve">0x4c0000e8</t>
  </si>
  <si>
    <t xml:space="preserve">EMIF_DDR_PHY_CONTROL_2</t>
  </si>
  <si>
    <t xml:space="preserve">0x4c0000ec</t>
  </si>
  <si>
    <t xml:space="preserve">0x4c0000f0</t>
  </si>
  <si>
    <t xml:space="preserve">0x4c0000f4</t>
  </si>
  <si>
    <t xml:space="preserve">0x4c0000f8</t>
  </si>
  <si>
    <t xml:space="preserve">0x4c0000fc</t>
  </si>
  <si>
    <t xml:space="preserve">EMIF_PRIORITY_TO_CLASS_OF_SERVICE_MAPP ING</t>
  </si>
  <si>
    <t xml:space="preserve">0x4c000100</t>
  </si>
  <si>
    <t xml:space="preserve">EMIF_CONNECTION_ID_TO_CLASS_OF_SERVIC E_1_MAPPING</t>
  </si>
  <si>
    <t xml:space="preserve">0x4c000104</t>
  </si>
  <si>
    <t xml:space="preserve">EMIF_CONNECTION_ID_TO_CLASS_OF_SERVIC E_2_MAPPING</t>
  </si>
  <si>
    <t xml:space="preserve">0x4c000108</t>
  </si>
  <si>
    <t xml:space="preserve">0x4c00010c</t>
  </si>
  <si>
    <t xml:space="preserve">EMIF_ECC_CTRL_REG</t>
  </si>
  <si>
    <t xml:space="preserve">0x4c000110</t>
  </si>
  <si>
    <t xml:space="preserve">EMIF_ECC_ADDRESS_RANGE_1</t>
  </si>
  <si>
    <t xml:space="preserve">0x4c000114</t>
  </si>
  <si>
    <t xml:space="preserve">EMIF_ECC_ADDRESS_RANGE_2</t>
  </si>
  <si>
    <t xml:space="preserve">0x4c000118</t>
  </si>
  <si>
    <t xml:space="preserve">0x4c00011c</t>
  </si>
  <si>
    <t xml:space="preserve">EMIF_READ_WRITE_EXECUTION_THRESHOLD</t>
  </si>
  <si>
    <t xml:space="preserve">0x4c000120</t>
  </si>
  <si>
    <t xml:space="preserve">EMIF_COS_CONFIG</t>
  </si>
  <si>
    <t xml:space="preserve">0x4c000124</t>
  </si>
  <si>
    <t xml:space="preserve">0x4c000128</t>
  </si>
  <si>
    <t xml:space="preserve">0x4c00012c</t>
  </si>
  <si>
    <t xml:space="preserve">EMIF_1B_ECC_ERR_CNT</t>
  </si>
  <si>
    <t xml:space="preserve">0x4c000130</t>
  </si>
  <si>
    <t xml:space="preserve">EMIF_1B_ECC_ERR_THRSH</t>
  </si>
  <si>
    <t xml:space="preserve">0x4c000134</t>
  </si>
  <si>
    <t xml:space="preserve">EMIF_1B_ECC_ERR_DIST_1</t>
  </si>
  <si>
    <t xml:space="preserve">0x4c000138</t>
  </si>
  <si>
    <t xml:space="preserve">EMIF_1B_ECC_ERR_ADDR_LOG</t>
  </si>
  <si>
    <t xml:space="preserve">0x4c00013c</t>
  </si>
  <si>
    <t xml:space="preserve">EMIF_2B_ECC_ERR_ADDR_LOG</t>
  </si>
  <si>
    <t xml:space="preserve">0x4c000140</t>
  </si>
  <si>
    <t xml:space="preserve">EMIF_PHY_STATUS_1</t>
  </si>
  <si>
    <t xml:space="preserve">0x4c000144</t>
  </si>
  <si>
    <t xml:space="preserve">EMIF_PHY_STATUS_2</t>
  </si>
  <si>
    <t xml:space="preserve">0x4c000148</t>
  </si>
  <si>
    <t xml:space="preserve">EMIF_PHY_STATUS_3</t>
  </si>
  <si>
    <t xml:space="preserve">0x4c00014c</t>
  </si>
  <si>
    <t xml:space="preserve">EMIF_PHY_STATUS_4</t>
  </si>
  <si>
    <t xml:space="preserve">0x4c000150</t>
  </si>
  <si>
    <t xml:space="preserve">EMIF_PHY_STATUS_5</t>
  </si>
  <si>
    <t xml:space="preserve">0x4c000154</t>
  </si>
  <si>
    <t xml:space="preserve">EMIF_PHY_STATUS_6</t>
  </si>
  <si>
    <t xml:space="preserve">0x4c000158</t>
  </si>
  <si>
    <t xml:space="preserve">EMIF_PHY_STATUS_7</t>
  </si>
  <si>
    <t xml:space="preserve">0x4c00015c</t>
  </si>
  <si>
    <t xml:space="preserve">EMIF_PHY_STATUS_8</t>
  </si>
  <si>
    <t xml:space="preserve">0x4c000160</t>
  </si>
  <si>
    <t xml:space="preserve">EMIF_PHY_STATUS_9</t>
  </si>
  <si>
    <t xml:space="preserve">0x4c000164</t>
  </si>
  <si>
    <t xml:space="preserve">EMIF_PHY_STATUS_10</t>
  </si>
  <si>
    <t xml:space="preserve">0x4c000168</t>
  </si>
  <si>
    <t xml:space="preserve">EMIF_PHY_STATUS_11</t>
  </si>
  <si>
    <t xml:space="preserve">0x4c00016c</t>
  </si>
  <si>
    <t xml:space="preserve">EMIF_PHY_STATUS_12</t>
  </si>
  <si>
    <t xml:space="preserve">0x4c000170</t>
  </si>
  <si>
    <t xml:space="preserve">EMIF_PHY_STATUS_13</t>
  </si>
  <si>
    <t xml:space="preserve">0x4c000174</t>
  </si>
  <si>
    <t xml:space="preserve">EMIF_PHY_STATUS_14</t>
  </si>
  <si>
    <t xml:space="preserve">0x4c000178</t>
  </si>
  <si>
    <t xml:space="preserve">EMIF_PHY_STATUS_15</t>
  </si>
  <si>
    <t xml:space="preserve">0x4c00017c</t>
  </si>
  <si>
    <t xml:space="preserve">EMIF_PHY_STATUS_16</t>
  </si>
  <si>
    <t xml:space="preserve">0x4c000180</t>
  </si>
  <si>
    <t xml:space="preserve">EMIF_PHY_STATUS_17</t>
  </si>
  <si>
    <t xml:space="preserve">0x4c000184</t>
  </si>
  <si>
    <t xml:space="preserve">EMIF_PHY_STATUS_18</t>
  </si>
  <si>
    <t xml:space="preserve">0x4c000188</t>
  </si>
  <si>
    <t xml:space="preserve">EMIF_PHY_STATUS_19</t>
  </si>
  <si>
    <t xml:space="preserve">0x4c00018c</t>
  </si>
  <si>
    <t xml:space="preserve">EMIF_PHY_STATUS_20</t>
  </si>
  <si>
    <t xml:space="preserve">0x4c000190</t>
  </si>
  <si>
    <t xml:space="preserve">EMIF_PHY_STATUS_21</t>
  </si>
  <si>
    <t xml:space="preserve">0x4c000194</t>
  </si>
  <si>
    <t xml:space="preserve">EMIF_PHY_STATUS_22</t>
  </si>
  <si>
    <t xml:space="preserve">0x4c000198</t>
  </si>
  <si>
    <t xml:space="preserve">EMIF_PHY_STATUS_23</t>
  </si>
  <si>
    <t xml:space="preserve">0x4c00019c</t>
  </si>
  <si>
    <t xml:space="preserve">EMIF_PHY_STATUS_24</t>
  </si>
  <si>
    <t xml:space="preserve">0x4c0001a0</t>
  </si>
  <si>
    <t xml:space="preserve">EMIF_PHY_STATUS_25</t>
  </si>
  <si>
    <t xml:space="preserve">0x4c0001a4</t>
  </si>
  <si>
    <t xml:space="preserve">EMIF_PHY_STATUS_26</t>
  </si>
  <si>
    <t xml:space="preserve">0x4c0001a8</t>
  </si>
  <si>
    <t xml:space="preserve">EMIF_PHY_STATUS_27</t>
  </si>
  <si>
    <t xml:space="preserve">0x4c0001ac</t>
  </si>
  <si>
    <t xml:space="preserve">EMIF_PHY_STATUS_28</t>
  </si>
  <si>
    <t xml:space="preserve">0x4c0001b0</t>
  </si>
  <si>
    <t xml:space="preserve">0x4c0001b4</t>
  </si>
  <si>
    <t xml:space="preserve">0x4c0001b8</t>
  </si>
  <si>
    <t xml:space="preserve">0x4c0001bc</t>
  </si>
  <si>
    <t xml:space="preserve">0x4c0001c0</t>
  </si>
  <si>
    <t xml:space="preserve">0x4c0001c4</t>
  </si>
  <si>
    <t xml:space="preserve">0x4c0001c8</t>
  </si>
  <si>
    <t xml:space="preserve">0x4c0001cc</t>
  </si>
  <si>
    <t xml:space="preserve">0x4c0001d0</t>
  </si>
  <si>
    <t xml:space="preserve">0x4c0001d4</t>
  </si>
  <si>
    <t xml:space="preserve">0x4c0001d8</t>
  </si>
  <si>
    <t xml:space="preserve">0x4c0001dc</t>
  </si>
  <si>
    <t xml:space="preserve">0x4c0001e0</t>
  </si>
  <si>
    <t xml:space="preserve">0x4c0001e4</t>
  </si>
  <si>
    <t xml:space="preserve">0x4c0001e8</t>
  </si>
  <si>
    <t xml:space="preserve">0x4c0001ec</t>
  </si>
  <si>
    <t xml:space="preserve">0x4c0001f0</t>
  </si>
  <si>
    <t xml:space="preserve">0x4c0001f4</t>
  </si>
  <si>
    <t xml:space="preserve">0x4c0001f8</t>
  </si>
  <si>
    <t xml:space="preserve">0x4c0001fc</t>
  </si>
  <si>
    <t xml:space="preserve">EMIF1 PHY</t>
  </si>
  <si>
    <t xml:space="preserve">EMIF2 PHY</t>
  </si>
  <si>
    <t xml:space="preserve">EMIF_EXT_PHY_CONTROL_1</t>
  </si>
  <si>
    <t xml:space="preserve">0x4c000200</t>
  </si>
  <si>
    <t xml:space="preserve">EMIF_EXT_PHY_CONTROL_1_SHADOW</t>
  </si>
  <si>
    <t xml:space="preserve">0x4c000204</t>
  </si>
  <si>
    <t xml:space="preserve">EMIF_EXT_PHY_CONTROL_2</t>
  </si>
  <si>
    <t xml:space="preserve">0x4c000208</t>
  </si>
  <si>
    <t xml:space="preserve">EMIF_EXT_PHY_CONTROL_2_SHADOW</t>
  </si>
  <si>
    <t xml:space="preserve">0x4c00020c</t>
  </si>
  <si>
    <t xml:space="preserve">EMIF_EXT_PHY_CONTROL_3</t>
  </si>
  <si>
    <t xml:space="preserve">0x4c000210</t>
  </si>
  <si>
    <t xml:space="preserve">EMIF_EXT_PHY_CONTROL_3_SHADOW</t>
  </si>
  <si>
    <t xml:space="preserve">0x4c000214</t>
  </si>
  <si>
    <t xml:space="preserve">EMIF_EXT_PHY_CONTROL_4</t>
  </si>
  <si>
    <t xml:space="preserve">0x4c000218</t>
  </si>
  <si>
    <t xml:space="preserve">EMIF_EXT_PHY_CONTROL_4_SHADOW</t>
  </si>
  <si>
    <t xml:space="preserve">0x4c00021c</t>
  </si>
  <si>
    <t xml:space="preserve">EMIF_EXT_PHY_CONTROL_5</t>
  </si>
  <si>
    <t xml:space="preserve">0x4c000220</t>
  </si>
  <si>
    <t xml:space="preserve">EMIF_EXT_PHY_CONTROL_5_SHADOW</t>
  </si>
  <si>
    <t xml:space="preserve">0x4c000224</t>
  </si>
  <si>
    <t xml:space="preserve">EMIF_EXT_PHY_CONTROL_6</t>
  </si>
  <si>
    <t xml:space="preserve">0x4c000228</t>
  </si>
  <si>
    <t xml:space="preserve">EMIF_EXT_PHY_CONTROL_6_SHADOW</t>
  </si>
  <si>
    <t xml:space="preserve">0x4c00022c</t>
  </si>
  <si>
    <t xml:space="preserve">EMIF_EXT_PHY_CONTROL_7</t>
  </si>
  <si>
    <t xml:space="preserve">0x4c000230</t>
  </si>
  <si>
    <t xml:space="preserve">EMIF_EXT_PHY_CONTROL_7_SHADOW</t>
  </si>
  <si>
    <t xml:space="preserve">0x4c000234</t>
  </si>
  <si>
    <t xml:space="preserve">EMIF_EXT_PHY_CONTROL_8</t>
  </si>
  <si>
    <t xml:space="preserve">0x4c000238</t>
  </si>
  <si>
    <t xml:space="preserve">EMIF_EXT_PHY_CONTROL_8_SHADOW</t>
  </si>
  <si>
    <t xml:space="preserve">0x4c00023c</t>
  </si>
  <si>
    <t xml:space="preserve">EMIF_EXT_PHY_CONTROL_9</t>
  </si>
  <si>
    <t xml:space="preserve">0x4c000240</t>
  </si>
  <si>
    <t xml:space="preserve">EMIF_EXT_PHY_CONTROL_9_SHADOW</t>
  </si>
  <si>
    <t xml:space="preserve">0x4c000244</t>
  </si>
  <si>
    <t xml:space="preserve">EMIF_EXT_PHY_CONTROL_10</t>
  </si>
  <si>
    <t xml:space="preserve">0x4c000248</t>
  </si>
  <si>
    <t xml:space="preserve">EMIF_EXT_PHY_CONTROL_10_SHADOW</t>
  </si>
  <si>
    <t xml:space="preserve">0x4c00024c</t>
  </si>
  <si>
    <t xml:space="preserve">EMIF_EXT_PHY_CONTROL_11</t>
  </si>
  <si>
    <t xml:space="preserve">0x4c000250</t>
  </si>
  <si>
    <t xml:space="preserve">EMIF_EXT_PHY_CONTROL_11_SHADOW</t>
  </si>
  <si>
    <t xml:space="preserve">0x4c000254</t>
  </si>
  <si>
    <t xml:space="preserve">EMIF_EXT_PHY_CONTROL_12</t>
  </si>
  <si>
    <t xml:space="preserve">0x4c000258</t>
  </si>
  <si>
    <t xml:space="preserve">EMIF_EXT_PHY_CONTROL_12_SHADOW</t>
  </si>
  <si>
    <t xml:space="preserve">0x4c00025c</t>
  </si>
  <si>
    <t xml:space="preserve">EMIF_EXT_PHY_CONTROL_13</t>
  </si>
  <si>
    <t xml:space="preserve">0x4c000260</t>
  </si>
  <si>
    <t xml:space="preserve">EMIF_EXT_PHY_CONTROL_13_SHADOW</t>
  </si>
  <si>
    <t xml:space="preserve">0x4c000264</t>
  </si>
  <si>
    <t xml:space="preserve">EMIF_EXT_PHY_CONTROL_14</t>
  </si>
  <si>
    <t xml:space="preserve">0x4c000268</t>
  </si>
  <si>
    <t xml:space="preserve">EMIF_EXT_PHY_CONTROL_14_SHADOW</t>
  </si>
  <si>
    <t xml:space="preserve">0x4c00026c</t>
  </si>
  <si>
    <t xml:space="preserve">EMIF_EXT_PHY_CONTROL_15</t>
  </si>
  <si>
    <t xml:space="preserve">0x4c000270</t>
  </si>
  <si>
    <t xml:space="preserve">EMIF_EXT_PHY_CONTROL_15_SHADOW</t>
  </si>
  <si>
    <t xml:space="preserve">0x4c000274</t>
  </si>
  <si>
    <t xml:space="preserve">EMIF_EXT_PHY_CONTROL_16</t>
  </si>
  <si>
    <t xml:space="preserve">0x4c000278</t>
  </si>
  <si>
    <t xml:space="preserve">EMIF_EXT_PHY_CONTROL_16_SHADOW</t>
  </si>
  <si>
    <t xml:space="preserve">0x4c00027c</t>
  </si>
  <si>
    <t xml:space="preserve">EMIF_EXT_PHY_CONTROL_17</t>
  </si>
  <si>
    <t xml:space="preserve">0x4c000280</t>
  </si>
  <si>
    <t xml:space="preserve">EMIF_EXT_PHY_CONTROL_17_SHADOW</t>
  </si>
  <si>
    <t xml:space="preserve">0x4c000284</t>
  </si>
  <si>
    <t xml:space="preserve">EMIF_EXT_PHY_CONTROL_18</t>
  </si>
  <si>
    <t xml:space="preserve">0x4c000288</t>
  </si>
  <si>
    <t xml:space="preserve">EMIF_EXT_PHY_CONTROL_18_SHADOW</t>
  </si>
  <si>
    <t xml:space="preserve">0x4c00028c</t>
  </si>
  <si>
    <t xml:space="preserve">EMIF_EXT_PHY_CONTROL_19</t>
  </si>
  <si>
    <t xml:space="preserve">0x4c000290</t>
  </si>
  <si>
    <t xml:space="preserve">EMIF_EXT_PHY_CONTROL_19_SHADOW</t>
  </si>
  <si>
    <t xml:space="preserve">0x4c000294</t>
  </si>
  <si>
    <t xml:space="preserve">EMIF_EXT_PHY_CONTROL_20</t>
  </si>
  <si>
    <t xml:space="preserve">0x4c000298</t>
  </si>
  <si>
    <t xml:space="preserve">EMIF_EXT_PHY_CONTROL_20_SHADOW</t>
  </si>
  <si>
    <t xml:space="preserve">0x4c00029c</t>
  </si>
  <si>
    <t xml:space="preserve">EMIF_EXT_PHY_CONTROL_21</t>
  </si>
  <si>
    <t xml:space="preserve">0x4c0002a0</t>
  </si>
  <si>
    <t xml:space="preserve">EMIF_EXT_PHY_CONTROL_21_SHADOW</t>
  </si>
  <si>
    <t xml:space="preserve">0x4c0002a4</t>
  </si>
  <si>
    <t xml:space="preserve">EMIF_EXT_PHY_CONTROL_22</t>
  </si>
  <si>
    <t xml:space="preserve">0x4c0002a8</t>
  </si>
  <si>
    <t xml:space="preserve">EMIF_EXT_PHY_CONTROL_22_SHADOW</t>
  </si>
  <si>
    <t xml:space="preserve">0x4c0002ac</t>
  </si>
  <si>
    <t xml:space="preserve">EMIF_EXT_PHY_CONTROL_23</t>
  </si>
  <si>
    <t xml:space="preserve">0x4c0002b0</t>
  </si>
  <si>
    <t xml:space="preserve">EMIF_EXT_PHY_CONTROL_23_SHADOW</t>
  </si>
  <si>
    <t xml:space="preserve">0x4c0002b4</t>
  </si>
  <si>
    <t xml:space="preserve">EMIF_EXT_PHY_CONTROL_24</t>
  </si>
  <si>
    <t xml:space="preserve">0x4c0002b8</t>
  </si>
  <si>
    <t xml:space="preserve">EMIF_EXT_PHY_CONTROL_24_SHADOW</t>
  </si>
  <si>
    <t xml:space="preserve">0x4c0002bc</t>
  </si>
  <si>
    <t xml:space="preserve">EMIF_EXT_PHY_CONTROL_25</t>
  </si>
  <si>
    <t xml:space="preserve">0x4c0002c0</t>
  </si>
  <si>
    <t xml:space="preserve">EMIF_EXT_PHY_CONTROL_25_SHADOW</t>
  </si>
  <si>
    <t xml:space="preserve">0x4c0002c4</t>
  </si>
  <si>
    <t xml:space="preserve">EMIF_EXT_PHY_CONTROL_26</t>
  </si>
  <si>
    <t xml:space="preserve">0x4c0002c8</t>
  </si>
  <si>
    <t xml:space="preserve">EMIF_EXT_PHY_CONTROL_26_SHADOW</t>
  </si>
  <si>
    <t xml:space="preserve">0x4c0002cc</t>
  </si>
  <si>
    <t xml:space="preserve">EMIF_EXT_PHY_CONTROL_27</t>
  </si>
  <si>
    <t xml:space="preserve">0x4c0002d0</t>
  </si>
  <si>
    <t xml:space="preserve">EMIF_EXT_PHY_CONTROL_27_SHADOW</t>
  </si>
  <si>
    <t xml:space="preserve">0x4c0002d4</t>
  </si>
  <si>
    <t xml:space="preserve">EMIF_EXT_PHY_CONTROL_28</t>
  </si>
  <si>
    <t xml:space="preserve">0x4c0002d8</t>
  </si>
  <si>
    <t xml:space="preserve">EMIF_EXT_PHY_CONTROL_28_SHADOW</t>
  </si>
  <si>
    <t xml:space="preserve">0x4c0002dc</t>
  </si>
  <si>
    <t xml:space="preserve">EMIF_EXT_PHY_CONTROL_29</t>
  </si>
  <si>
    <t xml:space="preserve">0x4c0002e0</t>
  </si>
  <si>
    <t xml:space="preserve">EMIF_EXT_PHY_CONTROL_29_SHADOW</t>
  </si>
  <si>
    <t xml:space="preserve">0x4c0002e4</t>
  </si>
  <si>
    <t xml:space="preserve">EMIF_EXT_PHY_CONTROL_30</t>
  </si>
  <si>
    <t xml:space="preserve">0x4c0002e8</t>
  </si>
  <si>
    <t xml:space="preserve">EMIF_EXT_PHY_CONTROL_30_SHADOW</t>
  </si>
  <si>
    <t xml:space="preserve">0x4c0002ec</t>
  </si>
  <si>
    <t xml:space="preserve">EMIF_EXT_PHY_CONTROL_31</t>
  </si>
  <si>
    <t xml:space="preserve">0x4c0002f0</t>
  </si>
  <si>
    <t xml:space="preserve">EMIF_EXT_PHY_CONTROL_31_SHADOW</t>
  </si>
  <si>
    <t xml:space="preserve">0x4c0002f4</t>
  </si>
  <si>
    <t xml:space="preserve">EMIF_EXT_PHY_CONTROL_32</t>
  </si>
  <si>
    <t xml:space="preserve">0x4c0002f8</t>
  </si>
  <si>
    <t xml:space="preserve">EMIF_EXT_PHY_CONTROL_32_SHADOW</t>
  </si>
  <si>
    <t xml:space="preserve">0x4c0002fc</t>
  </si>
  <si>
    <t xml:space="preserve">EMIF_EXT_PHY_CONTROL_33</t>
  </si>
  <si>
    <t xml:space="preserve">0x4c000300</t>
  </si>
  <si>
    <t xml:space="preserve">EMIF_EXT_PHY_CONTROL_33_SHADOW</t>
  </si>
  <si>
    <t xml:space="preserve">0x4c000304</t>
  </si>
  <si>
    <t xml:space="preserve">EMIF_EXT_PHY_CONTROL_34</t>
  </si>
  <si>
    <t xml:space="preserve">0x4c000308</t>
  </si>
  <si>
    <t xml:space="preserve">EMIF_EXT_PHY_CONTROL_34_SHADOW</t>
  </si>
  <si>
    <t xml:space="preserve">0x4c00030c</t>
  </si>
  <si>
    <t xml:space="preserve">EMIF_EXT_PHY_CONTROL_35</t>
  </si>
  <si>
    <t xml:space="preserve">0x4c000310</t>
  </si>
  <si>
    <t xml:space="preserve">EMIF_EXT_PHY_CONTROL_35_SHADOW</t>
  </si>
  <si>
    <t xml:space="preserve">0x4c000314</t>
  </si>
  <si>
    <t xml:space="preserve">EMIF_EXT_PHY_CONTROL_36</t>
  </si>
  <si>
    <t xml:space="preserve">0x4c000318</t>
  </si>
  <si>
    <t xml:space="preserve">EMIF_EXT_PHY_CONTROL_36_SHADOW</t>
  </si>
  <si>
    <t xml:space="preserve">0x4c00031c</t>
  </si>
  <si>
    <t xml:space="preserve">CTRL_CORE_CONTROL_DDRCACH1_0</t>
  </si>
  <si>
    <t xml:space="preserve">0x4a002e30</t>
  </si>
  <si>
    <t xml:space="preserve">CTRL_CORE_CONTROL_DDRCACH2_0</t>
  </si>
  <si>
    <t xml:space="preserve">0x4a002e34</t>
  </si>
  <si>
    <t xml:space="preserve">CTRL_CORE_CONTROL_DDRCH1_0</t>
  </si>
  <si>
    <t xml:space="preserve">0x4a002e38</t>
  </si>
  <si>
    <t xml:space="preserve">CTRL_CORE_CONTROL_DDRCH1_1</t>
  </si>
  <si>
    <t xml:space="preserve">0x4a002e3c</t>
  </si>
  <si>
    <t xml:space="preserve">CTRL_CORE_CONTROL_DDRCH2_0</t>
  </si>
  <si>
    <t xml:space="preserve">0x4a002e40</t>
  </si>
  <si>
    <t xml:space="preserve">CTRL_CORE_CONTROL_DDRCH2_1</t>
  </si>
  <si>
    <t xml:space="preserve">0x4a002e44</t>
  </si>
  <si>
    <t xml:space="preserve">CTRL_CORE_CONTROL_DDRCH1_2</t>
  </si>
  <si>
    <t xml:space="preserve">0x4a002e48</t>
  </si>
  <si>
    <t xml:space="preserve">0x4a002e4c</t>
  </si>
  <si>
    <t xml:space="preserve">CTRL_CORE_CONTROL_DDRIO_0</t>
  </si>
  <si>
    <t xml:space="preserve">0x4a002e50</t>
  </si>
  <si>
    <t xml:space="preserve">CTRL_CORE_CONTROL_DDRIO_1</t>
  </si>
  <si>
    <t xml:space="preserve">0x4a002e54</t>
  </si>
  <si>
    <t xml:space="preserve">0x4ae0c144</t>
  </si>
  <si>
    <t xml:space="preserve">0x4ae0c148</t>
  </si>
  <si>
    <t xml:space="preserve">0x4a005210</t>
  </si>
  <si>
    <t xml:space="preserve">0x4a005214</t>
  </si>
  <si>
    <t xml:space="preserve">0x4a005218</t>
  </si>
  <si>
    <t xml:space="preserve">0x4a00521c</t>
  </si>
  <si>
    <t xml:space="preserve">0x4a005220</t>
  </si>
  <si>
    <t xml:space="preserve">0x4a005224</t>
  </si>
  <si>
    <t xml:space="preserve">0x4a005228</t>
  </si>
  <si>
    <t xml:space="preserve">EMIF Tools: Register Configuration - Register Values</t>
  </si>
  <si>
    <r>
      <rPr>
        <sz val="10"/>
        <color rgb="FFFFFFFF"/>
        <rFont val="Times New Roman"/>
        <family val="1"/>
      </rPr>
      <t xml:space="preserve">Save the user configuration from the '</t>
    </r>
    <r>
      <rPr>
        <i val="true"/>
        <sz val="10"/>
        <color rgb="FFFFFFFF"/>
        <rFont val="Times New Roman"/>
        <family val="1"/>
      </rPr>
      <t xml:space="preserve">Title-README</t>
    </r>
    <r>
      <rPr>
        <sz val="10"/>
        <color rgb="FFFFFFFF"/>
        <rFont val="Times New Roman"/>
        <family val="1"/>
      </rPr>
      <t xml:space="preserve">' worksheet. Values will be automatically populated in accompanying software.</t>
    </r>
  </si>
  <si>
    <t xml:space="preserve">OR</t>
  </si>
  <si>
    <t xml:space="preserve">Copy and paste the following text into corresponding u-boot source files.</t>
  </si>
  <si>
    <t xml:space="preserve">/* =========================================================================</t>
  </si>
  <si>
    <t xml:space="preserve"> *   Copyright (C) 2017-2019 Texas Instruments Incorporated</t>
  </si>
  <si>
    <t xml:space="preserve"> *</t>
  </si>
  <si>
    <t xml:space="preserve"> *   All rights reserved. Property of Texas Instruments Incorporated.</t>
  </si>
  <si>
    <t xml:space="preserve"> *   Restricted rights to use, duplicate or disclose this code are</t>
  </si>
  <si>
    <t xml:space="preserve"> *   granted through contract.</t>
  </si>
  <si>
    <t xml:space="preserve"> *   The program may not be used without the written permission</t>
  </si>
  <si>
    <t xml:space="preserve"> *   of Texas Instruments Incorporated or against the terms and conditions</t>
  </si>
  <si>
    <t xml:space="preserve"> *   stipulated in the agreement under which this program has been</t>
  </si>
  <si>
    <t xml:space="preserve"> *   supplied.</t>
  </si>
  <si>
    <t xml:space="preserve"> * ========================================================================= */</t>
  </si>
  <si>
    <t xml:space="preserve">/*</t>
  </si>
  <si>
    <t xml:space="preserve"> */</t>
  </si>
  <si>
    <t xml:space="preserve">};</t>
  </si>
  <si>
    <t xml:space="preserve"> * DLL Ratio Values are an estimate based on trace lengths.</t>
  </si>
  <si>
    <t xml:space="preserve"> * final DLL values.</t>
  </si>
  <si>
    <t xml:space="preserve">     Results: EMIF Register Configuration Values</t>
  </si>
  <si>
    <t xml:space="preserve">                Directions:</t>
  </si>
  <si>
    <t xml:space="preserve">                    1  Copy and paste the following text into a new source file and add to the project configuration.</t>
  </si>
  <si>
    <t xml:space="preserve"> *   Copyright (C) 2017 Texas Instruments Incorporated</t>
  </si>
  <si>
    <t xml:space="preserve"> *  emif_configurations.c</t>
  </si>
  <si>
    <t xml:space="preserve"> *  emif_configurations.h</t>
  </si>
  <si>
    <t xml:space="preserve">#include "emif_configurations.h"</t>
  </si>
  <si>
    <t xml:space="preserve">#ifndef EMIF_CONFIGURATIONS_H_</t>
  </si>
  <si>
    <t xml:space="preserve">#include &lt;stddef.h&gt;</t>
  </si>
  <si>
    <t xml:space="preserve">#define EMIF_CONFIGURATIONS_H_</t>
  </si>
  <si>
    <t xml:space="preserve">struct emif_cfg emif_configurations[] = {</t>
  </si>
  <si>
    <t xml:space="preserve">#include "emif4d5_wrapper.h"</t>
  </si>
  <si>
    <t xml:space="preserve">    },</t>
  </si>
  <si>
    <t xml:space="preserve"> *                  Texas Instruments Pre-Installed Options</t>
  </si>
  <si>
    <t xml:space="preserve">    {"DRA75x_DDR3L_532MHz_TI_EVM_revG3",</t>
  </si>
  <si>
    <t xml:space="preserve">        1,</t>
  </si>
  <si>
    <t xml:space="preserve">        &amp;DRA75x_DDR3L_532MHz_TI_EVM_revG3_pll_params,</t>
  </si>
  <si>
    <t xml:space="preserve">        &amp;DRA75x_DDR3L_532MHz_TI_EVM_revG3_ctrl_ioregs,</t>
  </si>
  <si>
    <t xml:space="preserve">        &amp;DRA75x_DDR3L_532MHz_TI_EVM_revG3_dmm_regs,</t>
  </si>
  <si>
    <t xml:space="preserve">        &amp;DRA75x_DDR3L_532MHz_TI_EVM_revG3_emif_regs,</t>
  </si>
  <si>
    <t xml:space="preserve">        &amp;DRA75x_DDR3L_532MHz_TI_EVM_revG3_emif1_ext_phy_regs,</t>
  </si>
  <si>
    <t xml:space="preserve">        &amp;DRA75x_DDR3L_532MHz_TI_EVM_revG3_emif2_ext_phy_regs</t>
  </si>
  <si>
    <t xml:space="preserve">    {"DRA72x_DDR3L_666MHz_TI_EVM_revB",</t>
  </si>
  <si>
    <t xml:space="preserve">        0,</t>
  </si>
  <si>
    <t xml:space="preserve">        &amp;DRA72x_DDR3L_666MHz_TI_EVM_revB_pll_params,</t>
  </si>
  <si>
    <t xml:space="preserve">        &amp;DRA72x_DDR3L_666MHz_TI_EVM_revB_ctrl_ioregs,</t>
  </si>
  <si>
    <t xml:space="preserve">        &amp;DRA72x_DDR3L_666MHz_TI_EVM_revB_dmm_regs,</t>
  </si>
  <si>
    <t xml:space="preserve">        &amp;DRA72x_DDR3L_666MHz_TI_EVM_revB_emif_regs,</t>
  </si>
  <si>
    <t xml:space="preserve">        &amp;DRA72x_DDR3L_666MHz_TI_EVM_revB_emif1_ext_phy_regs,</t>
  </si>
  <si>
    <t xml:space="preserve">        &amp;DRA72x_DDR3L_666MHz_TI_EVM_revB_emif1_ext_phy_regs,  // Unused</t>
  </si>
  <si>
    <t xml:space="preserve">    {"TDA3x_DDR3L_532MHz_TI_EVM_revC2",</t>
  </si>
  <si>
    <t xml:space="preserve">        &amp;TDA3x_DDR3L_532MHz_TI_EVM_revC2_pll_params,</t>
  </si>
  <si>
    <t xml:space="preserve">        &amp;TDA3x_DDR3L_532MHz_TI_EVM_revC2_ctrl_ioregs,</t>
  </si>
  <si>
    <t xml:space="preserve">        &amp;TDA3x_DDR3L_532MHz_TI_EVM_revC2_dmm_regs,</t>
  </si>
  <si>
    <t xml:space="preserve">        &amp;TDA3x_DDR3L_532MHz_TI_EVM_revC2_emif_regs,</t>
  </si>
  <si>
    <t xml:space="preserve">        &amp;TDA3x_DDR3L_532MHz_TI_EVM_revC2_emif1_ext_phy_regs,</t>
  </si>
  <si>
    <t xml:space="preserve">        &amp;TDA3x_DDR3L_532MHz_TI_EVM_revC2_emif1_ext_phy_regs,  // Unused</t>
  </si>
  <si>
    <t xml:space="preserve">struct emif_cfg* emif_configurations[] = {</t>
  </si>
  <si>
    <t xml:space="preserve">    {NULL, NULL, NULL, NULL, NULL, NULL, NULL, NULL}</t>
  </si>
  <si>
    <t xml:space="preserve">#endif /* EMIF_CONFIGURATIONS_H_ */</t>
  </si>
  <si>
    <t xml:space="preserve">EMIF Tools: Register Configuration - Register Values (GEL)</t>
  </si>
  <si>
    <t xml:space="preserve">Copy and paste the following text into corresponding GEL source files.</t>
  </si>
  <si>
    <t xml:space="preserve">Note: Additional modifications to existing GEL files will be required to point to the unique function provided below, as well as modify PLL settings (if necessary)</t>
  </si>
  <si>
    <t xml:space="preserve">{</t>
  </si>
  <si>
    <t xml:space="preserve">}</t>
  </si>
  <si>
    <t xml:space="preserve">This worksheet is for TI internal purposes only. Do not modify this worksheet.</t>
  </si>
  <si>
    <t xml:space="preserve">SOC Part #</t>
  </si>
  <si>
    <t xml:space="preserve">Memory Type</t>
  </si>
  <si>
    <t xml:space="preserve">EMIFs</t>
  </si>
  <si>
    <t xml:space="preserve">Chip Select Lines</t>
  </si>
  <si>
    <t xml:space="preserve">Leveling</t>
  </si>
  <si>
    <t xml:space="preserve">Frequency</t>
  </si>
  <si>
    <t xml:space="preserve">Memory Details</t>
  </si>
  <si>
    <t xml:space="preserve">Memory Config Details</t>
  </si>
  <si>
    <t xml:space="preserve">Min</t>
  </si>
  <si>
    <t xml:space="preserve">Max</t>
  </si>
  <si>
    <t xml:space="preserve">Data Rate</t>
  </si>
  <si>
    <t xml:space="preserve">Rtt_Nom</t>
  </si>
  <si>
    <t xml:space="preserve">Rtt_Wr</t>
  </si>
  <si>
    <t xml:space="preserve">Driver Imp</t>
  </si>
  <si>
    <t xml:space="preserve">EMIF IO SR</t>
  </si>
  <si>
    <t xml:space="preserve">~~~~~~~~ DROP DOWN MENU ~~~~~~~~</t>
  </si>
  <si>
    <t xml:space="preserve">AM574x_DDR3L_666MHz_TI_AM574x_IDK</t>
  </si>
  <si>
    <t xml:space="preserve">AM571x_DDR3L_666MHz_TI_AM571x_IDK</t>
  </si>
  <si>
    <t xml:space="preserve">AM572x_DDR3L_532MHz_TI_AM572x_IDK</t>
  </si>
  <si>
    <t xml:space="preserve">TI_AM574x_IDK</t>
  </si>
  <si>
    <t xml:space="preserve">TI_AM571x_IDK</t>
  </si>
  <si>
    <t xml:space="preserve">TI_AM572x_EVM</t>
  </si>
  <si>
    <t xml:space="preserve">AM574x</t>
  </si>
  <si>
    <t xml:space="preserve">AM571x</t>
  </si>
  <si>
    <t xml:space="preserve">Yes</t>
  </si>
  <si>
    <t xml:space="preserve"> * DLL Ratio Values are an estimate based on trace lengths. Either </t>
  </si>
  <si>
    <t xml:space="preserve"> * software leveling or hardware leveling should be performed to</t>
  </si>
  <si>
    <t xml:space="preserve"> * determine final DLL values.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</si>
</sst>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@"/>
  </numFmts>
  <fonts count="6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sz val="10"/>
      <color rgb="FF000000"/>
      <name val="Calibri"/>
      <family val="2"/>
    </font>
    <font>
      <sz val="10"/>
      <color rgb="FF000000"/>
      <name val="Calibri"/>
      <family val="2"/>
    </font>
    <font>
      <b val="true"/>
      <u val="single"/>
      <sz val="36"/>
      <name val="Times New Roman"/>
      <family val="1"/>
    </font>
    <font>
      <b val="true"/>
      <sz val="20"/>
      <name val="Times New Roman"/>
      <family val="1"/>
    </font>
    <font>
      <sz val="20"/>
      <name val="Times New Roman"/>
      <family val="1"/>
    </font>
    <font>
      <b val="true"/>
      <sz val="20"/>
      <color rgb="FFFF0000"/>
      <name val="Times New Roman"/>
      <family val="1"/>
    </font>
    <font>
      <b val="true"/>
      <u val="single"/>
      <sz val="20"/>
      <color rgb="FFFFFFFF"/>
      <name val="Times New Roman"/>
      <family val="1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u val="single"/>
      <sz val="10"/>
      <color rgb="FFFFFFFF"/>
      <name val="Times New Roman"/>
      <family val="1"/>
    </font>
    <font>
      <b val="true"/>
      <u val="single"/>
      <sz val="10"/>
      <name val="Times New Roman"/>
      <family val="1"/>
    </font>
    <font>
      <vertAlign val="superscript"/>
      <sz val="10"/>
      <color rgb="FFFFFFFF"/>
      <name val="Times New Roman"/>
      <family val="1"/>
    </font>
    <font>
      <b val="true"/>
      <sz val="10"/>
      <name val="Times New Roman"/>
      <family val="1"/>
    </font>
    <font>
      <b val="true"/>
      <sz val="10"/>
      <name val="Arial"/>
      <family val="2"/>
    </font>
    <font>
      <sz val="8"/>
      <name val="Times New Roman"/>
      <family val="1"/>
    </font>
    <font>
      <b val="true"/>
      <i val="true"/>
      <sz val="8"/>
      <name val="Times New Roman"/>
      <family val="1"/>
    </font>
    <font>
      <b val="true"/>
      <u val="single"/>
      <sz val="10"/>
      <name val="Arial"/>
      <family val="2"/>
    </font>
    <font>
      <b val="true"/>
      <u val="single"/>
      <sz val="20"/>
      <name val="Times New Roman"/>
      <family val="1"/>
    </font>
    <font>
      <b val="true"/>
      <sz val="20"/>
      <color rgb="FFFF0000"/>
      <name val="Arial"/>
      <family val="2"/>
    </font>
    <font>
      <b val="true"/>
      <u val="single"/>
      <sz val="18"/>
      <color rgb="FFFFFFFF"/>
      <name val="Times New Roman"/>
      <family val="1"/>
    </font>
    <font>
      <sz val="10"/>
      <color rgb="FFFFFFFF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4"/>
      <name val="Arial"/>
      <family val="2"/>
    </font>
    <font>
      <b val="true"/>
      <u val="single"/>
      <sz val="7"/>
      <name val="Times New Roman"/>
      <family val="1"/>
    </font>
    <font>
      <sz val="7"/>
      <name val="Times New Roman"/>
      <family val="1"/>
    </font>
    <font>
      <b val="true"/>
      <u val="single"/>
      <sz val="7"/>
      <color rgb="FFFF0000"/>
      <name val="Times New Roman"/>
      <family val="1"/>
    </font>
    <font>
      <sz val="10"/>
      <color rgb="FFFF0000"/>
      <name val="Arial"/>
      <family val="2"/>
    </font>
    <font>
      <sz val="12"/>
      <name val="Arial"/>
      <family val="2"/>
    </font>
    <font>
      <b val="true"/>
      <sz val="16"/>
      <color rgb="FFFFFFFF"/>
      <name val="Times New Roman"/>
      <family val="1"/>
    </font>
    <font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u val="single"/>
      <sz val="10"/>
      <color rgb="FF0000FF"/>
      <name val="Arial"/>
      <family val="2"/>
    </font>
    <font>
      <b val="true"/>
      <sz val="12"/>
      <color rgb="FFFFFFFF"/>
      <name val="Arial"/>
      <family val="2"/>
    </font>
    <font>
      <b val="true"/>
      <u val="single"/>
      <sz val="20"/>
      <color rgb="FFFF0000"/>
      <name val="Arial"/>
      <family val="2"/>
    </font>
    <font>
      <sz val="22"/>
      <color rgb="FFFF0000"/>
      <name val="Arial"/>
      <family val="2"/>
    </font>
    <font>
      <b val="true"/>
      <sz val="16"/>
      <color rgb="FFFFFFFF"/>
      <name val="Arial"/>
      <family val="2"/>
    </font>
    <font>
      <i val="true"/>
      <sz val="10"/>
      <color rgb="FFFFFFFF"/>
      <name val="Times New Roman"/>
      <family val="1"/>
    </font>
    <font>
      <i val="true"/>
      <sz val="10"/>
      <color rgb="FFFF0000"/>
      <name val="Times New Roman"/>
      <family val="1"/>
    </font>
    <font>
      <b val="true"/>
      <u val="single"/>
      <sz val="10"/>
      <color rgb="FFFF0000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16"/>
      <color rgb="FFFFFFFF"/>
      <name val="Times New Roman"/>
      <family val="1"/>
    </font>
    <font>
      <b val="true"/>
      <sz val="10"/>
      <color rgb="FFFF0000"/>
      <name val="Arial"/>
      <family val="2"/>
    </font>
    <font>
      <b val="true"/>
      <sz val="16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D9D9D9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DDDDDD"/>
      </patternFill>
    </fill>
    <fill>
      <patternFill patternType="solid">
        <fgColor rgb="FF00B050"/>
        <bgColor rgb="FF008080"/>
      </patternFill>
    </fill>
    <fill>
      <patternFill patternType="solid">
        <fgColor rgb="FFBFBFBF"/>
        <bgColor rgb="FFBFBFC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A6A6A6"/>
      </patternFill>
    </fill>
    <fill>
      <patternFill patternType="solid">
        <fgColor rgb="FFE46C0A"/>
        <bgColor rgb="FFFF9900"/>
      </patternFill>
    </fill>
    <fill>
      <patternFill patternType="solid">
        <fgColor rgb="FFBFBFC0"/>
        <bgColor rgb="FFBFBFBF"/>
      </patternFill>
    </fill>
  </fills>
  <borders count="10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 style="medium"/>
      <right style="medium"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ck"/>
      <top style="medium"/>
      <bottom/>
      <diagonal/>
    </border>
    <border diagonalUp="false" diagonalDown="false">
      <left style="thick"/>
      <right style="medium"/>
      <top style="medium"/>
      <bottom style="thick"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 style="medium"/>
      <right style="thick"/>
      <top style="medium"/>
      <bottom style="thick"/>
      <diagonal/>
    </border>
    <border diagonalUp="false" diagonalDown="false"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/>
      <bottom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FFFFFF"/>
      </left>
      <right/>
      <top style="thin">
        <color rgb="FFFFFFFF"/>
      </top>
      <bottom style="thin">
        <color rgb="FFFFFFFF"/>
      </bottom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ck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>
        <color rgb="FFFFFFFF"/>
      </bottom>
      <diagonal/>
    </border>
    <border diagonalUp="false" diagonalDown="false">
      <left style="thin"/>
      <right style="thick"/>
      <top style="thin">
        <color rgb="FFFFFFFF"/>
      </top>
      <bottom style="thin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 style="thick"/>
      <top style="thin">
        <color rgb="FFFFFFFF"/>
      </top>
      <bottom style="thin">
        <color rgb="FFFFFFFF"/>
      </bottom>
      <diagonal/>
    </border>
    <border diagonalUp="false" diagonalDown="false">
      <left style="thin"/>
      <right style="thin">
        <color rgb="FFFFFFFF"/>
      </right>
      <top style="thin">
        <color rgb="FFFFFFFF"/>
      </top>
      <bottom style="thick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ck"/>
      <diagonal/>
    </border>
    <border diagonalUp="false" diagonalDown="false">
      <left style="thin">
        <color rgb="FFFFFFFF"/>
      </left>
      <right style="thin">
        <color rgb="FFFFFFFF"/>
      </right>
      <top/>
      <bottom style="thick"/>
      <diagonal/>
    </border>
    <border diagonalUp="false" diagonalDown="false">
      <left style="thin">
        <color rgb="FFFFFFFF"/>
      </left>
      <right style="thick"/>
      <top style="thin">
        <color rgb="FFFFFFFF"/>
      </top>
      <bottom style="thick"/>
      <diagonal/>
    </border>
    <border diagonalUp="false" diagonalDown="false">
      <left style="thick"/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ck"/>
      <right style="thin"/>
      <top style="thick"/>
      <bottom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ck"/>
      <right style="thin">
        <color rgb="FFFFFFFF"/>
      </right>
      <top style="thick"/>
      <bottom style="thick"/>
      <diagonal/>
    </border>
    <border diagonalUp="false" diagonalDown="false">
      <left style="thin">
        <color rgb="FFFFFFFF"/>
      </left>
      <right style="thin">
        <color rgb="FFFFFFFF"/>
      </right>
      <top style="thick"/>
      <bottom style="thick"/>
      <diagonal/>
    </border>
    <border diagonalUp="false" diagonalDown="false">
      <left style="thin">
        <color rgb="FFFFFFFF"/>
      </left>
      <right style="thick"/>
      <top style="thick"/>
      <bottom style="thick"/>
      <diagonal/>
    </border>
    <border diagonalUp="false" diagonalDown="false"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 diagonalUp="false" diagonalDown="false">
      <left style="hair">
        <color rgb="FFFFFFFF"/>
      </left>
      <right/>
      <top style="hair">
        <color rgb="FFFFFFFF"/>
      </top>
      <bottom style="hair">
        <color rgb="FFFFFFFF"/>
      </bottom>
      <diagonal/>
    </border>
    <border diagonalUp="false" diagonalDown="false">
      <left style="thick">
        <color rgb="FFFF0000"/>
      </left>
      <right style="thick">
        <color rgb="FFFF0000"/>
      </right>
      <top style="thick">
        <color rgb="FFFF0000"/>
      </top>
      <bottom style="thin"/>
      <diagonal/>
    </border>
    <border diagonalUp="false" diagonalDown="false">
      <left style="thick">
        <color rgb="FFFF0000"/>
      </left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>
        <color rgb="FFFF0000"/>
      </right>
      <top style="thin"/>
      <bottom style="thin"/>
      <diagonal/>
    </border>
    <border diagonalUp="false" diagonalDown="false">
      <left style="thin">
        <color rgb="FFFFFFFF"/>
      </left>
      <right/>
      <top/>
      <bottom style="thin">
        <color rgb="FFFFFFFF"/>
      </bottom>
      <diagonal/>
    </border>
    <border diagonalUp="false" diagonalDown="false">
      <left style="thick">
        <color rgb="FFFF0000"/>
      </left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>
        <color rgb="FFFF0000"/>
      </right>
      <top style="thin"/>
      <bottom/>
      <diagonal/>
    </border>
    <border diagonalUp="false" diagonalDown="false">
      <left style="thick">
        <color rgb="FFFF0000"/>
      </left>
      <right style="thin"/>
      <top style="thin"/>
      <bottom style="thick">
        <color rgb="FFFF0000"/>
      </bottom>
      <diagonal/>
    </border>
    <border diagonalUp="false" diagonalDown="false">
      <left style="thin"/>
      <right style="thin"/>
      <top style="thin"/>
      <bottom style="thick">
        <color rgb="FFFF0000"/>
      </bottom>
      <diagonal/>
    </border>
    <border diagonalUp="false" diagonalDown="false">
      <left style="thin"/>
      <right style="thick">
        <color rgb="FFFF0000"/>
      </right>
      <top style="thin"/>
      <bottom style="thick">
        <color rgb="FFFF0000"/>
      </bottom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ck"/>
      <right style="thick"/>
      <top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 style="thick"/>
      <right style="thick"/>
      <top style="thick"/>
      <bottom style="thin"/>
      <diagonal/>
    </border>
    <border diagonalUp="false" diagonalDown="false">
      <left style="thin">
        <color rgb="FFFFFFFF"/>
      </left>
      <right style="thick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>
        <color rgb="FFFFFFFF"/>
      </left>
      <right style="thick">
        <color rgb="FFFFFFFF"/>
      </right>
      <top style="thin">
        <color rgb="FFFFFFFF"/>
      </top>
      <bottom style="thick">
        <color rgb="FFFFFFFF"/>
      </bottom>
      <diagonal/>
    </border>
    <border diagonalUp="false" diagonalDown="false">
      <left style="thick">
        <color rgb="FFFFFFFF"/>
      </left>
      <right style="thick"/>
      <top style="thick">
        <color rgb="FFFFFFFF"/>
      </top>
      <bottom style="thick">
        <color rgb="FFFFFFFF"/>
      </bottom>
      <diagonal/>
    </border>
    <border diagonalUp="false" diagonalDown="false">
      <left style="thick"/>
      <right style="thin">
        <color rgb="FFFFFFFF"/>
      </right>
      <top style="thick"/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ck"/>
      <bottom style="thin">
        <color rgb="FFFFFFFF"/>
      </bottom>
      <diagonal/>
    </border>
    <border diagonalUp="false" diagonalDown="false">
      <left style="thin">
        <color rgb="FFFFFFFF"/>
      </left>
      <right style="thick"/>
      <top style="thick"/>
      <bottom style="thin">
        <color rgb="FFFFFFFF"/>
      </bottom>
      <diagonal/>
    </border>
    <border diagonalUp="false" diagonalDown="false">
      <left style="thick"/>
      <right style="thin">
        <color rgb="FFFFFFFF"/>
      </right>
      <top style="thin">
        <color rgb="FFFFFFFF"/>
      </top>
      <bottom style="thick"/>
      <diagonal/>
    </border>
    <border diagonalUp="false" diagonalDown="false">
      <left/>
      <right style="thin">
        <color rgb="FFFFFFFF"/>
      </right>
      <top/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FFFFFF"/>
      </top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ck"/>
      <right style="thick"/>
      <top style="thin"/>
      <bottom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 style="thick"/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FFFFFF"/>
      </left>
      <right style="thick"/>
      <top/>
      <bottom style="thin">
        <color rgb="FFFFFFFF"/>
      </bottom>
      <diagonal/>
    </border>
    <border diagonalUp="false" diagonalDown="false">
      <left/>
      <right style="thin">
        <color rgb="FFFFFFFF"/>
      </right>
      <top style="thick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ck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 style="thick">
        <color rgb="FFFFFFFF"/>
      </right>
      <top style="thick">
        <color rgb="FFFFFFFF"/>
      </top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FFFFFF"/>
      </top>
      <bottom style="thick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ck">
        <color rgb="FFFFFFFF"/>
      </bottom>
      <diagonal/>
    </border>
    <border diagonalUp="false" diagonalDown="false">
      <left style="thick">
        <color rgb="FFFFFFFF"/>
      </left>
      <right style="thick">
        <color rgb="FFFFFFFF"/>
      </right>
      <top style="thick"/>
      <bottom style="thick">
        <color rgb="FFFFFFFF"/>
      </bottom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 style="thin"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ck"/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FFFFFF"/>
      </left>
      <right style="thick"/>
      <top style="thin">
        <color rgb="FFFFFFFF"/>
      </top>
      <bottom/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7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</cellStyleXfs>
  <cellXfs count="3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2" fillId="6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2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0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3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3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6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0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6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8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3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8" fillId="0" borderId="3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0" borderId="3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0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0" borderId="3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0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2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6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4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5" fillId="6" borderId="4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6" fillId="6" borderId="4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6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6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4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6" borderId="4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6" borderId="4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6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6" fillId="6" borderId="5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6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0" borderId="1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38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6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10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5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2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9" fillId="0" borderId="3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10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41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0" borderId="3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10" borderId="2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2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6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6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1" borderId="61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1" borderId="62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6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0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18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0" fillId="11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1" borderId="6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1" borderId="6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6" fillId="6" borderId="4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36" fillId="6" borderId="4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35" fillId="6" borderId="4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5" fillId="6" borderId="4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6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6" borderId="4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5" fillId="6" borderId="4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6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3" fillId="6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6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17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1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19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0" borderId="6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38" fillId="0" borderId="6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8" fillId="6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0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6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6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8" fillId="0" borderId="6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7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0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7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7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7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6" fillId="6" borderId="4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6" borderId="4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6" borderId="4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4" fontId="23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5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6" borderId="45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23" fillId="6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6" borderId="4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6" borderId="49" xfId="0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4" fontId="23" fillId="6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7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8" fillId="0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38" fillId="0" borderId="2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4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3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6" borderId="5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6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5" xfId="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3" fillId="6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10" borderId="5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56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10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1" borderId="62" xfId="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0" fillId="10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5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1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1" borderId="7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9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1" borderId="7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26" xfId="0" applyFont="fals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0" borderId="67" xfId="0" applyFont="fals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10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1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5" fillId="1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0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5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6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57" fillId="6" borderId="4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1" fillId="0" borderId="7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6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36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6" borderId="5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8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7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0" borderId="7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2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0" borderId="8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41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8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0" borderId="3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3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18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34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31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6" borderId="6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1" fillId="0" borderId="8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0" borderId="8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0" borderId="8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1" fillId="0" borderId="6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2" fillId="6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2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45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6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42" fillId="6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2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7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8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8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7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8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8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3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8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8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6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9" fillId="6" borderId="9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4" borderId="9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4" borderId="9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4" borderId="3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3" borderId="6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5" borderId="9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4" borderId="6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4" borderId="5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3" borderId="6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3" borderId="6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3" borderId="5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5" borderId="6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9" fillId="15" borderId="6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5" borderId="6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5" borderId="59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4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5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6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9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95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45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5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45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5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6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59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67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59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6" borderId="0" xfId="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8" fillId="0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0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9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9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99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24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1" builtinId="53" customBuiltin="true"/>
    <cellStyle name="Heading 1" xfId="22" builtinId="53" customBuiltin="true"/>
    <cellStyle name="Heading 2" xfId="23" builtinId="53" customBuiltin="true"/>
    <cellStyle name="Text" xfId="24" builtinId="53" customBuiltin="true"/>
    <cellStyle name="Note" xfId="25" builtinId="53" customBuiltin="true"/>
    <cellStyle name="Footnote" xfId="26" builtinId="53" customBuiltin="true"/>
    <cellStyle name="Hyperlink" xfId="27" builtinId="53" customBuiltin="true"/>
    <cellStyle name="Status" xfId="28" builtinId="53" customBuiltin="true"/>
    <cellStyle name="Good" xfId="29" builtinId="53" customBuiltin="true"/>
    <cellStyle name="Neutral" xfId="30" builtinId="53" customBuiltin="true"/>
    <cellStyle name="Bad" xfId="31" builtinId="53" customBuiltin="true"/>
    <cellStyle name="Warning" xfId="32" builtinId="53" customBuiltin="true"/>
    <cellStyle name="Error" xfId="33" builtinId="53" customBuiltin="true"/>
    <cellStyle name="Accent" xfId="34" builtinId="53" customBuiltin="true"/>
    <cellStyle name="Accent 1" xfId="35" builtinId="53" customBuiltin="true"/>
    <cellStyle name="Accent 2" xfId="36" builtinId="53" customBuiltin="true"/>
    <cellStyle name="Accent 3" xfId="37" builtinId="53" customBuiltin="true"/>
    <cellStyle name="*unknown*" xfId="20" builtinId="8" customBuiltin="false"/>
  </cellStyles>
  <dxfs count="12"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  <dxf>
      <font>
        <name val="Arial"/>
        <family val="2"/>
      </font>
      <alignment horizontal="general" vertical="bottom" textRotation="0" wrapText="false" indent="0" shrinkToFit="false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FBFC0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EE"/>
      <rgbColor rgb="FF00CCFF"/>
      <rgbColor rgb="FFCCFFFF"/>
      <rgbColor rgb="FFCCFFCC"/>
      <rgbColor rgb="FFFFFF99"/>
      <rgbColor rgb="FFBFBFBF"/>
      <rgbColor rgb="FFFF99CC"/>
      <rgbColor rgb="FFCC99FF"/>
      <rgbColor rgb="FFFFCCCC"/>
      <rgbColor rgb="FF3366FF"/>
      <rgbColor rgb="FF33CCCC"/>
      <rgbColor rgb="FF92D050"/>
      <rgbColor rgb="FFFFCC00"/>
      <rgbColor rgb="FFFF9900"/>
      <rgbColor rgb="FFE46C0A"/>
      <rgbColor rgb="FF666699"/>
      <rgbColor rgb="FFA6A6A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5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9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189000</xdr:colOff>
      <xdr:row>70</xdr:row>
      <xdr:rowOff>39960</xdr:rowOff>
    </xdr:from>
    <xdr:to>
      <xdr:col>13</xdr:col>
      <xdr:colOff>760680</xdr:colOff>
      <xdr:row>103</xdr:row>
      <xdr:rowOff>104400</xdr:rowOff>
    </xdr:to>
    <xdr:pic>
      <xdr:nvPicPr>
        <xdr:cNvPr id="0" name="Picture 1" descr=""/>
        <xdr:cNvPicPr/>
      </xdr:nvPicPr>
      <xdr:blipFill>
        <a:blip r:embed="rId1"/>
        <a:srcRect l="0" t="782947" r="523689" b="571307"/>
        <a:stretch/>
      </xdr:blipFill>
      <xdr:spPr>
        <a:xfrm>
          <a:off x="1479240" y="11709000"/>
          <a:ext cx="9235440" cy="54082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3</xdr:col>
      <xdr:colOff>457200</xdr:colOff>
      <xdr:row>64</xdr:row>
      <xdr:rowOff>10080</xdr:rowOff>
    </xdr:from>
    <xdr:to>
      <xdr:col>12</xdr:col>
      <xdr:colOff>522360</xdr:colOff>
      <xdr:row>71</xdr:row>
      <xdr:rowOff>121680</xdr:rowOff>
    </xdr:to>
    <xdr:pic>
      <xdr:nvPicPr>
        <xdr:cNvPr id="1" name="Picture 3" descr=""/>
        <xdr:cNvPicPr/>
      </xdr:nvPicPr>
      <xdr:blipFill>
        <a:blip r:embed="rId2"/>
        <a:srcRect l="0" t="1277043" r="682679" b="1243437"/>
        <a:stretch/>
      </xdr:blipFill>
      <xdr:spPr>
        <a:xfrm>
          <a:off x="2149920" y="10707840"/>
          <a:ext cx="7500240" cy="124488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27000</xdr:colOff>
      <xdr:row>0</xdr:row>
      <xdr:rowOff>0</xdr:rowOff>
    </xdr:from>
    <xdr:to>
      <xdr:col>6</xdr:col>
      <xdr:colOff>866160</xdr:colOff>
      <xdr:row>3</xdr:row>
      <xdr:rowOff>142200</xdr:rowOff>
    </xdr:to>
    <xdr:pic>
      <xdr:nvPicPr>
        <xdr:cNvPr id="2" name="Picture 4" descr=""/>
        <xdr:cNvPicPr/>
      </xdr:nvPicPr>
      <xdr:blipFill>
        <a:blip r:embed="rId1"/>
        <a:stretch/>
      </xdr:blipFill>
      <xdr:spPr>
        <a:xfrm>
          <a:off x="429480" y="0"/>
          <a:ext cx="8144640" cy="6278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27000</xdr:colOff>
      <xdr:row>0</xdr:row>
      <xdr:rowOff>0</xdr:rowOff>
    </xdr:from>
    <xdr:to>
      <xdr:col>8</xdr:col>
      <xdr:colOff>621720</xdr:colOff>
      <xdr:row>39</xdr:row>
      <xdr:rowOff>8280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27000" y="0"/>
          <a:ext cx="5755680" cy="6323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image" Target="../media/image12.png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image" Target="../media/image14.png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image" Target="../media/image6.png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image" Target="../media/image8.png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image" Target="../media/image10.png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E10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E8" activeCellId="0" sqref="E8"/>
    </sheetView>
  </sheetViews>
  <sheetFormatPr defaultRowHeight="12.75" zeroHeight="false" outlineLevelRow="0" outlineLevelCol="0"/>
  <cols>
    <col collapsed="false" customWidth="true" hidden="false" outlineLevel="0" max="1" min="1" style="0" width="8.73"/>
    <col collapsed="false" customWidth="true" hidden="false" outlineLevel="0" max="2" min="2" style="0" width="7.42"/>
    <col collapsed="false" customWidth="true" hidden="false" outlineLevel="0" max="3" min="3" style="0" width="11.14"/>
    <col collapsed="false" customWidth="true" hidden="false" outlineLevel="0" max="4" min="4" style="0" width="10.71"/>
    <col collapsed="false" customWidth="true" hidden="false" outlineLevel="0" max="5" min="5" style="0" width="142.71"/>
    <col collapsed="false" customWidth="true" hidden="false" outlineLevel="0" max="1025" min="6" style="0" width="8.73"/>
  </cols>
  <sheetData>
    <row r="1" customFormat="false" ht="13.5" hidden="false" customHeight="false" outlineLevel="0" collapsed="false"/>
    <row r="2" customFormat="false" ht="14.25" hidden="false" customHeight="false" outlineLevel="0" collapsed="false">
      <c r="B2" s="1" t="s">
        <v>0</v>
      </c>
      <c r="C2" s="2" t="s">
        <v>1</v>
      </c>
      <c r="D2" s="2" t="s">
        <v>2</v>
      </c>
      <c r="E2" s="3" t="s">
        <v>3</v>
      </c>
    </row>
    <row r="3" customFormat="false" ht="13.5" hidden="false" customHeight="false" outlineLevel="0" collapsed="false">
      <c r="B3" s="4" t="s">
        <v>4</v>
      </c>
      <c r="C3" s="5" t="s">
        <v>5</v>
      </c>
      <c r="D3" s="6" t="s">
        <v>6</v>
      </c>
      <c r="E3" s="7" t="s">
        <v>7</v>
      </c>
    </row>
    <row r="4" customFormat="false" ht="13.5" hidden="false" customHeight="false" outlineLevel="0" collapsed="false">
      <c r="B4" s="8" t="s">
        <v>8</v>
      </c>
      <c r="C4" s="9" t="n">
        <v>42333</v>
      </c>
      <c r="D4" s="10" t="s">
        <v>6</v>
      </c>
      <c r="E4" s="11" t="s">
        <v>9</v>
      </c>
    </row>
    <row r="5" customFormat="false" ht="108.75" hidden="false" customHeight="true" outlineLevel="0" collapsed="false">
      <c r="B5" s="8" t="s">
        <v>10</v>
      </c>
      <c r="C5" s="9" t="n">
        <v>42425</v>
      </c>
      <c r="D5" s="10" t="s">
        <v>6</v>
      </c>
      <c r="E5" s="12" t="s">
        <v>11</v>
      </c>
    </row>
    <row r="6" customFormat="false" ht="13.5" hidden="false" customHeight="false" outlineLevel="0" collapsed="false">
      <c r="B6" s="8" t="s">
        <v>12</v>
      </c>
      <c r="C6" s="9" t="n">
        <v>42822</v>
      </c>
      <c r="D6" s="10" t="s">
        <v>6</v>
      </c>
      <c r="E6" s="13"/>
    </row>
    <row r="7" customFormat="false" ht="13.5" hidden="false" customHeight="false" outlineLevel="0" collapsed="false">
      <c r="B7" s="8"/>
      <c r="C7" s="14"/>
      <c r="D7" s="10"/>
      <c r="E7" s="15"/>
    </row>
    <row r="8" customFormat="false" ht="13.5" hidden="false" customHeight="false" outlineLevel="0" collapsed="false">
      <c r="B8" s="8"/>
      <c r="C8" s="16"/>
      <c r="D8" s="10"/>
      <c r="E8" s="17"/>
    </row>
    <row r="9" customFormat="false" ht="13.5" hidden="false" customHeight="false" outlineLevel="0" collapsed="false">
      <c r="B9" s="8"/>
      <c r="C9" s="18"/>
      <c r="D9" s="10"/>
      <c r="E9" s="19"/>
    </row>
    <row r="10" customFormat="false" ht="13.5" hidden="false" customHeight="false" outlineLevel="0" collapsed="false">
      <c r="B10" s="20"/>
      <c r="C10" s="21"/>
      <c r="D10" s="22"/>
      <c r="E10" s="23"/>
    </row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D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RowHeight="12.75" zeroHeight="false" outlineLevelRow="0" outlineLevelCol="0"/>
  <cols>
    <col collapsed="false" customWidth="true" hidden="false" outlineLevel="0" max="1" min="1" style="351" width="9.14"/>
    <col collapsed="false" customWidth="true" hidden="false" outlineLevel="0" max="2" min="2" style="351" width="13.57"/>
    <col collapsed="false" customWidth="true" hidden="false" outlineLevel="0" max="3" min="3" style="351" width="13.43"/>
    <col collapsed="false" customWidth="true" hidden="false" outlineLevel="0" max="4" min="4" style="351" width="6.28"/>
    <col collapsed="false" customWidth="true" hidden="false" outlineLevel="0" max="5" min="5" style="351" width="17"/>
    <col collapsed="false" customWidth="true" hidden="false" outlineLevel="0" max="6" min="6" style="351" width="11.71"/>
    <col collapsed="false" customWidth="true" hidden="false" outlineLevel="0" max="7" min="7" style="351" width="10.58"/>
    <col collapsed="false" customWidth="true" hidden="false" outlineLevel="0" max="9" min="8" style="351" width="9.14"/>
    <col collapsed="false" customWidth="true" hidden="false" outlineLevel="0" max="11" min="10" style="351" width="11.42"/>
    <col collapsed="false" customWidth="true" hidden="false" outlineLevel="0" max="12" min="12" style="351" width="10.85"/>
    <col collapsed="false" customWidth="true" hidden="false" outlineLevel="0" max="15" min="13" style="351" width="9.14"/>
    <col collapsed="false" customWidth="true" hidden="false" outlineLevel="0" max="16" min="16" style="351" width="10.42"/>
    <col collapsed="false" customWidth="true" hidden="false" outlineLevel="0" max="17" min="17" style="351" width="22.43"/>
    <col collapsed="false" customWidth="true" hidden="false" outlineLevel="0" max="21" min="18" style="351" width="9.14"/>
    <col collapsed="false" customWidth="true" hidden="false" outlineLevel="0" max="22" min="22" style="351" width="14.01"/>
    <col collapsed="false" customWidth="true" hidden="false" outlineLevel="0" max="1025" min="23" style="351" width="9.14"/>
  </cols>
  <sheetData>
    <row r="1" customFormat="false" ht="12.75" hidden="false" customHeight="false" outlineLevel="0" collapsed="false">
      <c r="B1" s="352" t="s">
        <v>666</v>
      </c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</row>
    <row r="2" customFormat="false" ht="12.75" hidden="false" customHeight="false" outlineLevel="0" collapsed="false"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</row>
    <row r="3" customFormat="false" ht="13.5" hidden="false" customHeight="false" outlineLevel="0" collapsed="false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</row>
    <row r="4" customFormat="false" ht="13.5" hidden="false" customHeight="false" outlineLevel="0" collapsed="false">
      <c r="B4" s="353" t="s">
        <v>667</v>
      </c>
      <c r="C4" s="354" t="s">
        <v>668</v>
      </c>
      <c r="D4" s="354" t="s">
        <v>669</v>
      </c>
      <c r="E4" s="354" t="s">
        <v>670</v>
      </c>
      <c r="F4" s="354" t="s">
        <v>671</v>
      </c>
      <c r="G4" s="354" t="s">
        <v>114</v>
      </c>
      <c r="H4" s="355" t="s">
        <v>672</v>
      </c>
      <c r="I4" s="355"/>
      <c r="J4" s="356" t="s">
        <v>673</v>
      </c>
      <c r="K4" s="356"/>
      <c r="L4" s="356"/>
      <c r="M4" s="356"/>
      <c r="N4" s="357" t="s">
        <v>674</v>
      </c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</row>
    <row r="5" customFormat="false" ht="13.5" hidden="false" customHeight="false" outlineLevel="0" collapsed="false">
      <c r="B5" s="353"/>
      <c r="C5" s="354"/>
      <c r="D5" s="354"/>
      <c r="E5" s="354"/>
      <c r="F5" s="354"/>
      <c r="G5" s="354"/>
      <c r="H5" s="358" t="s">
        <v>675</v>
      </c>
      <c r="I5" s="359" t="s">
        <v>676</v>
      </c>
      <c r="J5" s="360" t="s">
        <v>677</v>
      </c>
      <c r="K5" s="361" t="s">
        <v>79</v>
      </c>
      <c r="L5" s="362" t="s">
        <v>205</v>
      </c>
      <c r="M5" s="363" t="s">
        <v>77</v>
      </c>
      <c r="N5" s="364" t="s">
        <v>678</v>
      </c>
      <c r="O5" s="365" t="s">
        <v>679</v>
      </c>
      <c r="P5" s="365" t="s">
        <v>680</v>
      </c>
      <c r="Q5" s="365" t="s">
        <v>681</v>
      </c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367"/>
    </row>
    <row r="6" customFormat="false" ht="13.5" hidden="false" customHeight="false" outlineLevel="0" collapsed="false">
      <c r="B6" s="368" t="str">
        <f aca="false">IFERROR(INDEX(_soc_partnum_list,ROW()-5),"")</f>
        <v>AM570x</v>
      </c>
      <c r="C6" s="369" t="str">
        <f aca="false">IFERROR(INDEX(_dyn_user_memtype_list,ROW()-5),"")</f>
        <v>DDR3/L</v>
      </c>
      <c r="D6" s="369" t="n">
        <f aca="false">IFERROR(INDEX(_dyn_user_emifs_list,ROW()-5),"")</f>
        <v>1</v>
      </c>
      <c r="E6" s="369" t="n">
        <f aca="false">IFERROR(INDEX(_dyn_user_cs_list,ROW()-5),"")</f>
        <v>1</v>
      </c>
      <c r="F6" s="369" t="str">
        <f aca="false">IFERROR(INDEX(_dyn_user_sdram_lvl_list,ROW()-5),"")</f>
        <v>H/W</v>
      </c>
      <c r="G6" s="369" t="str">
        <f aca="false">IFERROR(INDEX(_dyn_user_ecc_list,ROW()-5),"")</f>
        <v>Yes</v>
      </c>
      <c r="H6" s="369" t="n">
        <f aca="false">_dyn_user_freqmin_list</f>
        <v>303</v>
      </c>
      <c r="I6" s="370" t="n">
        <f aca="false">_dyn_user_freqmax_list</f>
        <v>533</v>
      </c>
      <c r="J6" s="368" t="n">
        <f aca="false">IFERROR(INDEX(_dyn_user_sdram_data_list,ROW()-5),"")</f>
        <v>800</v>
      </c>
      <c r="K6" s="371" t="n">
        <f aca="false">IFERROR(INDEX(_dyn_user_sdram_width_list,ROW()-5),"")</f>
        <v>8</v>
      </c>
      <c r="L6" s="369" t="n">
        <f aca="true">IFERROR(INDEX(_sdram_sb_lookup,SMALL(_sdram_sb_list,ROW(1:1)))-_sdram_data_rate,"")</f>
        <v>10</v>
      </c>
      <c r="M6" s="370" t="n">
        <f aca="false">IFERROR(INDEX(_dyn_user_sdram_density_list,ROW()-5),"")</f>
        <v>0.5</v>
      </c>
      <c r="N6" s="372" t="str">
        <f aca="false">IFERROR(INDEX(_dyn_user_sdram_rtt_list,ROW()-5),"")</f>
        <v>Disabled</v>
      </c>
      <c r="O6" s="373" t="str">
        <f aca="false">IFERROR(INDEX(_dyn_user_sdram_rttwr_list,ROW()-5),"")</f>
        <v>Disabled</v>
      </c>
      <c r="P6" s="373" t="str">
        <f aca="false">IFERROR(INDEX(_dyn_user_sdram_drivimp_list,ROW()-5),"")</f>
        <v>RZQ/6</v>
      </c>
      <c r="Q6" s="369" t="str">
        <f aca="false">IFERROR(INDEX(_emif_io_sr,ROW()-5),"")</f>
        <v>Fastest: SR[2:0] = 0b000</v>
      </c>
      <c r="R6" s="374"/>
      <c r="S6" s="374"/>
      <c r="T6" s="369" t="e">
        <f aca="false">_company_project_invalid</f>
        <v>#NAME?</v>
      </c>
      <c r="U6" s="374"/>
      <c r="V6" s="369" t="str">
        <f aca="false">IF(B6="","",IF(B7="",B6,CONCATENATE(B6,", ")))</f>
        <v>AM570x,</v>
      </c>
      <c r="W6" s="369"/>
      <c r="X6" s="369"/>
      <c r="Y6" s="369"/>
      <c r="Z6" s="369"/>
      <c r="AA6" s="369"/>
      <c r="AB6" s="369"/>
      <c r="AC6" s="369"/>
      <c r="AD6" s="370"/>
    </row>
    <row r="7" customFormat="false" ht="12.75" hidden="false" customHeight="false" outlineLevel="0" collapsed="false">
      <c r="B7" s="368" t="str">
        <f aca="false">IFERROR(INDEX(_soc_partnum_list,ROW()-5),"")</f>
        <v>AM571x</v>
      </c>
      <c r="C7" s="369" t="str">
        <f aca="false">IFERROR(INDEX(_dyn_user_memtype_list,ROW()-5),"")</f>
        <v/>
      </c>
      <c r="D7" s="369" t="n">
        <f aca="false">IFERROR(INDEX(_dyn_user_emifs_list,ROW()-5),"")</f>
        <v>2</v>
      </c>
      <c r="E7" s="369" t="str">
        <f aca="false">IFERROR(INDEX(_dyn_user_cs_list,ROW()-5),"")</f>
        <v/>
      </c>
      <c r="F7" s="369" t="str">
        <f aca="false">IFERROR(INDEX(_dyn_user_sdram_lvl_list,ROW()-5),"")</f>
        <v/>
      </c>
      <c r="G7" s="369" t="str">
        <f aca="false">IFERROR(INDEX(_dyn_user_ecc_list,ROW()-5),"")</f>
        <v>No</v>
      </c>
      <c r="H7" s="375"/>
      <c r="I7" s="376"/>
      <c r="J7" s="368" t="n">
        <f aca="false">IFERROR(INDEX(_dyn_user_sdram_data_list,ROW()-5),"")</f>
        <v>1066</v>
      </c>
      <c r="K7" s="371" t="n">
        <f aca="false">IFERROR(INDEX(_dyn_user_sdram_width_list,ROW()-5),"")</f>
        <v>16</v>
      </c>
      <c r="L7" s="369" t="n">
        <f aca="true">IFERROR(INDEX(_sdram_sb_lookup,SMALL(_sdram_sb_list,ROW(2:2)))-_sdram_data_rate,"")</f>
        <v>11</v>
      </c>
      <c r="M7" s="370" t="n">
        <f aca="false">IFERROR(INDEX(_dyn_user_sdram_density_list,ROW()-5),"")</f>
        <v>1</v>
      </c>
      <c r="N7" s="372" t="str">
        <f aca="false">IFERROR(INDEX(_dyn_user_sdram_rtt_list,ROW()-5),"")</f>
        <v>RZQ/4</v>
      </c>
      <c r="O7" s="373" t="str">
        <f aca="false">IFERROR(INDEX(_dyn_user_sdram_rttwr_list,ROW()-5),"")</f>
        <v>RZQ/4</v>
      </c>
      <c r="P7" s="373" t="str">
        <f aca="false">IFERROR(INDEX(_dyn_user_sdram_drivimp_list,ROW()-5),"")</f>
        <v>RZQ/7</v>
      </c>
      <c r="Q7" s="369" t="str">
        <f aca="false">IFERROR(INDEX(_emif_io_sr,ROW()-5),"")</f>
        <v>SR[2:0] = 0b001</v>
      </c>
      <c r="R7" s="375"/>
      <c r="S7" s="375"/>
      <c r="T7" s="377" t="n">
        <f aca="false">MIN(_t_cl_user_max,CHOOSE(MATCH(_user_sdram_type,_emif4d5e_sdram_types,0),0,0,5,11,8))</f>
        <v>11</v>
      </c>
      <c r="U7" s="375"/>
      <c r="V7" s="369" t="str">
        <f aca="false">IF(B7="","",IF(B8="",B7,CONCATENATE(B7,", ")))</f>
        <v>AM571x,</v>
      </c>
      <c r="W7" s="377"/>
      <c r="X7" s="377"/>
      <c r="Y7" s="377"/>
      <c r="Z7" s="377"/>
      <c r="AA7" s="377"/>
      <c r="AB7" s="377"/>
      <c r="AC7" s="377"/>
      <c r="AD7" s="378"/>
    </row>
    <row r="8" customFormat="false" ht="12.75" hidden="false" customHeight="false" outlineLevel="0" collapsed="false">
      <c r="B8" s="368" t="str">
        <f aca="false">IFERROR(INDEX(_soc_partnum_list,ROW()-5),"")</f>
        <v>AM572x</v>
      </c>
      <c r="C8" s="369" t="str">
        <f aca="false">IFERROR(INDEX(_dyn_user_memtype_list,ROW()-5),"")</f>
        <v/>
      </c>
      <c r="D8" s="369" t="str">
        <f aca="false">IFERROR(INDEX(_dyn_user_emifs_list,ROW()-5),"")</f>
        <v/>
      </c>
      <c r="E8" s="369" t="str">
        <f aca="false">IFERROR(INDEX(_dyn_user_cs_list,ROW()-5),"")</f>
        <v/>
      </c>
      <c r="F8" s="369" t="str">
        <f aca="false">IFERROR(INDEX(_dyn_user_sdram_lvl_list,ROW()-5),"")</f>
        <v/>
      </c>
      <c r="G8" s="369" t="str">
        <f aca="false">IFERROR(INDEX(_dyn_user_ecc_list,ROW()-5),"")</f>
        <v/>
      </c>
      <c r="H8" s="375"/>
      <c r="I8" s="376"/>
      <c r="J8" s="368" t="n">
        <f aca="false">IFERROR(INDEX(_dyn_user_sdram_data_list,ROW()-5),"")</f>
        <v>1333</v>
      </c>
      <c r="K8" s="371" t="str">
        <f aca="false">IFERROR(INDEX(_dyn_user_sdram_width_list,ROW()-5),"")</f>
        <v/>
      </c>
      <c r="L8" s="369" t="n">
        <f aca="true">IFERROR(INDEX(_sdram_sb_lookup,SMALL(_sdram_sb_list,ROW(3:3)))-_sdram_data_rate,"")</f>
        <v>12</v>
      </c>
      <c r="M8" s="370" t="n">
        <f aca="false">IFERROR(INDEX(_dyn_user_sdram_density_list,ROW()-5),"")</f>
        <v>2</v>
      </c>
      <c r="N8" s="372" t="str">
        <f aca="false">IFERROR(INDEX(_dyn_user_sdram_rtt_list,ROW()-5),"")</f>
        <v>RZQ/2</v>
      </c>
      <c r="O8" s="373" t="str">
        <f aca="false">IFERROR(INDEX(_dyn_user_sdram_rttwr_list,ROW()-5),"")</f>
        <v>RZQ/2</v>
      </c>
      <c r="P8" s="373" t="str">
        <f aca="false">IFERROR(INDEX(_dyn_user_sdram_drivimp_list,ROW()-5),"")</f>
        <v/>
      </c>
      <c r="Q8" s="369" t="str">
        <f aca="false">IFERROR(INDEX(_emif_io_sr,ROW()-5),"")</f>
        <v>SR[2:0] = 0b010</v>
      </c>
      <c r="R8" s="375"/>
      <c r="S8" s="375"/>
      <c r="T8" s="377" t="n">
        <f aca="false">MAX(_t_cl_user_min,CHOOSE(MATCH(_user_sdram_type,_emif4d5e_sdram_types,0),0,0,2,5,3))</f>
        <v>6</v>
      </c>
      <c r="U8" s="375"/>
      <c r="V8" s="369" t="str">
        <f aca="false">IF(B8="","",IF(B9="",B8,CONCATENATE(B8,", ")))</f>
        <v>AM572x,</v>
      </c>
      <c r="W8" s="377"/>
      <c r="X8" s="377"/>
      <c r="Y8" s="377"/>
      <c r="Z8" s="377"/>
      <c r="AA8" s="377"/>
      <c r="AB8" s="377"/>
      <c r="AC8" s="377"/>
      <c r="AD8" s="378"/>
    </row>
    <row r="9" customFormat="false" ht="12.75" hidden="false" customHeight="false" outlineLevel="0" collapsed="false">
      <c r="B9" s="368" t="str">
        <f aca="false">IFERROR(INDEX(_soc_partnum_list,ROW()-5),"")</f>
        <v>AM574x</v>
      </c>
      <c r="C9" s="369" t="str">
        <f aca="false">IFERROR(INDEX(_dyn_user_memtype_list,ROW()-5),"")</f>
        <v/>
      </c>
      <c r="D9" s="369" t="str">
        <f aca="false">IFERROR(INDEX(_dyn_user_emifs_list,ROW()-5),"")</f>
        <v/>
      </c>
      <c r="E9" s="369" t="str">
        <f aca="false">IFERROR(INDEX(_dyn_user_cs_list,ROW()-5),"")</f>
        <v/>
      </c>
      <c r="F9" s="369" t="str">
        <f aca="false">IFERROR(INDEX(_dyn_user_sdram_lvl_list,ROW()-5),"")</f>
        <v/>
      </c>
      <c r="G9" s="369" t="str">
        <f aca="false">IFERROR(INDEX(_dyn_user_ecc_list,ROW()-5),"")</f>
        <v/>
      </c>
      <c r="H9" s="375"/>
      <c r="I9" s="376"/>
      <c r="J9" s="368" t="n">
        <f aca="false">IFERROR(INDEX(_dyn_user_sdram_data_list,ROW()-5),"")</f>
        <v>1600</v>
      </c>
      <c r="K9" s="371" t="str">
        <f aca="false">IFERROR(INDEX(_dyn_user_sdram_width_list,ROW()-5),"")</f>
        <v/>
      </c>
      <c r="L9" s="369" t="n">
        <f aca="true">IFERROR(INDEX(_sdram_sb_lookup,SMALL(_sdram_sb_list,ROW(4:4)))-_sdram_data_rate,"")</f>
        <v>13</v>
      </c>
      <c r="M9" s="370" t="n">
        <f aca="false">IFERROR(INDEX(_dyn_user_sdram_density_list,ROW()-5),"")</f>
        <v>4</v>
      </c>
      <c r="N9" s="372" t="str">
        <f aca="false">IFERROR(INDEX(_dyn_user_sdram_rtt_list,ROW()-5),"")</f>
        <v>RZQ/6</v>
      </c>
      <c r="O9" s="373" t="str">
        <f aca="false">IFERROR(INDEX(_dyn_user_sdram_rttwr_list,ROW()-5),"")</f>
        <v/>
      </c>
      <c r="P9" s="373" t="str">
        <f aca="false">IFERROR(INDEX(_dyn_user_sdram_drivimp_list,ROW()-5),"")</f>
        <v/>
      </c>
      <c r="Q9" s="369" t="str">
        <f aca="false">IFERROR(INDEX(_emif_io_sr,ROW()-5),"")</f>
        <v>SR[2:0] = 0b011</v>
      </c>
      <c r="R9" s="375"/>
      <c r="S9" s="375"/>
      <c r="T9" s="375"/>
      <c r="U9" s="375"/>
      <c r="V9" s="369" t="str">
        <f aca="false">IF(B9="","",IF(B10="",B9,CONCATENATE(B9,", ")))</f>
        <v>AM574x,</v>
      </c>
      <c r="W9" s="377"/>
      <c r="X9" s="377"/>
      <c r="Y9" s="377"/>
      <c r="Z9" s="377"/>
      <c r="AA9" s="377"/>
      <c r="AB9" s="377"/>
      <c r="AC9" s="377"/>
      <c r="AD9" s="378"/>
    </row>
    <row r="10" customFormat="false" ht="12.75" hidden="false" customHeight="false" outlineLevel="0" collapsed="false">
      <c r="B10" s="368" t="str">
        <f aca="false">IFERROR(INDEX(_soc_partnum_list,ROW()-5),"")</f>
        <v>AM576x</v>
      </c>
      <c r="C10" s="369" t="str">
        <f aca="false">IFERROR(INDEX(_dyn_user_memtype_list,ROW()-5),"")</f>
        <v/>
      </c>
      <c r="D10" s="369" t="str">
        <f aca="false">IFERROR(INDEX(_dyn_user_emifs_list,ROW()-5),"")</f>
        <v/>
      </c>
      <c r="E10" s="369" t="str">
        <f aca="false">IFERROR(INDEX(_dyn_user_cs_list,ROW()-5),"")</f>
        <v/>
      </c>
      <c r="F10" s="369" t="str">
        <f aca="false">IFERROR(INDEX(_dyn_user_sdram_lvl_list,ROW()-5),"")</f>
        <v/>
      </c>
      <c r="G10" s="369" t="str">
        <f aca="false">IFERROR(INDEX(_dyn_user_ecc_list,ROW()-5),"")</f>
        <v/>
      </c>
      <c r="H10" s="375"/>
      <c r="I10" s="376"/>
      <c r="J10" s="368" t="n">
        <f aca="false">IFERROR(INDEX(_dyn_user_sdram_data_list,ROW()-5),"")</f>
        <v>1866</v>
      </c>
      <c r="K10" s="371" t="str">
        <f aca="false">IFERROR(INDEX(_dyn_user_sdram_width_list,ROW()-5),"")</f>
        <v/>
      </c>
      <c r="L10" s="369" t="str">
        <f aca="true">IFERROR(INDEX(_sdram_sb_lookup,SMALL(_sdram_sb_list,ROW(5:5)))-_sdram_data_rate,"")</f>
        <v/>
      </c>
      <c r="M10" s="370" t="n">
        <f aca="false">IFERROR(INDEX(_dyn_user_sdram_density_list,ROW()-5),"")</f>
        <v>8</v>
      </c>
      <c r="N10" s="372" t="str">
        <f aca="false">IFERROR(INDEX(_dyn_user_sdram_rtt_list,ROW()-5),"")</f>
        <v>RZQ/12</v>
      </c>
      <c r="O10" s="373" t="str">
        <f aca="false">IFERROR(INDEX(_dyn_user_sdram_rttwr_list,ROW()-5),"")</f>
        <v/>
      </c>
      <c r="P10" s="373" t="str">
        <f aca="false">IFERROR(INDEX(_dyn_user_sdram_drivimp_list,ROW()-5),"")</f>
        <v/>
      </c>
      <c r="Q10" s="369" t="str">
        <f aca="false">IFERROR(INDEX(_emif_io_sr,ROW()-5),"")</f>
        <v>SR[2:0] = 0b100</v>
      </c>
      <c r="R10" s="375"/>
      <c r="S10" s="375"/>
      <c r="T10" s="375"/>
      <c r="U10" s="375"/>
      <c r="V10" s="369" t="str">
        <f aca="false">IF(B10="","",IF(B11="",B10,CONCATENATE(B10,", ")))</f>
        <v>AM576x,</v>
      </c>
      <c r="W10" s="377"/>
      <c r="X10" s="377"/>
      <c r="Y10" s="377"/>
      <c r="Z10" s="377"/>
      <c r="AA10" s="377"/>
      <c r="AB10" s="377"/>
      <c r="AC10" s="377"/>
      <c r="AD10" s="378"/>
    </row>
    <row r="11" customFormat="false" ht="12.75" hidden="false" customHeight="false" outlineLevel="0" collapsed="false">
      <c r="B11" s="368" t="str">
        <f aca="false">IFERROR(INDEX(_soc_partnum_list,ROW()-5),"")</f>
        <v>DM50x_ABE</v>
      </c>
      <c r="C11" s="369" t="str">
        <f aca="false">IFERROR(INDEX(_dyn_user_memtype_list,ROW()-5),"")</f>
        <v/>
      </c>
      <c r="D11" s="369" t="str">
        <f aca="false">IFERROR(INDEX(_dyn_user_emifs_list,ROW()-5),"")</f>
        <v/>
      </c>
      <c r="E11" s="369" t="str">
        <f aca="false">IFERROR(INDEX(_dyn_user_cs_list,ROW()-5),"")</f>
        <v/>
      </c>
      <c r="F11" s="369" t="str">
        <f aca="false">IFERROR(INDEX(_dyn_user_sdram_lvl_list,ROW()-5),"")</f>
        <v/>
      </c>
      <c r="G11" s="369" t="str">
        <f aca="false">IFERROR(INDEX(_dyn_user_ecc_list,ROW()-5),"")</f>
        <v/>
      </c>
      <c r="H11" s="375"/>
      <c r="I11" s="376"/>
      <c r="J11" s="368" t="n">
        <f aca="false">IFERROR(INDEX(_dyn_user_sdram_data_list,ROW()-5),"")</f>
        <v>2133</v>
      </c>
      <c r="K11" s="371" t="str">
        <f aca="false">IFERROR(INDEX(_dyn_user_sdram_width_list,ROW()-5),"")</f>
        <v/>
      </c>
      <c r="L11" s="369" t="str">
        <f aca="true">IFERROR(INDEX(_sdram_sb_lookup,SMALL(_sdram_sb_list,ROW(6:6)))-_sdram_data_rate,"")</f>
        <v/>
      </c>
      <c r="M11" s="370" t="str">
        <f aca="false">IFERROR(INDEX(_dyn_user_sdram_density_list,ROW()-5),"")</f>
        <v/>
      </c>
      <c r="N11" s="372" t="str">
        <f aca="false">IFERROR(INDEX(_dyn_user_sdram_rtt_list,ROW()-5),"")</f>
        <v>RZQ/8</v>
      </c>
      <c r="O11" s="373" t="str">
        <f aca="false">IFERROR(INDEX(_dyn_user_sdram_rttwr_list,ROW()-5),"")</f>
        <v/>
      </c>
      <c r="P11" s="373" t="str">
        <f aca="false">IFERROR(INDEX(_dyn_user_sdram_drivimp_list,ROW()-5),"")</f>
        <v/>
      </c>
      <c r="Q11" s="369" t="str">
        <f aca="false">IFERROR(INDEX(_emif_io_sr,ROW()-5),"")</f>
        <v>SR[2:0] = 0b101</v>
      </c>
      <c r="R11" s="375"/>
      <c r="S11" s="375"/>
      <c r="T11" s="375"/>
      <c r="U11" s="375"/>
      <c r="V11" s="369" t="str">
        <f aca="false">IF(B11="","",IF(B12="",B11,CONCATENATE(B11,", ")))</f>
        <v>DM50x_ABE,</v>
      </c>
      <c r="W11" s="377"/>
      <c r="X11" s="377"/>
      <c r="Y11" s="377"/>
      <c r="Z11" s="377"/>
      <c r="AA11" s="377"/>
      <c r="AB11" s="377"/>
      <c r="AC11" s="377"/>
      <c r="AD11" s="378"/>
    </row>
    <row r="12" customFormat="false" ht="12.75" hidden="false" customHeight="false" outlineLevel="0" collapsed="false">
      <c r="B12" s="368" t="str">
        <f aca="false">IFERROR(INDEX(_soc_partnum_list,ROW()-5),"")</f>
        <v>DM50x_ABF</v>
      </c>
      <c r="C12" s="369" t="str">
        <f aca="false">IFERROR(INDEX(_dyn_user_memtype_list,ROW()-5),"")</f>
        <v/>
      </c>
      <c r="D12" s="369" t="str">
        <f aca="false">IFERROR(INDEX(_dyn_user_emifs_list,ROW()-5),"")</f>
        <v/>
      </c>
      <c r="E12" s="369" t="str">
        <f aca="false">IFERROR(INDEX(_dyn_user_cs_list,ROW()-5),"")</f>
        <v/>
      </c>
      <c r="F12" s="369" t="str">
        <f aca="false">IFERROR(INDEX(_dyn_user_sdram_lvl_list,ROW()-5),"")</f>
        <v/>
      </c>
      <c r="G12" s="369" t="str">
        <f aca="false">IFERROR(INDEX(_dyn_user_ecc_list,ROW()-5),"")</f>
        <v/>
      </c>
      <c r="H12" s="375"/>
      <c r="I12" s="376"/>
      <c r="J12" s="368" t="str">
        <f aca="false">IFERROR(INDEX(_dyn_user_sdram_data_list,ROW()-5),"")</f>
        <v/>
      </c>
      <c r="K12" s="371" t="str">
        <f aca="false">IFERROR(INDEX(_dyn_user_sdram_width_list,ROW()-5),"")</f>
        <v/>
      </c>
      <c r="L12" s="369" t="str">
        <f aca="true">IFERROR(INDEX(_sdram_sb_lookup,SMALL(_sdram_sb_list,ROW(7:7)))-_sdram_data_rate,"")</f>
        <v/>
      </c>
      <c r="M12" s="370" t="str">
        <f aca="false">IFERROR(INDEX(_dyn_user_sdram_density_list,ROW()-5),"")</f>
        <v/>
      </c>
      <c r="N12" s="372" t="str">
        <f aca="false">IFERROR(INDEX(_dyn_user_sdram_rtt_list,ROW()-5),"")</f>
        <v/>
      </c>
      <c r="O12" s="373" t="str">
        <f aca="false">IFERROR(INDEX(_dyn_user_sdram_rttwr_list,ROW()-5),"")</f>
        <v/>
      </c>
      <c r="P12" s="373" t="str">
        <f aca="false">IFERROR(INDEX(_dyn_user_sdram_drivimp_list,ROW()-5),"")</f>
        <v/>
      </c>
      <c r="Q12" s="369" t="str">
        <f aca="false">IFERROR(INDEX(_emif_io_sr,ROW()-5),"")</f>
        <v>SR[2:0] = 0b110</v>
      </c>
      <c r="R12" s="375"/>
      <c r="S12" s="375"/>
      <c r="T12" s="375"/>
      <c r="U12" s="375"/>
      <c r="V12" s="369" t="str">
        <f aca="false">IF(B12="","",IF(B13="",B12,CONCATENATE(B12,", ")))</f>
        <v>DM50x_ABF,</v>
      </c>
      <c r="W12" s="377"/>
      <c r="X12" s="377"/>
      <c r="Y12" s="377"/>
      <c r="Z12" s="377"/>
      <c r="AA12" s="377"/>
      <c r="AB12" s="377"/>
      <c r="AC12" s="377"/>
      <c r="AD12" s="378"/>
    </row>
    <row r="13" customFormat="false" ht="12.75" hidden="false" customHeight="false" outlineLevel="0" collapsed="false">
      <c r="B13" s="368" t="str">
        <f aca="false">IFERROR(INDEX(_soc_partnum_list,ROW()-5),"")</f>
        <v>DRA71x</v>
      </c>
      <c r="C13" s="369" t="str">
        <f aca="false">IFERROR(INDEX(_dyn_user_memtype_list,ROW()-5),"")</f>
        <v/>
      </c>
      <c r="D13" s="369" t="str">
        <f aca="false">IFERROR(INDEX(_dyn_user_emifs_list,ROW()-5),"")</f>
        <v/>
      </c>
      <c r="E13" s="369" t="str">
        <f aca="false">IFERROR(INDEX(_dyn_user_cs_list,ROW()-5),"")</f>
        <v/>
      </c>
      <c r="F13" s="369" t="str">
        <f aca="false">IFERROR(INDEX(_dyn_user_sdram_lvl_list,ROW()-5),"")</f>
        <v/>
      </c>
      <c r="G13" s="369" t="str">
        <f aca="false">IFERROR(INDEX(_dyn_user_ecc_list,ROW()-5),"")</f>
        <v/>
      </c>
      <c r="H13" s="375"/>
      <c r="I13" s="376"/>
      <c r="J13" s="368" t="str">
        <f aca="false">IFERROR(INDEX(_dyn_user_sdram_data_list,ROW()-5),"")</f>
        <v/>
      </c>
      <c r="K13" s="371" t="str">
        <f aca="false">IFERROR(INDEX(_dyn_user_sdram_width_list,ROW()-5),"")</f>
        <v/>
      </c>
      <c r="L13" s="369" t="str">
        <f aca="true">IFERROR(INDEX(_sdram_sb_lookup,SMALL(_sdram_sb_list,ROW(8:8)))-_sdram_data_rate,"")</f>
        <v/>
      </c>
      <c r="M13" s="370" t="str">
        <f aca="false">IFERROR(INDEX(_dyn_user_sdram_density_list,ROW()-5),"")</f>
        <v/>
      </c>
      <c r="N13" s="372" t="str">
        <f aca="false">IFERROR(INDEX(_dyn_user_sdram_rtt_list,ROW()-5),"")</f>
        <v/>
      </c>
      <c r="O13" s="373" t="str">
        <f aca="false">IFERROR(INDEX(_dyn_user_sdram_rttwr_list,ROW()-5),"")</f>
        <v/>
      </c>
      <c r="P13" s="373" t="str">
        <f aca="false">IFERROR(INDEX(_dyn_user_sdram_drivimp_list,ROW()-5),"")</f>
        <v/>
      </c>
      <c r="Q13" s="369" t="str">
        <f aca="false">IFERROR(INDEX(_emif_io_sr,ROW()-5),"")</f>
        <v>Slowest: SR[2:0] = 0b111</v>
      </c>
      <c r="R13" s="375"/>
      <c r="S13" s="375"/>
      <c r="T13" s="375"/>
      <c r="U13" s="375"/>
      <c r="V13" s="369" t="str">
        <f aca="false">IF(B13="","",IF(B14="",B13,CONCATENATE(B13,", ")))</f>
        <v>DRA71x,</v>
      </c>
      <c r="W13" s="377"/>
      <c r="X13" s="377"/>
      <c r="Y13" s="377"/>
      <c r="Z13" s="377"/>
      <c r="AA13" s="377"/>
      <c r="AB13" s="377"/>
      <c r="AC13" s="377"/>
      <c r="AD13" s="378"/>
    </row>
    <row r="14" customFormat="false" ht="12.75" hidden="false" customHeight="false" outlineLevel="0" collapsed="false">
      <c r="B14" s="368" t="str">
        <f aca="false">IFERROR(INDEX(_soc_partnum_list,ROW()-5),"")</f>
        <v>DRA72x</v>
      </c>
      <c r="C14" s="369" t="str">
        <f aca="false">IFERROR(INDEX(_dyn_user_memtype_list,ROW()-5),"")</f>
        <v/>
      </c>
      <c r="D14" s="369" t="str">
        <f aca="false">IFERROR(INDEX(_dyn_user_emifs_list,ROW()-5),"")</f>
        <v/>
      </c>
      <c r="E14" s="369" t="str">
        <f aca="false">IFERROR(INDEX(_dyn_user_cs_list,ROW()-5),"")</f>
        <v/>
      </c>
      <c r="F14" s="369" t="str">
        <f aca="false">IFERROR(INDEX(_dyn_user_sdram_lvl_list,ROW()-5),"")</f>
        <v/>
      </c>
      <c r="G14" s="369" t="str">
        <f aca="false">IFERROR(INDEX(_dyn_user_ecc_list,ROW()-5),"")</f>
        <v/>
      </c>
      <c r="H14" s="375"/>
      <c r="I14" s="376"/>
      <c r="J14" s="368" t="str">
        <f aca="false">IFERROR(INDEX(_dyn_user_sdram_data_list,ROW()-5),"")</f>
        <v/>
      </c>
      <c r="K14" s="371" t="str">
        <f aca="false">IFERROR(INDEX(_dyn_user_sdram_width_list,ROW()-5),"")</f>
        <v/>
      </c>
      <c r="L14" s="369" t="str">
        <f aca="true">IFERROR(INDEX(_sdram_sb_lookup,SMALL(_sdram_sb_list,ROW(9:9)))-_sdram_data_rate,"")</f>
        <v/>
      </c>
      <c r="M14" s="370" t="str">
        <f aca="false">IFERROR(INDEX(_dyn_user_sdram_density_list,ROW()-5),"")</f>
        <v/>
      </c>
      <c r="N14" s="372" t="str">
        <f aca="false">IFERROR(INDEX(_dyn_user_sdram_rtt_list,ROW()-5),"")</f>
        <v/>
      </c>
      <c r="O14" s="373" t="str">
        <f aca="false">IFERROR(INDEX(_dyn_user_sdram_rttwr_list,ROW()-5),"")</f>
        <v/>
      </c>
      <c r="P14" s="373" t="str">
        <f aca="false">IFERROR(INDEX(_dyn_user_sdram_drivimp_list,ROW()-5),"")</f>
        <v/>
      </c>
      <c r="Q14" s="369" t="str">
        <f aca="false">IFERROR(INDEX(_emif_io_sr,ROW()-5),"")</f>
        <v/>
      </c>
      <c r="R14" s="375"/>
      <c r="S14" s="375"/>
      <c r="T14" s="375"/>
      <c r="U14" s="375"/>
      <c r="V14" s="369" t="str">
        <f aca="false">IF(B14="","",IF(B15="",B14,CONCATENATE(B14,", ")))</f>
        <v>DRA72x,</v>
      </c>
      <c r="W14" s="377"/>
      <c r="X14" s="377"/>
      <c r="Y14" s="377"/>
      <c r="Z14" s="377"/>
      <c r="AA14" s="377"/>
      <c r="AB14" s="377"/>
      <c r="AC14" s="377"/>
      <c r="AD14" s="378"/>
    </row>
    <row r="15" customFormat="false" ht="12.75" hidden="false" customHeight="false" outlineLevel="0" collapsed="false">
      <c r="B15" s="368" t="str">
        <f aca="false">IFERROR(INDEX(_soc_partnum_list,ROW()-5),"")</f>
        <v>DRA74x</v>
      </c>
      <c r="C15" s="369" t="str">
        <f aca="false">IFERROR(INDEX(_dyn_user_memtype_list,ROW()-5),"")</f>
        <v/>
      </c>
      <c r="D15" s="369" t="str">
        <f aca="false">IFERROR(INDEX(_dyn_user_emifs_list,ROW()-5),"")</f>
        <v/>
      </c>
      <c r="E15" s="369" t="str">
        <f aca="false">IFERROR(INDEX(_dyn_user_cs_list,ROW()-5),"")</f>
        <v/>
      </c>
      <c r="F15" s="369" t="str">
        <f aca="false">IFERROR(INDEX(_dyn_user_sdram_lvl_list,ROW()-5),"")</f>
        <v/>
      </c>
      <c r="G15" s="369" t="str">
        <f aca="false">IFERROR(INDEX(_dyn_user_ecc_list,ROW()-5),"")</f>
        <v/>
      </c>
      <c r="H15" s="375"/>
      <c r="I15" s="376"/>
      <c r="J15" s="368" t="str">
        <f aca="false">IFERROR(INDEX(_dyn_user_sdram_data_list,ROW()-5),"")</f>
        <v/>
      </c>
      <c r="K15" s="371" t="str">
        <f aca="false">IFERROR(INDEX(_dyn_user_sdram_width_list,ROW()-5),"")</f>
        <v/>
      </c>
      <c r="L15" s="369" t="str">
        <f aca="true">IFERROR(INDEX(_sdram_sb_lookup,SMALL(_sdram_sb_list,ROW(10:10)))-_sdram_data_rate,"")</f>
        <v/>
      </c>
      <c r="M15" s="370" t="str">
        <f aca="false">IFERROR(INDEX(_dyn_user_sdram_density_list,ROW()-5),"")</f>
        <v/>
      </c>
      <c r="N15" s="372" t="str">
        <f aca="false">IFERROR(INDEX(_dyn_user_sdram_rtt_list,ROW()-5),"")</f>
        <v/>
      </c>
      <c r="O15" s="373" t="str">
        <f aca="false">IFERROR(INDEX(_dyn_user_sdram_rttwr_list,ROW()-5),"")</f>
        <v/>
      </c>
      <c r="P15" s="373" t="str">
        <f aca="false">IFERROR(INDEX(_dyn_user_sdram_drivimp_list,ROW()-5),"")</f>
        <v/>
      </c>
      <c r="Q15" s="369" t="str">
        <f aca="false">IFERROR(INDEX(_emif_io_sr,ROW()-5),"")</f>
        <v/>
      </c>
      <c r="R15" s="375"/>
      <c r="S15" s="375"/>
      <c r="T15" s="375"/>
      <c r="U15" s="375"/>
      <c r="V15" s="369" t="str">
        <f aca="false">IF(B15="","",IF(B16="",B15,CONCATENATE(B15,", ")))</f>
        <v>DRA74x,</v>
      </c>
      <c r="W15" s="377"/>
      <c r="X15" s="377"/>
      <c r="Y15" s="377"/>
      <c r="Z15" s="377"/>
      <c r="AA15" s="377"/>
      <c r="AB15" s="377"/>
      <c r="AC15" s="377"/>
      <c r="AD15" s="378"/>
    </row>
    <row r="16" customFormat="false" ht="12.75" hidden="false" customHeight="false" outlineLevel="0" collapsed="false">
      <c r="B16" s="368" t="str">
        <f aca="false">IFERROR(INDEX(_soc_partnum_list,ROW()-5),"")</f>
        <v>DRA74xP</v>
      </c>
      <c r="C16" s="369" t="str">
        <f aca="false">IFERROR(INDEX(_dyn_user_memtype_list,ROW()-5),"")</f>
        <v/>
      </c>
      <c r="D16" s="369" t="str">
        <f aca="false">IFERROR(INDEX(_dyn_user_emifs_list,ROW()-5),"")</f>
        <v/>
      </c>
      <c r="E16" s="369" t="str">
        <f aca="false">IFERROR(INDEX(_dyn_user_cs_list,ROW()-5),"")</f>
        <v/>
      </c>
      <c r="F16" s="369" t="str">
        <f aca="false">IFERROR(INDEX(_dyn_user_sdram_lvl_list,ROW()-5),"")</f>
        <v/>
      </c>
      <c r="G16" s="369" t="str">
        <f aca="false">IFERROR(INDEX(_dyn_user_ecc_list,ROW()-5),"")</f>
        <v/>
      </c>
      <c r="H16" s="375"/>
      <c r="I16" s="376"/>
      <c r="J16" s="368" t="str">
        <f aca="false">IFERROR(INDEX(_dyn_user_sdram_data_list,ROW()-5),"")</f>
        <v/>
      </c>
      <c r="K16" s="371" t="str">
        <f aca="false">IFERROR(INDEX(_dyn_user_sdram_width_list,ROW()-5),"")</f>
        <v/>
      </c>
      <c r="L16" s="369" t="str">
        <f aca="true">IFERROR(INDEX(_sdram_sb_lookup,SMALL(_sdram_sb_list,ROW(11:11)))-_sdram_data_rate,"")</f>
        <v/>
      </c>
      <c r="M16" s="370" t="str">
        <f aca="false">IFERROR(INDEX(_dyn_user_sdram_density_list,ROW()-5),"")</f>
        <v/>
      </c>
      <c r="N16" s="372" t="str">
        <f aca="false">IFERROR(INDEX(_dyn_user_sdram_rtt_list,ROW()-5),"")</f>
        <v/>
      </c>
      <c r="O16" s="373" t="str">
        <f aca="false">IFERROR(INDEX(_dyn_user_sdram_rttwr_list,ROW()-5),"")</f>
        <v/>
      </c>
      <c r="P16" s="373" t="str">
        <f aca="false">IFERROR(INDEX(_dyn_user_sdram_drivimp_list,ROW()-5),"")</f>
        <v/>
      </c>
      <c r="Q16" s="369" t="str">
        <f aca="false">IFERROR(INDEX(_emif_io_sr,ROW()-5),"")</f>
        <v/>
      </c>
      <c r="R16" s="375"/>
      <c r="S16" s="375"/>
      <c r="T16" s="375"/>
      <c r="U16" s="375"/>
      <c r="V16" s="369" t="str">
        <f aca="false">IF(B16="","",IF(B17="",B16,CONCATENATE(B16,", ")))</f>
        <v>DRA74xP,</v>
      </c>
      <c r="W16" s="377"/>
      <c r="X16" s="377"/>
      <c r="Y16" s="377"/>
      <c r="Z16" s="377"/>
      <c r="AA16" s="377"/>
      <c r="AB16" s="377"/>
      <c r="AC16" s="377"/>
      <c r="AD16" s="378"/>
    </row>
    <row r="17" customFormat="false" ht="12.75" hidden="false" customHeight="false" outlineLevel="0" collapsed="false">
      <c r="B17" s="368" t="str">
        <f aca="false">IFERROR(INDEX(_soc_partnum_list,ROW()-5),"")</f>
        <v>DRA75x</v>
      </c>
      <c r="C17" s="369" t="str">
        <f aca="false">IFERROR(INDEX(_dyn_user_memtype_list,ROW()-5),"")</f>
        <v/>
      </c>
      <c r="D17" s="369" t="str">
        <f aca="false">IFERROR(INDEX(_dyn_user_emifs_list,ROW()-5),"")</f>
        <v/>
      </c>
      <c r="E17" s="369" t="str">
        <f aca="false">IFERROR(INDEX(_dyn_user_cs_list,ROW()-5),"")</f>
        <v/>
      </c>
      <c r="F17" s="369" t="str">
        <f aca="false">IFERROR(INDEX(_dyn_user_sdram_lvl_list,ROW()-5),"")</f>
        <v/>
      </c>
      <c r="G17" s="369" t="str">
        <f aca="false">IFERROR(INDEX(_dyn_user_ecc_list,ROW()-5),"")</f>
        <v/>
      </c>
      <c r="H17" s="375"/>
      <c r="I17" s="376"/>
      <c r="J17" s="368" t="str">
        <f aca="false">IFERROR(INDEX(_dyn_user_sdram_data_list,ROW()-5),"")</f>
        <v/>
      </c>
      <c r="K17" s="371" t="str">
        <f aca="false">IFERROR(INDEX(_dyn_user_sdram_width_list,ROW()-5),"")</f>
        <v/>
      </c>
      <c r="L17" s="369" t="str">
        <f aca="true">IFERROR(INDEX(_sdram_sb_lookup,SMALL(_sdram_sb_list,ROW(12:12)))-_sdram_data_rate,"")</f>
        <v/>
      </c>
      <c r="M17" s="370" t="str">
        <f aca="false">IFERROR(INDEX(_dyn_user_sdram_density_list,ROW()-5),"")</f>
        <v/>
      </c>
      <c r="N17" s="372" t="str">
        <f aca="false">IFERROR(INDEX(_dyn_user_sdram_rtt_list,ROW()-5),"")</f>
        <v/>
      </c>
      <c r="O17" s="373" t="str">
        <f aca="false">IFERROR(INDEX(_dyn_user_sdram_rttwr_list,ROW()-5),"")</f>
        <v/>
      </c>
      <c r="P17" s="373" t="str">
        <f aca="false">IFERROR(INDEX(_dyn_user_sdram_drivimp_list,ROW()-5),"")</f>
        <v/>
      </c>
      <c r="Q17" s="369" t="str">
        <f aca="false">IFERROR(INDEX(_emif_io_sr,ROW()-5),"")</f>
        <v/>
      </c>
      <c r="R17" s="375"/>
      <c r="S17" s="375"/>
      <c r="T17" s="375"/>
      <c r="U17" s="375"/>
      <c r="V17" s="369" t="str">
        <f aca="false">IF(B17="","",IF(B18="",B17,CONCATENATE(B17,", ")))</f>
        <v>DRA75x,</v>
      </c>
      <c r="W17" s="377"/>
      <c r="X17" s="377"/>
      <c r="Y17" s="377"/>
      <c r="Z17" s="377"/>
      <c r="AA17" s="377"/>
      <c r="AB17" s="377"/>
      <c r="AC17" s="377"/>
      <c r="AD17" s="378"/>
    </row>
    <row r="18" customFormat="false" ht="12.75" hidden="false" customHeight="false" outlineLevel="0" collapsed="false">
      <c r="B18" s="368" t="str">
        <f aca="false">IFERROR(INDEX(_soc_partnum_list,ROW()-5),"")</f>
        <v>DRA75xP</v>
      </c>
      <c r="C18" s="369" t="str">
        <f aca="false">IFERROR(INDEX(_dyn_user_memtype_list,ROW()-5),"")</f>
        <v/>
      </c>
      <c r="D18" s="369" t="str">
        <f aca="false">IFERROR(INDEX(_dyn_user_emifs_list,ROW()-5),"")</f>
        <v/>
      </c>
      <c r="E18" s="369" t="str">
        <f aca="false">IFERROR(INDEX(_dyn_user_cs_list,ROW()-5),"")</f>
        <v/>
      </c>
      <c r="F18" s="369" t="str">
        <f aca="false">IFERROR(INDEX(_dyn_user_sdram_lvl_list,ROW()-5),"")</f>
        <v/>
      </c>
      <c r="G18" s="369" t="str">
        <f aca="false">IFERROR(INDEX(_dyn_user_ecc_list,ROW()-5),"")</f>
        <v/>
      </c>
      <c r="H18" s="375"/>
      <c r="I18" s="376"/>
      <c r="J18" s="368" t="str">
        <f aca="false">IFERROR(INDEX(_dyn_user_sdram_data_list,ROW()-5),"")</f>
        <v/>
      </c>
      <c r="K18" s="371" t="str">
        <f aca="false">IFERROR(INDEX(_dyn_user_sdram_width_list,ROW()-5),"")</f>
        <v/>
      </c>
      <c r="L18" s="369" t="str">
        <f aca="true">IFERROR(INDEX(_sdram_sb_lookup,SMALL(_sdram_sb_list,ROW(13:13)))-_sdram_data_rate,"")</f>
        <v/>
      </c>
      <c r="M18" s="370" t="str">
        <f aca="false">IFERROR(INDEX(_dyn_user_sdram_density_list,ROW()-5),"")</f>
        <v/>
      </c>
      <c r="N18" s="372" t="str">
        <f aca="false">IFERROR(INDEX(_dyn_user_sdram_rtt_list,ROW()-5),"")</f>
        <v/>
      </c>
      <c r="O18" s="373" t="str">
        <f aca="false">IFERROR(INDEX(_dyn_user_sdram_rttwr_list,ROW()-5),"")</f>
        <v/>
      </c>
      <c r="P18" s="373" t="str">
        <f aca="false">IFERROR(INDEX(_dyn_user_sdram_drivimp_list,ROW()-5),"")</f>
        <v/>
      </c>
      <c r="Q18" s="369" t="str">
        <f aca="false">IFERROR(INDEX(_emif_io_sr,ROW()-5),"")</f>
        <v/>
      </c>
      <c r="R18" s="375"/>
      <c r="S18" s="375"/>
      <c r="T18" s="375"/>
      <c r="U18" s="375"/>
      <c r="V18" s="369" t="str">
        <f aca="false">IF(B18="","",IF(B19="",B18,CONCATENATE(B18,", ")))</f>
        <v>DRA75xP,</v>
      </c>
      <c r="W18" s="377"/>
      <c r="X18" s="377"/>
      <c r="Y18" s="377"/>
      <c r="Z18" s="377"/>
      <c r="AA18" s="377"/>
      <c r="AB18" s="377"/>
      <c r="AC18" s="377"/>
      <c r="AD18" s="378"/>
    </row>
    <row r="19" customFormat="false" ht="13.5" hidden="false" customHeight="false" outlineLevel="0" collapsed="false">
      <c r="B19" s="368" t="str">
        <f aca="false">IFERROR(INDEX(_soc_partnum_list,ROW()-5),"")</f>
        <v>DRA76x</v>
      </c>
      <c r="C19" s="369" t="str">
        <f aca="false">IFERROR(INDEX(_dyn_user_memtype_list,ROW()-5),"")</f>
        <v/>
      </c>
      <c r="D19" s="369" t="str">
        <f aca="false">IFERROR(INDEX(_dyn_user_emifs_list,ROW()-5),"")</f>
        <v/>
      </c>
      <c r="E19" s="369" t="str">
        <f aca="false">IFERROR(INDEX(_dyn_user_cs_list,ROW()-5),"")</f>
        <v/>
      </c>
      <c r="F19" s="369" t="str">
        <f aca="false">IFERROR(INDEX(_dyn_user_sdram_lvl_list,ROW()-5),"")</f>
        <v/>
      </c>
      <c r="G19" s="369" t="str">
        <f aca="false">IFERROR(INDEX(_dyn_user_ecc_list,ROW()-5),"")</f>
        <v/>
      </c>
      <c r="H19" s="379"/>
      <c r="I19" s="380"/>
      <c r="J19" s="368" t="str">
        <f aca="false">IFERROR(INDEX(_dyn_user_sdram_data_list,ROW()-5),"")</f>
        <v/>
      </c>
      <c r="K19" s="371" t="str">
        <f aca="false">IFERROR(INDEX(_dyn_user_sdram_width_list,ROW()-5),"")</f>
        <v/>
      </c>
      <c r="L19" s="369" t="str">
        <f aca="true">IFERROR(INDEX(_sdram_sb_lookup,SMALL(_sdram_sb_list,ROW(14:14)))-_sdram_data_rate,"")</f>
        <v/>
      </c>
      <c r="M19" s="370" t="str">
        <f aca="false">IFERROR(INDEX(_dyn_user_sdram_density_list,ROW()-5),"")</f>
        <v/>
      </c>
      <c r="N19" s="372" t="str">
        <f aca="false">IFERROR(INDEX(_dyn_user_sdram_rtt_list,ROW()-5),"")</f>
        <v/>
      </c>
      <c r="O19" s="373" t="str">
        <f aca="false">IFERROR(INDEX(_dyn_user_sdram_rttwr_list,ROW()-5),"")</f>
        <v/>
      </c>
      <c r="P19" s="373" t="str">
        <f aca="false">IFERROR(INDEX(_dyn_user_sdram_drivimp_list,ROW()-5),"")</f>
        <v/>
      </c>
      <c r="Q19" s="369" t="str">
        <f aca="false">IFERROR(INDEX(_emif_io_sr,ROW()-5),"")</f>
        <v/>
      </c>
      <c r="R19" s="379"/>
      <c r="S19" s="379"/>
      <c r="T19" s="379"/>
      <c r="U19" s="379"/>
      <c r="V19" s="369" t="str">
        <f aca="false">IF(B19="","",IF(B20="",B19,CONCATENATE(B19,", ")))</f>
        <v>DRA76x,</v>
      </c>
      <c r="W19" s="381"/>
      <c r="X19" s="381"/>
      <c r="Y19" s="381"/>
      <c r="Z19" s="381"/>
      <c r="AA19" s="381"/>
      <c r="AB19" s="381"/>
      <c r="AC19" s="381"/>
      <c r="AD19" s="382"/>
    </row>
    <row r="20" customFormat="false" ht="13.5" hidden="false" customHeight="false" outlineLevel="0" collapsed="false">
      <c r="B20" s="368" t="str">
        <f aca="false">IFERROR(INDEX(_soc_partnum_list,ROW()-5),"")</f>
        <v>DRA77x</v>
      </c>
      <c r="C20" s="369" t="str">
        <f aca="false">IFERROR(INDEX(_dyn_user_memtype_list,ROW()-5),"")</f>
        <v/>
      </c>
      <c r="D20" s="369" t="str">
        <f aca="false">IFERROR(INDEX(_dyn_user_emifs_list,ROW()-5),"")</f>
        <v/>
      </c>
      <c r="E20" s="369" t="str">
        <f aca="false">IFERROR(INDEX(_dyn_user_cs_list,ROW()-5),"")</f>
        <v/>
      </c>
      <c r="F20" s="369" t="str">
        <f aca="false">IFERROR(INDEX(_dyn_user_sdram_lvl_list,ROW()-5),"")</f>
        <v/>
      </c>
      <c r="G20" s="369" t="str">
        <f aca="false">IFERROR(INDEX(_dyn_user_ecc_list,ROW()-5),"")</f>
        <v/>
      </c>
      <c r="H20" s="270"/>
      <c r="I20" s="270"/>
      <c r="J20" s="368" t="str">
        <f aca="false">IFERROR(INDEX(_dyn_user_sdram_data_list,ROW()-5),"")</f>
        <v/>
      </c>
      <c r="K20" s="371" t="str">
        <f aca="false">IFERROR(INDEX(_dyn_user_sdram_width_list,ROW()-5),"")</f>
        <v/>
      </c>
      <c r="L20" s="369" t="str">
        <f aca="true">IFERROR(INDEX(_sdram_sb_lookup,SMALL(_sdram_sb_list,ROW(15:15)))-_sdram_data_rate,"")</f>
        <v/>
      </c>
      <c r="M20" s="370" t="str">
        <f aca="false">IFERROR(INDEX(_dyn_user_sdram_density_list,ROW()-5),"")</f>
        <v/>
      </c>
      <c r="N20" s="372" t="str">
        <f aca="false">IFERROR(INDEX(_dyn_user_sdram_rtt_list,ROW()-5),"")</f>
        <v/>
      </c>
      <c r="O20" s="373" t="str">
        <f aca="false">IFERROR(INDEX(_dyn_user_sdram_rttwr_list,ROW()-5),"")</f>
        <v/>
      </c>
      <c r="P20" s="373" t="str">
        <f aca="false">IFERROR(INDEX(_dyn_user_sdram_drivimp_list,ROW()-5),"")</f>
        <v/>
      </c>
      <c r="Q20" s="369" t="str">
        <f aca="false">IFERROR(INDEX(_emif_io_sr,ROW()-5),"")</f>
        <v/>
      </c>
      <c r="R20" s="374"/>
      <c r="S20" s="374"/>
      <c r="T20" s="374"/>
      <c r="U20" s="383"/>
      <c r="V20" s="369" t="str">
        <f aca="false">IF(B20="","",IF(B21="",B20,CONCATENATE(B20,", ")))</f>
        <v>DRA77x,</v>
      </c>
      <c r="W20" s="270"/>
      <c r="X20" s="270"/>
      <c r="Y20" s="270"/>
      <c r="Z20" s="270"/>
      <c r="AA20" s="270"/>
      <c r="AB20" s="270"/>
      <c r="AC20" s="270"/>
      <c r="AD20" s="270"/>
    </row>
    <row r="21" customFormat="false" ht="12.75" hidden="false" customHeight="false" outlineLevel="0" collapsed="false">
      <c r="B21" s="368" t="str">
        <f aca="false">IFERROR(INDEX(_soc_partnum_list,ROW()-5),"")</f>
        <v>DRA78x</v>
      </c>
      <c r="C21" s="369" t="str">
        <f aca="false">IFERROR(INDEX(_dyn_user_memtype_list,ROW()-5),"")</f>
        <v/>
      </c>
      <c r="D21" s="369" t="str">
        <f aca="false">IFERROR(INDEX(_dyn_user_emifs_list,ROW()-5),"")</f>
        <v/>
      </c>
      <c r="E21" s="369" t="str">
        <f aca="false">IFERROR(INDEX(_dyn_user_cs_list,ROW()-5),"")</f>
        <v/>
      </c>
      <c r="F21" s="369" t="str">
        <f aca="false">IFERROR(INDEX(_dyn_user_sdram_lvl_list,ROW()-5),"")</f>
        <v/>
      </c>
      <c r="G21" s="369" t="str">
        <f aca="false">IFERROR(INDEX(_dyn_user_ecc_list,ROW()-5),"")</f>
        <v/>
      </c>
      <c r="H21" s="270"/>
      <c r="I21" s="270"/>
      <c r="J21" s="368" t="str">
        <f aca="false">IFERROR(INDEX(_dyn_user_sdram_data_list,ROW()-5),"")</f>
        <v/>
      </c>
      <c r="K21" s="371" t="str">
        <f aca="false">IFERROR(INDEX(_dyn_user_sdram_width_list,ROW()-5),"")</f>
        <v/>
      </c>
      <c r="L21" s="369" t="str">
        <f aca="true">IFERROR(INDEX(_sdram_sb_lookup,SMALL(_sdram_sb_list,ROW(16:16)))-_sdram_data_rate,"")</f>
        <v/>
      </c>
      <c r="M21" s="370" t="str">
        <f aca="false">IFERROR(INDEX(_dyn_user_sdram_density_list,ROW()-5),"")</f>
        <v/>
      </c>
      <c r="N21" s="372" t="str">
        <f aca="false">IFERROR(INDEX(_dyn_user_sdram_rtt_list,ROW()-5),"")</f>
        <v/>
      </c>
      <c r="O21" s="373" t="str">
        <f aca="false">IFERROR(INDEX(_dyn_user_sdram_rttwr_list,ROW()-5),"")</f>
        <v/>
      </c>
      <c r="P21" s="373" t="str">
        <f aca="false">IFERROR(INDEX(_dyn_user_sdram_drivimp_list,ROW()-5),"")</f>
        <v/>
      </c>
      <c r="Q21" s="369" t="str">
        <f aca="false">IFERROR(INDEX(_emif_io_sr,ROW()-5),"")</f>
        <v/>
      </c>
      <c r="R21" s="375"/>
      <c r="S21" s="375"/>
      <c r="T21" s="375"/>
      <c r="U21" s="383"/>
      <c r="V21" s="369" t="str">
        <f aca="false">IF(B21="","",IF(B22="",B21,CONCATENATE(B21,", ")))</f>
        <v>DRA78x,</v>
      </c>
      <c r="W21" s="270"/>
      <c r="X21" s="270"/>
      <c r="Y21" s="270"/>
      <c r="Z21" s="270"/>
      <c r="AA21" s="270"/>
      <c r="AB21" s="270"/>
      <c r="AC21" s="270"/>
      <c r="AD21" s="270"/>
    </row>
    <row r="22" customFormat="false" ht="12.75" hidden="false" customHeight="false" outlineLevel="0" collapsed="false">
      <c r="B22" s="368" t="str">
        <f aca="false">IFERROR(INDEX(_soc_partnum_list,ROW()-5),"")</f>
        <v>DRA79x</v>
      </c>
      <c r="C22" s="369" t="str">
        <f aca="false">IFERROR(INDEX(_dyn_user_memtype_list,ROW()-5),"")</f>
        <v/>
      </c>
      <c r="D22" s="369" t="str">
        <f aca="false">IFERROR(INDEX(_dyn_user_emifs_list,ROW()-5),"")</f>
        <v/>
      </c>
      <c r="E22" s="369" t="str">
        <f aca="false">IFERROR(INDEX(_dyn_user_cs_list,ROW()-5),"")</f>
        <v/>
      </c>
      <c r="F22" s="369" t="str">
        <f aca="false">IFERROR(INDEX(_dyn_user_sdram_lvl_list,ROW()-5),"")</f>
        <v/>
      </c>
      <c r="G22" s="369" t="str">
        <f aca="false">IFERROR(INDEX(_dyn_user_ecc_list,ROW()-5),"")</f>
        <v/>
      </c>
      <c r="H22" s="270"/>
      <c r="I22" s="270"/>
      <c r="J22" s="368" t="str">
        <f aca="false">IFERROR(INDEX(_dyn_user_sdram_data_list,ROW()-5),"")</f>
        <v/>
      </c>
      <c r="K22" s="371" t="str">
        <f aca="false">IFERROR(INDEX(_dyn_user_sdram_width_list,ROW()-5),"")</f>
        <v/>
      </c>
      <c r="L22" s="369" t="str">
        <f aca="true">IFERROR(INDEX(_sdram_sb_lookup,SMALL(_sdram_sb_list,ROW(17:17)))-_sdram_data_rate,"")</f>
        <v/>
      </c>
      <c r="M22" s="370" t="str">
        <f aca="false">IFERROR(INDEX(_dyn_user_sdram_density_list,ROW()-5),"")</f>
        <v/>
      </c>
      <c r="N22" s="372" t="str">
        <f aca="false">IFERROR(INDEX(_dyn_user_sdram_rtt_list,ROW()-5),"")</f>
        <v/>
      </c>
      <c r="O22" s="373" t="str">
        <f aca="false">IFERROR(INDEX(_dyn_user_sdram_rttwr_list,ROW()-5),"")</f>
        <v/>
      </c>
      <c r="P22" s="373" t="str">
        <f aca="false">IFERROR(INDEX(_dyn_user_sdram_drivimp_list,ROW()-5),"")</f>
        <v/>
      </c>
      <c r="Q22" s="369" t="str">
        <f aca="false">IFERROR(INDEX(_emif_io_sr,ROW()-5),"")</f>
        <v/>
      </c>
      <c r="R22" s="375"/>
      <c r="S22" s="375"/>
      <c r="T22" s="375"/>
      <c r="U22" s="383"/>
      <c r="V22" s="369" t="str">
        <f aca="false">IF(B22="","",IF(B23="",B22,CONCATENATE(B22,", ")))</f>
        <v>DRA79x,</v>
      </c>
      <c r="W22" s="270"/>
      <c r="X22" s="270"/>
      <c r="Y22" s="270"/>
      <c r="Z22" s="270"/>
      <c r="AA22" s="270"/>
      <c r="AB22" s="270"/>
      <c r="AC22" s="270"/>
      <c r="AD22" s="270"/>
    </row>
    <row r="23" customFormat="false" ht="12.75" hidden="false" customHeight="false" outlineLevel="0" collapsed="false">
      <c r="B23" s="368" t="str">
        <f aca="false">IFERROR(INDEX(_soc_partnum_list,ROW()-5),"")</f>
        <v>TDA2Ex_ABC</v>
      </c>
      <c r="C23" s="369" t="str">
        <f aca="false">IFERROR(INDEX(_dyn_user_memtype_list,ROW()-5),"")</f>
        <v/>
      </c>
      <c r="D23" s="369" t="str">
        <f aca="false">IFERROR(INDEX(_dyn_user_emifs_list,ROW()-5),"")</f>
        <v/>
      </c>
      <c r="E23" s="369" t="str">
        <f aca="false">IFERROR(INDEX(_dyn_user_cs_list,ROW()-5),"")</f>
        <v/>
      </c>
      <c r="F23" s="369" t="str">
        <f aca="false">IFERROR(INDEX(_dyn_user_sdram_lvl_list,ROW()-5),"")</f>
        <v/>
      </c>
      <c r="G23" s="369" t="str">
        <f aca="false">IFERROR(INDEX(_dyn_user_ecc_list,ROW()-5),"")</f>
        <v/>
      </c>
      <c r="H23" s="270"/>
      <c r="I23" s="270"/>
      <c r="J23" s="368" t="str">
        <f aca="false">IFERROR(INDEX(_dyn_user_sdram_data_list,ROW()-5),"")</f>
        <v/>
      </c>
      <c r="K23" s="371" t="str">
        <f aca="false">IFERROR(INDEX(_dyn_user_sdram_width_list,ROW()-5),"")</f>
        <v/>
      </c>
      <c r="L23" s="369" t="str">
        <f aca="true">IFERROR(INDEX(_sdram_sb_lookup,SMALL(_sdram_sb_list,ROW(18:18)))-_sdram_data_rate,"")</f>
        <v/>
      </c>
      <c r="M23" s="370" t="str">
        <f aca="false">IFERROR(INDEX(_dyn_user_sdram_density_list,ROW()-5),"")</f>
        <v/>
      </c>
      <c r="N23" s="372" t="str">
        <f aca="false">IFERROR(INDEX(_dyn_user_sdram_rtt_list,ROW()-5),"")</f>
        <v/>
      </c>
      <c r="O23" s="373" t="str">
        <f aca="false">IFERROR(INDEX(_dyn_user_sdram_rttwr_list,ROW()-5),"")</f>
        <v/>
      </c>
      <c r="P23" s="373" t="str">
        <f aca="false">IFERROR(INDEX(_dyn_user_sdram_drivimp_list,ROW()-5),"")</f>
        <v/>
      </c>
      <c r="Q23" s="369" t="str">
        <f aca="false">IFERROR(INDEX(_emif_io_sr,ROW()-5),"")</f>
        <v/>
      </c>
      <c r="R23" s="375"/>
      <c r="S23" s="375"/>
      <c r="T23" s="375"/>
      <c r="U23" s="383"/>
      <c r="V23" s="369" t="str">
        <f aca="false">IF(B23="","",IF(B24="",B23,CONCATENATE(B23,", ")))</f>
        <v>TDA2Ex_ABC,</v>
      </c>
      <c r="W23" s="270"/>
      <c r="X23" s="270"/>
      <c r="Y23" s="270"/>
      <c r="Z23" s="270"/>
      <c r="AA23" s="270"/>
      <c r="AB23" s="270"/>
      <c r="AC23" s="270"/>
      <c r="AD23" s="270"/>
    </row>
    <row r="24" customFormat="false" ht="12.75" hidden="false" customHeight="false" outlineLevel="0" collapsed="false">
      <c r="B24" s="368" t="str">
        <f aca="false">IFERROR(INDEX(_soc_partnum_list,ROW()-5),"")</f>
        <v>TDA2Ex_CBD</v>
      </c>
      <c r="C24" s="369" t="str">
        <f aca="false">IFERROR(INDEX(_dyn_user_memtype_list,ROW()-5),"")</f>
        <v/>
      </c>
      <c r="D24" s="369" t="str">
        <f aca="false">IFERROR(INDEX(_dyn_user_emifs_list,ROW()-5),"")</f>
        <v/>
      </c>
      <c r="E24" s="369" t="str">
        <f aca="false">IFERROR(INDEX(_dyn_user_cs_list,ROW()-5),"")</f>
        <v/>
      </c>
      <c r="F24" s="369" t="str">
        <f aca="false">IFERROR(INDEX(_dyn_user_sdram_lvl_list,ROW()-5),"")</f>
        <v/>
      </c>
      <c r="G24" s="369" t="str">
        <f aca="false">IFERROR(INDEX(_dyn_user_ecc_list,ROW()-5),"")</f>
        <v/>
      </c>
      <c r="H24" s="270"/>
      <c r="I24" s="270"/>
      <c r="J24" s="368" t="str">
        <f aca="false">IFERROR(INDEX(_dyn_user_sdram_data_list,ROW()-5),"")</f>
        <v/>
      </c>
      <c r="K24" s="371" t="str">
        <f aca="false">IFERROR(INDEX(_dyn_user_sdram_width_list,ROW()-5),"")</f>
        <v/>
      </c>
      <c r="L24" s="369" t="str">
        <f aca="true">IFERROR(INDEX(_sdram_sb_lookup,SMALL(_sdram_sb_list,ROW(19:19)))-_sdram_data_rate,"")</f>
        <v/>
      </c>
      <c r="M24" s="370" t="str">
        <f aca="false">IFERROR(INDEX(_dyn_user_sdram_density_list,ROW()-5),"")</f>
        <v/>
      </c>
      <c r="N24" s="372" t="str">
        <f aca="false">IFERROR(INDEX(_dyn_user_sdram_rtt_list,ROW()-5),"")</f>
        <v/>
      </c>
      <c r="O24" s="373" t="str">
        <f aca="false">IFERROR(INDEX(_dyn_user_sdram_rttwr_list,ROW()-5),"")</f>
        <v/>
      </c>
      <c r="P24" s="373" t="str">
        <f aca="false">IFERROR(INDEX(_dyn_user_sdram_drivimp_list,ROW()-5),"")</f>
        <v/>
      </c>
      <c r="Q24" s="369" t="str">
        <f aca="false">IFERROR(INDEX(_emif_io_sr,ROW()-5),"")</f>
        <v/>
      </c>
      <c r="R24" s="375"/>
      <c r="S24" s="375"/>
      <c r="T24" s="375"/>
      <c r="U24" s="383"/>
      <c r="V24" s="369" t="str">
        <f aca="false">IF(B24="","",IF(B25="",B24,CONCATENATE(B24,", ")))</f>
        <v>TDA2Ex_CBD,</v>
      </c>
      <c r="W24" s="270"/>
      <c r="X24" s="270"/>
      <c r="Y24" s="270"/>
      <c r="Z24" s="270"/>
      <c r="AA24" s="270"/>
      <c r="AB24" s="270"/>
      <c r="AC24" s="270"/>
      <c r="AD24" s="270"/>
    </row>
    <row r="25" customFormat="false" ht="12.75" hidden="false" customHeight="false" outlineLevel="0" collapsed="false">
      <c r="B25" s="368" t="str">
        <f aca="false">IFERROR(INDEX(_soc_partnum_list,ROW()-5),"")</f>
        <v>TDA2Px</v>
      </c>
      <c r="C25" s="369" t="str">
        <f aca="false">IFERROR(INDEX(_dyn_user_memtype_list,ROW()-5),"")</f>
        <v/>
      </c>
      <c r="D25" s="369" t="str">
        <f aca="false">IFERROR(INDEX(_dyn_user_emifs_list,ROW()-5),"")</f>
        <v/>
      </c>
      <c r="E25" s="369" t="str">
        <f aca="false">IFERROR(INDEX(_dyn_user_cs_list,ROW()-5),"")</f>
        <v/>
      </c>
      <c r="F25" s="369" t="str">
        <f aca="false">IFERROR(INDEX(_dyn_user_sdram_lvl_list,ROW()-5),"")</f>
        <v/>
      </c>
      <c r="G25" s="369" t="str">
        <f aca="false">IFERROR(INDEX(_dyn_user_ecc_list,ROW()-5),"")</f>
        <v/>
      </c>
      <c r="H25" s="270"/>
      <c r="I25" s="270"/>
      <c r="J25" s="368" t="str">
        <f aca="false">IFERROR(INDEX(_dyn_user_sdram_data_list,ROW()-5),"")</f>
        <v/>
      </c>
      <c r="K25" s="371" t="str">
        <f aca="false">IFERROR(INDEX(_dyn_user_sdram_width_list,ROW()-5),"")</f>
        <v/>
      </c>
      <c r="L25" s="369" t="str">
        <f aca="true">IFERROR(INDEX(_sdram_sb_lookup,SMALL(_sdram_sb_list,ROW(20:20)))-_sdram_data_rate,"")</f>
        <v/>
      </c>
      <c r="M25" s="370" t="str">
        <f aca="false">IFERROR(INDEX(_dyn_user_sdram_density_list,ROW()-5),"")</f>
        <v/>
      </c>
      <c r="N25" s="372" t="str">
        <f aca="false">IFERROR(INDEX(_dyn_user_sdram_rtt_list,ROW()-5),"")</f>
        <v/>
      </c>
      <c r="O25" s="373" t="str">
        <f aca="false">IFERROR(INDEX(_dyn_user_sdram_rttwr_list,ROW()-5),"")</f>
        <v/>
      </c>
      <c r="P25" s="373" t="str">
        <f aca="false">IFERROR(INDEX(_dyn_user_sdram_drivimp_list,ROW()-5),"")</f>
        <v/>
      </c>
      <c r="Q25" s="369" t="str">
        <f aca="false">IFERROR(INDEX(_emif_io_sr,ROW()-5),"")</f>
        <v/>
      </c>
      <c r="R25" s="375"/>
      <c r="S25" s="375"/>
      <c r="T25" s="375"/>
      <c r="U25" s="383"/>
      <c r="V25" s="369" t="str">
        <f aca="false">IF(B25="","",IF(B26="",B25,CONCATENATE(B25,", ")))</f>
        <v>TDA2Px,</v>
      </c>
      <c r="W25" s="270"/>
      <c r="X25" s="270"/>
      <c r="Y25" s="270"/>
      <c r="Z25" s="270"/>
      <c r="AA25" s="270"/>
      <c r="AB25" s="270"/>
      <c r="AC25" s="270"/>
      <c r="AD25" s="270"/>
    </row>
    <row r="26" customFormat="false" ht="12.75" hidden="false" customHeight="false" outlineLevel="0" collapsed="false">
      <c r="B26" s="368" t="str">
        <f aca="false">IFERROR(INDEX(_soc_partnum_list,ROW()-5),"")</f>
        <v>TDA2x</v>
      </c>
      <c r="C26" s="369" t="str">
        <f aca="false">IFERROR(INDEX(_dyn_user_memtype_list,ROW()-5),"")</f>
        <v/>
      </c>
      <c r="D26" s="369" t="str">
        <f aca="false">IFERROR(INDEX(_dyn_user_emifs_list,ROW()-5),"")</f>
        <v/>
      </c>
      <c r="E26" s="369" t="str">
        <f aca="false">IFERROR(INDEX(_dyn_user_cs_list,ROW()-5),"")</f>
        <v/>
      </c>
      <c r="F26" s="369" t="str">
        <f aca="false">IFERROR(INDEX(_dyn_user_sdram_lvl_list,ROW()-5),"")</f>
        <v/>
      </c>
      <c r="G26" s="369" t="str">
        <f aca="false">IFERROR(INDEX(_dyn_user_ecc_list,ROW()-5),"")</f>
        <v/>
      </c>
      <c r="H26" s="270"/>
      <c r="I26" s="270"/>
      <c r="J26" s="368" t="str">
        <f aca="false">IFERROR(INDEX(_dyn_user_sdram_data_list,ROW()-5),"")</f>
        <v/>
      </c>
      <c r="K26" s="371" t="str">
        <f aca="false">IFERROR(INDEX(_dyn_user_sdram_width_list,ROW()-5),"")</f>
        <v/>
      </c>
      <c r="L26" s="369" t="str">
        <f aca="true">IFERROR(INDEX(_sdram_sb_lookup,SMALL(_sdram_sb_list,ROW(21:21)))-_sdram_data_rate,"")</f>
        <v/>
      </c>
      <c r="M26" s="370" t="str">
        <f aca="false">IFERROR(INDEX(_dyn_user_sdram_density_list,ROW()-5),"")</f>
        <v/>
      </c>
      <c r="N26" s="372" t="str">
        <f aca="false">IFERROR(INDEX(_dyn_user_sdram_rtt_list,ROW()-5),"")</f>
        <v/>
      </c>
      <c r="O26" s="373" t="str">
        <f aca="false">IFERROR(INDEX(_dyn_user_sdram_rttwr_list,ROW()-5),"")</f>
        <v/>
      </c>
      <c r="P26" s="373" t="str">
        <f aca="false">IFERROR(INDEX(_dyn_user_sdram_drivimp_list,ROW()-5),"")</f>
        <v/>
      </c>
      <c r="Q26" s="369" t="str">
        <f aca="false">IFERROR(INDEX(_emif_io_sr,ROW()-5),"")</f>
        <v/>
      </c>
      <c r="R26" s="375"/>
      <c r="S26" s="375"/>
      <c r="T26" s="375"/>
      <c r="U26" s="383"/>
      <c r="V26" s="369" t="str">
        <f aca="false">IF(B26="","",IF(B27="",B26,CONCATENATE(B26,", ")))</f>
        <v>TDA2x,</v>
      </c>
      <c r="W26" s="270"/>
      <c r="X26" s="270"/>
      <c r="Y26" s="270"/>
      <c r="Z26" s="270"/>
      <c r="AA26" s="270"/>
      <c r="AB26" s="270"/>
      <c r="AC26" s="270"/>
      <c r="AD26" s="270"/>
    </row>
    <row r="27" customFormat="false" ht="12.75" hidden="false" customHeight="false" outlineLevel="0" collapsed="false">
      <c r="B27" s="368" t="str">
        <f aca="false">IFERROR(INDEX(_soc_partnum_list,ROW()-5),"")</f>
        <v>TDA3x_ABE</v>
      </c>
      <c r="C27" s="369" t="str">
        <f aca="false">IFERROR(INDEX(_dyn_user_memtype_list,ROW()-5),"")</f>
        <v/>
      </c>
      <c r="D27" s="369" t="str">
        <f aca="false">IFERROR(INDEX(_dyn_user_emifs_list,ROW()-5),"")</f>
        <v/>
      </c>
      <c r="E27" s="369" t="str">
        <f aca="false">IFERROR(INDEX(_dyn_user_cs_list,ROW()-5),"")</f>
        <v/>
      </c>
      <c r="F27" s="369" t="str">
        <f aca="false">IFERROR(INDEX(_dyn_user_sdram_lvl_list,ROW()-5),"")</f>
        <v/>
      </c>
      <c r="G27" s="369" t="str">
        <f aca="false">IFERROR(INDEX(_dyn_user_ecc_list,ROW()-5),"")</f>
        <v/>
      </c>
      <c r="H27" s="270"/>
      <c r="I27" s="270"/>
      <c r="J27" s="368" t="str">
        <f aca="false">IFERROR(INDEX(_dyn_user_sdram_data_list,ROW()-5),"")</f>
        <v/>
      </c>
      <c r="K27" s="371" t="str">
        <f aca="false">IFERROR(INDEX(_dyn_user_sdram_width_list,ROW()-5),"")</f>
        <v/>
      </c>
      <c r="L27" s="369" t="str">
        <f aca="true">IFERROR(INDEX(_sdram_sb_lookup,SMALL(_sdram_sb_list,ROW(22:22)))-_sdram_data_rate,"")</f>
        <v/>
      </c>
      <c r="M27" s="370" t="str">
        <f aca="false">IFERROR(INDEX(_dyn_user_sdram_density_list,ROW()-5),"")</f>
        <v/>
      </c>
      <c r="N27" s="372" t="str">
        <f aca="false">IFERROR(INDEX(_dyn_user_sdram_rtt_list,ROW()-5),"")</f>
        <v/>
      </c>
      <c r="O27" s="373" t="str">
        <f aca="false">IFERROR(INDEX(_dyn_user_sdram_rttwr_list,ROW()-5),"")</f>
        <v/>
      </c>
      <c r="P27" s="373" t="str">
        <f aca="false">IFERROR(INDEX(_dyn_user_sdram_drivimp_list,ROW()-5),"")</f>
        <v/>
      </c>
      <c r="Q27" s="369" t="str">
        <f aca="false">IFERROR(INDEX(_emif_io_sr,ROW()-5),"")</f>
        <v/>
      </c>
      <c r="R27" s="375"/>
      <c r="S27" s="375"/>
      <c r="T27" s="375"/>
      <c r="U27" s="383"/>
      <c r="V27" s="369" t="str">
        <f aca="false">IF(B27="","",IF(B28="",B27,CONCATENATE(B27,", ")))</f>
        <v>TDA3x_ABE,</v>
      </c>
      <c r="W27" s="270"/>
      <c r="X27" s="270"/>
      <c r="Y27" s="270"/>
      <c r="Z27" s="270"/>
      <c r="AA27" s="270"/>
      <c r="AB27" s="270"/>
      <c r="AC27" s="270"/>
      <c r="AD27" s="270"/>
    </row>
    <row r="28" customFormat="false" ht="12.75" hidden="false" customHeight="false" outlineLevel="0" collapsed="false">
      <c r="B28" s="368" t="str">
        <f aca="false">IFERROR(INDEX(_soc_partnum_list,ROW()-5),"")</f>
        <v>TDA3x_ABF</v>
      </c>
      <c r="C28" s="369" t="str">
        <f aca="false">IFERROR(INDEX(_dyn_user_memtype_list,ROW()-5),"")</f>
        <v/>
      </c>
      <c r="D28" s="369" t="str">
        <f aca="false">IFERROR(INDEX(_dyn_user_emifs_list,ROW()-5),"")</f>
        <v/>
      </c>
      <c r="E28" s="369" t="str">
        <f aca="false">IFERROR(INDEX(_dyn_user_cs_list,ROW()-5),"")</f>
        <v/>
      </c>
      <c r="F28" s="369" t="str">
        <f aca="false">IFERROR(INDEX(_dyn_user_sdram_lvl_list,ROW()-5),"")</f>
        <v/>
      </c>
      <c r="G28" s="369" t="str">
        <f aca="false">IFERROR(INDEX(_dyn_user_ecc_list,ROW()-5),"")</f>
        <v/>
      </c>
      <c r="H28" s="270"/>
      <c r="I28" s="270"/>
      <c r="J28" s="368" t="str">
        <f aca="false">IFERROR(INDEX(_dyn_user_sdram_data_list,ROW()-5),"")</f>
        <v/>
      </c>
      <c r="K28" s="371" t="str">
        <f aca="false">IFERROR(INDEX(_dyn_user_sdram_width_list,ROW()-5),"")</f>
        <v/>
      </c>
      <c r="L28" s="369" t="str">
        <f aca="true">IFERROR(INDEX(_sdram_sb_lookup,SMALL(_sdram_sb_list,ROW(23:23)))-_sdram_data_rate,"")</f>
        <v/>
      </c>
      <c r="M28" s="370" t="str">
        <f aca="false">IFERROR(INDEX(_dyn_user_sdram_density_list,ROW()-5),"")</f>
        <v/>
      </c>
      <c r="N28" s="372" t="str">
        <f aca="false">IFERROR(INDEX(_dyn_user_sdram_rtt_list,ROW()-5),"")</f>
        <v/>
      </c>
      <c r="O28" s="373" t="str">
        <f aca="false">IFERROR(INDEX(_dyn_user_sdram_rttwr_list,ROW()-5),"")</f>
        <v/>
      </c>
      <c r="P28" s="373" t="str">
        <f aca="false">IFERROR(INDEX(_dyn_user_sdram_drivimp_list,ROW()-5),"")</f>
        <v/>
      </c>
      <c r="Q28" s="369" t="str">
        <f aca="false">IFERROR(INDEX(_emif_io_sr,ROW()-5),"")</f>
        <v/>
      </c>
      <c r="R28" s="375"/>
      <c r="S28" s="375"/>
      <c r="T28" s="375"/>
      <c r="U28" s="383"/>
      <c r="V28" s="369" t="str">
        <f aca="false">IF(B28="","",IF(B29="",B28,CONCATENATE(B28,", ")))</f>
        <v>TDA3x_ABF</v>
      </c>
      <c r="W28" s="270"/>
      <c r="X28" s="270"/>
      <c r="Y28" s="270"/>
      <c r="Z28" s="270"/>
      <c r="AA28" s="270"/>
      <c r="AB28" s="270"/>
      <c r="AC28" s="270"/>
      <c r="AD28" s="270"/>
    </row>
    <row r="29" customFormat="false" ht="12.75" hidden="false" customHeight="false" outlineLevel="0" collapsed="false">
      <c r="B29" s="368" t="str">
        <f aca="false">IFERROR(INDEX(_soc_partnum_list,ROW()-5),"")</f>
        <v/>
      </c>
      <c r="C29" s="369" t="str">
        <f aca="false">IFERROR(INDEX(_dyn_user_memtype_list,ROW()-5),"")</f>
        <v/>
      </c>
      <c r="D29" s="369" t="str">
        <f aca="false">IFERROR(INDEX(_dyn_user_emifs_list,ROW()-5),"")</f>
        <v/>
      </c>
      <c r="E29" s="369" t="str">
        <f aca="false">IFERROR(INDEX(_dyn_user_cs_list,ROW()-5),"")</f>
        <v/>
      </c>
      <c r="F29" s="369" t="str">
        <f aca="false">IFERROR(INDEX(_dyn_user_sdram_lvl_list,ROW()-5),"")</f>
        <v/>
      </c>
      <c r="G29" s="369" t="str">
        <f aca="false">IFERROR(INDEX(_dyn_user_ecc_list,ROW()-5),"")</f>
        <v/>
      </c>
      <c r="H29" s="270"/>
      <c r="I29" s="270"/>
      <c r="J29" s="368" t="str">
        <f aca="false">IFERROR(INDEX(_dyn_user_sdram_data_list,ROW()-5),"")</f>
        <v/>
      </c>
      <c r="K29" s="371" t="str">
        <f aca="false">IFERROR(INDEX(_dyn_user_sdram_width_list,ROW()-5),"")</f>
        <v/>
      </c>
      <c r="L29" s="369" t="str">
        <f aca="true">IFERROR(INDEX(_sdram_sb_lookup,SMALL(_sdram_sb_list,ROW(24:24)))-_sdram_data_rate,"")</f>
        <v/>
      </c>
      <c r="M29" s="370" t="str">
        <f aca="false">IFERROR(INDEX(_dyn_user_sdram_density_list,ROW()-5),"")</f>
        <v/>
      </c>
      <c r="N29" s="372" t="str">
        <f aca="false">IFERROR(INDEX(_dyn_user_sdram_rtt_list,ROW()-5),"")</f>
        <v/>
      </c>
      <c r="O29" s="373" t="str">
        <f aca="false">IFERROR(INDEX(_dyn_user_sdram_rttwr_list,ROW()-5),"")</f>
        <v/>
      </c>
      <c r="P29" s="373" t="str">
        <f aca="false">IFERROR(INDEX(_dyn_user_sdram_drivimp_list,ROW()-5),"")</f>
        <v/>
      </c>
      <c r="Q29" s="369" t="str">
        <f aca="false">IFERROR(INDEX(_emif_io_sr,ROW()-5),"")</f>
        <v/>
      </c>
      <c r="R29" s="375"/>
      <c r="S29" s="375"/>
      <c r="T29" s="375"/>
      <c r="U29" s="383"/>
      <c r="V29" s="369" t="str">
        <f aca="false">IF(B29="","",IF(B30="",B29,CONCATENATE(B29,", ")))</f>
        <v/>
      </c>
      <c r="W29" s="270"/>
      <c r="X29" s="270"/>
      <c r="Y29" s="270"/>
      <c r="Z29" s="270"/>
      <c r="AA29" s="270"/>
      <c r="AB29" s="270"/>
      <c r="AC29" s="270"/>
      <c r="AD29" s="270"/>
    </row>
    <row r="30" customFormat="false" ht="12.75" hidden="false" customHeight="false" outlineLevel="0" collapsed="false">
      <c r="B30" s="368" t="str">
        <f aca="false">IFERROR(INDEX(_soc_partnum_list,ROW()-5),"")</f>
        <v/>
      </c>
      <c r="C30" s="369" t="str">
        <f aca="false">IFERROR(INDEX(_dyn_user_memtype_list,ROW()-5),"")</f>
        <v/>
      </c>
      <c r="D30" s="369" t="str">
        <f aca="false">IFERROR(INDEX(_dyn_user_emifs_list,ROW()-5),"")</f>
        <v/>
      </c>
      <c r="E30" s="369" t="str">
        <f aca="false">IFERROR(INDEX(_dyn_user_cs_list,ROW()-5),"")</f>
        <v/>
      </c>
      <c r="F30" s="369" t="str">
        <f aca="false">IFERROR(INDEX(_dyn_user_sdram_lvl_list,ROW()-5),"")</f>
        <v/>
      </c>
      <c r="G30" s="369" t="str">
        <f aca="false">IFERROR(INDEX(_dyn_user_ecc_list,ROW()-5),"")</f>
        <v/>
      </c>
      <c r="H30" s="270"/>
      <c r="I30" s="270"/>
      <c r="J30" s="368" t="str">
        <f aca="false">IFERROR(INDEX(_dyn_user_sdram_data_list,ROW()-5),"")</f>
        <v/>
      </c>
      <c r="K30" s="371" t="str">
        <f aca="false">IFERROR(INDEX(_dyn_user_sdram_width_list,ROW()-5),"")</f>
        <v/>
      </c>
      <c r="L30" s="369" t="str">
        <f aca="true">IFERROR(INDEX(_sdram_sb_lookup,SMALL(_sdram_sb_list,ROW(25:25)))-_sdram_data_rate,"")</f>
        <v/>
      </c>
      <c r="M30" s="370" t="str">
        <f aca="false">IFERROR(INDEX(_dyn_user_sdram_density_list,ROW()-5),"")</f>
        <v/>
      </c>
      <c r="N30" s="372" t="str">
        <f aca="false">IFERROR(INDEX(_dyn_user_sdram_rtt_list,ROW()-5),"")</f>
        <v/>
      </c>
      <c r="O30" s="373" t="str">
        <f aca="false">IFERROR(INDEX(_dyn_user_sdram_rttwr_list,ROW()-5),"")</f>
        <v/>
      </c>
      <c r="P30" s="373" t="str">
        <f aca="false">IFERROR(INDEX(_dyn_user_sdram_drivimp_list,ROW()-5),"")</f>
        <v/>
      </c>
      <c r="Q30" s="369" t="str">
        <f aca="false">IFERROR(INDEX(_emif_io_sr,ROW()-5),"")</f>
        <v/>
      </c>
      <c r="R30" s="375"/>
      <c r="S30" s="375"/>
      <c r="T30" s="375"/>
      <c r="U30" s="383"/>
      <c r="V30" s="369" t="str">
        <f aca="false">IF(B30="","",IF(B31="",B30,CONCATENATE(B30,", ")))</f>
        <v/>
      </c>
      <c r="W30" s="270"/>
      <c r="X30" s="270"/>
      <c r="Y30" s="270"/>
      <c r="Z30" s="270"/>
      <c r="AA30" s="270"/>
      <c r="AB30" s="270"/>
      <c r="AC30" s="270"/>
      <c r="AD30" s="270"/>
    </row>
    <row r="31" customFormat="false" ht="12.75" hidden="false" customHeight="false" outlineLevel="0" collapsed="false">
      <c r="B31" s="368" t="str">
        <f aca="false">IFERROR(INDEX(_soc_partnum_list,ROW()-5),"")</f>
        <v/>
      </c>
      <c r="C31" s="369" t="str">
        <f aca="false">IFERROR(INDEX(_dyn_user_memtype_list,ROW()-5),"")</f>
        <v/>
      </c>
      <c r="D31" s="369" t="str">
        <f aca="false">IFERROR(INDEX(_dyn_user_emifs_list,ROW()-5),"")</f>
        <v/>
      </c>
      <c r="E31" s="369" t="str">
        <f aca="false">IFERROR(INDEX(_dyn_user_cs_list,ROW()-5),"")</f>
        <v/>
      </c>
      <c r="F31" s="369" t="str">
        <f aca="false">IFERROR(INDEX(_dyn_user_sdram_lvl_list,ROW()-5),"")</f>
        <v/>
      </c>
      <c r="G31" s="369" t="str">
        <f aca="false">IFERROR(INDEX(_dyn_user_ecc_list,ROW()-5),"")</f>
        <v/>
      </c>
      <c r="H31" s="270"/>
      <c r="I31" s="270"/>
      <c r="J31" s="368" t="str">
        <f aca="false">IFERROR(INDEX(_dyn_user_sdram_data_list,ROW()-5),"")</f>
        <v/>
      </c>
      <c r="K31" s="371" t="str">
        <f aca="false">IFERROR(INDEX(_dyn_user_sdram_width_list,ROW()-5),"")</f>
        <v/>
      </c>
      <c r="L31" s="369" t="str">
        <f aca="true">IFERROR(INDEX(_sdram_sb_lookup,SMALL(_sdram_sb_list,ROW(26:26)))-_sdram_data_rate,"")</f>
        <v/>
      </c>
      <c r="M31" s="370" t="str">
        <f aca="false">IFERROR(INDEX(_dyn_user_sdram_density_list,ROW()-5),"")</f>
        <v/>
      </c>
      <c r="N31" s="372" t="str">
        <f aca="false">IFERROR(INDEX(_dyn_user_sdram_rtt_list,ROW()-5),"")</f>
        <v/>
      </c>
      <c r="O31" s="373" t="str">
        <f aca="false">IFERROR(INDEX(_dyn_user_sdram_rttwr_list,ROW()-5),"")</f>
        <v/>
      </c>
      <c r="P31" s="373" t="str">
        <f aca="false">IFERROR(INDEX(_dyn_user_sdram_drivimp_list,ROW()-5),"")</f>
        <v/>
      </c>
      <c r="Q31" s="369" t="str">
        <f aca="false">IFERROR(INDEX(_emif_io_sr,ROW()-5),"")</f>
        <v/>
      </c>
      <c r="R31" s="375"/>
      <c r="S31" s="375"/>
      <c r="T31" s="375"/>
      <c r="U31" s="383"/>
      <c r="V31" s="369" t="str">
        <f aca="false">IF(B31="","",IF(B32="",B31,CONCATENATE(B31,", ")))</f>
        <v/>
      </c>
      <c r="W31" s="270"/>
      <c r="X31" s="270"/>
      <c r="Y31" s="270"/>
      <c r="Z31" s="270"/>
      <c r="AA31" s="270"/>
      <c r="AB31" s="270"/>
      <c r="AC31" s="270"/>
      <c r="AD31" s="270"/>
    </row>
    <row r="32" customFormat="false" ht="12.75" hidden="false" customHeight="false" outlineLevel="0" collapsed="false">
      <c r="B32" s="368" t="str">
        <f aca="false">IFERROR(INDEX(_soc_partnum_list,ROW()-5),"")</f>
        <v/>
      </c>
      <c r="C32" s="369" t="str">
        <f aca="false">IFERROR(INDEX(_dyn_user_memtype_list,ROW()-5),"")</f>
        <v/>
      </c>
      <c r="D32" s="369" t="str">
        <f aca="false">IFERROR(INDEX(_dyn_user_emifs_list,ROW()-5),"")</f>
        <v/>
      </c>
      <c r="E32" s="369" t="str">
        <f aca="false">IFERROR(INDEX(_dyn_user_cs_list,ROW()-5),"")</f>
        <v/>
      </c>
      <c r="F32" s="369" t="str">
        <f aca="false">IFERROR(INDEX(_dyn_user_sdram_lvl_list,ROW()-5),"")</f>
        <v/>
      </c>
      <c r="G32" s="369" t="str">
        <f aca="false">IFERROR(INDEX(_dyn_user_ecc_list,ROW()-5),"")</f>
        <v/>
      </c>
      <c r="H32" s="270"/>
      <c r="I32" s="270"/>
      <c r="J32" s="368" t="str">
        <f aca="false">IFERROR(INDEX(_dyn_user_sdram_data_list,ROW()-5),"")</f>
        <v/>
      </c>
      <c r="K32" s="371" t="str">
        <f aca="false">IFERROR(INDEX(_dyn_user_sdram_width_list,ROW()-5),"")</f>
        <v/>
      </c>
      <c r="L32" s="369" t="str">
        <f aca="true">IFERROR(INDEX(_sdram_sb_lookup,SMALL(_sdram_sb_list,ROW(27:27)))-_sdram_data_rate,"")</f>
        <v/>
      </c>
      <c r="M32" s="370" t="str">
        <f aca="false">IFERROR(INDEX(_dyn_user_sdram_density_list,ROW()-5),"")</f>
        <v/>
      </c>
      <c r="N32" s="372" t="str">
        <f aca="false">IFERROR(INDEX(_dyn_user_sdram_rtt_list,ROW()-5),"")</f>
        <v/>
      </c>
      <c r="O32" s="373" t="str">
        <f aca="false">IFERROR(INDEX(_dyn_user_sdram_rttwr_list,ROW()-5),"")</f>
        <v/>
      </c>
      <c r="P32" s="373" t="str">
        <f aca="false">IFERROR(INDEX(_dyn_user_sdram_drivimp_list,ROW()-5),"")</f>
        <v/>
      </c>
      <c r="Q32" s="369" t="str">
        <f aca="false">IFERROR(INDEX(_emif_io_sr,ROW()-5),"")</f>
        <v/>
      </c>
      <c r="R32" s="375"/>
      <c r="S32" s="375"/>
      <c r="T32" s="375"/>
      <c r="U32" s="383"/>
      <c r="V32" s="369" t="str">
        <f aca="false">IF(B32="","",IF(B33="",B32,CONCATENATE(B32,", ")))</f>
        <v/>
      </c>
      <c r="W32" s="270"/>
      <c r="X32" s="270"/>
      <c r="Y32" s="270"/>
      <c r="Z32" s="270"/>
      <c r="AA32" s="270"/>
      <c r="AB32" s="270"/>
      <c r="AC32" s="270"/>
      <c r="AD32" s="270"/>
    </row>
    <row r="33" customFormat="false" ht="13.5" hidden="false" customHeight="false" outlineLevel="0" collapsed="false">
      <c r="B33" s="368" t="str">
        <f aca="false">IFERROR(INDEX(_soc_partnum_list,ROW()-5),"")</f>
        <v/>
      </c>
      <c r="C33" s="369" t="str">
        <f aca="false">IFERROR(INDEX(_dyn_user_memtype_list,ROW()-5),"")</f>
        <v/>
      </c>
      <c r="D33" s="369" t="str">
        <f aca="false">IFERROR(INDEX(_dyn_user_emifs_list,ROW()-5),"")</f>
        <v/>
      </c>
      <c r="E33" s="369" t="str">
        <f aca="false">IFERROR(INDEX(_dyn_user_cs_list,ROW()-5),"")</f>
        <v/>
      </c>
      <c r="F33" s="369" t="str">
        <f aca="false">IFERROR(INDEX(_dyn_user_sdram_lvl_list,ROW()-5),"")</f>
        <v/>
      </c>
      <c r="G33" s="369" t="str">
        <f aca="false">IFERROR(INDEX(_dyn_user_ecc_list,ROW()-5),"")</f>
        <v/>
      </c>
      <c r="H33" s="270"/>
      <c r="I33" s="270"/>
      <c r="J33" s="368" t="str">
        <f aca="false">IFERROR(INDEX(_dyn_user_sdram_data_list,ROW()-5),"")</f>
        <v/>
      </c>
      <c r="K33" s="371" t="str">
        <f aca="false">IFERROR(INDEX(_dyn_user_sdram_width_list,ROW()-5),"")</f>
        <v/>
      </c>
      <c r="L33" s="369" t="str">
        <f aca="true">IFERROR(INDEX(_sdram_sb_lookup,SMALL(_sdram_sb_list,ROW(28:28)))-_sdram_data_rate,"")</f>
        <v/>
      </c>
      <c r="M33" s="370" t="str">
        <f aca="false">IFERROR(INDEX(_dyn_user_sdram_density_list,ROW()-5),"")</f>
        <v/>
      </c>
      <c r="N33" s="372" t="str">
        <f aca="false">IFERROR(INDEX(_dyn_user_sdram_rtt_list,ROW()-5),"")</f>
        <v/>
      </c>
      <c r="O33" s="373" t="str">
        <f aca="false">IFERROR(INDEX(_dyn_user_sdram_rttwr_list,ROW()-5),"")</f>
        <v/>
      </c>
      <c r="P33" s="373" t="str">
        <f aca="false">IFERROR(INDEX(_dyn_user_sdram_drivimp_list,ROW()-5),"")</f>
        <v/>
      </c>
      <c r="Q33" s="369" t="str">
        <f aca="false">IFERROR(INDEX(_emif_io_sr,ROW()-5),"")</f>
        <v/>
      </c>
      <c r="R33" s="379"/>
      <c r="S33" s="379"/>
      <c r="T33" s="379"/>
      <c r="U33" s="383"/>
      <c r="V33" s="369" t="str">
        <f aca="false">IF(B33="","",IF(B34="",B33,CONCATENATE(B33,", ")))</f>
        <v/>
      </c>
      <c r="W33" s="270"/>
      <c r="X33" s="270"/>
      <c r="Y33" s="270"/>
      <c r="Z33" s="270"/>
      <c r="AA33" s="270"/>
      <c r="AB33" s="270"/>
      <c r="AC33" s="270"/>
      <c r="AD33" s="270"/>
    </row>
  </sheetData>
  <sheetProtection sheet="true" objects="true" scenarios="true"/>
  <mergeCells count="10">
    <mergeCell ref="B1:AD3"/>
    <mergeCell ref="B4:B5"/>
    <mergeCell ref="C4:C5"/>
    <mergeCell ref="D4:D5"/>
    <mergeCell ref="E4:E5"/>
    <mergeCell ref="F4:F5"/>
    <mergeCell ref="G4:G5"/>
    <mergeCell ref="H4:I4"/>
    <mergeCell ref="J4:M4"/>
    <mergeCell ref="N4:A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RowHeight="12.75" zeroHeight="false" outlineLevelRow="0" outlineLevelCol="0"/>
  <cols>
    <col collapsed="false" customWidth="true" hidden="false" outlineLevel="0" max="1025" min="1" style="0" width="8.73"/>
  </cols>
  <sheetData/>
  <sheetProtection sheet="true" objects="true" scenario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RowHeight="12.75" zeroHeight="false" outlineLevelRow="0" outlineLevelCol="0"/>
  <cols>
    <col collapsed="false" customWidth="true" hidden="false" outlineLevel="0" max="1" min="1" style="268" width="36.71"/>
    <col collapsed="false" customWidth="true" hidden="false" outlineLevel="0" max="1025" min="2" style="268" width="9.14"/>
  </cols>
  <sheetData>
    <row r="1" customFormat="false" ht="12.75" hidden="false" customHeight="false" outlineLevel="0" collapsed="false">
      <c r="A1" s="384" t="s">
        <v>682</v>
      </c>
      <c r="B1" s="384" t="s">
        <v>683</v>
      </c>
      <c r="C1" s="384" t="s">
        <v>684</v>
      </c>
      <c r="D1" s="268" t="s">
        <v>20</v>
      </c>
      <c r="E1" s="268" t="s">
        <v>685</v>
      </c>
    </row>
    <row r="2" customFormat="false" ht="12.75" hidden="false" customHeight="false" outlineLevel="0" collapsed="false">
      <c r="A2" s="268" t="str">
        <f aca="false">IFERROR(INDEX($B$1:INDEX($B$1:$Z$1,COUNTIF($B$1:$Z$1,"?*")), MATCH(SMALL(COUNTIF($B$1:INDEX($B$1:$Z$1,COUNTIF($B$1:$Z$1,"?*")), "&lt;"&amp;$B$1:INDEX($B$1:$Z$1,COUNTIF($B$1:$Z$1,"?*"))), ROW(1:1)), COUNTIF($B$1:INDEX($B$1:$Z$1,COUNTIF($B$1:$Z$1,"?*")), "&lt;"&amp;$B$1:INDEX($B$1:$Z$1,COUNTIF($B$1:$Z$1,"?*"))), 0)),$B$1)</f>
        <v>AM574x_DDR3L_666MHz_TI_AM574x_IDK</v>
      </c>
      <c r="B2" s="268" t="s">
        <v>686</v>
      </c>
      <c r="C2" s="268" t="s">
        <v>687</v>
      </c>
      <c r="D2" s="268" t="s">
        <v>688</v>
      </c>
      <c r="E2" s="268" t="s">
        <v>49</v>
      </c>
    </row>
    <row r="3" customFormat="false" ht="12.75" hidden="false" customHeight="false" outlineLevel="0" collapsed="false">
      <c r="A3" s="268" t="str">
        <f aca="false">IFERROR(INDEX($B$1:INDEX($B$1:$Z$1,COUNTIF($B$1:$Z$1,"?*")), MATCH(SMALL(COUNTIF($B$1:INDEX($B$1:$Z$1,COUNTIF($B$1:$Z$1,"?*")), "&lt;"&amp;$B$1:INDEX($B$1:$Z$1,COUNTIF($B$1:$Z$1,"?*"))), ROW(2:2)), COUNTIF($B$1:INDEX($B$1:$Z$1,COUNTIF($B$1:$Z$1,"?*")), "&lt;"&amp;$B$1:INDEX($B$1:$Z$1,COUNTIF($B$1:$Z$1,"?*"))), 0)),"")</f>
        <v/>
      </c>
      <c r="B3" s="268" t="s">
        <v>689</v>
      </c>
      <c r="C3" s="268" t="s">
        <v>690</v>
      </c>
      <c r="D3" s="268" t="s">
        <v>52</v>
      </c>
      <c r="E3" s="268" t="s">
        <v>52</v>
      </c>
    </row>
    <row r="4" customFormat="false" ht="12.75" hidden="false" customHeight="false" outlineLevel="0" collapsed="false">
      <c r="A4" s="268" t="str">
        <f aca="false">IFERROR(INDEX($B$1:INDEX($B$1:$Z$1,COUNTIF($B$1:$Z$1,"?*")), MATCH(SMALL(COUNTIF($B$1:INDEX($B$1:$Z$1,COUNTIF($B$1:$Z$1,"?*")), "&lt;"&amp;$B$1:INDEX($B$1:$Z$1,COUNTIF($B$1:$Z$1,"?*"))), ROW(3:3)), COUNTIF($B$1:INDEX($B$1:$Z$1,COUNTIF($B$1:$Z$1,"?*")), "&lt;"&amp;$B$1:INDEX($B$1:$Z$1,COUNTIF($B$1:$Z$1,"?*"))), 0)),"")</f>
        <v/>
      </c>
      <c r="B4" s="268" t="n">
        <v>2</v>
      </c>
      <c r="C4" s="268" t="n">
        <v>1</v>
      </c>
      <c r="D4" s="268" t="n">
        <v>2</v>
      </c>
      <c r="E4" s="268" t="n">
        <v>2</v>
      </c>
    </row>
    <row r="5" customFormat="false" ht="12.75" hidden="false" customHeight="false" outlineLevel="0" collapsed="false">
      <c r="A5" s="268" t="str">
        <f aca="false">IFERROR(INDEX($B$1:INDEX($B$1:$Z$1,COUNTIF($B$1:$Z$1,"?*")), MATCH(SMALL(COUNTIF($B$1:INDEX($B$1:$Z$1,COUNTIF($B$1:$Z$1,"?*")), "&lt;"&amp;$B$1:INDEX($B$1:$Z$1,COUNTIF($B$1:$Z$1,"?*"))), ROW(4:4)), COUNTIF($B$1:INDEX($B$1:$Z$1,COUNTIF($B$1:$Z$1,"?*")), "&lt;"&amp;$B$1:INDEX($B$1:$Z$1,COUNTIF($B$1:$Z$1,"?*"))), 0)),"")</f>
        <v/>
      </c>
      <c r="B5" s="268" t="s">
        <v>57</v>
      </c>
      <c r="C5" s="268" t="s">
        <v>57</v>
      </c>
      <c r="D5" s="268" t="s">
        <v>57</v>
      </c>
      <c r="E5" s="268" t="s">
        <v>57</v>
      </c>
    </row>
    <row r="6" customFormat="false" ht="12.75" hidden="false" customHeight="false" outlineLevel="0" collapsed="false">
      <c r="A6" s="268" t="str">
        <f aca="false">IFERROR(INDEX($B$1:INDEX($B$1:$Z$1,COUNTIF($B$1:$Z$1,"?*")), MATCH(SMALL(COUNTIF($B$1:INDEX($B$1:$Z$1,COUNTIF($B$1:$Z$1,"?*")), "&lt;"&amp;$B$1:INDEX($B$1:$Z$1,COUNTIF($B$1:$Z$1,"?*"))), ROW(5:5)), COUNTIF($B$1:INDEX($B$1:$Z$1,COUNTIF($B$1:$Z$1,"?*")), "&lt;"&amp;$B$1:INDEX($B$1:$Z$1,COUNTIF($B$1:$Z$1,"?*"))), 0)),"")</f>
        <v/>
      </c>
      <c r="B6" s="268" t="n">
        <v>666</v>
      </c>
      <c r="C6" s="268" t="n">
        <v>666</v>
      </c>
      <c r="D6" s="268" t="n">
        <v>532</v>
      </c>
      <c r="E6" s="268" t="n">
        <v>532</v>
      </c>
    </row>
    <row r="7" customFormat="false" ht="12.75" hidden="false" customHeight="false" outlineLevel="0" collapsed="false">
      <c r="A7" s="268" t="str">
        <f aca="false">IFERROR(INDEX($B$1:INDEX($B$1:$Z$1,COUNTIF($B$1:$Z$1,"?*")), MATCH(SMALL(COUNTIF($B$1:INDEX($B$1:$Z$1,COUNTIF($B$1:$Z$1,"?*")), "&lt;"&amp;$B$1:INDEX($B$1:$Z$1,COUNTIF($B$1:$Z$1,"?*"))), ROW(6:6)), COUNTIF($B$1:INDEX($B$1:$Z$1,COUNTIF($B$1:$Z$1,"?*")), "&lt;"&amp;$B$1:INDEX($B$1:$Z$1,COUNTIF($B$1:$Z$1,"?*"))), 0)),"")</f>
        <v/>
      </c>
      <c r="B7" s="268" t="n">
        <v>32</v>
      </c>
      <c r="C7" s="268" t="n">
        <v>32</v>
      </c>
      <c r="D7" s="268" t="n">
        <v>32</v>
      </c>
      <c r="E7" s="268" t="n">
        <v>32</v>
      </c>
    </row>
    <row r="8" customFormat="false" ht="12.75" hidden="false" customHeight="false" outlineLevel="0" collapsed="false">
      <c r="A8" s="268" t="str">
        <f aca="false">IFERROR(INDEX($B$1:INDEX($B$1:$Z$1,COUNTIF($B$1:$Z$1,"?*")), MATCH(SMALL(COUNTIF($B$1:INDEX($B$1:$Z$1,COUNTIF($B$1:$Z$1,"?*")), "&lt;"&amp;$B$1:INDEX($B$1:$Z$1,COUNTIF($B$1:$Z$1,"?*"))), ROW(7:7)), COUNTIF($B$1:INDEX($B$1:$Z$1,COUNTIF($B$1:$Z$1,"?*")), "&lt;"&amp;$B$1:INDEX($B$1:$Z$1,COUNTIF($B$1:$Z$1,"?*"))), 0)),"")</f>
        <v/>
      </c>
      <c r="B8" s="268" t="n">
        <v>1</v>
      </c>
      <c r="C8" s="268" t="n">
        <v>1</v>
      </c>
      <c r="D8" s="268" t="n">
        <v>1</v>
      </c>
      <c r="E8" s="268" t="n">
        <v>1</v>
      </c>
    </row>
    <row r="9" customFormat="false" ht="12.75" hidden="false" customHeight="false" outlineLevel="0" collapsed="false">
      <c r="A9" s="268" t="str">
        <f aca="false">IFERROR(INDEX($B$1:INDEX($B$1:$Z$1,COUNTIF($B$1:$Z$1,"?*")), MATCH(SMALL(COUNTIF($B$1:INDEX($B$1:$Z$1,COUNTIF($B$1:$Z$1,"?*")), "&lt;"&amp;$B$1:INDEX($B$1:$Z$1,COUNTIF($B$1:$Z$1,"?*"))), ROW(8:8)), COUNTIF($B$1:INDEX($B$1:$Z$1,COUNTIF($B$1:$Z$1,"?*")), "&lt;"&amp;$B$1:INDEX($B$1:$Z$1,COUNTIF($B$1:$Z$1,"?*"))), 0)),"")</f>
        <v/>
      </c>
      <c r="B9" s="268" t="s">
        <v>63</v>
      </c>
      <c r="C9" s="268" t="s">
        <v>63</v>
      </c>
      <c r="D9" s="268" t="s">
        <v>63</v>
      </c>
      <c r="E9" s="268" t="s">
        <v>63</v>
      </c>
    </row>
    <row r="10" customFormat="false" ht="12.75" hidden="false" customHeight="false" outlineLevel="0" collapsed="false">
      <c r="A10" s="268" t="str">
        <f aca="false">IFERROR(INDEX($B$1:INDEX($B$1:$Z$1,COUNTIF($B$1:$Z$1,"?*")), MATCH(SMALL(COUNTIF($B$1:INDEX($B$1:$Z$1,COUNTIF($B$1:$Z$1,"?*")), "&lt;"&amp;$B$1:INDEX($B$1:$Z$1,COUNTIF($B$1:$Z$1,"?*"))), ROW(9:9)), COUNTIF($B$1:INDEX($B$1:$Z$1,COUNTIF($B$1:$Z$1,"?*")), "&lt;"&amp;$B$1:INDEX($B$1:$Z$1,COUNTIF($B$1:$Z$1,"?*"))), 0)),"")</f>
        <v/>
      </c>
      <c r="B10" s="268" t="s">
        <v>691</v>
      </c>
      <c r="C10" s="268" t="s">
        <v>68</v>
      </c>
      <c r="D10" s="268" t="s">
        <v>68</v>
      </c>
      <c r="E10" s="268" t="s">
        <v>68</v>
      </c>
    </row>
    <row r="11" customFormat="false" ht="12.75" hidden="false" customHeight="false" outlineLevel="0" collapsed="false">
      <c r="A11" s="268" t="str">
        <f aca="false">IFERROR(INDEX($B$1:INDEX($B$1:$Z$1,COUNTIF($B$1:$Z$1,"?*")), MATCH(SMALL(COUNTIF($B$1:INDEX($B$1:$Z$1,COUNTIF($B$1:$Z$1,"?*")), "&lt;"&amp;$B$1:INDEX($B$1:$Z$1,COUNTIF($B$1:$Z$1,"?*"))), ROW(10:10)), COUNTIF($B$1:INDEX($B$1:$Z$1,COUNTIF($B$1:$Z$1,"?*")), "&lt;"&amp;$B$1:INDEX($B$1:$Z$1,COUNTIF($B$1:$Z$1,"?*"))), 0)),"")</f>
        <v/>
      </c>
      <c r="B11" s="268" t="n">
        <v>1600</v>
      </c>
      <c r="C11" s="268" t="n">
        <v>1600</v>
      </c>
      <c r="D11" s="268" t="n">
        <v>1600</v>
      </c>
      <c r="E11" s="268" t="n">
        <v>1600</v>
      </c>
    </row>
    <row r="12" customFormat="false" ht="12.75" hidden="false" customHeight="false" outlineLevel="0" collapsed="false">
      <c r="A12" s="268" t="str">
        <f aca="false">IFERROR(INDEX($B$1:INDEX($B$1:$Z$1,COUNTIF($B$1:$Z$1,"?*")), MATCH(SMALL(COUNTIF($B$1:INDEX($B$1:$Z$1,COUNTIF($B$1:$Z$1,"?*")), "&lt;"&amp;$B$1:INDEX($B$1:$Z$1,COUNTIF($B$1:$Z$1,"?*"))), ROW(11:11)), COUNTIF($B$1:INDEX($B$1:$Z$1,COUNTIF($B$1:$Z$1,"?*")), "&lt;"&amp;$B$1:INDEX($B$1:$Z$1,COUNTIF($B$1:$Z$1,"?*"))), 0)),"")</f>
        <v/>
      </c>
      <c r="B12" s="268" t="n">
        <v>4</v>
      </c>
      <c r="C12" s="268" t="n">
        <v>4</v>
      </c>
      <c r="D12" s="268" t="n">
        <v>4</v>
      </c>
      <c r="E12" s="268" t="n">
        <v>4</v>
      </c>
    </row>
    <row r="13" customFormat="false" ht="12.75" hidden="false" customHeight="false" outlineLevel="0" collapsed="false">
      <c r="A13" s="268" t="str">
        <f aca="false">IFERROR(INDEX($B$1:INDEX($B$1:$Z$1,COUNTIF($B$1:$Z$1,"?*")), MATCH(SMALL(COUNTIF($B$1:INDEX($B$1:$Z$1,COUNTIF($B$1:$Z$1,"?*")), "&lt;"&amp;$B$1:INDEX($B$1:$Z$1,COUNTIF($B$1:$Z$1,"?*"))), ROW(12:12)), COUNTIF($B$1:INDEX($B$1:$Z$1,COUNTIF($B$1:$Z$1,"?*")), "&lt;"&amp;$B$1:INDEX($B$1:$Z$1,COUNTIF($B$1:$Z$1,"?*"))), 0)),"")</f>
        <v/>
      </c>
      <c r="B13" s="268" t="n">
        <v>16</v>
      </c>
      <c r="C13" s="268" t="n">
        <v>16</v>
      </c>
      <c r="D13" s="268" t="n">
        <v>16</v>
      </c>
      <c r="E13" s="268" t="n">
        <v>16</v>
      </c>
    </row>
    <row r="14" customFormat="false" ht="12.75" hidden="false" customHeight="false" outlineLevel="0" collapsed="false">
      <c r="A14" s="268" t="str">
        <f aca="false">IFERROR(INDEX($B$1:INDEX($B$1:$Z$1,COUNTIF($B$1:$Z$1,"?*")), MATCH(SMALL(COUNTIF($B$1:INDEX($B$1:$Z$1,COUNTIF($B$1:$Z$1,"?*")), "&lt;"&amp;$B$1:INDEX($B$1:$Z$1,COUNTIF($B$1:$Z$1,"?*"))), ROW(13:13)), COUNTIF($B$1:INDEX($B$1:$Z$1,COUNTIF($B$1:$Z$1,"?*")), "&lt;"&amp;$B$1:INDEX($B$1:$Z$1,COUNTIF($B$1:$Z$1,"?*"))), 0)),"")</f>
        <v/>
      </c>
      <c r="B14" s="268" t="n">
        <v>9</v>
      </c>
      <c r="C14" s="268" t="n">
        <v>9</v>
      </c>
      <c r="D14" s="268" t="n">
        <v>8</v>
      </c>
      <c r="E14" s="268" t="n">
        <v>8</v>
      </c>
    </row>
    <row r="15" customFormat="false" ht="12.75" hidden="false" customHeight="false" outlineLevel="0" collapsed="false">
      <c r="A15" s="268" t="str">
        <f aca="false">IFERROR(INDEX($B$1:INDEX($B$1:$Z$1,COUNTIF($B$1:$Z$1,"?*")), MATCH(SMALL(COUNTIF($B$1:INDEX($B$1:$Z$1,COUNTIF($B$1:$Z$1,"?*")), "&lt;"&amp;$B$1:INDEX($B$1:$Z$1,COUNTIF($B$1:$Z$1,"?*"))), ROW(14:14)), COUNTIF($B$1:INDEX($B$1:$Z$1,COUNTIF($B$1:$Z$1,"?*")), "&lt;"&amp;$B$1:INDEX($B$1:$Z$1,COUNTIF($B$1:$Z$1,"?*"))), 0)),"")</f>
        <v/>
      </c>
      <c r="B15" s="268" t="s">
        <v>84</v>
      </c>
      <c r="C15" s="268" t="s">
        <v>84</v>
      </c>
      <c r="D15" s="268" t="s">
        <v>84</v>
      </c>
      <c r="E15" s="268" t="s">
        <v>84</v>
      </c>
    </row>
    <row r="16" customFormat="false" ht="12.75" hidden="false" customHeight="false" outlineLevel="0" collapsed="false">
      <c r="A16" s="268" t="str">
        <f aca="false">IFERROR(INDEX($B$1:INDEX($B$1:$Z$1,COUNTIF($B$1:$Z$1,"?*")), MATCH(SMALL(COUNTIF($B$1:INDEX($B$1:$Z$1,COUNTIF($B$1:$Z$1,"?*")), "&lt;"&amp;$B$1:INDEX($B$1:$Z$1,COUNTIF($B$1:$Z$1,"?*"))), ROW(15:15)), COUNTIF($B$1:INDEX($B$1:$Z$1,COUNTIF($B$1:$Z$1,"?*")), "&lt;"&amp;$B$1:INDEX($B$1:$Z$1,COUNTIF($B$1:$Z$1,"?*"))), 0)),"")</f>
        <v/>
      </c>
      <c r="B16" s="268" t="s">
        <v>87</v>
      </c>
      <c r="C16" s="268" t="s">
        <v>87</v>
      </c>
      <c r="D16" s="268" t="s">
        <v>87</v>
      </c>
      <c r="E16" s="268" t="s">
        <v>87</v>
      </c>
    </row>
    <row r="17" customFormat="false" ht="12.75" hidden="false" customHeight="false" outlineLevel="0" collapsed="false">
      <c r="A17" s="268" t="str">
        <f aca="false">IFERROR(INDEX($B$1:INDEX($B$1:$Z$1,COUNTIF($B$1:$Z$1,"?*")), MATCH(SMALL(COUNTIF($B$1:INDEX($B$1:$Z$1,COUNTIF($B$1:$Z$1,"?*")), "&lt;"&amp;$B$1:INDEX($B$1:$Z$1,COUNTIF($B$1:$Z$1,"?*"))), ROW(16:16)), COUNTIF($B$1:INDEX($B$1:$Z$1,COUNTIF($B$1:$Z$1,"?*")), "&lt;"&amp;$B$1:INDEX($B$1:$Z$1,COUNTIF($B$1:$Z$1,"?*"))), 0)),"")</f>
        <v/>
      </c>
      <c r="B17" s="268" t="s">
        <v>89</v>
      </c>
      <c r="C17" s="268" t="s">
        <v>89</v>
      </c>
      <c r="D17" s="268" t="s">
        <v>89</v>
      </c>
      <c r="E17" s="268" t="s">
        <v>89</v>
      </c>
    </row>
    <row r="18" customFormat="false" ht="12.75" hidden="false" customHeight="false" outlineLevel="0" collapsed="false">
      <c r="A18" s="268" t="str">
        <f aca="false">IFERROR(INDEX($B$1:INDEX($B$1:$Z$1,COUNTIF($B$1:$Z$1,"?*")), MATCH(SMALL(COUNTIF($B$1:INDEX($B$1:$Z$1,COUNTIF($B$1:$Z$1,"?*")), "&lt;"&amp;$B$1:INDEX($B$1:$Z$1,COUNTIF($B$1:$Z$1,"?*"))), ROW(17:17)), COUNTIF($B$1:INDEX($B$1:$Z$1,COUNTIF($B$1:$Z$1,"?*")), "&lt;"&amp;$B$1:INDEX($B$1:$Z$1,COUNTIF($B$1:$Z$1,"?*"))), 0)),"")</f>
        <v/>
      </c>
      <c r="B18" s="268" t="n">
        <v>60</v>
      </c>
      <c r="C18" s="268" t="n">
        <v>60</v>
      </c>
      <c r="D18" s="268" t="n">
        <v>60</v>
      </c>
      <c r="E18" s="268" t="n">
        <v>60</v>
      </c>
    </row>
    <row r="19" customFormat="false" ht="12.75" hidden="false" customHeight="false" outlineLevel="0" collapsed="false">
      <c r="A19" s="268" t="str">
        <f aca="false">IFERROR(INDEX($B$1:INDEX($B$1:$Z$1,COUNTIF($B$1:$Z$1,"?*")), MATCH(SMALL(COUNTIF($B$1:INDEX($B$1:$Z$1,COUNTIF($B$1:$Z$1,"?*")), "&lt;"&amp;$B$1:INDEX($B$1:$Z$1,COUNTIF($B$1:$Z$1,"?*"))), ROW(18:18)), COUNTIF($B$1:INDEX($B$1:$Z$1,COUNTIF($B$1:$Z$1,"?*")), "&lt;"&amp;$B$1:INDEX($B$1:$Z$1,COUNTIF($B$1:$Z$1,"?*"))), 0)),"")</f>
        <v/>
      </c>
      <c r="B19" s="268" t="s">
        <v>94</v>
      </c>
      <c r="C19" s="268" t="s">
        <v>94</v>
      </c>
      <c r="D19" s="268" t="s">
        <v>94</v>
      </c>
      <c r="E19" s="268" t="s">
        <v>94</v>
      </c>
    </row>
    <row r="20" customFormat="false" ht="12.75" hidden="false" customHeight="false" outlineLevel="0" collapsed="false">
      <c r="A20" s="268" t="str">
        <f aca="false">IFERROR(INDEX($B$1:INDEX($B$1:$Z$1,COUNTIF($B$1:$Z$1,"?*")), MATCH(SMALL(COUNTIF($B$1:INDEX($B$1:$Z$1,COUNTIF($B$1:$Z$1,"?*")), "&lt;"&amp;$B$1:INDEX($B$1:$Z$1,COUNTIF($B$1:$Z$1,"?*"))), ROW(19:19)), COUNTIF($B$1:INDEX($B$1:$Z$1,COUNTIF($B$1:$Z$1,"?*")), "&lt;"&amp;$B$1:INDEX($B$1:$Z$1,COUNTIF($B$1:$Z$1,"?*"))), 0)),"")</f>
        <v/>
      </c>
      <c r="B20" s="268" t="s">
        <v>94</v>
      </c>
      <c r="C20" s="268" t="s">
        <v>94</v>
      </c>
      <c r="D20" s="268" t="s">
        <v>94</v>
      </c>
      <c r="E20" s="268" t="s">
        <v>94</v>
      </c>
    </row>
    <row r="21" customFormat="false" ht="12.75" hidden="false" customHeight="false" outlineLevel="0" collapsed="false">
      <c r="A21" s="268" t="str">
        <f aca="false">IFERROR(INDEX($B$1:INDEX($B$1:$Z$1,COUNTIF($B$1:$Z$1,"?*")), MATCH(SMALL(COUNTIF($B$1:INDEX($B$1:$Z$1,COUNTIF($B$1:$Z$1,"?*")), "&lt;"&amp;$B$1:INDEX($B$1:$Z$1,COUNTIF($B$1:$Z$1,"?*"))), ROW(20:20)), COUNTIF($B$1:INDEX($B$1:$Z$1,COUNTIF($B$1:$Z$1,"?*")), "&lt;"&amp;$B$1:INDEX($B$1:$Z$1,COUNTIF($B$1:$Z$1,"?*"))), 0)),"")</f>
        <v/>
      </c>
      <c r="B21" s="268" t="n">
        <v>34</v>
      </c>
      <c r="C21" s="268" t="n">
        <v>40</v>
      </c>
      <c r="D21" s="268" t="n">
        <v>34</v>
      </c>
      <c r="E21" s="268" t="n">
        <v>34</v>
      </c>
    </row>
    <row r="22" customFormat="false" ht="12.75" hidden="false" customHeight="false" outlineLevel="0" collapsed="false">
      <c r="A22" s="268" t="str">
        <f aca="false">IFERROR(INDEX($B$1:INDEX($B$1:$Z$1,COUNTIF($B$1:$Z$1,"?*")), MATCH(SMALL(COUNTIF($B$1:INDEX($B$1:$Z$1,COUNTIF($B$1:$Z$1,"?*")), "&lt;"&amp;$B$1:INDEX($B$1:$Z$1,COUNTIF($B$1:$Z$1,"?*"))), ROW(21:21)), COUNTIF($B$1:INDEX($B$1:$Z$1,COUNTIF($B$1:$Z$1,"?*")), "&lt;"&amp;$B$1:INDEX($B$1:$Z$1,COUNTIF($B$1:$Z$1,"?*"))), 0)),"")</f>
        <v/>
      </c>
      <c r="B22" s="268" t="n">
        <v>48</v>
      </c>
      <c r="C22" s="268" t="n">
        <v>48</v>
      </c>
      <c r="D22" s="268" t="n">
        <v>48</v>
      </c>
      <c r="E22" s="268" t="n">
        <v>48</v>
      </c>
    </row>
    <row r="23" customFormat="false" ht="12.75" hidden="false" customHeight="false" outlineLevel="0" collapsed="false">
      <c r="A23" s="268" t="str">
        <f aca="false">IFERROR(INDEX($B$1:INDEX($B$1:$Z$1,COUNTIF($B$1:$Z$1,"?*")), MATCH(SMALL(COUNTIF($B$1:INDEX($B$1:$Z$1,COUNTIF($B$1:$Z$1,"?*")), "&lt;"&amp;$B$1:INDEX($B$1:$Z$1,COUNTIF($B$1:$Z$1,"?*"))), ROW(22:22)), COUNTIF($B$1:INDEX($B$1:$Z$1,COUNTIF($B$1:$Z$1,"?*")), "&lt;"&amp;$B$1:INDEX($B$1:$Z$1,COUNTIF($B$1:$Z$1,"?*"))), 0)),"")</f>
        <v/>
      </c>
      <c r="B23" s="268" t="n">
        <v>4417</v>
      </c>
      <c r="C23" s="268" t="n">
        <v>4417</v>
      </c>
      <c r="D23" s="268" t="n">
        <v>1475</v>
      </c>
      <c r="E23" s="268" t="n">
        <v>4417</v>
      </c>
    </row>
    <row r="24" customFormat="false" ht="12.75" hidden="false" customHeight="false" outlineLevel="0" collapsed="false">
      <c r="A24" s="268" t="str">
        <f aca="false">IFERROR(INDEX($B$1:INDEX($B$1:$Z$1,COUNTIF($B$1:$Z$1,"?*")), MATCH(SMALL(COUNTIF($B$1:INDEX($B$1:$Z$1,COUNTIF($B$1:$Z$1,"?*")), "&lt;"&amp;$B$1:INDEX($B$1:$Z$1,COUNTIF($B$1:$Z$1,"?*"))), ROW(23:23)), COUNTIF($B$1:INDEX($B$1:$Z$1,COUNTIF($B$1:$Z$1,"?*")), "&lt;"&amp;$B$1:INDEX($B$1:$Z$1,COUNTIF($B$1:$Z$1,"?*"))), 0)),"")</f>
        <v/>
      </c>
      <c r="B24" s="268" t="n">
        <v>0</v>
      </c>
      <c r="C24" s="268" t="n">
        <v>0</v>
      </c>
      <c r="D24" s="268" t="n">
        <v>0</v>
      </c>
      <c r="E24" s="268" t="n">
        <v>0</v>
      </c>
    </row>
    <row r="25" customFormat="false" ht="12.75" hidden="false" customHeight="false" outlineLevel="0" collapsed="false">
      <c r="A25" s="268" t="str">
        <f aca="false">IFERROR(INDEX($B$1:INDEX($B$1:$Z$1,COUNTIF($B$1:$Z$1,"?*")), MATCH(SMALL(COUNTIF($B$1:INDEX($B$1:$Z$1,COUNTIF($B$1:$Z$1,"?*")), "&lt;"&amp;$B$1:INDEX($B$1:$Z$1,COUNTIF($B$1:$Z$1,"?*"))), ROW(24:24)), COUNTIF($B$1:INDEX($B$1:$Z$1,COUNTIF($B$1:$Z$1,"?*")), "&lt;"&amp;$B$1:INDEX($B$1:$Z$1,COUNTIF($B$1:$Z$1,"?*"))), 0)),"")</f>
        <v/>
      </c>
      <c r="B25" s="268" t="n">
        <v>4417</v>
      </c>
      <c r="C25" s="268" t="n">
        <v>4417</v>
      </c>
      <c r="D25" s="268" t="n">
        <v>1475</v>
      </c>
      <c r="E25" s="268" t="n">
        <v>4417</v>
      </c>
    </row>
    <row r="26" customFormat="false" ht="12.75" hidden="false" customHeight="false" outlineLevel="0" collapsed="false">
      <c r="A26" s="268" t="str">
        <f aca="false">IFERROR(INDEX($B$1:INDEX($B$1:$Z$1,COUNTIF($B$1:$Z$1,"?*")), MATCH(SMALL(COUNTIF($B$1:INDEX($B$1:$Z$1,COUNTIF($B$1:$Z$1,"?*")), "&lt;"&amp;$B$1:INDEX($B$1:$Z$1,COUNTIF($B$1:$Z$1,"?*"))), ROW(25:25)), COUNTIF($B$1:INDEX($B$1:$Z$1,COUNTIF($B$1:$Z$1,"?*")), "&lt;"&amp;$B$1:INDEX($B$1:$Z$1,COUNTIF($B$1:$Z$1,"?*"))), 0)),"")</f>
        <v/>
      </c>
      <c r="B26" s="268" t="n">
        <v>0</v>
      </c>
      <c r="C26" s="268" t="n">
        <v>0</v>
      </c>
      <c r="D26" s="268" t="n">
        <v>0</v>
      </c>
      <c r="E26" s="268" t="n">
        <v>0</v>
      </c>
    </row>
    <row r="27" customFormat="false" ht="12.75" hidden="false" customHeight="false" outlineLevel="0" collapsed="false">
      <c r="A27" s="268" t="str">
        <f aca="false">IFERROR(INDEX($B$1:INDEX($B$1:$Z$1,COUNTIF($B$1:$Z$1,"?*")), MATCH(SMALL(COUNTIF($B$1:INDEX($B$1:$Z$1,COUNTIF($B$1:$Z$1,"?*")), "&lt;"&amp;$B$1:INDEX($B$1:$Z$1,COUNTIF($B$1:$Z$1,"?*"))), ROW(26:26)), COUNTIF($B$1:INDEX($B$1:$Z$1,COUNTIF($B$1:$Z$1,"?*")), "&lt;"&amp;$B$1:INDEX($B$1:$Z$1,COUNTIF($B$1:$Z$1,"?*"))), 0)),"")</f>
        <v/>
      </c>
      <c r="B27" s="268" t="n">
        <v>4420</v>
      </c>
      <c r="C27" s="268" t="n">
        <v>4420</v>
      </c>
      <c r="D27" s="268" t="n">
        <v>2015</v>
      </c>
      <c r="E27" s="268" t="n">
        <v>4420</v>
      </c>
    </row>
    <row r="28" customFormat="false" ht="12.75" hidden="false" customHeight="false" outlineLevel="0" collapsed="false">
      <c r="A28" s="268" t="str">
        <f aca="false">IFERROR(INDEX($B$1:INDEX($B$1:$Z$1,COUNTIF($B$1:$Z$1,"?*")), MATCH(SMALL(COUNTIF($B$1:INDEX($B$1:$Z$1,COUNTIF($B$1:$Z$1,"?*")), "&lt;"&amp;$B$1:INDEX($B$1:$Z$1,COUNTIF($B$1:$Z$1,"?*"))), ROW(27:27)), COUNTIF($B$1:INDEX($B$1:$Z$1,COUNTIF($B$1:$Z$1,"?*")), "&lt;"&amp;$B$1:INDEX($B$1:$Z$1,COUNTIF($B$1:$Z$1,"?*"))), 0)),"")</f>
        <v/>
      </c>
      <c r="B28" s="268" t="n">
        <v>668</v>
      </c>
      <c r="C28" s="268" t="n">
        <v>668</v>
      </c>
      <c r="D28" s="268" t="n">
        <v>0</v>
      </c>
      <c r="E28" s="268" t="n">
        <v>668</v>
      </c>
    </row>
    <row r="29" customFormat="false" ht="12.75" hidden="false" customHeight="false" outlineLevel="0" collapsed="false">
      <c r="A29" s="268" t="str">
        <f aca="false">IFERROR(INDEX($B$1:INDEX($B$1:$Z$1,COUNTIF($B$1:$Z$1,"?*")), MATCH(SMALL(COUNTIF($B$1:INDEX($B$1:$Z$1,COUNTIF($B$1:$Z$1,"?*")), "&lt;"&amp;$B$1:INDEX($B$1:$Z$1,COUNTIF($B$1:$Z$1,"?*"))), ROW(28:28)), COUNTIF($B$1:INDEX($B$1:$Z$1,COUNTIF($B$1:$Z$1,"?*")), "&lt;"&amp;$B$1:INDEX($B$1:$Z$1,COUNTIF($B$1:$Z$1,"?*"))), 0)),"")</f>
        <v/>
      </c>
      <c r="B29" s="268" t="n">
        <v>4420</v>
      </c>
      <c r="C29" s="268" t="n">
        <v>4420</v>
      </c>
      <c r="D29" s="268" t="n">
        <v>2015</v>
      </c>
      <c r="E29" s="268" t="n">
        <v>4420</v>
      </c>
    </row>
    <row r="30" customFormat="false" ht="12.75" hidden="false" customHeight="false" outlineLevel="0" collapsed="false">
      <c r="A30" s="268" t="str">
        <f aca="false">IFERROR(INDEX($B$1:INDEX($B$1:$Z$1,COUNTIF($B$1:$Z$1,"?*")), MATCH(SMALL(COUNTIF($B$1:INDEX($B$1:$Z$1,COUNTIF($B$1:$Z$1,"?*")), "&lt;"&amp;$B$1:INDEX($B$1:$Z$1,COUNTIF($B$1:$Z$1,"?*"))), ROW(29:29)), COUNTIF($B$1:INDEX($B$1:$Z$1,COUNTIF($B$1:$Z$1,"?*")), "&lt;"&amp;$B$1:INDEX($B$1:$Z$1,COUNTIF($B$1:$Z$1,"?*"))), 0)),"")</f>
        <v/>
      </c>
      <c r="B30" s="268" t="n">
        <v>668</v>
      </c>
      <c r="C30" s="268" t="n">
        <v>668</v>
      </c>
      <c r="D30" s="0"/>
      <c r="E30" s="268" t="n">
        <v>668</v>
      </c>
    </row>
    <row r="31" customFormat="false" ht="12.75" hidden="false" customHeight="false" outlineLevel="0" collapsed="false">
      <c r="A31" s="268" t="str">
        <f aca="false">IFERROR(INDEX($B$1:INDEX($B$1:$Z$1,COUNTIF($B$1:$Z$1,"?*")), MATCH(SMALL(COUNTIF($B$1:INDEX($B$1:$Z$1,COUNTIF($B$1:$Z$1,"?*")), "&lt;"&amp;$B$1:INDEX($B$1:$Z$1,COUNTIF($B$1:$Z$1,"?*"))), ROW(30:30)), COUNTIF($B$1:INDEX($B$1:$Z$1,COUNTIF($B$1:$Z$1,"?*")), "&lt;"&amp;$B$1:INDEX($B$1:$Z$1,COUNTIF($B$1:$Z$1,"?*"))), 0)),"")</f>
        <v/>
      </c>
      <c r="B31" s="268" t="n">
        <v>4420</v>
      </c>
      <c r="C31" s="268" t="n">
        <v>4420</v>
      </c>
      <c r="D31" s="0"/>
      <c r="E31" s="268" t="n">
        <v>4420</v>
      </c>
    </row>
    <row r="32" customFormat="false" ht="12.75" hidden="false" customHeight="false" outlineLevel="0" collapsed="false">
      <c r="A32" s="268" t="str">
        <f aca="false">IFERROR(INDEX($B$1:INDEX($B$1:$Z$1,COUNTIF($B$1:$Z$1,"?*")), MATCH(SMALL(COUNTIF($B$1:INDEX($B$1:$Z$1,COUNTIF($B$1:$Z$1,"?*")), "&lt;"&amp;$B$1:INDEX($B$1:$Z$1,COUNTIF($B$1:$Z$1,"?*"))), ROW(31:31)), COUNTIF($B$1:INDEX($B$1:$Z$1,COUNTIF($B$1:$Z$1,"?*")), "&lt;"&amp;$B$1:INDEX($B$1:$Z$1,COUNTIF($B$1:$Z$1,"?*"))), 0)),"")</f>
        <v/>
      </c>
      <c r="B32" s="268" t="n">
        <v>1336</v>
      </c>
      <c r="C32" s="268" t="n">
        <v>1336</v>
      </c>
      <c r="D32" s="0"/>
      <c r="E32" s="268" t="n">
        <v>1336</v>
      </c>
    </row>
    <row r="33" customFormat="false" ht="12.75" hidden="false" customHeight="false" outlineLevel="0" collapsed="false">
      <c r="A33" s="268" t="str">
        <f aca="false">IFERROR(INDEX($B$1:INDEX($B$1:$Z$1,COUNTIF($B$1:$Z$1,"?*")), MATCH(SMALL(COUNTIF($B$1:INDEX($B$1:$Z$1,COUNTIF($B$1:$Z$1,"?*")), "&lt;"&amp;$B$1:INDEX($B$1:$Z$1,COUNTIF($B$1:$Z$1,"?*"))), ROW(32:32)), COUNTIF($B$1:INDEX($B$1:$Z$1,COUNTIF($B$1:$Z$1,"?*")), "&lt;"&amp;$B$1:INDEX($B$1:$Z$1,COUNTIF($B$1:$Z$1,"?*"))), 0)),"")</f>
        <v/>
      </c>
      <c r="B33" s="268" t="n">
        <v>45</v>
      </c>
      <c r="C33" s="268" t="n">
        <v>45</v>
      </c>
      <c r="D33" s="268" t="n">
        <v>945</v>
      </c>
      <c r="E33" s="268" t="n">
        <v>45</v>
      </c>
    </row>
    <row r="34" customFormat="false" ht="12.75" hidden="false" customHeight="false" outlineLevel="0" collapsed="false">
      <c r="A34" s="268" t="str">
        <f aca="false">IFERROR(INDEX($B$1:INDEX($B$1:$Z$1,COUNTIF($B$1:$Z$1,"?*")), MATCH(SMALL(COUNTIF($B$1:INDEX($B$1:$Z$1,COUNTIF($B$1:$Z$1,"?*")), "&lt;"&amp;$B$1:INDEX($B$1:$Z$1,COUNTIF($B$1:$Z$1,"?*"))), ROW(33:33)), COUNTIF($B$1:INDEX($B$1:$Z$1,COUNTIF($B$1:$Z$1,"?*")), "&lt;"&amp;$B$1:INDEX($B$1:$Z$1,COUNTIF($B$1:$Z$1,"?*"))), 0)),"")</f>
        <v/>
      </c>
      <c r="B34" s="268" t="n">
        <v>2303</v>
      </c>
      <c r="C34" s="268" t="n">
        <v>2303</v>
      </c>
      <c r="D34" s="268" t="n">
        <v>0</v>
      </c>
      <c r="E34" s="268" t="n">
        <v>2303</v>
      </c>
    </row>
    <row r="35" customFormat="false" ht="12.75" hidden="false" customHeight="false" outlineLevel="0" collapsed="false">
      <c r="A35" s="268" t="str">
        <f aca="false">IFERROR(INDEX($B$1:INDEX($B$1:$Z$1,COUNTIF($B$1:$Z$1,"?*")), MATCH(SMALL(COUNTIF($B$1:INDEX($B$1:$Z$1,COUNTIF($B$1:$Z$1,"?*")), "&lt;"&amp;$B$1:INDEX($B$1:$Z$1,COUNTIF($B$1:$Z$1,"?*"))), ROW(34:34)), COUNTIF($B$1:INDEX($B$1:$Z$1,COUNTIF($B$1:$Z$1,"?*")), "&lt;"&amp;$B$1:INDEX($B$1:$Z$1,COUNTIF($B$1:$Z$1,"?*"))), 0)),"")</f>
        <v/>
      </c>
      <c r="B35" s="268" t="n">
        <v>180</v>
      </c>
      <c r="C35" s="268" t="n">
        <v>180</v>
      </c>
      <c r="D35" s="268" t="n">
        <v>834</v>
      </c>
      <c r="E35" s="268" t="n">
        <v>180</v>
      </c>
    </row>
    <row r="36" customFormat="false" ht="12.75" hidden="false" customHeight="false" outlineLevel="0" collapsed="false">
      <c r="A36" s="268" t="str">
        <f aca="false">IFERROR(INDEX($B$1:INDEX($B$1:$Z$1,COUNTIF($B$1:$Z$1,"?*")), MATCH(SMALL(COUNTIF($B$1:INDEX($B$1:$Z$1,COUNTIF($B$1:$Z$1,"?*")), "&lt;"&amp;$B$1:INDEX($B$1:$Z$1,COUNTIF($B$1:$Z$1,"?*"))), ROW(35:35)), COUNTIF($B$1:INDEX($B$1:$Z$1,COUNTIF($B$1:$Z$1,"?*")), "&lt;"&amp;$B$1:INDEX($B$1:$Z$1,COUNTIF($B$1:$Z$1,"?*"))), 0)),"")</f>
        <v/>
      </c>
      <c r="B36" s="268" t="n">
        <v>1909</v>
      </c>
      <c r="C36" s="268" t="n">
        <v>1909</v>
      </c>
      <c r="D36" s="268" t="n">
        <v>0</v>
      </c>
      <c r="E36" s="268" t="n">
        <v>1909</v>
      </c>
    </row>
    <row r="37" customFormat="false" ht="12.75" hidden="false" customHeight="false" outlineLevel="0" collapsed="false">
      <c r="A37" s="268" t="str">
        <f aca="false">IFERROR(INDEX($B$1:INDEX($B$1:$Z$1,COUNTIF($B$1:$Z$1,"?*")), MATCH(SMALL(COUNTIF($B$1:INDEX($B$1:$Z$1,COUNTIF($B$1:$Z$1,"?*")), "&lt;"&amp;$B$1:INDEX($B$1:$Z$1,COUNTIF($B$1:$Z$1,"?*"))), ROW(36:36)), COUNTIF($B$1:INDEX($B$1:$Z$1,COUNTIF($B$1:$Z$1,"?*")), "&lt;"&amp;$B$1:INDEX($B$1:$Z$1,COUNTIF($B$1:$Z$1,"?*"))), 0)),"")</f>
        <v/>
      </c>
      <c r="B37" s="268" t="n">
        <v>367</v>
      </c>
      <c r="C37" s="268" t="n">
        <v>367</v>
      </c>
      <c r="D37" s="268" t="n">
        <v>982</v>
      </c>
      <c r="E37" s="268" t="n">
        <v>367</v>
      </c>
    </row>
    <row r="38" customFormat="false" ht="12.75" hidden="false" customHeight="false" outlineLevel="0" collapsed="false">
      <c r="A38" s="268" t="str">
        <f aca="false">IFERROR(INDEX($B$1:INDEX($B$1:$Z$1,COUNTIF($B$1:$Z$1,"?*")), MATCH(SMALL(COUNTIF($B$1:INDEX($B$1:$Z$1,COUNTIF($B$1:$Z$1,"?*")), "&lt;"&amp;$B$1:INDEX($B$1:$Z$1,COUNTIF($B$1:$Z$1,"?*"))), ROW(37:37)), COUNTIF($B$1:INDEX($B$1:$Z$1,COUNTIF($B$1:$Z$1,"?*")), "&lt;"&amp;$B$1:INDEX($B$1:$Z$1,COUNTIF($B$1:$Z$1,"?*"))), 0)),"")</f>
        <v/>
      </c>
      <c r="B38" s="268" t="n">
        <v>1854</v>
      </c>
      <c r="C38" s="268" t="n">
        <v>1854</v>
      </c>
      <c r="D38" s="268" t="n">
        <v>0</v>
      </c>
      <c r="E38" s="268" t="n">
        <v>1854</v>
      </c>
    </row>
    <row r="39" customFormat="false" ht="12.75" hidden="false" customHeight="false" outlineLevel="0" collapsed="false">
      <c r="A39" s="268" t="str">
        <f aca="false">IFERROR(INDEX($B$1:INDEX($B$1:$Z$1,COUNTIF($B$1:$Z$1,"?*")), MATCH(SMALL(COUNTIF($B$1:INDEX($B$1:$Z$1,COUNTIF($B$1:$Z$1,"?*")), "&lt;"&amp;$B$1:INDEX($B$1:$Z$1,COUNTIF($B$1:$Z$1,"?*"))), ROW(38:38)), COUNTIF($B$1:INDEX($B$1:$Z$1,COUNTIF($B$1:$Z$1,"?*")), "&lt;"&amp;$B$1:INDEX($B$1:$Z$1,COUNTIF($B$1:$Z$1,"?*"))), 0)),"")</f>
        <v/>
      </c>
      <c r="B39" s="268" t="n">
        <v>253</v>
      </c>
      <c r="C39" s="268" t="n">
        <v>253</v>
      </c>
      <c r="D39" s="268" t="n">
        <v>759</v>
      </c>
      <c r="E39" s="268" t="n">
        <v>253</v>
      </c>
    </row>
    <row r="40" customFormat="false" ht="12.75" hidden="false" customHeight="false" outlineLevel="0" collapsed="false">
      <c r="A40" s="268" t="str">
        <f aca="false">IFERROR(INDEX($B$1:INDEX($B$1:$Z$1,COUNTIF($B$1:$Z$1,"?*")), MATCH(SMALL(COUNTIF($B$1:INDEX($B$1:$Z$1,COUNTIF($B$1:$Z$1,"?*")), "&lt;"&amp;$B$1:INDEX($B$1:$Z$1,COUNTIF($B$1:$Z$1,"?*"))), ROW(39:39)), COUNTIF($B$1:INDEX($B$1:$Z$1,COUNTIF($B$1:$Z$1,"?*")), "&lt;"&amp;$B$1:INDEX($B$1:$Z$1,COUNTIF($B$1:$Z$1,"?*"))), 0)),"")</f>
        <v/>
      </c>
      <c r="B40" s="268" t="n">
        <v>1665</v>
      </c>
      <c r="C40" s="268" t="n">
        <v>1665</v>
      </c>
      <c r="D40" s="268" t="n">
        <v>0</v>
      </c>
      <c r="E40" s="268" t="n">
        <v>1665</v>
      </c>
    </row>
    <row r="41" customFormat="false" ht="12.75" hidden="false" customHeight="false" outlineLevel="0" collapsed="false">
      <c r="A41" s="268" t="str">
        <f aca="false">IFERROR(INDEX($B$1:INDEX($B$1:$Z$1,COUNTIF($B$1:$Z$1,"?*")), MATCH(SMALL(COUNTIF($B$1:INDEX($B$1:$Z$1,COUNTIF($B$1:$Z$1,"?*")), "&lt;"&amp;$B$1:INDEX($B$1:$Z$1,COUNTIF($B$1:$Z$1,"?*"))), ROW(40:40)), COUNTIF($B$1:INDEX($B$1:$Z$1,COUNTIF($B$1:$Z$1,"?*")), "&lt;"&amp;$B$1:INDEX($B$1:$Z$1,COUNTIF($B$1:$Z$1,"?*"))), 0)),"")</f>
        <v/>
      </c>
      <c r="B41" s="268" t="n">
        <v>393</v>
      </c>
      <c r="C41" s="268" t="n">
        <v>393</v>
      </c>
      <c r="D41" s="268" t="n">
        <v>0</v>
      </c>
      <c r="E41" s="268" t="n">
        <v>393</v>
      </c>
    </row>
    <row r="42" customFormat="false" ht="12.75" hidden="false" customHeight="false" outlineLevel="0" collapsed="false">
      <c r="A42" s="268" t="str">
        <f aca="false">IFERROR(INDEX($B$1:INDEX($B$1:$Z$1,COUNTIF($B$1:$Z$1,"?*")), MATCH(SMALL(COUNTIF($B$1:INDEX($B$1:$Z$1,COUNTIF($B$1:$Z$1,"?*")), "&lt;"&amp;$B$1:INDEX($B$1:$Z$1,COUNTIF($B$1:$Z$1,"?*"))), ROW(41:41)), COUNTIF($B$1:INDEX($B$1:$Z$1,COUNTIF($B$1:$Z$1,"?*")), "&lt;"&amp;$B$1:INDEX($B$1:$Z$1,COUNTIF($B$1:$Z$1,"?*"))), 0)),"")</f>
        <v/>
      </c>
      <c r="B42" s="268" t="n">
        <v>1908</v>
      </c>
      <c r="C42" s="268" t="n">
        <v>1908</v>
      </c>
      <c r="D42" s="268" t="n">
        <v>0</v>
      </c>
      <c r="E42" s="268" t="n">
        <v>1908</v>
      </c>
    </row>
    <row r="43" customFormat="false" ht="12.75" hidden="false" customHeight="false" outlineLevel="0" collapsed="false">
      <c r="A43" s="268" t="str">
        <f aca="false">IFERROR(INDEX($B$1:INDEX($B$1:$Z$1,COUNTIF($B$1:$Z$1,"?*")), MATCH(SMALL(COUNTIF($B$1:INDEX($B$1:$Z$1,COUNTIF($B$1:$Z$1,"?*")), "&lt;"&amp;$B$1:INDEX($B$1:$Z$1,COUNTIF($B$1:$Z$1,"?*"))), ROW(42:42)), COUNTIF($B$1:INDEX($B$1:$Z$1,COUNTIF($B$1:$Z$1,"?*")), "&lt;"&amp;$B$1:INDEX($B$1:$Z$1,COUNTIF($B$1:$Z$1,"?*"))), 0)),"")</f>
        <v/>
      </c>
      <c r="B43" s="268" t="n">
        <v>4531</v>
      </c>
      <c r="C43" s="0"/>
      <c r="D43" s="268" t="n">
        <v>1924</v>
      </c>
      <c r="E43" s="268" t="n">
        <v>4531</v>
      </c>
    </row>
    <row r="44" customFormat="false" ht="12.75" hidden="false" customHeight="false" outlineLevel="0" collapsed="false">
      <c r="A44" s="268" t="str">
        <f aca="false">IFERROR(INDEX($B$1:INDEX($B$1:$Z$1,COUNTIF($B$1:$Z$1,"?*")), MATCH(SMALL(COUNTIF($B$1:INDEX($B$1:$Z$1,COUNTIF($B$1:$Z$1,"?*")), "&lt;"&amp;$B$1:INDEX($B$1:$Z$1,COUNTIF($B$1:$Z$1,"?*"))), ROW(43:43)), COUNTIF($B$1:INDEX($B$1:$Z$1,COUNTIF($B$1:$Z$1,"?*")), "&lt;"&amp;$B$1:INDEX($B$1:$Z$1,COUNTIF($B$1:$Z$1,"?*"))), 0)),"")</f>
        <v/>
      </c>
      <c r="B44" s="268" t="n">
        <v>0</v>
      </c>
      <c r="C44" s="0"/>
      <c r="D44" s="268" t="n">
        <v>0</v>
      </c>
      <c r="E44" s="268" t="n">
        <v>0</v>
      </c>
    </row>
    <row r="45" customFormat="false" ht="12.75" hidden="false" customHeight="false" outlineLevel="0" collapsed="false">
      <c r="B45" s="268" t="n">
        <v>4531</v>
      </c>
      <c r="C45" s="0"/>
      <c r="D45" s="268" t="n">
        <v>1924</v>
      </c>
      <c r="E45" s="268" t="n">
        <v>4531</v>
      </c>
    </row>
    <row r="46" customFormat="false" ht="12.75" hidden="false" customHeight="false" outlineLevel="0" collapsed="false">
      <c r="B46" s="268" t="n">
        <v>0</v>
      </c>
      <c r="C46" s="0"/>
      <c r="D46" s="268" t="n">
        <v>0</v>
      </c>
      <c r="E46" s="268" t="n">
        <v>0</v>
      </c>
    </row>
    <row r="47" customFormat="false" ht="12.75" hidden="false" customHeight="false" outlineLevel="0" collapsed="false">
      <c r="B47" s="268" t="n">
        <v>5249</v>
      </c>
      <c r="C47" s="0"/>
      <c r="D47" s="268" t="n">
        <v>1384</v>
      </c>
      <c r="E47" s="268" t="n">
        <v>5249</v>
      </c>
    </row>
    <row r="48" customFormat="false" ht="12.75" hidden="false" customHeight="false" outlineLevel="0" collapsed="false">
      <c r="B48" s="268" t="n">
        <v>0</v>
      </c>
      <c r="C48" s="0"/>
      <c r="D48" s="268" t="n">
        <v>0</v>
      </c>
      <c r="E48" s="268" t="n">
        <v>0</v>
      </c>
    </row>
    <row r="49" customFormat="false" ht="12.75" hidden="false" customHeight="false" outlineLevel="0" collapsed="false">
      <c r="B49" s="268" t="n">
        <v>5249</v>
      </c>
      <c r="C49" s="0"/>
      <c r="D49" s="268" t="n">
        <v>1384</v>
      </c>
      <c r="E49" s="268" t="n">
        <v>5249</v>
      </c>
    </row>
    <row r="50" customFormat="false" ht="12.75" hidden="false" customHeight="false" outlineLevel="0" collapsed="false">
      <c r="B50" s="268" t="n">
        <v>0</v>
      </c>
      <c r="C50" s="0"/>
      <c r="D50" s="268" t="n">
        <v>0</v>
      </c>
      <c r="E50" s="268" t="n">
        <v>0</v>
      </c>
    </row>
    <row r="51" customFormat="false" ht="12.75" hidden="false" customHeight="false" outlineLevel="0" collapsed="false">
      <c r="B51" s="268" t="n">
        <v>0</v>
      </c>
      <c r="C51" s="0"/>
      <c r="D51" s="268" t="n">
        <v>0</v>
      </c>
      <c r="E51" s="268" t="n">
        <v>0</v>
      </c>
    </row>
    <row r="52" customFormat="false" ht="12.75" hidden="false" customHeight="false" outlineLevel="0" collapsed="false">
      <c r="B52" s="268" t="n">
        <v>0</v>
      </c>
      <c r="C52" s="0"/>
      <c r="D52" s="268" t="n">
        <v>0</v>
      </c>
      <c r="E52" s="268" t="n">
        <v>0</v>
      </c>
    </row>
    <row r="53" customFormat="false" ht="12.75" hidden="false" customHeight="false" outlineLevel="0" collapsed="false">
      <c r="B53" s="268" t="n">
        <v>128</v>
      </c>
      <c r="C53" s="0"/>
      <c r="D53" s="268" t="n">
        <v>792</v>
      </c>
      <c r="E53" s="268" t="n">
        <v>128</v>
      </c>
    </row>
    <row r="54" customFormat="false" ht="12.75" hidden="false" customHeight="false" outlineLevel="0" collapsed="false">
      <c r="B54" s="268" t="n">
        <v>1867</v>
      </c>
      <c r="C54" s="0"/>
      <c r="D54" s="268" t="n">
        <v>0</v>
      </c>
      <c r="E54" s="268" t="n">
        <v>1867</v>
      </c>
    </row>
    <row r="55" customFormat="false" ht="12.75" hidden="false" customHeight="false" outlineLevel="0" collapsed="false">
      <c r="B55" s="268" t="n">
        <v>190</v>
      </c>
      <c r="C55" s="0"/>
      <c r="D55" s="268" t="n">
        <v>1118</v>
      </c>
      <c r="E55" s="268" t="n">
        <v>190</v>
      </c>
    </row>
    <row r="56" customFormat="false" ht="12.75" hidden="false" customHeight="false" outlineLevel="0" collapsed="false">
      <c r="B56" s="268" t="n">
        <v>1749</v>
      </c>
      <c r="C56" s="0"/>
      <c r="D56" s="268" t="n">
        <v>0</v>
      </c>
      <c r="E56" s="268" t="n">
        <v>1749</v>
      </c>
    </row>
    <row r="57" customFormat="false" ht="12.75" hidden="false" customHeight="false" outlineLevel="0" collapsed="false">
      <c r="B57" s="268" t="n">
        <v>313</v>
      </c>
      <c r="C57" s="0"/>
      <c r="D57" s="268" t="n">
        <v>809</v>
      </c>
      <c r="E57" s="268" t="n">
        <v>313</v>
      </c>
    </row>
    <row r="58" customFormat="false" ht="12.75" hidden="false" customHeight="false" outlineLevel="0" collapsed="false">
      <c r="B58" s="268" t="n">
        <v>1902</v>
      </c>
      <c r="C58" s="0"/>
      <c r="D58" s="268" t="n">
        <v>0</v>
      </c>
      <c r="E58" s="268" t="n">
        <v>1902</v>
      </c>
    </row>
    <row r="59" customFormat="false" ht="12.75" hidden="false" customHeight="false" outlineLevel="0" collapsed="false">
      <c r="B59" s="268" t="n">
        <v>141</v>
      </c>
      <c r="C59" s="0"/>
      <c r="D59" s="268" t="n">
        <v>952</v>
      </c>
      <c r="E59" s="268" t="n">
        <v>141</v>
      </c>
    </row>
    <row r="60" customFormat="false" ht="12.75" hidden="false" customHeight="false" outlineLevel="0" collapsed="false">
      <c r="B60" s="268" t="n">
        <v>1826</v>
      </c>
      <c r="C60" s="0"/>
      <c r="D60" s="268" t="n">
        <v>0</v>
      </c>
      <c r="E60" s="268" t="n">
        <v>1826</v>
      </c>
    </row>
    <row r="61" customFormat="false" ht="12.75" hidden="false" customHeight="false" outlineLevel="0" collapsed="false">
      <c r="B61" s="268" t="n">
        <v>0</v>
      </c>
      <c r="C61" s="0"/>
      <c r="D61" s="268" t="n">
        <v>0</v>
      </c>
      <c r="E61" s="268" t="n">
        <v>0</v>
      </c>
    </row>
    <row r="62" customFormat="false" ht="12.75" hidden="false" customHeight="false" outlineLevel="0" collapsed="false">
      <c r="B62" s="268" t="n">
        <v>0</v>
      </c>
      <c r="C62" s="0"/>
      <c r="D62" s="268" t="n">
        <v>0</v>
      </c>
      <c r="E62" s="268" t="n">
        <v>0</v>
      </c>
    </row>
    <row r="63" customFormat="false" ht="12.75" hidden="false" customHeight="false" outlineLevel="0" collapsed="false">
      <c r="B63" s="0"/>
      <c r="C63" s="0"/>
      <c r="D63" s="0"/>
      <c r="E63" s="0"/>
    </row>
    <row r="64" customFormat="false" ht="12.75" hidden="false" customHeight="false" outlineLevel="0" collapsed="false">
      <c r="B64" s="0"/>
      <c r="C64" s="0"/>
      <c r="D64" s="0"/>
      <c r="E64" s="0"/>
    </row>
    <row r="65" customFormat="false" ht="12.75" hidden="false" customHeight="false" outlineLevel="0" collapsed="false">
      <c r="B65" s="0"/>
      <c r="C65" s="0"/>
      <c r="D65" s="0"/>
      <c r="E65" s="0"/>
    </row>
    <row r="66" customFormat="false" ht="12.75" hidden="false" customHeight="false" outlineLevel="0" collapsed="false">
      <c r="B66" s="0"/>
      <c r="C66" s="0"/>
      <c r="D66" s="0"/>
      <c r="E66" s="0"/>
    </row>
    <row r="67" customFormat="false" ht="12.75" hidden="false" customHeight="false" outlineLevel="0" collapsed="false">
      <c r="B67" s="0"/>
      <c r="C67" s="0"/>
      <c r="D67" s="0"/>
      <c r="E67" s="0"/>
    </row>
    <row r="68" customFormat="false" ht="12.75" hidden="false" customHeight="false" outlineLevel="0" collapsed="false">
      <c r="B68" s="0"/>
      <c r="C68" s="0"/>
      <c r="D68" s="0"/>
      <c r="E68" s="0"/>
    </row>
    <row r="69" customFormat="false" ht="12.75" hidden="false" customHeight="false" outlineLevel="0" collapsed="false">
      <c r="B69" s="0"/>
      <c r="C69" s="0"/>
      <c r="D69" s="0"/>
      <c r="E69" s="0"/>
    </row>
    <row r="70" customFormat="false" ht="12.75" hidden="false" customHeight="false" outlineLevel="0" collapsed="false">
      <c r="B70" s="0"/>
      <c r="C70" s="0"/>
      <c r="D70" s="0"/>
      <c r="E70" s="0"/>
    </row>
    <row r="71" customFormat="false" ht="12.75" hidden="false" customHeight="false" outlineLevel="0" collapsed="false">
      <c r="B71" s="0"/>
      <c r="C71" s="0"/>
      <c r="D71" s="0"/>
      <c r="E71" s="0"/>
    </row>
    <row r="72" customFormat="false" ht="12.75" hidden="false" customHeight="false" outlineLevel="0" collapsed="false">
      <c r="B72" s="0"/>
      <c r="C72" s="0"/>
      <c r="D72" s="0"/>
      <c r="E72" s="0"/>
    </row>
    <row r="73" customFormat="false" ht="12.75" hidden="false" customHeight="false" outlineLevel="0" collapsed="false">
      <c r="B73" s="0"/>
      <c r="C73" s="0"/>
      <c r="D73" s="0"/>
      <c r="E73" s="0"/>
    </row>
    <row r="74" customFormat="false" ht="12.75" hidden="false" customHeight="false" outlineLevel="0" collapsed="false">
      <c r="B74" s="0"/>
      <c r="C74" s="0"/>
      <c r="D74" s="0"/>
      <c r="E74" s="0"/>
    </row>
    <row r="75" customFormat="false" ht="12.75" hidden="false" customHeight="false" outlineLevel="0" collapsed="false">
      <c r="B75" s="0"/>
      <c r="C75" s="0"/>
      <c r="D75" s="0"/>
      <c r="E75" s="0"/>
    </row>
    <row r="76" customFormat="false" ht="12.75" hidden="false" customHeight="false" outlineLevel="0" collapsed="false">
      <c r="B76" s="0"/>
      <c r="C76" s="0"/>
      <c r="D76" s="0"/>
      <c r="E76" s="0"/>
    </row>
    <row r="77" customFormat="false" ht="12.75" hidden="false" customHeight="false" outlineLevel="0" collapsed="false">
      <c r="B77" s="0"/>
      <c r="C77" s="0"/>
      <c r="D77" s="0"/>
      <c r="E77" s="0"/>
    </row>
    <row r="78" customFormat="false" ht="12.75" hidden="false" customHeight="false" outlineLevel="0" collapsed="false">
      <c r="B78" s="0"/>
      <c r="C78" s="0"/>
      <c r="D78" s="0"/>
      <c r="E78" s="0"/>
    </row>
    <row r="79" customFormat="false" ht="12.75" hidden="false" customHeight="false" outlineLevel="0" collapsed="false">
      <c r="B79" s="0"/>
      <c r="C79" s="0"/>
      <c r="D79" s="0"/>
      <c r="E79" s="0"/>
    </row>
    <row r="80" customFormat="false" ht="12.75" hidden="false" customHeight="false" outlineLevel="0" collapsed="false">
      <c r="B80" s="0"/>
      <c r="C80" s="0"/>
      <c r="D80" s="0"/>
      <c r="E80" s="0"/>
    </row>
    <row r="81" customFormat="false" ht="12.75" hidden="false" customHeight="false" outlineLevel="0" collapsed="false">
      <c r="B81" s="0"/>
      <c r="C81" s="0"/>
      <c r="D81" s="0"/>
      <c r="E81" s="0"/>
    </row>
    <row r="82" customFormat="false" ht="12.75" hidden="false" customHeight="false" outlineLevel="0" collapsed="false">
      <c r="B82" s="0"/>
      <c r="C82" s="0"/>
      <c r="D82" s="0"/>
      <c r="E82" s="0"/>
    </row>
    <row r="83" customFormat="false" ht="12.75" hidden="false" customHeight="false" outlineLevel="0" collapsed="false">
      <c r="B83" s="0"/>
      <c r="C83" s="0"/>
      <c r="D83" s="0"/>
      <c r="E83" s="0"/>
    </row>
    <row r="84" customFormat="false" ht="12.75" hidden="false" customHeight="false" outlineLevel="0" collapsed="false">
      <c r="B84" s="0"/>
      <c r="C84" s="0"/>
      <c r="D84" s="0"/>
      <c r="E84" s="0"/>
    </row>
    <row r="85" customFormat="false" ht="12.75" hidden="false" customHeight="false" outlineLevel="0" collapsed="false">
      <c r="B85" s="0"/>
      <c r="C85" s="0"/>
      <c r="D85" s="0"/>
      <c r="E85" s="0"/>
    </row>
    <row r="86" customFormat="false" ht="12.75" hidden="false" customHeight="false" outlineLevel="0" collapsed="false">
      <c r="B86" s="0"/>
      <c r="C86" s="0"/>
      <c r="D86" s="0"/>
      <c r="E86" s="0"/>
    </row>
    <row r="87" customFormat="false" ht="12.75" hidden="false" customHeight="false" outlineLevel="0" collapsed="false">
      <c r="B87" s="0"/>
      <c r="C87" s="0"/>
      <c r="D87" s="0"/>
      <c r="E87" s="0"/>
    </row>
    <row r="88" customFormat="false" ht="12.75" hidden="false" customHeight="false" outlineLevel="0" collapsed="false">
      <c r="B88" s="0"/>
      <c r="C88" s="0"/>
      <c r="D88" s="0"/>
      <c r="E88" s="0"/>
    </row>
    <row r="89" customFormat="false" ht="12.75" hidden="false" customHeight="false" outlineLevel="0" collapsed="false">
      <c r="B89" s="0"/>
      <c r="C89" s="0"/>
      <c r="D89" s="0"/>
      <c r="E89" s="0"/>
    </row>
    <row r="90" customFormat="false" ht="12.75" hidden="false" customHeight="false" outlineLevel="0" collapsed="false">
      <c r="B90" s="0"/>
      <c r="C90" s="0"/>
      <c r="D90" s="0"/>
      <c r="E90" s="0"/>
    </row>
    <row r="91" customFormat="false" ht="12.75" hidden="false" customHeight="false" outlineLevel="0" collapsed="false">
      <c r="B91" s="0"/>
      <c r="C91" s="0"/>
      <c r="D91" s="0"/>
      <c r="E91" s="0"/>
    </row>
    <row r="92" customFormat="false" ht="12.75" hidden="false" customHeight="false" outlineLevel="0" collapsed="false">
      <c r="B92" s="0"/>
      <c r="C92" s="0"/>
      <c r="D92" s="0"/>
      <c r="E92" s="0"/>
    </row>
    <row r="93" customFormat="false" ht="12.75" hidden="false" customHeight="false" outlineLevel="0" collapsed="false">
      <c r="B93" s="0"/>
      <c r="C93" s="0"/>
      <c r="D93" s="0"/>
      <c r="E93" s="0"/>
    </row>
    <row r="94" customFormat="false" ht="12.75" hidden="false" customHeight="false" outlineLevel="0" collapsed="false">
      <c r="B94" s="0"/>
      <c r="C94" s="0"/>
      <c r="D94" s="0"/>
      <c r="E94" s="0"/>
    </row>
    <row r="95" customFormat="false" ht="12.75" hidden="false" customHeight="false" outlineLevel="0" collapsed="false">
      <c r="B95" s="0"/>
      <c r="C95" s="0"/>
      <c r="D95" s="0"/>
      <c r="E95" s="0"/>
    </row>
    <row r="96" customFormat="false" ht="12.75" hidden="false" customHeight="false" outlineLevel="0" collapsed="false">
      <c r="B96" s="0"/>
      <c r="C96" s="0"/>
      <c r="D96" s="0"/>
      <c r="E96" s="0"/>
    </row>
    <row r="97" customFormat="false" ht="12.75" hidden="false" customHeight="false" outlineLevel="0" collapsed="false">
      <c r="B97" s="0"/>
      <c r="C97" s="0"/>
      <c r="D97" s="0"/>
      <c r="E97" s="0"/>
    </row>
    <row r="98" customFormat="false" ht="12.75" hidden="false" customHeight="false" outlineLevel="0" collapsed="false">
      <c r="B98" s="0"/>
      <c r="C98" s="0"/>
      <c r="D98" s="0"/>
      <c r="E98" s="0"/>
    </row>
    <row r="99" customFormat="false" ht="12.75" hidden="false" customHeight="false" outlineLevel="0" collapsed="false">
      <c r="B99" s="0"/>
      <c r="C99" s="0"/>
      <c r="D99" s="0"/>
      <c r="E99" s="0"/>
    </row>
    <row r="100" customFormat="false" ht="12.75" hidden="false" customHeight="false" outlineLevel="0" collapsed="false">
      <c r="B100" s="0"/>
      <c r="C100" s="0"/>
      <c r="D100" s="0"/>
      <c r="E100" s="0"/>
    </row>
    <row r="101" customFormat="false" ht="12.75" hidden="false" customHeight="false" outlineLevel="0" collapsed="false">
      <c r="B101" s="0"/>
      <c r="C101" s="0"/>
      <c r="D101" s="0"/>
      <c r="E101" s="0"/>
    </row>
    <row r="102" customFormat="false" ht="12.75" hidden="false" customHeight="false" outlineLevel="0" collapsed="false">
      <c r="B102" s="0"/>
      <c r="C102" s="0"/>
      <c r="D102" s="0"/>
      <c r="E102" s="0"/>
    </row>
    <row r="103" customFormat="false" ht="12.75" hidden="false" customHeight="false" outlineLevel="0" collapsed="false">
      <c r="B103" s="0"/>
      <c r="C103" s="0"/>
      <c r="D103" s="0"/>
      <c r="E103" s="0"/>
    </row>
    <row r="104" customFormat="false" ht="12.75" hidden="false" customHeight="false" outlineLevel="0" collapsed="false">
      <c r="B104" s="268" t="n">
        <v>13.91</v>
      </c>
      <c r="C104" s="268" t="n">
        <v>13.91</v>
      </c>
      <c r="D104" s="268" t="n">
        <v>13.91</v>
      </c>
      <c r="E104" s="268" t="n">
        <v>13.91</v>
      </c>
    </row>
    <row r="105" customFormat="false" ht="12.75" hidden="false" customHeight="false" outlineLevel="0" collapsed="false">
      <c r="B105" s="0"/>
      <c r="C105" s="0"/>
      <c r="D105" s="0"/>
      <c r="E105" s="0"/>
    </row>
    <row r="106" customFormat="false" ht="12.75" hidden="false" customHeight="false" outlineLevel="0" collapsed="false">
      <c r="B106" s="268" t="n">
        <v>13.91</v>
      </c>
      <c r="C106" s="268" t="n">
        <v>13.91</v>
      </c>
      <c r="D106" s="268" t="n">
        <v>13.91</v>
      </c>
      <c r="E106" s="268" t="n">
        <v>13.91</v>
      </c>
    </row>
    <row r="107" customFormat="false" ht="12.75" hidden="false" customHeight="false" outlineLevel="0" collapsed="false">
      <c r="B107" s="0"/>
      <c r="C107" s="0"/>
      <c r="D107" s="0"/>
      <c r="E107" s="0"/>
    </row>
    <row r="108" customFormat="false" ht="12.75" hidden="false" customHeight="false" outlineLevel="0" collapsed="false">
      <c r="B108" s="268" t="n">
        <v>15</v>
      </c>
      <c r="C108" s="268" t="n">
        <v>15</v>
      </c>
      <c r="D108" s="268" t="n">
        <v>15</v>
      </c>
      <c r="E108" s="268" t="n">
        <v>15</v>
      </c>
    </row>
    <row r="109" customFormat="false" ht="12.75" hidden="false" customHeight="false" outlineLevel="0" collapsed="false">
      <c r="B109" s="0"/>
      <c r="C109" s="0"/>
      <c r="D109" s="0"/>
      <c r="E109" s="0"/>
    </row>
    <row r="110" customFormat="false" ht="12.75" hidden="false" customHeight="false" outlineLevel="0" collapsed="false">
      <c r="B110" s="268" t="n">
        <v>35</v>
      </c>
      <c r="C110" s="268" t="n">
        <v>35</v>
      </c>
      <c r="D110" s="268" t="n">
        <v>35</v>
      </c>
      <c r="E110" s="268" t="n">
        <v>35</v>
      </c>
    </row>
    <row r="111" customFormat="false" ht="12.75" hidden="false" customHeight="false" outlineLevel="0" collapsed="false">
      <c r="B111" s="0"/>
      <c r="C111" s="0"/>
      <c r="D111" s="0"/>
      <c r="E111" s="0"/>
    </row>
    <row r="112" customFormat="false" ht="12.75" hidden="false" customHeight="false" outlineLevel="0" collapsed="false">
      <c r="B112" s="268" t="n">
        <v>48.75</v>
      </c>
      <c r="C112" s="268" t="n">
        <v>48.75</v>
      </c>
      <c r="D112" s="268" t="n">
        <v>48.75</v>
      </c>
      <c r="E112" s="268" t="n">
        <v>48.75</v>
      </c>
    </row>
    <row r="113" customFormat="false" ht="12.75" hidden="false" customHeight="false" outlineLevel="0" collapsed="false">
      <c r="B113" s="268" t="n">
        <v>4</v>
      </c>
      <c r="C113" s="268" t="n">
        <v>4</v>
      </c>
      <c r="D113" s="268" t="n">
        <v>4</v>
      </c>
      <c r="E113" s="268" t="n">
        <v>4</v>
      </c>
    </row>
    <row r="114" customFormat="false" ht="12.75" hidden="false" customHeight="false" outlineLevel="0" collapsed="false">
      <c r="B114" s="268" t="n">
        <v>7.5</v>
      </c>
      <c r="C114" s="268" t="n">
        <v>7.5</v>
      </c>
      <c r="D114" s="268" t="n">
        <v>7.5</v>
      </c>
      <c r="E114" s="268" t="n">
        <v>7.5</v>
      </c>
    </row>
    <row r="115" customFormat="false" ht="12.75" hidden="false" customHeight="false" outlineLevel="0" collapsed="false">
      <c r="B115" s="268" t="n">
        <v>4</v>
      </c>
      <c r="C115" s="268" t="n">
        <v>4</v>
      </c>
      <c r="D115" s="268" t="n">
        <v>4</v>
      </c>
      <c r="E115" s="268" t="n">
        <v>4</v>
      </c>
    </row>
    <row r="116" customFormat="false" ht="12.75" hidden="false" customHeight="false" outlineLevel="0" collapsed="false">
      <c r="B116" s="268" t="n">
        <v>7.5</v>
      </c>
      <c r="C116" s="268" t="n">
        <v>7.5</v>
      </c>
      <c r="D116" s="268" t="n">
        <v>7.5</v>
      </c>
      <c r="E116" s="268" t="n">
        <v>7.5</v>
      </c>
    </row>
    <row r="117" customFormat="false" ht="12.75" hidden="false" customHeight="false" outlineLevel="0" collapsed="false">
      <c r="B117" s="268" t="n">
        <v>3</v>
      </c>
      <c r="C117" s="268" t="n">
        <v>3</v>
      </c>
      <c r="D117" s="268" t="n">
        <v>3</v>
      </c>
      <c r="E117" s="268" t="n">
        <v>3</v>
      </c>
    </row>
    <row r="118" customFormat="false" ht="12.75" hidden="false" customHeight="false" outlineLevel="0" collapsed="false">
      <c r="B118" s="268" t="n">
        <v>6</v>
      </c>
      <c r="C118" s="268" t="n">
        <v>6</v>
      </c>
      <c r="D118" s="268" t="n">
        <v>6</v>
      </c>
      <c r="E118" s="268" t="n">
        <v>6</v>
      </c>
    </row>
    <row r="119" customFormat="false" ht="12.75" hidden="false" customHeight="false" outlineLevel="0" collapsed="false">
      <c r="B119" s="268" t="n">
        <v>5</v>
      </c>
      <c r="C119" s="268" t="n">
        <v>5</v>
      </c>
      <c r="D119" s="268" t="n">
        <v>5</v>
      </c>
      <c r="E119" s="268" t="n">
        <v>5</v>
      </c>
    </row>
    <row r="120" customFormat="false" ht="12.75" hidden="false" customHeight="false" outlineLevel="0" collapsed="false">
      <c r="B120" s="268" t="n">
        <v>270</v>
      </c>
      <c r="C120" s="268" t="n">
        <v>270</v>
      </c>
      <c r="D120" s="268" t="n">
        <v>270</v>
      </c>
      <c r="E120" s="268" t="n">
        <v>270</v>
      </c>
    </row>
    <row r="121" customFormat="false" ht="12.75" hidden="false" customHeight="false" outlineLevel="0" collapsed="false">
      <c r="B121" s="268" t="n">
        <v>512</v>
      </c>
      <c r="C121" s="268" t="n">
        <v>512</v>
      </c>
      <c r="D121" s="268" t="n">
        <v>512</v>
      </c>
      <c r="E121" s="268" t="n">
        <v>512</v>
      </c>
    </row>
    <row r="122" customFormat="false" ht="12.75" hidden="false" customHeight="false" outlineLevel="0" collapsed="false">
      <c r="B122" s="0"/>
      <c r="C122" s="0"/>
      <c r="D122" s="0"/>
      <c r="E122" s="0"/>
    </row>
    <row r="123" customFormat="false" ht="12.75" hidden="false" customHeight="false" outlineLevel="0" collapsed="false">
      <c r="B123" s="268" t="n">
        <v>4</v>
      </c>
      <c r="C123" s="268" t="n">
        <v>4</v>
      </c>
      <c r="D123" s="268" t="n">
        <v>4</v>
      </c>
      <c r="E123" s="268" t="n">
        <v>4</v>
      </c>
    </row>
    <row r="124" customFormat="false" ht="12.75" hidden="false" customHeight="false" outlineLevel="0" collapsed="false">
      <c r="B124" s="268" t="n">
        <v>7.5</v>
      </c>
      <c r="C124" s="268" t="n">
        <v>7.5</v>
      </c>
      <c r="D124" s="268" t="n">
        <v>7.5</v>
      </c>
      <c r="E124" s="268" t="n">
        <v>7.5</v>
      </c>
    </row>
    <row r="125" customFormat="false" ht="12.75" hidden="false" customHeight="false" outlineLevel="0" collapsed="false">
      <c r="B125" s="268" t="n">
        <v>3</v>
      </c>
      <c r="C125" s="268" t="n">
        <v>3</v>
      </c>
      <c r="D125" s="268" t="n">
        <v>3</v>
      </c>
      <c r="E125" s="268" t="n">
        <v>3</v>
      </c>
    </row>
    <row r="126" customFormat="false" ht="12.75" hidden="false" customHeight="false" outlineLevel="0" collapsed="false">
      <c r="B126" s="268" t="n">
        <v>5</v>
      </c>
      <c r="C126" s="268" t="n">
        <v>5</v>
      </c>
      <c r="D126" s="268" t="n">
        <v>5</v>
      </c>
      <c r="E126" s="268" t="n">
        <v>5</v>
      </c>
    </row>
    <row r="127" customFormat="false" ht="12.75" hidden="false" customHeight="false" outlineLevel="0" collapsed="false">
      <c r="B127" s="268" t="n">
        <v>4</v>
      </c>
      <c r="C127" s="268" t="n">
        <v>4</v>
      </c>
      <c r="D127" s="268" t="n">
        <v>4</v>
      </c>
      <c r="E127" s="268" t="n">
        <v>4</v>
      </c>
    </row>
    <row r="128" customFormat="false" ht="12.75" hidden="false" customHeight="false" outlineLevel="0" collapsed="false">
      <c r="B128" s="0"/>
      <c r="C128" s="0"/>
      <c r="D128" s="0"/>
      <c r="E128" s="0"/>
    </row>
    <row r="129" customFormat="false" ht="12.75" hidden="false" customHeight="false" outlineLevel="0" collapsed="false">
      <c r="B129" s="268" t="n">
        <v>64</v>
      </c>
      <c r="C129" s="268" t="n">
        <v>64</v>
      </c>
      <c r="D129" s="268" t="n">
        <v>64</v>
      </c>
      <c r="E129" s="268" t="n">
        <v>64</v>
      </c>
    </row>
    <row r="130" customFormat="false" ht="12.75" hidden="false" customHeight="false" outlineLevel="0" collapsed="false">
      <c r="B130" s="268" t="n">
        <v>80</v>
      </c>
      <c r="C130" s="268" t="n">
        <v>80</v>
      </c>
      <c r="D130" s="268" t="n">
        <v>80</v>
      </c>
      <c r="E130" s="268" t="n">
        <v>80</v>
      </c>
    </row>
    <row r="131" customFormat="false" ht="12.75" hidden="false" customHeight="false" outlineLevel="0" collapsed="false">
      <c r="B131" s="0"/>
      <c r="C131" s="0"/>
      <c r="D131" s="0"/>
      <c r="E131" s="0"/>
    </row>
    <row r="132" customFormat="false" ht="12.75" hidden="false" customHeight="false" outlineLevel="0" collapsed="false">
      <c r="B132" s="268" t="n">
        <v>260</v>
      </c>
      <c r="C132" s="268" t="n">
        <v>260</v>
      </c>
      <c r="D132" s="268" t="n">
        <v>260</v>
      </c>
      <c r="E132" s="268" t="n">
        <v>260</v>
      </c>
    </row>
    <row r="133" customFormat="false" ht="12.75" hidden="false" customHeight="false" outlineLevel="0" collapsed="false">
      <c r="B133" s="0"/>
      <c r="C133" s="0"/>
      <c r="D133" s="0"/>
      <c r="E133" s="0"/>
    </row>
    <row r="134" customFormat="false" ht="12.75" hidden="false" customHeight="false" outlineLevel="0" collapsed="false">
      <c r="B134" s="268" t="n">
        <v>70200</v>
      </c>
      <c r="C134" s="268" t="n">
        <v>70200</v>
      </c>
      <c r="D134" s="268" t="n">
        <v>70200</v>
      </c>
      <c r="E134" s="268" t="n">
        <v>70200</v>
      </c>
    </row>
    <row r="135" customFormat="false" ht="12.75" hidden="false" customHeight="false" outlineLevel="0" collapsed="false">
      <c r="B135" s="0"/>
      <c r="C135" s="0"/>
      <c r="D135" s="0"/>
      <c r="E135" s="0"/>
    </row>
    <row r="136" customFormat="false" ht="12.75" hidden="false" customHeight="false" outlineLevel="0" collapsed="false">
      <c r="B136" s="268" t="n">
        <v>7800</v>
      </c>
      <c r="C136" s="268" t="n">
        <v>7800</v>
      </c>
      <c r="D136" s="268" t="n">
        <v>7800</v>
      </c>
      <c r="E136" s="268" t="n">
        <v>7800</v>
      </c>
    </row>
    <row r="137" customFormat="false" ht="12.75" hidden="false" customHeight="false" outlineLevel="0" collapsed="false">
      <c r="B137" s="0"/>
      <c r="C137" s="0"/>
      <c r="D137" s="0"/>
      <c r="E137" s="0"/>
    </row>
    <row r="138" customFormat="false" ht="12.75" hidden="false" customHeight="false" outlineLevel="0" collapsed="false">
      <c r="B138" s="268" t="n">
        <v>40</v>
      </c>
      <c r="C138" s="268" t="n">
        <v>40</v>
      </c>
      <c r="D138" s="268" t="n">
        <v>40</v>
      </c>
      <c r="E138" s="268" t="n">
        <v>40</v>
      </c>
    </row>
    <row r="139" customFormat="false" ht="12.75" hidden="false" customHeight="false" outlineLevel="0" collapsed="false">
      <c r="B139" s="268" t="n">
        <v>20</v>
      </c>
      <c r="C139" s="268" t="n">
        <v>20</v>
      </c>
      <c r="D139" s="268" t="n">
        <v>20</v>
      </c>
      <c r="E139" s="268" t="n">
        <v>20</v>
      </c>
    </row>
    <row r="140" customFormat="false" ht="12.75" hidden="false" customHeight="false" outlineLevel="0" collapsed="false">
      <c r="B140" s="268" t="n">
        <v>9</v>
      </c>
      <c r="C140" s="268" t="n">
        <v>9</v>
      </c>
      <c r="D140" s="268" t="n">
        <v>8</v>
      </c>
      <c r="E140" s="268" t="n">
        <v>9</v>
      </c>
    </row>
    <row r="141" customFormat="false" ht="12.75" hidden="false" customHeight="false" outlineLevel="0" collapsed="false">
      <c r="B141" s="268" t="n">
        <v>7</v>
      </c>
      <c r="C141" s="268" t="n">
        <v>7</v>
      </c>
      <c r="D141" s="268" t="n">
        <v>6</v>
      </c>
      <c r="E141" s="268" t="n">
        <v>7</v>
      </c>
    </row>
    <row r="142" customFormat="false" ht="12.75" hidden="false" customHeight="false" outlineLevel="0" collapsed="false">
      <c r="B142" s="268" t="s">
        <v>65</v>
      </c>
      <c r="C142" s="268" t="s">
        <v>65</v>
      </c>
      <c r="D142" s="268" t="s">
        <v>65</v>
      </c>
      <c r="E142" s="268" t="s">
        <v>65</v>
      </c>
    </row>
    <row r="143" customFormat="false" ht="12.75" hidden="false" customHeight="false" outlineLevel="0" collapsed="false">
      <c r="B143" s="268" t="n">
        <v>80000000</v>
      </c>
      <c r="C143" s="268" t="n">
        <v>80000000</v>
      </c>
      <c r="D143" s="268" t="n">
        <v>80000000</v>
      </c>
      <c r="E143" s="268" t="n">
        <v>80000000</v>
      </c>
    </row>
    <row r="144" customFormat="false" ht="12.75" hidden="false" customHeight="false" outlineLevel="0" collapsed="false">
      <c r="B144" s="268" t="s">
        <v>72</v>
      </c>
      <c r="C144" s="268" t="s">
        <v>72</v>
      </c>
      <c r="D144" s="268" t="s">
        <v>72</v>
      </c>
      <c r="E144" s="268" t="s">
        <v>72</v>
      </c>
    </row>
    <row r="145" customFormat="false" ht="12.75" hidden="false" customHeight="false" outlineLevel="0" collapsed="false">
      <c r="B145" s="268" t="n">
        <v>80000000</v>
      </c>
      <c r="C145" s="268" t="n">
        <v>80000000</v>
      </c>
      <c r="D145" s="268" t="n">
        <v>80000000</v>
      </c>
      <c r="E145" s="268" t="n">
        <v>80000000</v>
      </c>
    </row>
    <row r="146" customFormat="false" ht="12.75" hidden="false" customHeight="false" outlineLevel="0" collapsed="false">
      <c r="B146" s="268" t="n">
        <v>80000000</v>
      </c>
      <c r="C146" s="268" t="n">
        <v>80000000</v>
      </c>
      <c r="D146" s="268" t="n">
        <v>80000000</v>
      </c>
      <c r="E146" s="268" t="n">
        <v>80000000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2.75" zeroHeight="false" outlineLevelRow="0" outlineLevelCol="0"/>
  <cols>
    <col collapsed="false" customWidth="true" hidden="false" outlineLevel="0" max="1025" min="1" style="268" width="9.14"/>
  </cols>
  <sheetData/>
  <sheetProtection sheet="true" objects="true" scenario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3" topLeftCell="A14" activePane="bottomLeft" state="frozen"/>
      <selection pane="topLeft" activeCell="A1" activeCellId="0" sqref="A1"/>
      <selection pane="bottom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81" width="9.14"/>
    <col collapsed="false" customWidth="true" hidden="false" outlineLevel="0" max="2" min="2" style="24" width="9.14"/>
    <col collapsed="false" customWidth="true" hidden="false" outlineLevel="0" max="3" min="3" style="24" width="20.71"/>
    <col collapsed="false" customWidth="true" hidden="false" outlineLevel="0" max="4" min="4" style="282" width="20.71"/>
    <col collapsed="false" customWidth="true" hidden="false" outlineLevel="0" max="8" min="5" style="24" width="20.71"/>
    <col collapsed="false" customWidth="true" hidden="false" outlineLevel="0" max="9" min="9" style="24" width="9.14"/>
    <col collapsed="false" customWidth="true" hidden="false" outlineLevel="0" max="1025" min="10" style="24" width="20.71"/>
  </cols>
  <sheetData>
    <row r="1" customFormat="false" ht="12.75" hidden="false" customHeight="true" outlineLevel="0" collapsed="false">
      <c r="A1" s="53"/>
      <c r="B1" s="53"/>
      <c r="C1" s="87"/>
      <c r="D1" s="87"/>
      <c r="E1" s="87"/>
      <c r="F1" s="87"/>
      <c r="G1" s="87"/>
      <c r="H1" s="87"/>
      <c r="I1" s="87"/>
      <c r="J1" s="88"/>
      <c r="K1" s="88"/>
      <c r="L1" s="88"/>
      <c r="M1" s="88"/>
      <c r="N1" s="32"/>
    </row>
    <row r="2" customFormat="false" ht="12.75" hidden="false" customHeight="true" outlineLevel="0" collapsed="false">
      <c r="A2" s="5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88"/>
      <c r="K2" s="88"/>
      <c r="L2" s="88"/>
      <c r="M2" s="88"/>
      <c r="N2" s="32"/>
    </row>
    <row r="3" customFormat="false" ht="12.75" hidden="false" customHeight="true" outlineLevel="0" collapsed="false">
      <c r="A3" s="5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88"/>
      <c r="K3" s="88"/>
      <c r="L3" s="88"/>
      <c r="M3" s="88"/>
      <c r="N3" s="32"/>
    </row>
    <row r="4" customFormat="false" ht="12.75" hidden="false" customHeight="true" outlineLevel="0" collapsed="false">
      <c r="A4" s="53"/>
      <c r="B4" s="86" t="s">
        <v>601</v>
      </c>
      <c r="C4" s="86"/>
      <c r="D4" s="86"/>
      <c r="E4" s="86"/>
      <c r="F4" s="86"/>
      <c r="G4" s="86"/>
      <c r="H4" s="86"/>
      <c r="I4" s="86"/>
      <c r="J4" s="88"/>
      <c r="K4" s="88"/>
      <c r="L4" s="88"/>
      <c r="M4" s="88"/>
      <c r="N4" s="32"/>
    </row>
    <row r="5" customFormat="false" ht="12.75" hidden="false" customHeight="true" outlineLevel="0" collapsed="false">
      <c r="A5" s="53"/>
      <c r="B5" s="86"/>
      <c r="C5" s="86"/>
      <c r="D5" s="86"/>
      <c r="E5" s="86"/>
      <c r="F5" s="86"/>
      <c r="G5" s="86"/>
      <c r="H5" s="86"/>
      <c r="I5" s="86"/>
      <c r="J5" s="88"/>
      <c r="K5" s="88"/>
      <c r="L5" s="88"/>
      <c r="M5" s="88"/>
      <c r="N5" s="32"/>
    </row>
    <row r="6" customFormat="false" ht="12.75" hidden="false" customHeight="true" outlineLevel="0" collapsed="false">
      <c r="A6" s="53"/>
      <c r="B6" s="86"/>
      <c r="C6" s="86"/>
      <c r="D6" s="86"/>
      <c r="E6" s="86"/>
      <c r="F6" s="86"/>
      <c r="G6" s="86"/>
      <c r="H6" s="86"/>
      <c r="I6" s="86"/>
      <c r="J6" s="88"/>
      <c r="K6" s="88"/>
      <c r="L6" s="88"/>
      <c r="M6" s="88"/>
      <c r="N6" s="32"/>
    </row>
    <row r="7" customFormat="false" ht="12.75" hidden="false" customHeight="true" outlineLevel="0" collapsed="false">
      <c r="A7" s="97"/>
      <c r="B7" s="283" t="s">
        <v>41</v>
      </c>
      <c r="C7" s="283"/>
      <c r="D7" s="283"/>
      <c r="E7" s="283"/>
      <c r="F7" s="283"/>
      <c r="G7" s="283"/>
      <c r="H7" s="283"/>
      <c r="I7" s="283"/>
      <c r="J7" s="284"/>
      <c r="K7" s="216"/>
      <c r="L7" s="216"/>
      <c r="M7" s="216"/>
      <c r="N7" s="32"/>
    </row>
    <row r="8" customFormat="false" ht="12.75" hidden="false" customHeight="true" outlineLevel="0" collapsed="false">
      <c r="A8" s="83"/>
      <c r="B8" s="283"/>
      <c r="C8" s="283"/>
      <c r="D8" s="283"/>
      <c r="E8" s="283"/>
      <c r="F8" s="283"/>
      <c r="G8" s="283"/>
      <c r="H8" s="283"/>
      <c r="I8" s="283"/>
      <c r="J8" s="285"/>
      <c r="K8" s="216"/>
      <c r="L8" s="216"/>
      <c r="M8" s="216"/>
      <c r="N8" s="32"/>
    </row>
    <row r="9" customFormat="false" ht="12.75" hidden="false" customHeight="true" outlineLevel="0" collapsed="false">
      <c r="A9" s="83"/>
      <c r="B9" s="91" t="s">
        <v>28</v>
      </c>
      <c r="C9" s="219" t="s">
        <v>602</v>
      </c>
      <c r="D9" s="220"/>
      <c r="E9" s="220"/>
      <c r="F9" s="220"/>
      <c r="G9" s="220"/>
      <c r="H9" s="220"/>
      <c r="I9" s="221"/>
      <c r="J9" s="285"/>
      <c r="K9" s="216"/>
      <c r="L9" s="216"/>
      <c r="M9" s="216"/>
      <c r="N9" s="32"/>
    </row>
    <row r="10" customFormat="false" ht="12.75" hidden="false" customHeight="false" outlineLevel="0" collapsed="false">
      <c r="A10" s="83"/>
      <c r="B10" s="165"/>
      <c r="C10" s="222" t="s">
        <v>603</v>
      </c>
      <c r="D10" s="222"/>
      <c r="E10" s="224"/>
      <c r="F10" s="224"/>
      <c r="G10" s="286"/>
      <c r="H10" s="286"/>
      <c r="I10" s="168"/>
      <c r="J10" s="32"/>
      <c r="K10" s="27"/>
      <c r="L10" s="27"/>
      <c r="M10" s="27"/>
      <c r="N10" s="32"/>
    </row>
    <row r="11" customFormat="false" ht="12.75" hidden="false" customHeight="false" outlineLevel="0" collapsed="false">
      <c r="A11" s="83"/>
      <c r="B11" s="165"/>
      <c r="C11" s="287" t="s">
        <v>604</v>
      </c>
      <c r="D11" s="222"/>
      <c r="E11" s="288"/>
      <c r="F11" s="224"/>
      <c r="G11" s="286"/>
      <c r="H11" s="286"/>
      <c r="I11" s="168"/>
      <c r="J11" s="32"/>
      <c r="K11" s="27"/>
      <c r="L11" s="27"/>
      <c r="M11" s="27"/>
      <c r="N11" s="32"/>
    </row>
    <row r="12" customFormat="false" ht="13.5" hidden="false" customHeight="false" outlineLevel="0" collapsed="false">
      <c r="A12" s="83"/>
      <c r="B12" s="172"/>
      <c r="C12" s="173"/>
      <c r="D12" s="289"/>
      <c r="E12" s="173"/>
      <c r="F12" s="173"/>
      <c r="G12" s="174"/>
      <c r="H12" s="174"/>
      <c r="I12" s="175"/>
      <c r="J12" s="32"/>
      <c r="K12" s="27"/>
      <c r="L12" s="27"/>
      <c r="M12" s="27"/>
      <c r="N12" s="32"/>
    </row>
    <row r="13" customFormat="false" ht="14.25" hidden="false" customHeight="false" outlineLevel="0" collapsed="false">
      <c r="A13" s="290"/>
      <c r="B13" s="140"/>
      <c r="C13" s="177"/>
      <c r="D13" s="291"/>
      <c r="E13" s="177"/>
      <c r="F13" s="177"/>
      <c r="G13" s="177"/>
      <c r="H13" s="177"/>
      <c r="I13" s="140"/>
      <c r="J13" s="140"/>
      <c r="K13" s="140"/>
      <c r="L13" s="140"/>
      <c r="M13" s="140"/>
    </row>
    <row r="14" customFormat="false" ht="13.5" hidden="false" customHeight="false" outlineLevel="0" collapsed="false">
      <c r="A14" s="0"/>
      <c r="B14" s="30"/>
      <c r="C14" s="292" t="s">
        <v>605</v>
      </c>
      <c r="D14" s="293"/>
      <c r="E14" s="203"/>
      <c r="F14" s="203"/>
      <c r="G14" s="203"/>
      <c r="H14" s="204"/>
      <c r="I14" s="32"/>
    </row>
    <row r="15" customFormat="false" ht="12.75" hidden="false" customHeight="false" outlineLevel="0" collapsed="false">
      <c r="A15" s="0"/>
      <c r="B15" s="30"/>
      <c r="C15" s="294" t="s">
        <v>624</v>
      </c>
      <c r="D15" s="295"/>
      <c r="E15" s="140"/>
      <c r="F15" s="140"/>
      <c r="G15" s="140"/>
      <c r="H15" s="296"/>
      <c r="I15" s="32"/>
    </row>
    <row r="16" customFormat="false" ht="12.75" hidden="false" customHeight="false" outlineLevel="0" collapsed="false">
      <c r="A16" s="0"/>
      <c r="B16" s="30"/>
      <c r="C16" s="294" t="s">
        <v>607</v>
      </c>
      <c r="D16" s="295"/>
      <c r="E16" s="140"/>
      <c r="F16" s="140"/>
      <c r="G16" s="140"/>
      <c r="H16" s="296"/>
      <c r="I16" s="32"/>
    </row>
    <row r="17" customFormat="false" ht="12.75" hidden="false" customHeight="false" outlineLevel="0" collapsed="false">
      <c r="A17" s="0"/>
      <c r="B17" s="30"/>
      <c r="C17" s="297" t="s">
        <v>608</v>
      </c>
      <c r="D17" s="78"/>
      <c r="E17" s="0"/>
      <c r="F17" s="0"/>
      <c r="G17" s="0"/>
      <c r="H17" s="195"/>
      <c r="I17" s="32"/>
    </row>
    <row r="18" customFormat="false" ht="12.75" hidden="false" customHeight="false" outlineLevel="0" collapsed="false">
      <c r="A18" s="0"/>
      <c r="B18" s="30"/>
      <c r="C18" s="297" t="s">
        <v>609</v>
      </c>
      <c r="D18" s="0"/>
      <c r="E18" s="0"/>
      <c r="F18" s="0"/>
      <c r="G18" s="0"/>
      <c r="H18" s="195"/>
      <c r="I18" s="32"/>
    </row>
    <row r="19" customFormat="false" ht="12.75" hidden="false" customHeight="false" outlineLevel="0" collapsed="false">
      <c r="A19" s="0"/>
      <c r="B19" s="30"/>
      <c r="C19" s="297" t="s">
        <v>610</v>
      </c>
      <c r="D19" s="0"/>
      <c r="E19" s="0"/>
      <c r="F19" s="0"/>
      <c r="G19" s="0"/>
      <c r="H19" s="195"/>
      <c r="I19" s="32"/>
    </row>
    <row r="20" customFormat="false" ht="12.75" hidden="false" customHeight="false" outlineLevel="0" collapsed="false">
      <c r="A20" s="0"/>
      <c r="B20" s="30"/>
      <c r="C20" s="297" t="s">
        <v>607</v>
      </c>
      <c r="D20" s="0"/>
      <c r="E20" s="0"/>
      <c r="F20" s="0"/>
      <c r="G20" s="0"/>
      <c r="H20" s="195"/>
      <c r="I20" s="32"/>
    </row>
    <row r="21" customFormat="false" ht="12.75" hidden="false" customHeight="false" outlineLevel="0" collapsed="false">
      <c r="A21" s="0"/>
      <c r="B21" s="30"/>
      <c r="C21" s="297" t="s">
        <v>611</v>
      </c>
      <c r="D21" s="0"/>
      <c r="E21" s="0"/>
      <c r="F21" s="0"/>
      <c r="G21" s="0"/>
      <c r="H21" s="195"/>
      <c r="I21" s="32"/>
    </row>
    <row r="22" customFormat="false" ht="12.75" hidden="false" customHeight="false" outlineLevel="0" collapsed="false">
      <c r="A22" s="0"/>
      <c r="B22" s="30"/>
      <c r="C22" s="297" t="s">
        <v>612</v>
      </c>
      <c r="D22" s="0"/>
      <c r="E22" s="0"/>
      <c r="F22" s="0"/>
      <c r="G22" s="0"/>
      <c r="H22" s="195"/>
      <c r="I22" s="32"/>
    </row>
    <row r="23" customFormat="false" ht="12.75" hidden="false" customHeight="false" outlineLevel="0" collapsed="false">
      <c r="A23" s="0"/>
      <c r="B23" s="30"/>
      <c r="C23" s="297" t="s">
        <v>613</v>
      </c>
      <c r="D23" s="298"/>
      <c r="E23" s="0"/>
      <c r="F23" s="0"/>
      <c r="G23" s="0"/>
      <c r="H23" s="195"/>
      <c r="I23" s="32"/>
    </row>
    <row r="24" customFormat="false" ht="12.75" hidden="false" customHeight="false" outlineLevel="0" collapsed="false">
      <c r="A24" s="0"/>
      <c r="B24" s="30"/>
      <c r="C24" s="299" t="s">
        <v>614</v>
      </c>
      <c r="D24" s="78"/>
      <c r="E24" s="0"/>
      <c r="F24" s="0"/>
      <c r="G24" s="0"/>
      <c r="H24" s="195"/>
      <c r="I24" s="32"/>
    </row>
    <row r="25" customFormat="false" ht="12.75" hidden="false" customHeight="false" outlineLevel="0" collapsed="false">
      <c r="A25" s="0"/>
      <c r="B25" s="30"/>
      <c r="C25" s="297" t="s">
        <v>615</v>
      </c>
      <c r="D25" s="0"/>
      <c r="E25" s="0"/>
      <c r="F25" s="0"/>
      <c r="G25" s="0"/>
      <c r="H25" s="195"/>
      <c r="I25" s="32"/>
    </row>
    <row r="26" customFormat="false" ht="12.75" hidden="false" customHeight="false" outlineLevel="0" collapsed="false">
      <c r="A26" s="0"/>
      <c r="B26" s="30"/>
      <c r="C26" s="205"/>
      <c r="D26" s="0"/>
      <c r="E26" s="0"/>
      <c r="F26" s="0"/>
      <c r="G26" s="0"/>
      <c r="H26" s="195"/>
      <c r="I26" s="32"/>
    </row>
    <row r="27" customFormat="false" ht="12.75" hidden="false" customHeight="false" outlineLevel="0" collapsed="false">
      <c r="A27" s="0"/>
      <c r="B27" s="30"/>
      <c r="C27" s="294" t="s">
        <v>616</v>
      </c>
      <c r="D27" s="0"/>
      <c r="E27" s="0"/>
      <c r="F27" s="0"/>
      <c r="G27" s="0"/>
      <c r="H27" s="195"/>
      <c r="I27" s="32"/>
    </row>
    <row r="28" customFormat="false" ht="12.75" hidden="false" customHeight="false" outlineLevel="0" collapsed="false">
      <c r="A28" s="0"/>
      <c r="B28" s="30"/>
      <c r="C28" s="294" t="str">
        <f aca="false">_user_config_name_txt2</f>
        <v>*  AM572x_DDR3L_532MHz_TI_AM572x_IDK_config.c</v>
      </c>
      <c r="D28" s="0"/>
      <c r="E28" s="0"/>
      <c r="F28" s="0"/>
      <c r="G28" s="0"/>
      <c r="H28" s="195"/>
      <c r="I28" s="32"/>
    </row>
    <row r="29" customFormat="false" ht="12.75" hidden="false" customHeight="false" outlineLevel="0" collapsed="false">
      <c r="A29" s="0"/>
      <c r="B29" s="30"/>
      <c r="C29" s="297" t="str">
        <f aca="true">CONCATENATE(" *     Created on: ",TEXT(TODAY(),"MM/DD/YYYY"))</f>
        <v> *     Created on: 22/02/2020</v>
      </c>
      <c r="D29" s="0"/>
      <c r="E29" s="0"/>
      <c r="F29" s="0"/>
      <c r="G29" s="0"/>
      <c r="H29" s="195"/>
      <c r="I29" s="32"/>
    </row>
    <row r="30" customFormat="false" ht="12.75" hidden="false" customHeight="false" outlineLevel="0" collapsed="false">
      <c r="A30" s="0"/>
      <c r="B30" s="30"/>
      <c r="C30" s="297" t="str">
        <f aca="false">CONCATENATE(" *     Created with: EMIF_RegisterConfig_v",RIGHT('Title-README'!$B$11,5))</f>
        <v>*     Created with: EMIF_RegisterConfig_v2.0.3</v>
      </c>
      <c r="D30" s="0"/>
      <c r="E30" s="0"/>
      <c r="F30" s="0"/>
      <c r="G30" s="0"/>
      <c r="H30" s="195"/>
      <c r="I30" s="32"/>
    </row>
    <row r="31" customFormat="false" ht="12.75" hidden="false" customHeight="false" outlineLevel="0" collapsed="false">
      <c r="A31" s="0"/>
      <c r="B31" s="30"/>
      <c r="C31" s="297" t="s">
        <v>617</v>
      </c>
      <c r="D31" s="0"/>
      <c r="E31" s="0"/>
      <c r="F31" s="0"/>
      <c r="G31" s="0"/>
      <c r="H31" s="195"/>
      <c r="I31" s="32"/>
    </row>
    <row r="32" customFormat="false" ht="12.75" hidden="false" customHeight="false" outlineLevel="0" collapsed="false">
      <c r="A32" s="0"/>
      <c r="B32" s="30"/>
      <c r="C32" s="300"/>
      <c r="D32" s="0"/>
      <c r="E32" s="0"/>
      <c r="F32" s="0"/>
      <c r="G32" s="0"/>
      <c r="H32" s="195"/>
      <c r="I32" s="32"/>
    </row>
    <row r="33" customFormat="false" ht="12.75" hidden="false" customHeight="false" outlineLevel="0" collapsed="false">
      <c r="A33" s="0"/>
      <c r="B33" s="30"/>
      <c r="C33" s="297" t="s">
        <v>632</v>
      </c>
      <c r="D33" s="0"/>
      <c r="E33" s="0"/>
      <c r="F33" s="0"/>
      <c r="G33" s="0"/>
      <c r="H33" s="195"/>
      <c r="I33" s="32"/>
    </row>
    <row r="34" customFormat="false" ht="12.75" hidden="false" customHeight="false" outlineLevel="0" collapsed="false">
      <c r="A34" s="0"/>
      <c r="B34" s="30"/>
      <c r="C34" s="300"/>
      <c r="D34" s="0"/>
      <c r="E34" s="0"/>
      <c r="F34" s="0"/>
      <c r="G34" s="0"/>
      <c r="H34" s="195"/>
      <c r="I34" s="32"/>
    </row>
    <row r="35" customFormat="false" ht="12.75" hidden="false" customHeight="false" outlineLevel="0" collapsed="false">
      <c r="A35" s="0"/>
      <c r="B35" s="30"/>
      <c r="C35" s="299" t="str">
        <f aca="false">_user_config_name_txt3</f>
        <v>const struct dpll_params AM572x_DDR3L_532MHz_TI_AM572x_IDK_pll_params = {</v>
      </c>
      <c r="D35" s="298"/>
      <c r="E35" s="0"/>
      <c r="F35" s="0"/>
      <c r="G35" s="0"/>
      <c r="H35" s="195"/>
      <c r="I35" s="32"/>
    </row>
    <row r="36" customFormat="false" ht="12.75" hidden="false" customHeight="false" outlineLevel="0" collapsed="false">
      <c r="A36" s="0"/>
      <c r="B36" s="30"/>
      <c r="C36" s="205" t="str">
        <f aca="false">CONCATENATE("    .m = ",_ddr_pll_m,",")</f>
        <v>.m = 266,</v>
      </c>
      <c r="D36" s="385" t="str">
        <f aca="false">IF(OR(_ddr_pll_m&lt;2,_ddr_pll_m&gt;2047)," // M is out of range! Change DDR frequency","")</f>
        <v/>
      </c>
      <c r="E36" s="0"/>
      <c r="F36" s="0"/>
      <c r="G36" s="0"/>
      <c r="H36" s="195"/>
      <c r="I36" s="32"/>
    </row>
    <row r="37" customFormat="false" ht="12.75" hidden="false" customHeight="false" outlineLevel="0" collapsed="false">
      <c r="A37" s="0"/>
      <c r="B37" s="30"/>
      <c r="C37" s="205" t="str">
        <f aca="false">CONCATENATE("    .n = ",_ddr_pll_n,",")</f>
        <v>.n = 4,</v>
      </c>
      <c r="D37" s="385" t="str">
        <f aca="false">IF(_ddr_pll_n&gt;127," // N is out of range! Change DDR frequency",IF(_ddr_pll_n+1&gt;_user_sysclk1," // REFCLK &lt; 1MHz! Change DDR frequency",""))</f>
        <v/>
      </c>
      <c r="E37" s="0"/>
      <c r="F37" s="0"/>
      <c r="G37" s="0"/>
      <c r="H37" s="195"/>
      <c r="I37" s="32"/>
    </row>
    <row r="38" customFormat="false" ht="12.75" hidden="false" customHeight="false" outlineLevel="0" collapsed="false">
      <c r="A38" s="0"/>
      <c r="B38" s="30"/>
      <c r="C38" s="205" t="str">
        <f aca="false">CONCATENATE("    .m2 = ",_ddr_pll_m2,",")</f>
        <v>.m2 = 2,</v>
      </c>
      <c r="D38" s="0"/>
      <c r="E38" s="0"/>
      <c r="F38" s="0"/>
      <c r="G38" s="0"/>
      <c r="H38" s="195"/>
      <c r="I38" s="32"/>
    </row>
    <row r="39" customFormat="false" ht="12.75" hidden="false" customHeight="false" outlineLevel="0" collapsed="false">
      <c r="A39" s="0"/>
      <c r="B39" s="30"/>
      <c r="C39" s="205" t="str">
        <f aca="false">CONCATENATE("    .m4_h11 = ",IF(_phy_half_delay=1,IF(_ddr_pll_freq&gt;700,4,8),IF(_ddr_pll_freq&gt;700,2,4)))</f>
        <v>.m4_h11 = 8</v>
      </c>
      <c r="D39" s="0"/>
      <c r="E39" s="0"/>
      <c r="F39" s="0"/>
      <c r="G39" s="0"/>
      <c r="H39" s="195"/>
      <c r="I39" s="32"/>
    </row>
    <row r="40" customFormat="false" ht="12.75" hidden="false" customHeight="false" outlineLevel="0" collapsed="false">
      <c r="A40" s="0"/>
      <c r="B40" s="30"/>
      <c r="C40" s="300" t="s">
        <v>618</v>
      </c>
      <c r="D40" s="0"/>
      <c r="E40" s="0"/>
      <c r="F40" s="0"/>
      <c r="G40" s="0"/>
      <c r="H40" s="195"/>
      <c r="I40" s="32"/>
    </row>
    <row r="41" customFormat="false" ht="12.75" hidden="false" customHeight="false" outlineLevel="0" collapsed="false">
      <c r="A41" s="0"/>
      <c r="B41" s="30"/>
      <c r="C41" s="205"/>
      <c r="D41" s="0"/>
      <c r="E41" s="0"/>
      <c r="F41" s="0"/>
      <c r="G41" s="0"/>
      <c r="H41" s="195"/>
      <c r="I41" s="32"/>
    </row>
    <row r="42" customFormat="false" ht="12.75" hidden="false" customHeight="false" outlineLevel="0" collapsed="false">
      <c r="A42" s="0"/>
      <c r="B42" s="30"/>
      <c r="C42" s="386" t="str">
        <f aca="false">_user_config_name_txt4</f>
        <v>const struct ctrl_ioregs AM572x_DDR3L_532MHz_TI_AM572x_IDK_ctrl_ioregs = {</v>
      </c>
      <c r="D42" s="0"/>
      <c r="E42" s="0"/>
      <c r="F42" s="0"/>
      <c r="G42" s="0"/>
      <c r="H42" s="195"/>
      <c r="I42" s="32"/>
    </row>
    <row r="43" customFormat="false" ht="12.75" hidden="false" customHeight="false" outlineLevel="0" collapsed="false">
      <c r="A43" s="0"/>
      <c r="B43" s="30"/>
      <c r="C43" s="300" t="str">
        <f aca="false">CONCATENATE("    .ctrl_ddr3ch = 0x",_CTRL_CORE_CONTROL_DDRCACH1_0_VAL,",")</f>
        <v>    .ctrl_ddr3ch = 0x80808080,</v>
      </c>
      <c r="D43" s="0"/>
      <c r="E43" s="0"/>
      <c r="F43" s="0"/>
      <c r="G43" s="0"/>
      <c r="H43" s="195"/>
      <c r="I43" s="32"/>
    </row>
    <row r="44" customFormat="false" ht="12.75" hidden="false" customHeight="false" outlineLevel="0" collapsed="false">
      <c r="A44" s="0"/>
      <c r="B44" s="30"/>
      <c r="C44" s="300" t="str">
        <f aca="false">CONCATENATE("    .ctrl_ddrch = 0x",_CTRL_CORE_CONTROL_DDRCH1_0_VAL,",")</f>
        <v>    .ctrl_ddrch = 0x40404040,</v>
      </c>
      <c r="D44" s="0"/>
      <c r="E44" s="0"/>
      <c r="F44" s="0"/>
      <c r="G44" s="0"/>
      <c r="H44" s="195"/>
      <c r="I44" s="32"/>
    </row>
    <row r="45" customFormat="false" ht="12.75" hidden="false" customHeight="false" outlineLevel="0" collapsed="false">
      <c r="A45" s="0"/>
      <c r="B45" s="30"/>
      <c r="C45" s="300" t="str">
        <f aca="false">CONCATENATE("    .ctrl_ddrio_0 = 0x",_CTRL_CORE_CONTROL_DDRIO_0,",")</f>
        <v>    .ctrl_ddrio_0 = 0x00094A40,</v>
      </c>
      <c r="D45" s="0"/>
      <c r="E45" s="0"/>
      <c r="F45" s="0"/>
      <c r="G45" s="0"/>
      <c r="H45" s="195"/>
      <c r="I45" s="32"/>
    </row>
    <row r="46" customFormat="false" ht="12.75" hidden="false" customHeight="false" outlineLevel="0" collapsed="false">
      <c r="A46" s="0"/>
      <c r="B46" s="30"/>
      <c r="C46" s="300" t="str">
        <f aca="false">CONCATENATE("    .ctrl_ddrio_1 = 0x",_CTRL_CORE_CONTROL_DDRIO_1,",")</f>
        <v>    .ctrl_ddrio_1 = 0x04A52000,</v>
      </c>
      <c r="D46" s="0"/>
      <c r="E46" s="0"/>
      <c r="F46" s="0"/>
      <c r="G46" s="0"/>
      <c r="H46" s="195"/>
      <c r="I46" s="32"/>
    </row>
    <row r="47" customFormat="false" ht="12.75" hidden="false" customHeight="false" outlineLevel="0" collapsed="false">
      <c r="A47" s="0"/>
      <c r="B47" s="30"/>
      <c r="C47" s="300" t="str">
        <f aca="false">CONCATENATE("    .ctrl_emif_sdram_config_ext = 0x",_CTRL_WKUP_EMIF1_SDRAM_CONFIG_EXT)</f>
        <v>    .ctrl_emif_sdram_config_ext = 0x0002C123</v>
      </c>
      <c r="D47" s="0"/>
      <c r="E47" s="0"/>
      <c r="F47" s="0"/>
      <c r="G47" s="0"/>
      <c r="H47" s="195"/>
      <c r="I47" s="32"/>
    </row>
    <row r="48" customFormat="false" ht="12.75" hidden="false" customHeight="false" outlineLevel="0" collapsed="false">
      <c r="A48" s="0"/>
      <c r="B48" s="30"/>
      <c r="C48" s="205" t="s">
        <v>618</v>
      </c>
      <c r="D48" s="61"/>
      <c r="E48" s="0"/>
      <c r="F48" s="0"/>
      <c r="G48" s="0"/>
      <c r="H48" s="195"/>
      <c r="I48" s="32"/>
    </row>
    <row r="49" customFormat="false" ht="12.75" hidden="false" customHeight="false" outlineLevel="0" collapsed="false">
      <c r="A49" s="0"/>
      <c r="B49" s="30"/>
      <c r="C49" s="205"/>
      <c r="D49" s="301"/>
      <c r="E49" s="0"/>
      <c r="F49" s="0"/>
      <c r="G49" s="0"/>
      <c r="H49" s="195"/>
      <c r="I49" s="32"/>
    </row>
    <row r="50" customFormat="false" ht="12.75" hidden="false" customHeight="false" outlineLevel="0" collapsed="false">
      <c r="A50" s="0"/>
      <c r="B50" s="30"/>
      <c r="C50" s="297" t="str">
        <f aca="false">_user_config_name_txt5</f>
        <v>const struct dmm_lisa_map_regs AM572x_DDR3L_532MHz_TI_AM572x_IDK_dmm_regs = {</v>
      </c>
      <c r="D50" s="0"/>
      <c r="E50" s="0"/>
      <c r="F50" s="0"/>
      <c r="G50" s="0"/>
      <c r="H50" s="195"/>
      <c r="I50" s="32"/>
    </row>
    <row r="51" customFormat="false" ht="12.75" hidden="false" customHeight="false" outlineLevel="0" collapsed="false">
      <c r="A51" s="0"/>
      <c r="B51" s="30"/>
      <c r="C51" s="300" t="str">
        <f aca="false">IF(OR(_soc_name="adaslow1",_soc_name="adaslow2"),"",CONCATENATE("    .dmm_lisa_map_0 = 0x",_DMM_LISA_MAP_0_VAL,","))</f>
        <v>    .dmm_lisa_map_0 = 0x00000000,</v>
      </c>
      <c r="D51" s="0"/>
      <c r="E51" s="302" t="str">
        <f aca="false">IF(1,"",IF(OR(_soc_name="adaslow1",_soc_name="adaslow2"),"/* NOTE: These registers and",""))</f>
        <v/>
      </c>
      <c r="F51" s="0"/>
      <c r="G51" s="0"/>
      <c r="H51" s="195"/>
      <c r="I51" s="32"/>
    </row>
    <row r="52" customFormat="false" ht="12.75" hidden="false" customHeight="false" outlineLevel="0" collapsed="false">
      <c r="A52" s="0"/>
      <c r="B52" s="30"/>
      <c r="C52" s="300" t="str">
        <f aca="false">IF(OR(_soc_name="adaslow1",_soc_name="adaslow2"),"",CONCATENATE("    .dmm_lisa_map_1 = 0x",_DMM_LISA_MAP_1_VAL,","))</f>
        <v>    .dmm_lisa_map_1 = 0x00000000,</v>
      </c>
      <c r="D52" s="0"/>
      <c r="E52" s="302" t="str">
        <f aca="false">IF(1,"",IF(OR(_soc_name="adaslow1",_soc_name="adaslow2")," * values are unused on this",""))</f>
        <v/>
      </c>
      <c r="F52" s="0"/>
      <c r="G52" s="0"/>
      <c r="H52" s="195"/>
      <c r="I52" s="32"/>
    </row>
    <row r="53" customFormat="false" ht="12.75" hidden="false" customHeight="false" outlineLevel="0" collapsed="false">
      <c r="A53" s="0"/>
      <c r="B53" s="30"/>
      <c r="C53" s="300" t="str">
        <f aca="false">IF(OR(_soc_name="adaslow1",_soc_name="adaslow2"),"",CONCATENATE("    .dmm_lisa_map_2 = 0x",_DMM_LISA_MAP_2_VAL,","))</f>
        <v>    .dmm_lisa_map_2 = 0x80600100,</v>
      </c>
      <c r="D53" s="0"/>
      <c r="E53" s="302" t="str">
        <f aca="false">IF(1,"",IF(OR(_soc_name="adaslow1",_soc_name="adaslow2")," * device. This structure is",""))</f>
        <v/>
      </c>
      <c r="F53" s="0"/>
      <c r="G53" s="0"/>
      <c r="H53" s="195"/>
      <c r="I53" s="32"/>
    </row>
    <row r="54" customFormat="false" ht="12.75" hidden="false" customHeight="false" outlineLevel="0" collapsed="false">
      <c r="A54" s="0"/>
      <c r="B54" s="30"/>
      <c r="C54" s="303" t="str">
        <f aca="false">IF(OR(_soc_name="adaslow1",_soc_name="adaslow2"),"",CONCATENATE("    .dmm_lisa_map_3 = 0x",_DMM_LISA_MAP_3_VAL,","))</f>
        <v>    .dmm_lisa_map_3 = 0xFF020100,</v>
      </c>
      <c r="D54" s="298"/>
      <c r="E54" s="302" t="str">
        <f aca="false">IF(1,"",IF(OR(_soc_name="adaslow1",_soc_name="adaslow2")," * here for compatibility",""))</f>
        <v/>
      </c>
      <c r="F54" s="0"/>
      <c r="G54" s="0"/>
      <c r="H54" s="195"/>
      <c r="I54" s="32"/>
    </row>
    <row r="55" customFormat="false" ht="12.75" hidden="false" customHeight="false" outlineLevel="0" collapsed="false">
      <c r="A55" s="0"/>
      <c r="B55" s="30"/>
      <c r="C55" s="304" t="str">
        <f aca="false">IF(OR(_soc_name="adaslow1",_soc_name="adaslow2"),"",CONCATENATE("    .is_ma_present = 0x",_is_ma_present))</f>
        <v>.is_ma_present = 0x1</v>
      </c>
      <c r="D55" s="301"/>
      <c r="E55" s="302" t="str">
        <f aca="false">IF(1,"",IF(OR(_soc_name="adaslow1",_soc_name="adaslow2")," * reasons only. */",""))</f>
        <v/>
      </c>
      <c r="F55" s="0"/>
      <c r="G55" s="0"/>
      <c r="H55" s="195"/>
      <c r="I55" s="32"/>
    </row>
    <row r="56" customFormat="false" ht="12.75" hidden="false" customHeight="false" outlineLevel="0" collapsed="false">
      <c r="A56" s="0"/>
      <c r="B56" s="30"/>
      <c r="C56" s="300" t="str">
        <f aca="false">IF(OR(_soc_name="adaslow1",_soc_name="adaslow2"),"","};")</f>
        <v>};</v>
      </c>
      <c r="D56" s="0"/>
      <c r="E56" s="0"/>
      <c r="F56" s="0"/>
      <c r="G56" s="0"/>
      <c r="H56" s="195"/>
      <c r="I56" s="32"/>
    </row>
    <row r="57" customFormat="false" ht="12.75" hidden="false" customHeight="false" outlineLevel="0" collapsed="false">
      <c r="A57" s="0"/>
      <c r="B57" s="30"/>
      <c r="C57" s="300"/>
      <c r="D57" s="0"/>
      <c r="E57" s="0"/>
      <c r="F57" s="0"/>
      <c r="G57" s="0"/>
      <c r="H57" s="195"/>
      <c r="I57" s="32"/>
    </row>
    <row r="58" customFormat="false" ht="12.75" hidden="false" customHeight="false" outlineLevel="0" collapsed="false">
      <c r="A58" s="0"/>
      <c r="B58" s="30"/>
      <c r="C58" s="297" t="str">
        <f aca="false">_user_config_name_txt6</f>
        <v>const struct emif_regs AM572x_DDR3L_532MHz_TI_AM572x_IDK_emif_regs = {</v>
      </c>
      <c r="D58" s="0"/>
      <c r="E58" s="0"/>
      <c r="F58" s="0"/>
      <c r="G58" s="0"/>
      <c r="H58" s="195"/>
      <c r="I58" s="32"/>
    </row>
    <row r="59" customFormat="false" ht="12.75" hidden="false" customHeight="false" outlineLevel="0" collapsed="false">
      <c r="A59" s="0"/>
      <c r="B59" s="30"/>
      <c r="C59" s="300" t="str">
        <f aca="true">CONCATENATE("    .sdram_config_init = 0x",_EMIF_SDRAM_CONFIG_VAL,",")</f>
        <v>    .sdram_config_init = 0x61867FB2,</v>
      </c>
      <c r="D59" s="0"/>
      <c r="E59" s="0"/>
      <c r="F59" s="0"/>
      <c r="G59" s="0"/>
      <c r="H59" s="195"/>
      <c r="I59" s="32"/>
    </row>
    <row r="60" customFormat="false" ht="12.75" hidden="false" customHeight="false" outlineLevel="0" collapsed="false">
      <c r="A60" s="0"/>
      <c r="B60" s="30"/>
      <c r="C60" s="205" t="str">
        <f aca="true">CONCATENATE("    .sdram_config = 0x",_EMIF_SDRAM_CONFIG_VAL,",")</f>
        <v>    .sdram_config = 0x61867FB2,</v>
      </c>
      <c r="D60" s="0"/>
      <c r="E60" s="0"/>
      <c r="F60" s="76"/>
      <c r="G60" s="0"/>
      <c r="H60" s="195"/>
      <c r="I60" s="32"/>
    </row>
    <row r="61" customFormat="false" ht="12.75" hidden="false" customHeight="false" outlineLevel="0" collapsed="false">
      <c r="A61" s="0"/>
      <c r="B61" s="30"/>
      <c r="C61" s="303" t="str">
        <f aca="false">CONCATENATE("    .sdram_config2 = 0x",_EMIF_SDRAM_CONFIG_2_VAL,",")</f>
        <v>    .sdram_config2 = 0x00000000,</v>
      </c>
      <c r="D61" s="0"/>
      <c r="E61" s="0"/>
      <c r="F61" s="76"/>
      <c r="G61" s="0"/>
      <c r="H61" s="195"/>
      <c r="I61" s="32"/>
    </row>
    <row r="62" customFormat="false" ht="12.75" hidden="false" customHeight="false" outlineLevel="0" collapsed="false">
      <c r="A62" s="0"/>
      <c r="B62" s="30"/>
      <c r="C62" s="304" t="str">
        <f aca="false">CONCATENATE("    .ref_ctrl = 0x",_EMIF_SDRAM_REF_CTRL_INIT_VAL,",")</f>
        <v>    .ref_ctrl = 0x000040F1,</v>
      </c>
      <c r="D62" s="0"/>
      <c r="E62" s="0"/>
      <c r="F62" s="76"/>
      <c r="G62" s="0"/>
      <c r="H62" s="195"/>
      <c r="I62" s="32"/>
    </row>
    <row r="63" customFormat="false" ht="12.75" hidden="false" customHeight="false" outlineLevel="0" collapsed="false">
      <c r="A63" s="0"/>
      <c r="B63" s="30"/>
      <c r="C63" s="205" t="str">
        <f aca="false">CONCATENATE("    .ref_ctrl_final = 0x",_EMIF_SDRAM_REF_CTRL_VAL,",")</f>
        <v>    .ref_ctrl_final = 0x00001035,</v>
      </c>
      <c r="D63" s="0"/>
      <c r="E63" s="0"/>
      <c r="F63" s="0"/>
      <c r="G63" s="0"/>
      <c r="H63" s="195"/>
      <c r="I63" s="32"/>
    </row>
    <row r="64" customFormat="false" ht="12.75" hidden="false" customHeight="false" outlineLevel="0" collapsed="false">
      <c r="A64" s="0"/>
      <c r="B64" s="30"/>
      <c r="C64" s="205" t="str">
        <f aca="false">CONCATENATE("    .sdram_tim1 = 0x",_EMIF_SDRAM_TIM_1_VAL,",")</f>
        <v>    .sdram_tim1 = 0xCEEF2663,</v>
      </c>
      <c r="D64" s="0"/>
      <c r="E64" s="0"/>
      <c r="F64" s="0"/>
      <c r="G64" s="0"/>
      <c r="H64" s="195"/>
      <c r="I64" s="32"/>
    </row>
    <row r="65" customFormat="false" ht="12.75" hidden="false" customHeight="false" outlineLevel="0" collapsed="false">
      <c r="A65" s="0"/>
      <c r="B65" s="30"/>
      <c r="C65" s="205" t="str">
        <f aca="false">CONCATENATE("    .sdram_tim2 = 0x",_EMIF_SDRAM_TIM_2_VAL,",")</f>
        <v>    .sdram_tim2 = 0x30BF7FDA,</v>
      </c>
      <c r="D65" s="0"/>
      <c r="E65" s="0"/>
      <c r="F65" s="0"/>
      <c r="G65" s="0"/>
      <c r="H65" s="195"/>
      <c r="I65" s="32"/>
    </row>
    <row r="66" customFormat="false" ht="12.75" hidden="false" customHeight="false" outlineLevel="0" collapsed="false">
      <c r="A66" s="0"/>
      <c r="B66" s="30"/>
      <c r="C66" s="205" t="str">
        <f aca="false">CONCATENATE("    .sdram_tim3 = 0x",_EMIF_SDRAM_TIM_3_VAL,",")</f>
        <v>    .sdram_tim3 = 0x407F8BA8,</v>
      </c>
      <c r="D66" s="0"/>
      <c r="E66" s="0"/>
      <c r="F66" s="0"/>
      <c r="G66" s="0"/>
      <c r="H66" s="195"/>
      <c r="I66" s="32"/>
    </row>
    <row r="67" customFormat="false" ht="12.75" hidden="false" customHeight="false" outlineLevel="0" collapsed="false">
      <c r="A67" s="0"/>
      <c r="B67" s="30"/>
      <c r="C67" s="205" t="str">
        <f aca="false">CONCATENATE("    .read_idle_ctrl = 0x",_EMIF_DLL_CALIB_CTRL_VAL,",")</f>
        <v>.read_idle_ctrl = 0x00050000,</v>
      </c>
      <c r="D67" s="0"/>
      <c r="E67" s="0"/>
      <c r="F67" s="0"/>
      <c r="G67" s="0"/>
      <c r="H67" s="195"/>
      <c r="I67" s="32"/>
    </row>
    <row r="68" customFormat="false" ht="12.75" hidden="false" customHeight="false" outlineLevel="0" collapsed="false">
      <c r="A68" s="0"/>
      <c r="B68" s="30"/>
      <c r="C68" s="205" t="str">
        <f aca="false">CONCATENATE("    .zq_config = 0x",_EMIF_ZQ_CONFIG_VAL,",")</f>
        <v>    .zq_config = 0x5007190B,</v>
      </c>
      <c r="D68" s="0"/>
      <c r="E68" s="0"/>
      <c r="F68" s="0"/>
      <c r="G68" s="0"/>
      <c r="H68" s="195"/>
      <c r="I68" s="32"/>
    </row>
    <row r="69" customFormat="false" ht="12.75" hidden="false" customHeight="false" outlineLevel="0" collapsed="false">
      <c r="A69" s="0"/>
      <c r="B69" s="30"/>
      <c r="C69" s="205" t="str">
        <f aca="false">CONCATENATE("    .temp_alert_config = 0x",_EMIF_TEMP_ALERT_CONFIG_VAL,",")</f>
        <v>.temp_alert_config = 0x00000000,</v>
      </c>
      <c r="D69" s="0"/>
      <c r="E69" s="0"/>
      <c r="F69" s="0"/>
      <c r="G69" s="0"/>
      <c r="H69" s="195"/>
      <c r="I69" s="32"/>
    </row>
    <row r="70" customFormat="false" ht="12.75" hidden="false" customHeight="false" outlineLevel="0" collapsed="false">
      <c r="A70" s="0"/>
      <c r="B70" s="30"/>
      <c r="C70" s="205" t="str">
        <f aca="false">CONCATENATE("    .emif_rd_wr_lvl_rmp_ctl = 0x",_EMIF_RDWR_LVL_RMP_CTRL_VAL,",")</f>
        <v>    .emif_rd_wr_lvl_rmp_ctl = 0x80000000,</v>
      </c>
      <c r="D70" s="0"/>
      <c r="E70" s="0"/>
      <c r="F70" s="0"/>
      <c r="G70" s="0"/>
      <c r="H70" s="195"/>
      <c r="I70" s="32"/>
    </row>
    <row r="71" customFormat="false" ht="12.75" hidden="false" customHeight="false" outlineLevel="0" collapsed="false">
      <c r="A71" s="0"/>
      <c r="B71" s="30"/>
      <c r="C71" s="205" t="str">
        <f aca="false">CONCATENATE("    .emif_rd_wr_lvl_ctl = 0x",_EMIF_RDWR_LVL_CTRL_VAL,",")</f>
        <v>    .emif_rd_wr_lvl_ctl = 0x00000000,</v>
      </c>
      <c r="D71" s="0"/>
      <c r="E71" s="0"/>
      <c r="F71" s="0"/>
      <c r="G71" s="0"/>
      <c r="H71" s="195"/>
      <c r="I71" s="32"/>
    </row>
    <row r="72" customFormat="false" ht="12.75" hidden="false" customHeight="false" outlineLevel="0" collapsed="false">
      <c r="A72" s="0"/>
      <c r="B72" s="30"/>
      <c r="C72" s="205" t="str">
        <f aca="true">CONCATENATE("    .emif_ddr_phy_ctlr_1_init = 0x",_EMIF_DDR_PHY_CTRL_1_VAL,",")</f>
        <v>    .emif_ddr_phy_ctlr_1_init = 0x00244011,</v>
      </c>
      <c r="D72" s="0"/>
      <c r="E72" s="0"/>
      <c r="F72" s="0"/>
      <c r="G72" s="0"/>
      <c r="H72" s="195"/>
      <c r="I72" s="32"/>
    </row>
    <row r="73" customFormat="false" ht="12.75" hidden="false" customHeight="false" outlineLevel="0" collapsed="false">
      <c r="A73" s="0"/>
      <c r="B73" s="30"/>
      <c r="C73" s="205" t="str">
        <f aca="true">CONCATENATE("    .emif_ddr_phy_ctlr_1 = 0x",_EMIF_DDR_PHY_CTRL_1_VAL_NOLVL,",")</f>
        <v>    .emif_ddr_phy_ctlr_1 = 0x0E244011,</v>
      </c>
      <c r="D73" s="0"/>
      <c r="E73" s="0"/>
      <c r="F73" s="0"/>
      <c r="G73" s="0"/>
      <c r="H73" s="195"/>
      <c r="I73" s="32"/>
    </row>
    <row r="74" customFormat="false" ht="12.75" hidden="false" customHeight="false" outlineLevel="0" collapsed="false">
      <c r="A74" s="65"/>
      <c r="B74" s="65"/>
      <c r="C74" s="205" t="str">
        <f aca="false">CONCATENATE("    .emif_rd_wr_exec_thresh = 0x",_EMIF_RD_WR_EXEC_THRESH_VAL,",")</f>
        <v>.emif_rd_wr_exec_thresh = 0x00000305,</v>
      </c>
      <c r="D74" s="0"/>
      <c r="E74" s="0"/>
      <c r="F74" s="0"/>
      <c r="G74" s="0"/>
      <c r="H74" s="195"/>
      <c r="I74" s="32"/>
    </row>
    <row r="75" customFormat="false" ht="12.75" hidden="false" customHeight="false" outlineLevel="0" collapsed="false">
      <c r="A75" s="65"/>
      <c r="B75" s="65"/>
      <c r="C75" s="205" t="str">
        <f aca="false">IF(_soc_market="auto","#ifdef EMIF_ECC_CTRL_REG_ECC_EN_MASK","")</f>
        <v/>
      </c>
      <c r="D75" s="0"/>
      <c r="E75" s="0"/>
      <c r="F75" s="0"/>
      <c r="G75" s="0"/>
      <c r="H75" s="195"/>
      <c r="I75" s="32"/>
    </row>
    <row r="76" customFormat="false" ht="12.75" hidden="false" customHeight="false" outlineLevel="0" collapsed="false">
      <c r="A76" s="65"/>
      <c r="B76" s="65"/>
      <c r="C76" s="300" t="str">
        <f aca="false">CONCATENATE("    .emif_ecc_ctrl_reg = 0x",_EMIF_ECC_CTRL,",")</f>
        <v>    .emif_ecc_ctrl_reg = 0x00000000,</v>
      </c>
      <c r="D76" s="0"/>
      <c r="E76" s="0"/>
      <c r="F76" s="0"/>
      <c r="G76" s="0"/>
      <c r="H76" s="195"/>
      <c r="I76" s="32"/>
    </row>
    <row r="77" customFormat="false" ht="12.75" hidden="false" customHeight="false" outlineLevel="0" collapsed="false">
      <c r="A77" s="65"/>
      <c r="B77" s="65"/>
      <c r="C77" s="300" t="str">
        <f aca="false">CONCATENATE("    .emif_ecc_address_range_1 = 0x",_EMIF_ECC_ADDR_RNG_1_VAL,",")</f>
        <v>    .emif_ecc_address_range_1 = 0x3FFF0000,</v>
      </c>
      <c r="D77" s="0"/>
      <c r="E77" s="0"/>
      <c r="F77" s="0"/>
      <c r="G77" s="0"/>
      <c r="H77" s="195"/>
      <c r="I77" s="32"/>
    </row>
    <row r="78" customFormat="false" ht="12.75" hidden="false" customHeight="false" outlineLevel="0" collapsed="false">
      <c r="A78" s="65"/>
      <c r="B78" s="65"/>
      <c r="C78" s="300" t="str">
        <f aca="false">CONCATENATE("    .emif_ecc_address_range_2 = 0x",_EMIF_ECC_ADDR_RNG_2_VAL,",")</f>
        <v>    .emif_ecc_address_range_2 = 0x00000000,</v>
      </c>
      <c r="D78" s="0"/>
      <c r="E78" s="0"/>
      <c r="F78" s="0"/>
      <c r="G78" s="0"/>
      <c r="H78" s="195"/>
      <c r="I78" s="32"/>
    </row>
    <row r="79" customFormat="false" ht="12.75" hidden="false" customHeight="false" outlineLevel="0" collapsed="false">
      <c r="A79" s="65"/>
      <c r="B79" s="65"/>
      <c r="C79" s="300" t="str">
        <f aca="false">IF(_soc_market="auto","#endif","")</f>
        <v/>
      </c>
      <c r="D79" s="0"/>
      <c r="E79" s="0"/>
      <c r="F79" s="0"/>
      <c r="G79" s="0"/>
      <c r="H79" s="195"/>
      <c r="I79" s="32"/>
    </row>
    <row r="80" customFormat="false" ht="12.75" hidden="false" customHeight="false" outlineLevel="0" collapsed="false">
      <c r="A80" s="65"/>
      <c r="B80" s="65"/>
      <c r="C80" s="300" t="s">
        <v>618</v>
      </c>
      <c r="D80" s="0"/>
      <c r="E80" s="0"/>
      <c r="F80" s="0"/>
      <c r="G80" s="0"/>
      <c r="H80" s="195"/>
      <c r="I80" s="32"/>
    </row>
    <row r="81" customFormat="false" ht="12.75" hidden="false" customHeight="false" outlineLevel="0" collapsed="false">
      <c r="A81" s="65"/>
      <c r="B81" s="65"/>
      <c r="C81" s="300"/>
      <c r="D81" s="0"/>
      <c r="E81" s="0"/>
      <c r="F81" s="0"/>
      <c r="G81" s="0"/>
      <c r="H81" s="195"/>
      <c r="I81" s="32"/>
    </row>
    <row r="82" customFormat="false" ht="12.75" hidden="false" customHeight="false" outlineLevel="0" collapsed="false">
      <c r="A82" s="65"/>
      <c r="B82" s="65"/>
      <c r="C82" s="297" t="s">
        <v>616</v>
      </c>
      <c r="D82" s="0"/>
      <c r="E82" s="0"/>
      <c r="F82" s="0"/>
      <c r="G82" s="0"/>
      <c r="H82" s="195"/>
      <c r="I82" s="32"/>
    </row>
    <row r="83" customFormat="false" ht="12.75" hidden="false" customHeight="false" outlineLevel="0" collapsed="false">
      <c r="A83" s="65"/>
      <c r="B83" s="65"/>
      <c r="C83" s="297" t="s">
        <v>692</v>
      </c>
      <c r="D83" s="0"/>
      <c r="E83" s="0"/>
      <c r="F83" s="0"/>
      <c r="G83" s="0"/>
      <c r="H83" s="195"/>
      <c r="I83" s="32"/>
    </row>
    <row r="84" customFormat="false" ht="12.75" hidden="false" customHeight="false" outlineLevel="0" collapsed="false">
      <c r="A84" s="65"/>
      <c r="B84" s="65"/>
      <c r="C84" s="297" t="s">
        <v>693</v>
      </c>
      <c r="D84" s="0"/>
      <c r="E84" s="0"/>
      <c r="F84" s="0"/>
      <c r="G84" s="0"/>
      <c r="H84" s="195"/>
      <c r="I84" s="32"/>
    </row>
    <row r="85" customFormat="false" ht="12.75" hidden="false" customHeight="false" outlineLevel="0" collapsed="false">
      <c r="A85" s="65"/>
      <c r="B85" s="65"/>
      <c r="C85" s="297" t="s">
        <v>694</v>
      </c>
      <c r="D85" s="0"/>
      <c r="E85" s="0"/>
      <c r="F85" s="0"/>
      <c r="G85" s="0"/>
      <c r="H85" s="195"/>
      <c r="I85" s="32"/>
    </row>
    <row r="86" customFormat="false" ht="12.75" hidden="false" customHeight="false" outlineLevel="0" collapsed="false">
      <c r="A86" s="65"/>
      <c r="B86" s="65"/>
      <c r="C86" s="297" t="s">
        <v>617</v>
      </c>
      <c r="D86" s="0"/>
      <c r="E86" s="0"/>
      <c r="F86" s="0"/>
      <c r="G86" s="0"/>
      <c r="H86" s="195"/>
      <c r="I86" s="32"/>
    </row>
    <row r="87" customFormat="false" ht="12.75" hidden="false" customHeight="false" outlineLevel="0" collapsed="false">
      <c r="A87" s="65"/>
      <c r="B87" s="65"/>
      <c r="C87" s="297" t="str">
        <f aca="false">_user_config_name_txt7</f>
        <v>const unsigned int AM572x_DDR3L_532MHz_TI_AM572x_IDK_emif1_ext_phy_regs [] = {</v>
      </c>
      <c r="D87" s="0"/>
      <c r="E87" s="0"/>
      <c r="F87" s="0"/>
      <c r="G87" s="0"/>
      <c r="H87" s="195"/>
      <c r="I87" s="32"/>
    </row>
    <row r="88" customFormat="false" ht="12.75" hidden="false" customHeight="false" outlineLevel="0" collapsed="false">
      <c r="A88" s="65"/>
      <c r="B88" s="65"/>
      <c r="C88" s="303" t="str">
        <f aca="false">CONCATENATE("    ",_soc_register_value,",")</f>
        <v>    ,</v>
      </c>
      <c r="D88" s="61" t="str">
        <f aca="false">_soc_register_name_ddrphy1</f>
        <v>/* EMIF1_EXT_PHY_CTRL_8 */</v>
      </c>
      <c r="E88" s="0"/>
      <c r="F88" s="0"/>
      <c r="G88" s="0"/>
      <c r="H88" s="195"/>
      <c r="I88" s="32"/>
    </row>
    <row r="89" customFormat="false" ht="12.75" hidden="false" customHeight="false" outlineLevel="0" collapsed="false">
      <c r="A89" s="65"/>
      <c r="B89" s="65"/>
      <c r="C89" s="303" t="str">
        <f aca="false">CONCATENATE("    ",_soc_register_value,",")</f>
        <v>    ,</v>
      </c>
      <c r="D89" s="61" t="str">
        <f aca="false">_soc_register_name_ddrphy1</f>
        <v>/* EMIF1_EXT_PHY_CTRL_9 */</v>
      </c>
      <c r="E89" s="0"/>
      <c r="F89" s="0"/>
      <c r="G89" s="0"/>
      <c r="H89" s="195"/>
      <c r="I89" s="32"/>
    </row>
    <row r="90" customFormat="false" ht="12.75" hidden="false" customHeight="false" outlineLevel="0" collapsed="false">
      <c r="A90" s="65"/>
      <c r="B90" s="65"/>
      <c r="C90" s="303" t="str">
        <f aca="false">CONCATENATE("    ",_soc_register_value,",")</f>
        <v>    ,</v>
      </c>
      <c r="D90" s="61" t="str">
        <f aca="false">_soc_register_name_ddrphy1</f>
        <v>/* EMIF1_EXT_PHY_CTRL_10 */</v>
      </c>
      <c r="E90" s="0"/>
      <c r="F90" s="0"/>
      <c r="G90" s="0"/>
      <c r="H90" s="195"/>
      <c r="I90" s="32"/>
    </row>
    <row r="91" customFormat="false" ht="12.75" hidden="false" customHeight="false" outlineLevel="0" collapsed="false">
      <c r="A91" s="65"/>
      <c r="B91" s="65"/>
      <c r="C91" s="303" t="str">
        <f aca="false">CONCATENATE("    ",_soc_register_value,",")</f>
        <v>    ,</v>
      </c>
      <c r="D91" s="61" t="str">
        <f aca="false">_soc_register_name_ddrphy1</f>
        <v>/* EMIF1_EXT_PHY_CTRL_11 */</v>
      </c>
      <c r="E91" s="0"/>
      <c r="F91" s="0"/>
      <c r="G91" s="0"/>
      <c r="H91" s="195"/>
      <c r="I91" s="32"/>
    </row>
    <row r="92" customFormat="false" ht="12.75" hidden="false" customHeight="false" outlineLevel="0" collapsed="false">
      <c r="A92" s="65"/>
      <c r="B92" s="65"/>
      <c r="C92" s="303" t="str">
        <f aca="false">CONCATENATE("    ",_soc_register_value,",")</f>
        <v>    ,</v>
      </c>
      <c r="D92" s="61" t="str">
        <f aca="false">_soc_register_name_ddrphy1</f>
        <v>/* EMIF1_EXT_PHY_CTRL_12 */</v>
      </c>
      <c r="E92" s="0"/>
      <c r="F92" s="0"/>
      <c r="G92" s="0"/>
      <c r="H92" s="195"/>
      <c r="I92" s="32"/>
    </row>
    <row r="93" customFormat="false" ht="12.75" hidden="false" customHeight="false" outlineLevel="0" collapsed="false">
      <c r="A93" s="65"/>
      <c r="B93" s="65"/>
      <c r="C93" s="303" t="str">
        <f aca="false">CONCATENATE("    ",_soc_register_value,",")</f>
        <v>    ,</v>
      </c>
      <c r="D93" s="61" t="str">
        <f aca="false">_soc_register_name_ddrphy1</f>
        <v>/* EMIF1_EXT_PHY_CTRL_13 */</v>
      </c>
      <c r="E93" s="0"/>
      <c r="F93" s="0"/>
      <c r="G93" s="0"/>
      <c r="H93" s="195"/>
      <c r="I93" s="32"/>
    </row>
    <row r="94" customFormat="false" ht="12.75" hidden="false" customHeight="false" outlineLevel="0" collapsed="false">
      <c r="A94" s="65"/>
      <c r="B94" s="65"/>
      <c r="C94" s="303" t="str">
        <f aca="false">CONCATENATE("    ",_soc_register_value,",")</f>
        <v>    ,</v>
      </c>
      <c r="D94" s="61" t="str">
        <f aca="false">_soc_register_name_ddrphy1</f>
        <v>/* EMIF1_EXT_PHY_CTRL_14 */</v>
      </c>
      <c r="E94" s="0"/>
      <c r="F94" s="0"/>
      <c r="G94" s="76"/>
      <c r="H94" s="195"/>
      <c r="I94" s="32"/>
    </row>
    <row r="95" customFormat="false" ht="12.75" hidden="false" customHeight="false" outlineLevel="0" collapsed="false">
      <c r="A95" s="65"/>
      <c r="B95" s="65"/>
      <c r="C95" s="303" t="str">
        <f aca="false">CONCATENATE("    ",_soc_register_value,",")</f>
        <v>    ,</v>
      </c>
      <c r="D95" s="61" t="str">
        <f aca="false">_soc_register_name_ddrphy1</f>
        <v>/* EMIF1_EXT_PHY_CTRL_15 */</v>
      </c>
      <c r="E95" s="0"/>
      <c r="F95" s="0"/>
      <c r="G95" s="0"/>
      <c r="H95" s="195"/>
      <c r="I95" s="32"/>
    </row>
    <row r="96" customFormat="false" ht="12.75" hidden="false" customHeight="false" outlineLevel="0" collapsed="false">
      <c r="A96" s="65"/>
      <c r="B96" s="65"/>
      <c r="C96" s="303" t="str">
        <f aca="false">CONCATENATE("    ",_soc_register_value,",")</f>
        <v>    ,</v>
      </c>
      <c r="D96" s="61" t="str">
        <f aca="false">_soc_register_name_ddrphy1</f>
        <v>/* EMIF1_EXT_PHY_CTRL_16 */</v>
      </c>
      <c r="E96" s="0"/>
      <c r="F96" s="0"/>
      <c r="G96" s="0"/>
      <c r="H96" s="195"/>
      <c r="I96" s="32"/>
    </row>
    <row r="97" customFormat="false" ht="12.75" hidden="false" customHeight="false" outlineLevel="0" collapsed="false">
      <c r="A97" s="65"/>
      <c r="B97" s="65"/>
      <c r="C97" s="303" t="str">
        <f aca="false">CONCATENATE("    ",_soc_register_value,",")</f>
        <v>    ,</v>
      </c>
      <c r="D97" s="61" t="str">
        <f aca="false">_soc_register_name_ddrphy1</f>
        <v>/* EMIF1_EXT_PHY_CTRL_17 */</v>
      </c>
      <c r="E97" s="0"/>
      <c r="F97" s="0"/>
      <c r="G97" s="0"/>
      <c r="H97" s="195"/>
      <c r="I97" s="32"/>
    </row>
    <row r="98" customFormat="false" ht="12.75" hidden="false" customHeight="false" outlineLevel="0" collapsed="false">
      <c r="A98" s="65"/>
      <c r="B98" s="65"/>
      <c r="C98" s="303" t="str">
        <f aca="false">CONCATENATE("    ",_soc_register_value,",")</f>
        <v>    ,</v>
      </c>
      <c r="D98" s="61" t="str">
        <f aca="false">_soc_register_name_ddrphy1</f>
        <v>/* EMIF1_EXT_PHY_CTRL_18 */</v>
      </c>
      <c r="E98" s="0"/>
      <c r="F98" s="0"/>
      <c r="G98" s="0"/>
      <c r="H98" s="195"/>
      <c r="I98" s="32"/>
    </row>
    <row r="99" customFormat="false" ht="12.75" hidden="false" customHeight="false" outlineLevel="0" collapsed="false">
      <c r="A99" s="65"/>
      <c r="B99" s="65"/>
      <c r="C99" s="303" t="str">
        <f aca="false">CONCATENATE("    ",_soc_register_value,",")</f>
        <v>    ,</v>
      </c>
      <c r="D99" s="61" t="str">
        <f aca="false">_soc_register_name_ddrphy1</f>
        <v>/* EMIF1_EXT_PHY_CTRL_19 */</v>
      </c>
      <c r="E99" s="0"/>
      <c r="F99" s="0"/>
      <c r="G99" s="0"/>
      <c r="H99" s="195"/>
      <c r="I99" s="32"/>
    </row>
    <row r="100" customFormat="false" ht="12.75" hidden="false" customHeight="false" outlineLevel="0" collapsed="false">
      <c r="A100" s="65"/>
      <c r="B100" s="65"/>
      <c r="C100" s="303" t="str">
        <f aca="false">CONCATENATE("    ",_soc_register_value,",")</f>
        <v>    ,</v>
      </c>
      <c r="D100" s="61" t="str">
        <f aca="false">_soc_register_name_ddrphy1</f>
        <v>/* EMIF1_EXT_PHY_CTRL_20 */</v>
      </c>
      <c r="E100" s="0"/>
      <c r="F100" s="0"/>
      <c r="G100" s="0"/>
      <c r="H100" s="195"/>
      <c r="I100" s="32"/>
    </row>
    <row r="101" customFormat="false" ht="12.75" hidden="false" customHeight="false" outlineLevel="0" collapsed="false">
      <c r="A101" s="65"/>
      <c r="B101" s="65"/>
      <c r="C101" s="303" t="str">
        <f aca="false">CONCATENATE("    ",_soc_register_value,",")</f>
        <v>    ,</v>
      </c>
      <c r="D101" s="61" t="str">
        <f aca="false">_soc_register_name_ddrphy1</f>
        <v>/* EMIF1_EXT_PHY_CTRL_21 */</v>
      </c>
      <c r="E101" s="0"/>
      <c r="F101" s="0"/>
      <c r="G101" s="0"/>
      <c r="H101" s="195"/>
      <c r="I101" s="32"/>
    </row>
    <row r="102" customFormat="false" ht="12.75" hidden="false" customHeight="false" outlineLevel="0" collapsed="false">
      <c r="A102" s="65"/>
      <c r="B102" s="65"/>
      <c r="C102" s="303" t="str">
        <f aca="false">CONCATENATE("    ",_soc_register_value,",")</f>
        <v>    ,</v>
      </c>
      <c r="D102" s="61" t="str">
        <f aca="false">_soc_register_name_ddrphy1</f>
        <v>/* EMIF1_EXT_PHY_CTRL_22 */</v>
      </c>
      <c r="E102" s="0"/>
      <c r="F102" s="0"/>
      <c r="G102" s="0"/>
      <c r="H102" s="195"/>
      <c r="I102" s="32"/>
    </row>
    <row r="103" customFormat="false" ht="12.75" hidden="false" customHeight="false" outlineLevel="0" collapsed="false">
      <c r="A103" s="65"/>
      <c r="B103" s="65"/>
      <c r="C103" s="303" t="str">
        <f aca="false">CONCATENATE("    ",_soc_register_value,",")</f>
        <v>    ,</v>
      </c>
      <c r="D103" s="61" t="str">
        <f aca="false">_soc_register_name_ddrphy1</f>
        <v>/* EMIF1_EXT_PHY_CTRL_23 */</v>
      </c>
      <c r="E103" s="0"/>
      <c r="F103" s="0"/>
      <c r="G103" s="0"/>
      <c r="H103" s="195"/>
      <c r="I103" s="32"/>
    </row>
    <row r="104" customFormat="false" ht="12.75" hidden="false" customHeight="false" outlineLevel="0" collapsed="false">
      <c r="A104" s="65"/>
      <c r="B104" s="65"/>
      <c r="C104" s="303" t="str">
        <f aca="false">CONCATENATE("    ",_soc_register_value,",")</f>
        <v>    ,</v>
      </c>
      <c r="D104" s="61" t="str">
        <f aca="false">_soc_register_name_ddrphy1</f>
        <v>/* EMIF1_EXT_PHY_CTRL_24 */</v>
      </c>
      <c r="E104" s="0"/>
      <c r="F104" s="0"/>
      <c r="G104" s="0"/>
      <c r="H104" s="195"/>
      <c r="I104" s="32"/>
    </row>
    <row r="105" customFormat="false" ht="12.75" hidden="false" customHeight="false" outlineLevel="0" collapsed="false">
      <c r="A105" s="65"/>
      <c r="B105" s="65"/>
      <c r="C105" s="303" t="str">
        <f aca="false">CONCATENATE("    ",_soc_register_value,",")</f>
        <v>    ,</v>
      </c>
      <c r="D105" s="61" t="str">
        <f aca="false">_soc_register_name_ddrphy1</f>
        <v>/* EMIF1_EXT_PHY_CTRL_25 */</v>
      </c>
      <c r="E105" s="0"/>
      <c r="F105" s="0"/>
      <c r="G105" s="0"/>
      <c r="H105" s="195"/>
      <c r="I105" s="32"/>
    </row>
    <row r="106" customFormat="false" ht="12.75" hidden="false" customHeight="false" outlineLevel="0" collapsed="false">
      <c r="A106" s="65"/>
      <c r="B106" s="65"/>
      <c r="C106" s="303" t="str">
        <f aca="false">CONCATENATE("    ",_soc_register_value,",")</f>
        <v>    ,</v>
      </c>
      <c r="D106" s="61" t="str">
        <f aca="false">_soc_register_name_ddrphy1</f>
        <v>/* EMIF1_EXT_PHY_CTRL_26 */</v>
      </c>
      <c r="E106" s="0"/>
      <c r="F106" s="0"/>
      <c r="G106" s="0"/>
      <c r="H106" s="195"/>
      <c r="I106" s="32"/>
    </row>
    <row r="107" customFormat="false" ht="12.75" hidden="false" customHeight="false" outlineLevel="0" collapsed="false">
      <c r="A107" s="65"/>
      <c r="B107" s="65"/>
      <c r="C107" s="303" t="str">
        <f aca="false">CONCATENATE("    ",_soc_register_value,",")</f>
        <v>    ,</v>
      </c>
      <c r="D107" s="61" t="str">
        <f aca="false">_soc_register_name_ddrphy1</f>
        <v>/* EMIF1_EXT_PHY_CTRL_27 */</v>
      </c>
      <c r="E107" s="0"/>
      <c r="F107" s="0"/>
      <c r="G107" s="0"/>
      <c r="H107" s="195"/>
      <c r="I107" s="32"/>
    </row>
    <row r="108" customFormat="false" ht="12.75" hidden="false" customHeight="false" outlineLevel="0" collapsed="false">
      <c r="A108" s="65"/>
      <c r="B108" s="65"/>
      <c r="C108" s="303" t="str">
        <f aca="false">CONCATENATE("    ",_soc_register_value,",")</f>
        <v>    ,</v>
      </c>
      <c r="D108" s="61" t="str">
        <f aca="false">_soc_register_name_ddrphy1</f>
        <v>/* EMIF1_EXT_PHY_CTRL_28 */</v>
      </c>
      <c r="E108" s="0"/>
      <c r="F108" s="0"/>
      <c r="G108" s="0"/>
      <c r="H108" s="195"/>
      <c r="I108" s="32"/>
    </row>
    <row r="109" customFormat="false" ht="12.75" hidden="false" customHeight="false" outlineLevel="0" collapsed="false">
      <c r="A109" s="65"/>
      <c r="B109" s="65"/>
      <c r="C109" s="303" t="str">
        <f aca="false">CONCATENATE("    ",_soc_register_value,",")</f>
        <v>    ,</v>
      </c>
      <c r="D109" s="61" t="str">
        <f aca="false">_soc_register_name_ddrphy1</f>
        <v>/* EMIF1_EXT_PHY_CTRL_29 */</v>
      </c>
      <c r="E109" s="0"/>
      <c r="F109" s="0"/>
      <c r="G109" s="0"/>
      <c r="H109" s="195"/>
      <c r="I109" s="32"/>
    </row>
    <row r="110" customFormat="false" ht="12.75" hidden="false" customHeight="false" outlineLevel="0" collapsed="false">
      <c r="A110" s="65"/>
      <c r="B110" s="65"/>
      <c r="C110" s="303" t="str">
        <f aca="false">CONCATENATE("    ",_soc_register_value,",")</f>
        <v>    ,</v>
      </c>
      <c r="D110" s="61" t="str">
        <f aca="false">_soc_register_name_ddrphy1</f>
        <v>/* EMIF1_EXT_PHY_CTRL_30 */</v>
      </c>
      <c r="E110" s="0"/>
      <c r="F110" s="0"/>
      <c r="G110" s="0"/>
      <c r="H110" s="195"/>
      <c r="I110" s="32"/>
    </row>
    <row r="111" customFormat="false" ht="12.75" hidden="false" customHeight="false" outlineLevel="0" collapsed="false">
      <c r="A111" s="65"/>
      <c r="B111" s="65"/>
      <c r="C111" s="303" t="str">
        <f aca="false">CONCATENATE("    ",_soc_register_value,",")</f>
        <v>    ,</v>
      </c>
      <c r="D111" s="61" t="str">
        <f aca="false">_soc_register_name_ddrphy1</f>
        <v>/* EMIF1_EXT_PHY_CTRL_31 */</v>
      </c>
      <c r="E111" s="0"/>
      <c r="F111" s="0"/>
      <c r="G111" s="0"/>
      <c r="H111" s="195"/>
      <c r="I111" s="32"/>
    </row>
    <row r="112" customFormat="false" ht="12.75" hidden="false" customHeight="false" outlineLevel="0" collapsed="false">
      <c r="A112" s="65"/>
      <c r="B112" s="65"/>
      <c r="C112" s="303" t="str">
        <f aca="false">CONCATENATE("    ",_soc_register_value,",")</f>
        <v>    ,</v>
      </c>
      <c r="D112" s="61" t="str">
        <f aca="false">_soc_register_name_ddrphy1</f>
        <v>/* EMIF1_EXT_PHY_CTRL_32 */</v>
      </c>
      <c r="E112" s="0"/>
      <c r="F112" s="0"/>
      <c r="G112" s="0"/>
      <c r="H112" s="195"/>
      <c r="I112" s="32"/>
    </row>
    <row r="113" customFormat="false" ht="12.75" hidden="false" customHeight="false" outlineLevel="0" collapsed="false">
      <c r="A113" s="65"/>
      <c r="B113" s="65"/>
      <c r="C113" s="303" t="str">
        <f aca="false">CONCATENATE("    ",_soc_register_value,",")</f>
        <v>    ,</v>
      </c>
      <c r="D113" s="61" t="str">
        <f aca="false">_soc_register_name_ddrphy1</f>
        <v>/* EMIF1_EXT_PHY_CTRL_33 */</v>
      </c>
      <c r="E113" s="0"/>
      <c r="F113" s="0"/>
      <c r="G113" s="0"/>
      <c r="H113" s="195"/>
      <c r="I113" s="32"/>
    </row>
    <row r="114" customFormat="false" ht="12.75" hidden="false" customHeight="false" outlineLevel="0" collapsed="false">
      <c r="A114" s="0"/>
      <c r="B114" s="30"/>
      <c r="C114" s="303" t="str">
        <f aca="false">CONCATENATE("    ",_soc_register_value,",")</f>
        <v>    ,</v>
      </c>
      <c r="D114" s="61" t="str">
        <f aca="false">_soc_register_name_ddrphy1</f>
        <v>/* EMIF1_EXT_PHY_CTRL_34 */</v>
      </c>
      <c r="E114" s="0"/>
      <c r="F114" s="0"/>
      <c r="G114" s="0"/>
      <c r="H114" s="195"/>
      <c r="I114" s="32"/>
    </row>
    <row r="115" customFormat="false" ht="12.75" hidden="false" customHeight="false" outlineLevel="0" collapsed="false">
      <c r="A115" s="0"/>
      <c r="B115" s="30"/>
      <c r="C115" s="303" t="str">
        <f aca="false">CONCATENATE("    ",_soc_register_value,",")</f>
        <v>    ,</v>
      </c>
      <c r="D115" s="61" t="str">
        <f aca="false">_soc_register_name_ddrphy1</f>
        <v>/* EMIF1_EXT_PHY_CTRL_35 */</v>
      </c>
      <c r="E115" s="0"/>
      <c r="F115" s="0"/>
      <c r="G115" s="0"/>
      <c r="H115" s="195"/>
      <c r="I115" s="32"/>
    </row>
    <row r="116" customFormat="false" ht="12.75" hidden="false" customHeight="false" outlineLevel="0" collapsed="false">
      <c r="A116" s="0"/>
      <c r="B116" s="30"/>
      <c r="C116" s="303" t="str">
        <f aca="false">CONCATENATE("    ",_soc_register_value,",")</f>
        <v>    ,</v>
      </c>
      <c r="D116" s="61" t="str">
        <f aca="false">_soc_register_name_ddrphy1</f>
        <v>/* EMIF1_EXT_PHY_CTRL_36 */</v>
      </c>
      <c r="E116" s="0"/>
      <c r="F116" s="0"/>
      <c r="G116" s="0"/>
      <c r="H116" s="195"/>
      <c r="I116" s="32"/>
    </row>
    <row r="117" customFormat="false" ht="12.75" hidden="false" customHeight="false" outlineLevel="0" collapsed="false">
      <c r="A117" s="0"/>
      <c r="B117" s="30"/>
      <c r="C117" s="303" t="str">
        <f aca="false">CONCATENATE("    ",_soc_register_value,",")</f>
        <v>    ,</v>
      </c>
      <c r="D117" s="61" t="str">
        <f aca="false">_soc_register_name_ddrphy1</f>
        <v/>
      </c>
      <c r="E117" s="0"/>
      <c r="F117" s="0"/>
      <c r="G117" s="0"/>
      <c r="H117" s="195"/>
      <c r="I117" s="32"/>
    </row>
    <row r="118" customFormat="false" ht="12.75" hidden="false" customHeight="false" outlineLevel="0" collapsed="false">
      <c r="A118" s="0"/>
      <c r="B118" s="30"/>
      <c r="C118" s="303" t="str">
        <f aca="false">CONCATENATE("    ",_soc_register_value,",")</f>
        <v>    ,</v>
      </c>
      <c r="D118" s="61" t="str">
        <f aca="false">_soc_register_name_ddrphy1</f>
        <v/>
      </c>
      <c r="E118" s="0"/>
      <c r="F118" s="0"/>
      <c r="G118" s="0"/>
      <c r="H118" s="195"/>
      <c r="I118" s="32"/>
    </row>
    <row r="119" customFormat="false" ht="12.75" hidden="false" customHeight="false" outlineLevel="0" collapsed="false">
      <c r="A119" s="0"/>
      <c r="B119" s="30"/>
      <c r="C119" s="303" t="str">
        <f aca="false">CONCATENATE("    ",_soc_register_value,",")</f>
        <v>    ,</v>
      </c>
      <c r="D119" s="61" t="str">
        <f aca="false">_soc_register_name_ddrphy1</f>
        <v/>
      </c>
      <c r="E119" s="0"/>
      <c r="F119" s="0"/>
      <c r="G119" s="0"/>
      <c r="H119" s="195"/>
      <c r="I119" s="32"/>
    </row>
    <row r="120" customFormat="false" ht="12.75" hidden="false" customHeight="false" outlineLevel="0" collapsed="false">
      <c r="A120" s="0"/>
      <c r="B120" s="30"/>
      <c r="C120" s="303" t="str">
        <f aca="false">CONCATENATE("    ",_soc_register_value,",")</f>
        <v>    ,</v>
      </c>
      <c r="D120" s="61" t="str">
        <f aca="false">_soc_register_name_ddrphy1</f>
        <v/>
      </c>
      <c r="E120" s="0"/>
      <c r="F120" s="0"/>
      <c r="G120" s="0"/>
      <c r="H120" s="195"/>
      <c r="I120" s="32"/>
    </row>
    <row r="121" customFormat="false" ht="12.75" hidden="false" customHeight="false" outlineLevel="0" collapsed="false">
      <c r="A121" s="0"/>
      <c r="B121" s="30"/>
      <c r="C121" s="303" t="str">
        <f aca="false">CONCATENATE("    ",_soc_register_value,",")</f>
        <v>    ,</v>
      </c>
      <c r="D121" s="61" t="str">
        <f aca="false">_soc_register_name_ddrphy1</f>
        <v/>
      </c>
      <c r="E121" s="0"/>
      <c r="F121" s="0"/>
      <c r="G121" s="0"/>
      <c r="H121" s="195"/>
      <c r="I121" s="32"/>
    </row>
    <row r="122" customFormat="false" ht="12.75" hidden="false" customHeight="false" outlineLevel="0" collapsed="false">
      <c r="A122" s="0"/>
      <c r="B122" s="30"/>
      <c r="C122" s="303" t="str">
        <f aca="false">CONCATENATE("    ",_soc_register_value,",")</f>
        <v>    ,</v>
      </c>
      <c r="D122" s="61" t="str">
        <f aca="false">_soc_register_name_ddrphy1</f>
        <v/>
      </c>
      <c r="E122" s="0"/>
      <c r="F122" s="0"/>
      <c r="G122" s="0"/>
      <c r="H122" s="195"/>
      <c r="I122" s="32"/>
    </row>
    <row r="123" customFormat="false" ht="12.75" hidden="false" customHeight="false" outlineLevel="0" collapsed="false">
      <c r="A123" s="0"/>
      <c r="B123" s="30"/>
      <c r="C123" s="303" t="str">
        <f aca="false">CONCATENATE("    ",_soc_register_value)</f>
        <v>    </v>
      </c>
      <c r="D123" s="61" t="str">
        <f aca="false">_soc_register_name_ddrphy1</f>
        <v/>
      </c>
      <c r="E123" s="0"/>
      <c r="F123" s="0"/>
      <c r="G123" s="0"/>
      <c r="H123" s="195"/>
      <c r="I123" s="32"/>
    </row>
    <row r="124" customFormat="false" ht="12.75" hidden="false" customHeight="false" outlineLevel="0" collapsed="false">
      <c r="A124" s="0"/>
      <c r="B124" s="30"/>
      <c r="C124" s="304" t="s">
        <v>618</v>
      </c>
      <c r="D124" s="305" t="str">
        <f aca="false">_soc_register_value</f>
        <v/>
      </c>
      <c r="E124" s="0"/>
      <c r="F124" s="0"/>
      <c r="G124" s="0"/>
      <c r="H124" s="195"/>
      <c r="I124" s="32"/>
    </row>
    <row r="125" customFormat="false" ht="12.75" hidden="false" customHeight="false" outlineLevel="0" collapsed="false">
      <c r="A125" s="0"/>
      <c r="B125" s="30"/>
      <c r="C125" s="306"/>
      <c r="D125" s="305" t="str">
        <f aca="false">_soc_register_value</f>
        <v/>
      </c>
      <c r="E125" s="0"/>
      <c r="F125" s="0"/>
      <c r="G125" s="0"/>
      <c r="H125" s="195"/>
      <c r="I125" s="32"/>
    </row>
    <row r="126" customFormat="false" ht="12.75" hidden="false" customHeight="false" outlineLevel="0" collapsed="false">
      <c r="A126" s="0"/>
      <c r="B126" s="30"/>
      <c r="C126" s="297" t="str">
        <f aca="false">_user_config_name_txt8</f>
        <v/>
      </c>
      <c r="D126" s="0"/>
      <c r="E126" s="0"/>
      <c r="F126" s="0"/>
      <c r="G126" s="0"/>
      <c r="H126" s="195"/>
      <c r="I126" s="32"/>
    </row>
    <row r="127" customFormat="false" ht="12.75" hidden="false" customHeight="false" outlineLevel="0" collapsed="false">
      <c r="A127" s="0"/>
      <c r="B127" s="30"/>
      <c r="C127" s="205" t="str">
        <f aca="false">IF(_user_emifs=1,"",CONCATENATE("    ",_soc_register_value,","))</f>
        <v/>
      </c>
      <c r="D127" s="305" t="str">
        <f aca="false">IF(_user_emifs=1,"",_soc_register_name_ddrphy2)</f>
        <v/>
      </c>
      <c r="E127" s="0"/>
      <c r="F127" s="0"/>
      <c r="G127" s="0"/>
      <c r="H127" s="195"/>
      <c r="I127" s="32"/>
    </row>
    <row r="128" customFormat="false" ht="12.75" hidden="false" customHeight="false" outlineLevel="0" collapsed="false">
      <c r="A128" s="0"/>
      <c r="B128" s="30"/>
      <c r="C128" s="205" t="str">
        <f aca="false">IF(_user_emifs=1,"",CONCATENATE("    ",_soc_register_value,","))</f>
        <v/>
      </c>
      <c r="D128" s="305" t="str">
        <f aca="false">IF(_user_emifs=1,"",_soc_register_name_ddrphy2)</f>
        <v/>
      </c>
      <c r="E128" s="0"/>
      <c r="F128" s="0"/>
      <c r="G128" s="0"/>
      <c r="H128" s="195"/>
      <c r="I128" s="32"/>
    </row>
    <row r="129" customFormat="false" ht="12.75" hidden="false" customHeight="false" outlineLevel="0" collapsed="false">
      <c r="A129" s="0"/>
      <c r="B129" s="30"/>
      <c r="C129" s="205" t="str">
        <f aca="false">IF(_user_emifs=1,"",CONCATENATE("    ",_soc_register_value,","))</f>
        <v/>
      </c>
      <c r="D129" s="305" t="str">
        <f aca="false">IF(_user_emifs=1,"",_soc_register_name_ddrphy2)</f>
        <v/>
      </c>
      <c r="E129" s="0"/>
      <c r="F129" s="0"/>
      <c r="G129" s="0"/>
      <c r="H129" s="195"/>
      <c r="I129" s="32"/>
    </row>
    <row r="130" customFormat="false" ht="12.75" hidden="false" customHeight="false" outlineLevel="0" collapsed="false">
      <c r="A130" s="0"/>
      <c r="B130" s="30"/>
      <c r="C130" s="205" t="str">
        <f aca="false">IF(_user_emifs=1,"",CONCATENATE("    ",_soc_register_value,","))</f>
        <v/>
      </c>
      <c r="D130" s="305" t="str">
        <f aca="false">IF(_user_emifs=1,"",_soc_register_name_ddrphy2)</f>
        <v/>
      </c>
      <c r="E130" s="0"/>
      <c r="F130" s="0"/>
      <c r="G130" s="0"/>
      <c r="H130" s="195"/>
      <c r="I130" s="32"/>
    </row>
    <row r="131" customFormat="false" ht="12.75" hidden="false" customHeight="false" outlineLevel="0" collapsed="false">
      <c r="A131" s="0"/>
      <c r="B131" s="30"/>
      <c r="C131" s="205" t="str">
        <f aca="false">IF(_user_emifs=1,"",CONCATENATE("    ",_soc_register_value,","))</f>
        <v/>
      </c>
      <c r="D131" s="305" t="str">
        <f aca="false">IF(_user_emifs=1,"",_soc_register_name_ddrphy2)</f>
        <v/>
      </c>
      <c r="E131" s="0"/>
      <c r="F131" s="0"/>
      <c r="G131" s="0"/>
      <c r="H131" s="195"/>
      <c r="I131" s="32"/>
    </row>
    <row r="132" customFormat="false" ht="12.75" hidden="false" customHeight="false" outlineLevel="0" collapsed="false">
      <c r="A132" s="0"/>
      <c r="B132" s="30"/>
      <c r="C132" s="205" t="str">
        <f aca="false">IF(_user_emifs=1,"",CONCATENATE("    ",_soc_register_value,","))</f>
        <v/>
      </c>
      <c r="D132" s="305" t="str">
        <f aca="false">IF(_user_emifs=1,"",_soc_register_name_ddrphy2)</f>
        <v/>
      </c>
      <c r="E132" s="0"/>
      <c r="F132" s="0"/>
      <c r="G132" s="0"/>
      <c r="H132" s="195"/>
      <c r="I132" s="32"/>
    </row>
    <row r="133" customFormat="false" ht="12.75" hidden="false" customHeight="false" outlineLevel="0" collapsed="false">
      <c r="A133" s="0"/>
      <c r="B133" s="30"/>
      <c r="C133" s="205" t="str">
        <f aca="false">IF(_user_emifs=1,"",CONCATENATE("    ",_soc_register_value,","))</f>
        <v/>
      </c>
      <c r="D133" s="305" t="str">
        <f aca="false">IF(_user_emifs=1,"",_soc_register_name_ddrphy2)</f>
        <v/>
      </c>
      <c r="E133" s="0"/>
      <c r="F133" s="0"/>
      <c r="G133" s="0"/>
      <c r="H133" s="195"/>
      <c r="I133" s="32"/>
    </row>
    <row r="134" customFormat="false" ht="12.75" hidden="false" customHeight="false" outlineLevel="0" collapsed="false">
      <c r="A134" s="0"/>
      <c r="B134" s="30"/>
      <c r="C134" s="205" t="str">
        <f aca="false">IF(_user_emifs=1,"",CONCATENATE("    ",_soc_register_value,","))</f>
        <v/>
      </c>
      <c r="D134" s="305" t="str">
        <f aca="false">IF(_user_emifs=1,"",_soc_register_name_ddrphy2)</f>
        <v/>
      </c>
      <c r="E134" s="0"/>
      <c r="F134" s="0"/>
      <c r="G134" s="0"/>
      <c r="H134" s="195"/>
      <c r="I134" s="32"/>
    </row>
    <row r="135" customFormat="false" ht="12.75" hidden="false" customHeight="false" outlineLevel="0" collapsed="false">
      <c r="A135" s="0"/>
      <c r="B135" s="30"/>
      <c r="C135" s="205" t="str">
        <f aca="false">IF(_user_emifs=1,"",CONCATENATE("    ",_soc_register_value,","))</f>
        <v/>
      </c>
      <c r="D135" s="305" t="str">
        <f aca="false">IF(_user_emifs=1,"",_soc_register_name_ddrphy2)</f>
        <v/>
      </c>
      <c r="E135" s="0"/>
      <c r="F135" s="0"/>
      <c r="G135" s="0"/>
      <c r="H135" s="195"/>
      <c r="I135" s="32"/>
    </row>
    <row r="136" customFormat="false" ht="12.75" hidden="false" customHeight="false" outlineLevel="0" collapsed="false">
      <c r="A136" s="0"/>
      <c r="B136" s="30"/>
      <c r="C136" s="205" t="str">
        <f aca="false">IF(_user_emifs=1,"",CONCATENATE("    ",_soc_register_value,","))</f>
        <v/>
      </c>
      <c r="D136" s="305" t="str">
        <f aca="false">IF(_user_emifs=1,"",_soc_register_name_ddrphy2)</f>
        <v/>
      </c>
      <c r="E136" s="0"/>
      <c r="F136" s="0"/>
      <c r="G136" s="0"/>
      <c r="H136" s="195"/>
      <c r="I136" s="32"/>
    </row>
    <row r="137" customFormat="false" ht="12.75" hidden="false" customHeight="false" outlineLevel="0" collapsed="false">
      <c r="A137" s="0"/>
      <c r="B137" s="30"/>
      <c r="C137" s="205" t="str">
        <f aca="false">IF(_user_emifs=1,"",CONCATENATE("    ",_soc_register_value,","))</f>
        <v/>
      </c>
      <c r="D137" s="305" t="str">
        <f aca="false">IF(_user_emifs=1,"",_soc_register_name_ddrphy2)</f>
        <v/>
      </c>
      <c r="E137" s="0"/>
      <c r="F137" s="0"/>
      <c r="G137" s="0"/>
      <c r="H137" s="195"/>
      <c r="I137" s="32"/>
    </row>
    <row r="138" customFormat="false" ht="12.75" hidden="false" customHeight="false" outlineLevel="0" collapsed="false">
      <c r="A138" s="0"/>
      <c r="B138" s="30"/>
      <c r="C138" s="205" t="str">
        <f aca="false">IF(_user_emifs=1,"",CONCATENATE("    ",_soc_register_value,","))</f>
        <v/>
      </c>
      <c r="D138" s="305" t="str">
        <f aca="false">IF(_user_emifs=1,"",_soc_register_name_ddrphy2)</f>
        <v/>
      </c>
      <c r="E138" s="0"/>
      <c r="F138" s="0"/>
      <c r="G138" s="0"/>
      <c r="H138" s="195"/>
      <c r="I138" s="32"/>
    </row>
    <row r="139" customFormat="false" ht="12.75" hidden="false" customHeight="false" outlineLevel="0" collapsed="false">
      <c r="A139" s="0"/>
      <c r="B139" s="30"/>
      <c r="C139" s="205" t="str">
        <f aca="false">IF(_user_emifs=1,"",CONCATENATE("    ",_soc_register_value,","))</f>
        <v/>
      </c>
      <c r="D139" s="305" t="str">
        <f aca="false">IF(_user_emifs=1,"",_soc_register_name_ddrphy2)</f>
        <v/>
      </c>
      <c r="E139" s="0"/>
      <c r="F139" s="0"/>
      <c r="G139" s="0"/>
      <c r="H139" s="195"/>
      <c r="I139" s="32"/>
    </row>
    <row r="140" customFormat="false" ht="12.75" hidden="false" customHeight="false" outlineLevel="0" collapsed="false">
      <c r="A140" s="0"/>
      <c r="B140" s="30"/>
      <c r="C140" s="205" t="str">
        <f aca="false">IF(_user_emifs=1,"",CONCATENATE("    ",_soc_register_value,","))</f>
        <v/>
      </c>
      <c r="D140" s="305" t="str">
        <f aca="false">IF(_user_emifs=1,"",_soc_register_name_ddrphy2)</f>
        <v/>
      </c>
      <c r="E140" s="0"/>
      <c r="F140" s="0"/>
      <c r="G140" s="0"/>
      <c r="H140" s="195"/>
      <c r="I140" s="32"/>
    </row>
    <row r="141" customFormat="false" ht="12.75" hidden="false" customHeight="false" outlineLevel="0" collapsed="false">
      <c r="A141" s="0"/>
      <c r="B141" s="30"/>
      <c r="C141" s="205" t="str">
        <f aca="false">IF(_user_emifs=1,"",CONCATENATE("    ",_soc_register_value,","))</f>
        <v/>
      </c>
      <c r="D141" s="305" t="str">
        <f aca="false">IF(_user_emifs=1,"",_soc_register_name_ddrphy2)</f>
        <v/>
      </c>
      <c r="E141" s="0"/>
      <c r="F141" s="0"/>
      <c r="G141" s="0"/>
      <c r="H141" s="195"/>
      <c r="I141" s="32"/>
    </row>
    <row r="142" customFormat="false" ht="12.75" hidden="false" customHeight="false" outlineLevel="0" collapsed="false">
      <c r="A142" s="0"/>
      <c r="B142" s="30"/>
      <c r="C142" s="205" t="str">
        <f aca="false">IF(_user_emifs=1,"",CONCATENATE("    ",_soc_register_value,","))</f>
        <v/>
      </c>
      <c r="D142" s="305" t="str">
        <f aca="false">IF(_user_emifs=1,"",_soc_register_name_ddrphy2)</f>
        <v/>
      </c>
      <c r="E142" s="0"/>
      <c r="F142" s="0"/>
      <c r="G142" s="0"/>
      <c r="H142" s="195"/>
      <c r="I142" s="32"/>
    </row>
    <row r="143" customFormat="false" ht="12.75" hidden="false" customHeight="false" outlineLevel="0" collapsed="false">
      <c r="A143" s="0"/>
      <c r="B143" s="30"/>
      <c r="C143" s="205" t="str">
        <f aca="false">IF(_user_emifs=1,"",CONCATENATE("    ",_soc_register_value,","))</f>
        <v/>
      </c>
      <c r="D143" s="305" t="str">
        <f aca="false">IF(_user_emifs=1,"",_soc_register_name_ddrphy2)</f>
        <v/>
      </c>
      <c r="E143" s="0"/>
      <c r="F143" s="0"/>
      <c r="G143" s="0"/>
      <c r="H143" s="195"/>
      <c r="I143" s="32"/>
    </row>
    <row r="144" customFormat="false" ht="12.75" hidden="false" customHeight="false" outlineLevel="0" collapsed="false">
      <c r="A144" s="0"/>
      <c r="B144" s="30"/>
      <c r="C144" s="205" t="str">
        <f aca="false">IF(_user_emifs=1,"",CONCATENATE("    ",_soc_register_value,","))</f>
        <v/>
      </c>
      <c r="D144" s="305" t="str">
        <f aca="false">IF(_user_emifs=1,"",_soc_register_name_ddrphy2)</f>
        <v/>
      </c>
      <c r="E144" s="0"/>
      <c r="F144" s="0"/>
      <c r="G144" s="0"/>
      <c r="H144" s="195"/>
      <c r="I144" s="32"/>
    </row>
    <row r="145" customFormat="false" ht="12.75" hidden="false" customHeight="false" outlineLevel="0" collapsed="false">
      <c r="A145" s="0"/>
      <c r="B145" s="30"/>
      <c r="C145" s="205" t="str">
        <f aca="false">IF(_user_emifs=1,"",CONCATENATE("    ",_soc_register_value,","))</f>
        <v/>
      </c>
      <c r="D145" s="305" t="str">
        <f aca="false">IF(_user_emifs=1,"",_soc_register_name_ddrphy2)</f>
        <v/>
      </c>
      <c r="E145" s="0"/>
      <c r="F145" s="0"/>
      <c r="G145" s="0"/>
      <c r="H145" s="195"/>
      <c r="I145" s="32"/>
    </row>
    <row r="146" customFormat="false" ht="12.75" hidden="false" customHeight="false" outlineLevel="0" collapsed="false">
      <c r="A146" s="0"/>
      <c r="B146" s="30"/>
      <c r="C146" s="205" t="str">
        <f aca="false">IF(_user_emifs=1,"",CONCATENATE("    ",_soc_register_value,","))</f>
        <v/>
      </c>
      <c r="D146" s="305" t="str">
        <f aca="false">IF(_user_emifs=1,"",_soc_register_name_ddrphy2)</f>
        <v/>
      </c>
      <c r="E146" s="0"/>
      <c r="F146" s="0"/>
      <c r="G146" s="0"/>
      <c r="H146" s="195"/>
      <c r="I146" s="32"/>
    </row>
    <row r="147" customFormat="false" ht="12.75" hidden="false" customHeight="false" outlineLevel="0" collapsed="false">
      <c r="A147" s="0"/>
      <c r="B147" s="30"/>
      <c r="C147" s="205" t="str">
        <f aca="false">IF(_user_emifs=1,"",CONCATENATE("    ",_soc_register_value,","))</f>
        <v/>
      </c>
      <c r="D147" s="305" t="str">
        <f aca="false">IF(_user_emifs=1,"",_soc_register_name_ddrphy2)</f>
        <v/>
      </c>
      <c r="E147" s="0"/>
      <c r="F147" s="0"/>
      <c r="G147" s="0"/>
      <c r="H147" s="195"/>
      <c r="I147" s="32"/>
    </row>
    <row r="148" customFormat="false" ht="12.75" hidden="false" customHeight="false" outlineLevel="0" collapsed="false">
      <c r="A148" s="0"/>
      <c r="B148" s="30"/>
      <c r="C148" s="205" t="str">
        <f aca="false">IF(_user_emifs=1,"",CONCATENATE("    ",_soc_register_value,","))</f>
        <v/>
      </c>
      <c r="D148" s="305" t="str">
        <f aca="false">IF(_user_emifs=1,"",_soc_register_name_ddrphy2)</f>
        <v/>
      </c>
      <c r="E148" s="0"/>
      <c r="F148" s="0"/>
      <c r="G148" s="0"/>
      <c r="H148" s="195"/>
      <c r="I148" s="32"/>
    </row>
    <row r="149" customFormat="false" ht="12.75" hidden="false" customHeight="false" outlineLevel="0" collapsed="false">
      <c r="A149" s="0"/>
      <c r="B149" s="30"/>
      <c r="C149" s="205" t="str">
        <f aca="false">IF(_user_emifs=1,"",CONCATENATE("    ",_soc_register_value,","))</f>
        <v/>
      </c>
      <c r="D149" s="305" t="str">
        <f aca="false">IF(_user_emifs=1,"",_soc_register_name_ddrphy2)</f>
        <v/>
      </c>
      <c r="E149" s="0"/>
      <c r="F149" s="0"/>
      <c r="G149" s="0"/>
      <c r="H149" s="195"/>
      <c r="I149" s="32"/>
    </row>
    <row r="150" customFormat="false" ht="12.75" hidden="false" customHeight="false" outlineLevel="0" collapsed="false">
      <c r="A150" s="0"/>
      <c r="B150" s="30"/>
      <c r="C150" s="205" t="str">
        <f aca="false">IF(_user_emifs=1,"",CONCATENATE("    ",_soc_register_value,","))</f>
        <v/>
      </c>
      <c r="D150" s="305" t="str">
        <f aca="false">IF(_user_emifs=1,"",_soc_register_name_ddrphy2)</f>
        <v/>
      </c>
      <c r="E150" s="0"/>
      <c r="F150" s="0"/>
      <c r="G150" s="0"/>
      <c r="H150" s="195"/>
      <c r="I150" s="32"/>
    </row>
    <row r="151" customFormat="false" ht="12.75" hidden="false" customHeight="false" outlineLevel="0" collapsed="false">
      <c r="A151" s="0"/>
      <c r="B151" s="30"/>
      <c r="C151" s="205" t="str">
        <f aca="false">IF(_user_emifs=1,"",CONCATENATE("    ",_soc_register_value,","))</f>
        <v/>
      </c>
      <c r="D151" s="305" t="str">
        <f aca="false">IF(_user_emifs=1,"",_soc_register_name_ddrphy2)</f>
        <v/>
      </c>
      <c r="E151" s="0"/>
      <c r="F151" s="0"/>
      <c r="G151" s="0"/>
      <c r="H151" s="195"/>
      <c r="I151" s="32"/>
    </row>
    <row r="152" customFormat="false" ht="12.75" hidden="false" customHeight="false" outlineLevel="0" collapsed="false">
      <c r="A152" s="0"/>
      <c r="B152" s="30"/>
      <c r="C152" s="205" t="str">
        <f aca="false">IF(_user_emifs=1,"",CONCATENATE("    ",_soc_register_value,","))</f>
        <v/>
      </c>
      <c r="D152" s="305" t="str">
        <f aca="false">IF(_user_emifs=1,"",_soc_register_name_ddrphy2)</f>
        <v/>
      </c>
      <c r="E152" s="0"/>
      <c r="F152" s="0"/>
      <c r="G152" s="0"/>
      <c r="H152" s="195"/>
      <c r="I152" s="32"/>
    </row>
    <row r="153" customFormat="false" ht="12.75" hidden="false" customHeight="false" outlineLevel="0" collapsed="false">
      <c r="A153" s="0"/>
      <c r="B153" s="30"/>
      <c r="C153" s="205" t="str">
        <f aca="false">IF(_user_emifs=1,"",CONCATENATE("    ",_soc_register_value,","))</f>
        <v/>
      </c>
      <c r="D153" s="305" t="str">
        <f aca="false">IF(_user_emifs=1,"",_soc_register_name_ddrphy2)</f>
        <v/>
      </c>
      <c r="E153" s="0"/>
      <c r="F153" s="0"/>
      <c r="G153" s="0"/>
      <c r="H153" s="195"/>
      <c r="I153" s="32"/>
    </row>
    <row r="154" customFormat="false" ht="12.75" hidden="false" customHeight="false" outlineLevel="0" collapsed="false">
      <c r="A154" s="0"/>
      <c r="B154" s="30"/>
      <c r="C154" s="205" t="str">
        <f aca="false">IF(_user_emifs=1,"",CONCATENATE("    ",_soc_register_value,","))</f>
        <v/>
      </c>
      <c r="D154" s="305" t="str">
        <f aca="false">IF(_user_emifs=1,"",_soc_register_name_ddrphy2)</f>
        <v/>
      </c>
      <c r="E154" s="0"/>
      <c r="F154" s="0"/>
      <c r="G154" s="0"/>
      <c r="H154" s="195"/>
      <c r="I154" s="32"/>
    </row>
    <row r="155" customFormat="false" ht="12.75" hidden="false" customHeight="false" outlineLevel="0" collapsed="false">
      <c r="A155" s="256"/>
      <c r="B155" s="0"/>
      <c r="C155" s="205" t="str">
        <f aca="false">IF(_user_emifs=1,"",CONCATENATE("    ",_soc_register_value,","))</f>
        <v/>
      </c>
      <c r="D155" s="305" t="str">
        <f aca="false">IF(_user_emifs=1,"",_soc_register_name_ddrphy2)</f>
        <v/>
      </c>
      <c r="E155" s="0"/>
      <c r="F155" s="0"/>
      <c r="G155" s="0"/>
      <c r="H155" s="195"/>
      <c r="I155" s="0"/>
    </row>
    <row r="156" customFormat="false" ht="12.75" hidden="false" customHeight="false" outlineLevel="0" collapsed="false">
      <c r="B156" s="0"/>
      <c r="C156" s="205" t="str">
        <f aca="false">IF(_user_emifs=1,"",CONCATENATE("    ",_soc_register_value,","))</f>
        <v/>
      </c>
      <c r="D156" s="305" t="str">
        <f aca="false">IF(_user_emifs=1,"",_soc_register_name_ddrphy2)</f>
        <v/>
      </c>
      <c r="E156" s="0"/>
      <c r="F156" s="0"/>
      <c r="G156" s="0"/>
      <c r="H156" s="195"/>
      <c r="I156" s="0"/>
    </row>
    <row r="157" customFormat="false" ht="12.75" hidden="false" customHeight="false" outlineLevel="0" collapsed="false">
      <c r="B157" s="30"/>
      <c r="C157" s="205" t="str">
        <f aca="false">IF(_user_emifs=1,"",CONCATENATE("    ",_soc_register_value,","))</f>
        <v/>
      </c>
      <c r="D157" s="305" t="str">
        <f aca="false">IF(_user_emifs=1,"",_soc_register_name_ddrphy2)</f>
        <v/>
      </c>
      <c r="E157" s="0"/>
      <c r="F157" s="0"/>
      <c r="G157" s="0"/>
      <c r="H157" s="195"/>
      <c r="I157" s="0"/>
    </row>
    <row r="158" customFormat="false" ht="12.75" hidden="false" customHeight="false" outlineLevel="0" collapsed="false">
      <c r="B158" s="30"/>
      <c r="C158" s="205" t="str">
        <f aca="false">IF(_user_emifs=1,"",CONCATENATE("    ",_soc_register_value,","))</f>
        <v/>
      </c>
      <c r="D158" s="305" t="str">
        <f aca="false">IF(_user_emifs=1,"",_soc_register_name_ddrphy2)</f>
        <v/>
      </c>
      <c r="E158" s="0"/>
      <c r="F158" s="0"/>
      <c r="G158" s="0"/>
      <c r="H158" s="195"/>
      <c r="I158" s="0"/>
    </row>
    <row r="159" customFormat="false" ht="12.75" hidden="false" customHeight="false" outlineLevel="0" collapsed="false">
      <c r="B159" s="30"/>
      <c r="C159" s="205" t="str">
        <f aca="false">IF(_user_emifs=1,"",CONCATENATE("    ",_soc_register_value,","))</f>
        <v/>
      </c>
      <c r="D159" s="305" t="str">
        <f aca="false">IF(_user_emifs=1,"",_soc_register_name_ddrphy2)</f>
        <v/>
      </c>
      <c r="E159" s="0"/>
      <c r="F159" s="0"/>
      <c r="G159" s="0"/>
      <c r="H159" s="195"/>
      <c r="I159" s="0"/>
    </row>
    <row r="160" customFormat="false" ht="12.75" hidden="false" customHeight="false" outlineLevel="0" collapsed="false">
      <c r="B160" s="30"/>
      <c r="C160" s="205" t="str">
        <f aca="false">IF(_user_emifs=1,"",CONCATENATE("    ",_soc_register_value,","))</f>
        <v/>
      </c>
      <c r="D160" s="305" t="str">
        <f aca="false">IF(_user_emifs=1,"",_soc_register_name_ddrphy2)</f>
        <v/>
      </c>
      <c r="E160" s="0"/>
      <c r="F160" s="0"/>
      <c r="G160" s="0"/>
      <c r="H160" s="195"/>
      <c r="I160" s="0"/>
    </row>
    <row r="161" customFormat="false" ht="12.75" hidden="false" customHeight="false" outlineLevel="0" collapsed="false">
      <c r="B161" s="30"/>
      <c r="C161" s="205" t="str">
        <f aca="false">IF(_user_emifs=1,"",CONCATENATE("    ",_soc_register_value,","))</f>
        <v/>
      </c>
      <c r="D161" s="305" t="str">
        <f aca="false">IF(_user_emifs=1,"",_soc_register_name_ddrphy2)</f>
        <v/>
      </c>
      <c r="E161" s="0"/>
      <c r="F161" s="0"/>
      <c r="G161" s="0"/>
      <c r="H161" s="195"/>
      <c r="I161" s="0"/>
    </row>
    <row r="162" customFormat="false" ht="12.75" hidden="false" customHeight="false" outlineLevel="0" collapsed="false">
      <c r="B162" s="30"/>
      <c r="C162" s="205" t="str">
        <f aca="false">IF(_user_emifs=1,"",CONCATENATE("    ",_soc_register_value))</f>
        <v/>
      </c>
      <c r="D162" s="305" t="str">
        <f aca="false">IF(_user_emifs=1,"",_soc_register_name_ddrphy2)</f>
        <v/>
      </c>
      <c r="E162" s="0"/>
      <c r="F162" s="0"/>
      <c r="G162" s="0"/>
      <c r="H162" s="195"/>
      <c r="I162" s="0"/>
    </row>
    <row r="163" customFormat="false" ht="12.75" hidden="false" customHeight="false" outlineLevel="0" collapsed="false">
      <c r="B163" s="30"/>
      <c r="C163" s="300" t="str">
        <f aca="false">IF(_user_emifs=1,"","};")</f>
        <v/>
      </c>
      <c r="D163" s="0"/>
      <c r="E163" s="0"/>
      <c r="F163" s="0"/>
      <c r="G163" s="0"/>
      <c r="H163" s="195"/>
      <c r="I163" s="0"/>
    </row>
    <row r="164" customFormat="false" ht="12.75" hidden="false" customHeight="false" outlineLevel="0" collapsed="false">
      <c r="B164" s="30"/>
      <c r="C164" s="300"/>
      <c r="D164" s="0"/>
      <c r="E164" s="0"/>
      <c r="F164" s="0"/>
      <c r="G164" s="0"/>
      <c r="H164" s="195"/>
      <c r="I164" s="32"/>
    </row>
    <row r="165" customFormat="false" ht="12.75" hidden="false" customHeight="false" outlineLevel="0" collapsed="false">
      <c r="B165" s="30"/>
      <c r="C165" s="297" t="str">
        <f aca="false">_user_config_name_txt9</f>
        <v>struct emif_cfg AM572x_DDR3L_532MHz_TI_AM572x_IDK = {</v>
      </c>
      <c r="D165" s="0"/>
      <c r="E165" s="0"/>
      <c r="F165" s="0"/>
      <c r="G165" s="0"/>
      <c r="H165" s="195"/>
      <c r="I165" s="32"/>
    </row>
    <row r="166" customFormat="false" ht="12.75" hidden="false" customHeight="false" outlineLevel="0" collapsed="false">
      <c r="B166" s="30"/>
      <c r="C166" s="205" t="str">
        <f aca="false">_user_config_name_txt10</f>
        <v>.platform = "AM572x_DDR3L_532MHz_TI_AM572x_IDK",</v>
      </c>
      <c r="D166" s="0"/>
      <c r="E166" s="0"/>
      <c r="F166" s="0"/>
      <c r="G166" s="0"/>
      <c r="H166" s="195"/>
      <c r="I166" s="32"/>
    </row>
    <row r="167" customFormat="false" ht="12.75" hidden="false" customHeight="false" outlineLevel="0" collapsed="false">
      <c r="B167" s="30"/>
      <c r="C167" s="205" t="str">
        <f aca="false">CONCATENATE("    .EMIF2_DEFINED = ",_user_emifs-1,",")</f>
        <v>    .EMIF2_DEFINED = 0,</v>
      </c>
      <c r="D167" s="0"/>
      <c r="E167" s="0"/>
      <c r="F167" s="0"/>
      <c r="G167" s="0"/>
      <c r="H167" s="195"/>
      <c r="I167" s="32"/>
    </row>
    <row r="168" customFormat="false" ht="12.75" hidden="false" customHeight="false" outlineLevel="0" collapsed="false">
      <c r="B168" s="30"/>
      <c r="C168" s="205" t="str">
        <f aca="false">_user_config_name_txt11</f>
        <v>.pll_regs = &amp;AM572x_DDR3L_532MHz_TI_AM572x_IDK_pll_params,</v>
      </c>
      <c r="D168" s="0"/>
      <c r="E168" s="0"/>
      <c r="F168" s="0"/>
      <c r="G168" s="0"/>
      <c r="H168" s="195"/>
      <c r="I168" s="32"/>
    </row>
    <row r="169" customFormat="false" ht="12.75" hidden="false" customHeight="false" outlineLevel="0" collapsed="false">
      <c r="B169" s="30"/>
      <c r="C169" s="205" t="str">
        <f aca="false">_user_config_name_txt12</f>
        <v>.ctrl_regs = &amp;AM572x_DDR3L_532MHz_TI_AM572x_IDK_ctrl_ioregs,</v>
      </c>
      <c r="D169" s="0"/>
      <c r="E169" s="0"/>
      <c r="F169" s="0"/>
      <c r="G169" s="0"/>
      <c r="H169" s="195"/>
      <c r="I169" s="32"/>
    </row>
    <row r="170" customFormat="false" ht="12.75" hidden="false" customHeight="false" outlineLevel="0" collapsed="false">
      <c r="B170" s="30"/>
      <c r="C170" s="205" t="str">
        <f aca="false">_user_config_name_txt13</f>
        <v>.dmm_regs = &amp;AM572x_DDR3L_532MHz_TI_AM572x_IDK_dmm_regs,</v>
      </c>
      <c r="D170" s="0"/>
      <c r="E170" s="0"/>
      <c r="F170" s="0"/>
      <c r="G170" s="0"/>
      <c r="H170" s="195"/>
      <c r="I170" s="32"/>
    </row>
    <row r="171" customFormat="false" ht="12.75" hidden="false" customHeight="false" outlineLevel="0" collapsed="false">
      <c r="B171" s="30"/>
      <c r="C171" s="205" t="str">
        <f aca="false">_user_config_name_txt14</f>
        <v>.regs = &amp;AM572x_DDR3L_532MHz_TI_AM572x_IDK_emif_regs,</v>
      </c>
      <c r="D171" s="0"/>
      <c r="E171" s="0"/>
      <c r="F171" s="0"/>
      <c r="G171" s="0"/>
      <c r="H171" s="195"/>
      <c r="I171" s="32"/>
    </row>
    <row r="172" customFormat="false" ht="12.75" hidden="false" customHeight="false" outlineLevel="0" collapsed="false">
      <c r="B172" s="30"/>
      <c r="C172" s="205" t="str">
        <f aca="false">_user_config_name_txt15</f>
        <v>.phy_regs1 = AM572x_DDR3L_532MHz_TI_AM572x_IDK_emif1_ext_phy_regs,</v>
      </c>
      <c r="D172" s="0"/>
      <c r="E172" s="0"/>
      <c r="F172" s="0"/>
      <c r="G172" s="0"/>
      <c r="H172" s="195"/>
      <c r="I172" s="32"/>
    </row>
    <row r="173" customFormat="false" ht="12.75" hidden="false" customHeight="false" outlineLevel="0" collapsed="false">
      <c r="B173" s="30"/>
      <c r="C173" s="205" t="str">
        <f aca="false">_user_config_name_txt16</f>
        <v/>
      </c>
      <c r="D173" s="0"/>
      <c r="E173" s="0"/>
      <c r="F173" s="0"/>
      <c r="G173" s="0"/>
      <c r="H173" s="195"/>
      <c r="I173" s="32"/>
    </row>
    <row r="174" customFormat="false" ht="12.75" hidden="false" customHeight="false" outlineLevel="0" collapsed="false">
      <c r="B174" s="30"/>
      <c r="C174" s="300" t="s">
        <v>618</v>
      </c>
      <c r="D174" s="0"/>
      <c r="E174" s="0"/>
      <c r="F174" s="0"/>
      <c r="G174" s="0"/>
      <c r="H174" s="195"/>
      <c r="I174" s="32"/>
    </row>
    <row r="175" customFormat="false" ht="12.75" hidden="false" customHeight="false" outlineLevel="0" collapsed="false">
      <c r="B175" s="30"/>
      <c r="C175" s="387"/>
      <c r="D175" s="388"/>
      <c r="E175" s="29"/>
      <c r="F175" s="29"/>
      <c r="G175" s="29"/>
      <c r="H175" s="389"/>
      <c r="I175" s="32"/>
    </row>
    <row r="176" customFormat="false" ht="13.5" hidden="false" customHeight="false" outlineLevel="0" collapsed="false">
      <c r="B176" s="30"/>
      <c r="C176" s="210"/>
      <c r="D176" s="307"/>
      <c r="E176" s="211"/>
      <c r="F176" s="211"/>
      <c r="G176" s="211"/>
      <c r="H176" s="212"/>
      <c r="I176" s="32"/>
    </row>
    <row r="177" customFormat="false" ht="13.5" hidden="false" customHeight="false" outlineLevel="0" collapsed="false">
      <c r="B177" s="30"/>
      <c r="C177" s="140"/>
      <c r="D177" s="295"/>
      <c r="E177" s="308"/>
      <c r="F177" s="140"/>
      <c r="G177" s="140"/>
      <c r="H177" s="140"/>
    </row>
  </sheetData>
  <sheetProtection sheet="true" objects="true" scenarios="true"/>
  <mergeCells count="4">
    <mergeCell ref="B2:I2"/>
    <mergeCell ref="B3:I3"/>
    <mergeCell ref="B4:I6"/>
    <mergeCell ref="B7:I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R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5" topLeftCell="A32" activePane="bottomLeft" state="frozen"/>
      <selection pane="topLeft" activeCell="A1" activeCellId="0" sqref="A1"/>
      <selection pane="bottomLeft" activeCell="J25" activeCellId="0" sqref="J25"/>
    </sheetView>
  </sheetViews>
  <sheetFormatPr defaultRowHeight="12.75" zeroHeight="false" outlineLevelRow="0" outlineLevelCol="0"/>
  <cols>
    <col collapsed="false" customWidth="true" hidden="false" outlineLevel="0" max="1025" min="1" style="24" width="9.14"/>
  </cols>
  <sheetData>
    <row r="1" customFormat="false" ht="12.75" hidden="false" customHeight="true" outlineLevel="0" collapsed="false">
      <c r="B1" s="25" t="s">
        <v>13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customFormat="false" ht="12.75" hidden="false" customHeight="true" outlineLevel="0" collapsed="false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customFormat="false" ht="12.75" hidden="false" customHeight="true" outlineLevel="0" collapsed="false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customFormat="false" ht="12.75" hidden="false" customHeight="true" outlineLevel="0" collapsed="false"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</row>
    <row r="5" customFormat="false" ht="12.75" hidden="false" customHeight="true" outlineLevel="0" collapsed="false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customFormat="false" ht="12.75" hidden="false" customHeight="true" outlineLevel="0" collapsed="false"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customFormat="false" ht="12.75" hidden="false" customHeight="false" outlineLevel="0" collapsed="false">
      <c r="B7" s="26" t="s">
        <v>14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</row>
    <row r="8" customFormat="false" ht="12.75" hidden="false" customHeight="false" outlineLevel="0" collapsed="false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customFormat="false" ht="12.75" hidden="false" customHeight="false" outlineLevel="0" collapsed="false">
      <c r="B9" s="26" t="s">
        <v>15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</row>
    <row r="10" customFormat="false" ht="12.75" hidden="false" customHeight="false" outlineLevel="0" collapsed="false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</row>
    <row r="11" customFormat="false" ht="12.75" hidden="false" customHeight="false" outlineLevel="0" collapsed="false">
      <c r="B11" s="26" t="s">
        <v>16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</row>
    <row r="12" customFormat="false" ht="12.75" hidden="false" customHeight="false" outlineLevel="0" collapsed="false"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</row>
    <row r="13" customFormat="false" ht="12.75" hidden="false" customHeight="false" outlineLevel="0" collapsed="false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</row>
    <row r="14" customFormat="false" ht="12.75" hidden="false" customHeight="false" outlineLevel="0" collapsed="false">
      <c r="B14" s="28" t="str">
        <f aca="false">IF(_auto_nda_config=0,"","TI Confidential - NDA Restrictions ECCN: 5E991")</f>
        <v/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customFormat="false" ht="12.75" hidden="false" customHeight="false" outlineLevel="0" collapsed="false"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</row>
    <row r="16" customFormat="false" ht="13.5" hidden="false" customHeight="false" outlineLevel="0" collapsed="false">
      <c r="B16" s="27"/>
      <c r="C16" s="27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7"/>
      <c r="R16" s="27"/>
    </row>
    <row r="17" customFormat="false" ht="13.5" hidden="false" customHeight="false" outlineLevel="0" collapsed="false">
      <c r="B17" s="27"/>
      <c r="C17" s="30"/>
      <c r="D17" s="31" t="s">
        <v>17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2"/>
      <c r="R17" s="27"/>
    </row>
    <row r="18" customFormat="false" ht="13.5" hidden="false" customHeight="false" outlineLevel="0" collapsed="false">
      <c r="B18" s="27"/>
      <c r="C18" s="30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2"/>
      <c r="R18" s="27"/>
    </row>
    <row r="19" customFormat="false" ht="13.5" hidden="false" customHeight="true" outlineLevel="0" collapsed="false">
      <c r="B19" s="27"/>
      <c r="C19" s="30"/>
      <c r="D19" s="33"/>
      <c r="E19" s="33"/>
      <c r="F19" s="33"/>
      <c r="G19" s="33"/>
      <c r="H19" s="34" t="s">
        <v>18</v>
      </c>
      <c r="I19" s="34"/>
      <c r="J19" s="34"/>
      <c r="K19" s="34"/>
      <c r="L19" s="34"/>
      <c r="M19" s="34"/>
      <c r="N19" s="34"/>
      <c r="O19" s="34"/>
      <c r="P19" s="34"/>
      <c r="Q19" s="32"/>
      <c r="R19" s="27"/>
    </row>
    <row r="20" customFormat="false" ht="12.75" hidden="false" customHeight="false" outlineLevel="0" collapsed="false">
      <c r="B20" s="27"/>
      <c r="C20" s="30"/>
      <c r="D20" s="33"/>
      <c r="E20" s="33"/>
      <c r="F20" s="33"/>
      <c r="G20" s="33"/>
      <c r="H20" s="34"/>
      <c r="I20" s="34"/>
      <c r="J20" s="34"/>
      <c r="K20" s="34"/>
      <c r="L20" s="34"/>
      <c r="M20" s="34"/>
      <c r="N20" s="34"/>
      <c r="O20" s="34"/>
      <c r="P20" s="34"/>
      <c r="Q20" s="32"/>
      <c r="R20" s="27"/>
    </row>
    <row r="21" customFormat="false" ht="12.75" hidden="false" customHeight="false" outlineLevel="0" collapsed="false">
      <c r="B21" s="27"/>
      <c r="C21" s="30"/>
      <c r="D21" s="33"/>
      <c r="E21" s="33"/>
      <c r="F21" s="33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2"/>
      <c r="R21" s="27"/>
    </row>
    <row r="22" customFormat="false" ht="28.5" hidden="false" customHeight="true" outlineLevel="0" collapsed="false">
      <c r="B22" s="27"/>
      <c r="C22" s="30"/>
      <c r="D22" s="33"/>
      <c r="E22" s="33"/>
      <c r="F22" s="33"/>
      <c r="G22" s="33"/>
      <c r="H22" s="35" t="str">
        <f aca="false">_user_config_name_txt1</f>
        <v>Configuration Name (based on current input): AM572x_DDR3L_532MHz_TI_AM572x_IDK</v>
      </c>
      <c r="I22" s="35"/>
      <c r="J22" s="35"/>
      <c r="K22" s="35"/>
      <c r="L22" s="35"/>
      <c r="M22" s="35"/>
      <c r="N22" s="35"/>
      <c r="O22" s="35"/>
      <c r="P22" s="35"/>
      <c r="Q22" s="32"/>
      <c r="R22" s="27"/>
    </row>
    <row r="23" customFormat="false" ht="12.75" hidden="false" customHeight="false" outlineLevel="0" collapsed="false">
      <c r="B23" s="27"/>
      <c r="C23" s="30"/>
      <c r="D23" s="36"/>
      <c r="E23" s="36"/>
      <c r="F23" s="36"/>
      <c r="G23" s="36"/>
      <c r="H23" s="37" t="s">
        <v>19</v>
      </c>
      <c r="I23" s="37"/>
      <c r="J23" s="37"/>
      <c r="K23" s="37"/>
      <c r="L23" s="37"/>
      <c r="M23" s="37"/>
      <c r="N23" s="37"/>
      <c r="O23" s="37"/>
      <c r="P23" s="37"/>
      <c r="Q23" s="32"/>
      <c r="R23" s="27"/>
    </row>
    <row r="24" customFormat="false" ht="13.5" hidden="false" customHeight="false" outlineLevel="0" collapsed="false">
      <c r="B24" s="27"/>
      <c r="C24" s="30"/>
      <c r="D24" s="36"/>
      <c r="E24" s="36"/>
      <c r="F24" s="36"/>
      <c r="G24" s="36"/>
      <c r="H24" s="37"/>
      <c r="I24" s="37"/>
      <c r="J24" s="37"/>
      <c r="K24" s="37"/>
      <c r="L24" s="37"/>
      <c r="M24" s="37"/>
      <c r="N24" s="37"/>
      <c r="O24" s="37"/>
      <c r="P24" s="37"/>
      <c r="Q24" s="32"/>
      <c r="R24" s="27"/>
    </row>
    <row r="25" customFormat="false" ht="14.25" hidden="false" customHeight="false" outlineLevel="0" collapsed="false">
      <c r="B25" s="27"/>
      <c r="C25" s="30"/>
      <c r="D25" s="36"/>
      <c r="E25" s="36"/>
      <c r="F25" s="36"/>
      <c r="G25" s="36"/>
      <c r="H25" s="38"/>
      <c r="I25" s="39"/>
      <c r="J25" s="40" t="s">
        <v>20</v>
      </c>
      <c r="K25" s="40"/>
      <c r="L25" s="40"/>
      <c r="M25" s="40"/>
      <c r="N25" s="40"/>
      <c r="O25" s="41"/>
      <c r="P25" s="42"/>
      <c r="Q25" s="32"/>
      <c r="R25" s="27"/>
    </row>
    <row r="26" customFormat="false" ht="14.25" hidden="false" customHeight="false" outlineLevel="0" collapsed="false">
      <c r="B26" s="27"/>
      <c r="C26" s="30"/>
      <c r="D26" s="36"/>
      <c r="E26" s="36"/>
      <c r="F26" s="36"/>
      <c r="G26" s="36"/>
      <c r="H26" s="43"/>
      <c r="I26" s="44"/>
      <c r="J26" s="45"/>
      <c r="K26" s="45"/>
      <c r="L26" s="45"/>
      <c r="M26" s="45"/>
      <c r="N26" s="45"/>
      <c r="O26" s="44"/>
      <c r="P26" s="46"/>
      <c r="Q26" s="32"/>
      <c r="R26" s="27"/>
    </row>
    <row r="27" customFormat="false" ht="14.25" hidden="true" customHeight="false" outlineLevel="0" collapsed="false">
      <c r="B27" s="27"/>
      <c r="C27" s="30"/>
      <c r="D27" s="47" t="s">
        <v>21</v>
      </c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32"/>
      <c r="R27" s="27"/>
    </row>
    <row r="28" customFormat="false" ht="13.5" hidden="true" customHeight="false" outlineLevel="0" collapsed="false">
      <c r="B28" s="27"/>
      <c r="C28" s="30"/>
      <c r="D28" s="48"/>
      <c r="E28" s="49" t="s">
        <v>22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1"/>
      <c r="Q28" s="32"/>
      <c r="R28" s="27"/>
    </row>
    <row r="29" customFormat="false" ht="13.5" hidden="true" customHeight="true" outlineLevel="0" collapsed="false">
      <c r="B29" s="27"/>
      <c r="C29" s="30"/>
      <c r="D29" s="52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4"/>
      <c r="Q29" s="32"/>
      <c r="R29" s="27"/>
    </row>
    <row r="30" customFormat="false" ht="13.5" hidden="true" customHeight="true" outlineLevel="0" collapsed="false">
      <c r="B30" s="27"/>
      <c r="C30" s="30"/>
      <c r="D30" s="52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4"/>
      <c r="Q30" s="32"/>
      <c r="R30" s="27"/>
    </row>
    <row r="31" customFormat="false" ht="13.5" hidden="true" customHeight="false" outlineLevel="0" collapsed="false">
      <c r="B31" s="27"/>
      <c r="C31" s="30"/>
      <c r="D31" s="52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4"/>
      <c r="Q31" s="32"/>
      <c r="R31" s="27"/>
    </row>
    <row r="32" customFormat="false" ht="17.25" hidden="false" customHeight="false" outlineLevel="0" collapsed="false">
      <c r="B32" s="55"/>
      <c r="C32" s="56"/>
      <c r="D32" s="57" t="s">
        <v>23</v>
      </c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55"/>
    </row>
    <row r="33" customFormat="false" ht="45.75" hidden="false" customHeight="true" outlineLevel="0" collapsed="false">
      <c r="B33" s="55"/>
      <c r="C33" s="56"/>
      <c r="D33" s="59" t="s">
        <v>24</v>
      </c>
      <c r="E33" s="59"/>
      <c r="F33" s="59"/>
      <c r="G33" s="59"/>
      <c r="H33" s="60" t="str">
        <f aca="false">_ti_supported_socs</f>
        <v>AM570x, AM571x, AM572x, AM574x, AM576x, DM50x_ABE, DM50x_ABF, DRA71x, DRA72x, DRA74x, DRA74xP, DRA75x, DRA75xP, DRA76x, DRA77x, DRA78x, DRA79x, TDA2Ex_ABC, TDA2Ex_CBD, TDA2Px, TDA2x, TDA3x_ABE, TDA3x_ABF</v>
      </c>
      <c r="I33" s="60"/>
      <c r="J33" s="60"/>
      <c r="K33" s="60"/>
      <c r="L33" s="60"/>
      <c r="M33" s="60"/>
      <c r="N33" s="60"/>
      <c r="O33" s="60"/>
      <c r="P33" s="60"/>
      <c r="Q33" s="58"/>
      <c r="R33" s="55"/>
    </row>
    <row r="34" customFormat="false" ht="13.5" hidden="false" customHeight="false" outlineLevel="0" collapsed="false">
      <c r="B34" s="61"/>
      <c r="C34" s="62"/>
      <c r="D34" s="63" t="s">
        <v>25</v>
      </c>
      <c r="E34" s="63"/>
      <c r="F34" s="63"/>
      <c r="G34" s="63"/>
      <c r="H34" s="37" t="s">
        <v>26</v>
      </c>
      <c r="I34" s="37"/>
      <c r="J34" s="37"/>
      <c r="K34" s="37"/>
      <c r="L34" s="37"/>
      <c r="M34" s="37"/>
      <c r="N34" s="37"/>
      <c r="O34" s="37"/>
      <c r="P34" s="37"/>
      <c r="Q34" s="64"/>
      <c r="R34" s="61"/>
    </row>
    <row r="35" customFormat="false" ht="17.25" hidden="false" customHeight="false" outlineLevel="0" collapsed="false">
      <c r="B35" s="27"/>
      <c r="C35" s="65"/>
      <c r="D35" s="57" t="s">
        <v>27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32"/>
      <c r="R35" s="27"/>
    </row>
    <row r="36" customFormat="false" ht="13.5" hidden="false" customHeight="false" outlineLevel="0" collapsed="false">
      <c r="B36" s="27"/>
      <c r="C36" s="66"/>
      <c r="D36" s="67" t="s">
        <v>28</v>
      </c>
      <c r="E36" s="53" t="s">
        <v>29</v>
      </c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4"/>
      <c r="Q36" s="32"/>
      <c r="R36" s="27"/>
    </row>
    <row r="37" customFormat="false" ht="12.75" hidden="false" customHeight="false" outlineLevel="0" collapsed="false">
      <c r="B37" s="27"/>
      <c r="C37" s="66"/>
      <c r="D37" s="67" t="s">
        <v>30</v>
      </c>
      <c r="E37" s="53" t="s">
        <v>31</v>
      </c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4"/>
      <c r="Q37" s="32"/>
      <c r="R37" s="27"/>
    </row>
    <row r="38" customFormat="false" ht="12.75" hidden="false" customHeight="false" outlineLevel="0" collapsed="false">
      <c r="B38" s="27"/>
      <c r="C38" s="66"/>
      <c r="D38" s="67" t="s">
        <v>32</v>
      </c>
      <c r="E38" s="53" t="s">
        <v>33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4"/>
      <c r="Q38" s="32"/>
      <c r="R38" s="27"/>
    </row>
    <row r="39" customFormat="false" ht="13.5" hidden="false" customHeight="false" outlineLevel="0" collapsed="false">
      <c r="B39" s="27"/>
      <c r="C39" s="66"/>
      <c r="D39" s="67" t="s">
        <v>34</v>
      </c>
      <c r="E39" s="53" t="s">
        <v>35</v>
      </c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4"/>
      <c r="Q39" s="32"/>
      <c r="R39" s="27"/>
    </row>
    <row r="40" customFormat="false" ht="14.25" hidden="false" customHeight="false" outlineLevel="0" collapsed="false">
      <c r="B40" s="27"/>
      <c r="C40" s="68"/>
      <c r="D40" s="57" t="s">
        <v>36</v>
      </c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32"/>
      <c r="R40" s="27"/>
    </row>
    <row r="41" customFormat="false" ht="14.25" hidden="false" customHeight="false" outlineLevel="0" collapsed="false">
      <c r="B41" s="27"/>
      <c r="C41" s="30"/>
      <c r="D41" s="69" t="s">
        <v>28</v>
      </c>
      <c r="E41" s="70" t="s">
        <v>37</v>
      </c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1"/>
      <c r="Q41" s="32"/>
      <c r="R41" s="27"/>
    </row>
    <row r="42" customFormat="false" ht="13.5" hidden="false" customHeight="false" outlineLevel="0" collapsed="false">
      <c r="B42" s="27"/>
      <c r="C42" s="72"/>
      <c r="D42" s="73" t="s">
        <v>38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27"/>
      <c r="R42" s="27"/>
    </row>
    <row r="43" customFormat="false" ht="12.75" hidden="false" customHeight="false" outlineLevel="0" collapsed="false">
      <c r="B43" s="27"/>
      <c r="C43" s="66"/>
      <c r="D43" s="75" t="s">
        <v>39</v>
      </c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27"/>
      <c r="R43" s="27"/>
    </row>
    <row r="44" customFormat="false" ht="12.75" hidden="false" customHeight="false" outlineLevel="0" collapsed="false">
      <c r="B44" s="27"/>
      <c r="C44" s="66"/>
      <c r="D44" s="76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customFormat="false" ht="12.75" hidden="false" customHeight="false" outlineLevel="0" collapsed="false">
      <c r="B45" s="27"/>
      <c r="C45" s="77"/>
      <c r="D45" s="76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</row>
    <row r="46" customFormat="false" ht="12.75" hidden="false" customHeight="false" outlineLevel="0" collapsed="false">
      <c r="B46" s="27"/>
      <c r="C46" s="66"/>
      <c r="D46" s="76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</row>
    <row r="47" customFormat="false" ht="12.75" hidden="false" customHeight="false" outlineLevel="0" collapsed="false">
      <c r="B47" s="27"/>
      <c r="C47" s="66"/>
      <c r="D47" s="76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</row>
    <row r="48" customFormat="false" ht="12.75" hidden="false" customHeight="false" outlineLevel="0" collapsed="false">
      <c r="B48" s="27"/>
      <c r="C48" s="66"/>
      <c r="D48" s="76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</row>
    <row r="49" customFormat="false" ht="12.75" hidden="false" customHeight="false" outlineLevel="0" collapsed="false">
      <c r="B49" s="27"/>
      <c r="C49" s="66"/>
      <c r="D49" s="76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customFormat="false" ht="12.75" hidden="false" customHeight="false" outlineLevel="0" collapsed="false">
      <c r="B50" s="27"/>
      <c r="C50" s="77"/>
      <c r="D50" s="76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</row>
    <row r="51" customFormat="false" ht="12.75" hidden="false" customHeight="false" outlineLevel="0" collapsed="false">
      <c r="B51" s="27"/>
      <c r="C51" s="78"/>
      <c r="D51" s="76"/>
      <c r="E51" s="27"/>
      <c r="F51" s="27"/>
      <c r="G51" s="79"/>
      <c r="H51" s="79"/>
      <c r="I51" s="79"/>
      <c r="J51" s="79"/>
      <c r="K51" s="79"/>
      <c r="L51" s="27"/>
      <c r="M51" s="27"/>
      <c r="N51" s="27"/>
      <c r="O51" s="27"/>
      <c r="P51" s="27"/>
      <c r="Q51" s="27"/>
      <c r="R51" s="27"/>
    </row>
    <row r="52" customFormat="false" ht="12.75" hidden="false" customHeight="false" outlineLevel="0" collapsed="false">
      <c r="B52" s="27"/>
      <c r="C52" s="27"/>
      <c r="D52" s="80"/>
      <c r="E52" s="80"/>
      <c r="F52" s="80"/>
      <c r="G52" s="79"/>
      <c r="H52" s="79"/>
      <c r="I52" s="79"/>
      <c r="J52" s="79"/>
      <c r="K52" s="79"/>
      <c r="L52" s="27"/>
      <c r="M52" s="27"/>
      <c r="N52" s="27"/>
      <c r="O52" s="27"/>
      <c r="P52" s="27"/>
      <c r="Q52" s="27"/>
      <c r="R52" s="27"/>
    </row>
    <row r="53" customFormat="false" ht="12.75" hidden="false" customHeight="true" outlineLevel="0" collapsed="false">
      <c r="B53" s="27"/>
      <c r="C53" s="27"/>
      <c r="D53" s="80"/>
      <c r="E53" s="27"/>
      <c r="F53" s="27"/>
      <c r="G53" s="27"/>
      <c r="H53" s="27"/>
      <c r="I53" s="27"/>
    </row>
    <row r="54" customFormat="false" ht="12.75" hidden="false" customHeight="false" outlineLevel="0" collapsed="false">
      <c r="B54" s="27"/>
      <c r="C54" s="27"/>
      <c r="D54" s="27"/>
      <c r="E54" s="27"/>
      <c r="F54" s="27"/>
      <c r="G54" s="27"/>
      <c r="H54" s="27"/>
      <c r="I54" s="27"/>
    </row>
    <row r="55" customFormat="false" ht="12.75" hidden="false" customHeight="false" outlineLevel="0" collapsed="false">
      <c r="B55" s="27"/>
      <c r="C55" s="27"/>
      <c r="D55" s="27"/>
      <c r="E55" s="27"/>
      <c r="F55" s="27"/>
      <c r="G55" s="27"/>
      <c r="H55" s="27"/>
      <c r="I55" s="27"/>
    </row>
    <row r="56" customFormat="false" ht="12.75" hidden="false" customHeight="false" outlineLevel="0" collapsed="false">
      <c r="B56" s="27"/>
      <c r="C56" s="27"/>
      <c r="D56" s="27"/>
      <c r="E56" s="27"/>
      <c r="F56" s="27"/>
      <c r="G56" s="27"/>
      <c r="H56" s="27"/>
      <c r="I56" s="27"/>
    </row>
    <row r="57" customFormat="false" ht="12.75" hidden="false" customHeight="false" outlineLevel="0" collapsed="false">
      <c r="B57" s="27"/>
      <c r="C57" s="27"/>
      <c r="D57" s="27"/>
      <c r="E57" s="27"/>
      <c r="F57" s="27"/>
      <c r="G57" s="27"/>
      <c r="H57" s="27"/>
      <c r="I57" s="27"/>
    </row>
  </sheetData>
  <sheetProtection sheet="true" objects="true" scenarios="true"/>
  <mergeCells count="20">
    <mergeCell ref="B1:R6"/>
    <mergeCell ref="B7:R8"/>
    <mergeCell ref="B9:R10"/>
    <mergeCell ref="B11:R12"/>
    <mergeCell ref="B14:R15"/>
    <mergeCell ref="D17:P18"/>
    <mergeCell ref="D19:G22"/>
    <mergeCell ref="H19:P21"/>
    <mergeCell ref="H22:P22"/>
    <mergeCell ref="D23:G26"/>
    <mergeCell ref="H23:P24"/>
    <mergeCell ref="J25:N25"/>
    <mergeCell ref="D27:P27"/>
    <mergeCell ref="D32:P32"/>
    <mergeCell ref="D33:G33"/>
    <mergeCell ref="H33:P33"/>
    <mergeCell ref="D34:G34"/>
    <mergeCell ref="H34:P34"/>
    <mergeCell ref="D35:P35"/>
    <mergeCell ref="D40:P40"/>
  </mergeCells>
  <dataValidations count="1">
    <dataValidation allowBlank="true" operator="equal" showDropDown="false" showErrorMessage="true" showInputMessage="true" sqref="J25:N25" type="list">
      <formula1>_dyn_user_config_options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2" topLeftCell="A13" activePane="bottomLeft" state="frozen"/>
      <selection pane="topLeft" activeCell="A1" activeCellId="0" sqref="A1"/>
      <selection pane="bottomLeft" activeCell="B40" activeCellId="0" sqref="B40"/>
    </sheetView>
  </sheetViews>
  <sheetFormatPr defaultRowHeight="12.75" zeroHeight="false" outlineLevelRow="0" outlineLevelCol="0"/>
  <cols>
    <col collapsed="false" customWidth="true" hidden="false" outlineLevel="0" max="1" min="1" style="81" width="9.14"/>
    <col collapsed="false" customWidth="true" hidden="false" outlineLevel="0" max="2" min="2" style="24" width="9.14"/>
    <col collapsed="false" customWidth="true" hidden="false" outlineLevel="0" max="3" min="3" style="24" width="10.71"/>
    <col collapsed="false" customWidth="true" hidden="false" outlineLevel="0" max="4" min="4" style="24" width="9.71"/>
    <col collapsed="false" customWidth="true" hidden="false" outlineLevel="0" max="5" min="5" style="24" width="45.71"/>
    <col collapsed="false" customWidth="true" hidden="false" outlineLevel="0" max="6" min="6" style="24" width="24.71"/>
    <col collapsed="false" customWidth="true" hidden="false" outlineLevel="0" max="7" min="7" style="82" width="9.71"/>
    <col collapsed="false" customWidth="true" hidden="false" outlineLevel="0" max="8" min="8" style="82" width="23.71"/>
    <col collapsed="false" customWidth="true" hidden="false" outlineLevel="0" max="9" min="9" style="24" width="9.14"/>
    <col collapsed="false" customWidth="true" hidden="false" outlineLevel="0" max="1025" min="10" style="24" width="20.71"/>
  </cols>
  <sheetData>
    <row r="1" customFormat="false" ht="12.75" hidden="false" customHeight="false" outlineLevel="0" collapsed="false">
      <c r="A1" s="83"/>
      <c r="B1" s="53"/>
      <c r="C1" s="53"/>
      <c r="D1" s="53"/>
      <c r="E1" s="53"/>
      <c r="F1" s="53"/>
      <c r="G1" s="84"/>
      <c r="H1" s="84"/>
      <c r="I1" s="53"/>
      <c r="J1" s="53"/>
      <c r="K1" s="0"/>
      <c r="L1" s="0"/>
      <c r="M1" s="0"/>
      <c r="N1" s="32"/>
    </row>
    <row r="2" customFormat="false" ht="12.75" hidden="false" customHeight="false" outlineLevel="0" collapsed="false">
      <c r="A2" s="8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53"/>
      <c r="K2" s="0"/>
      <c r="L2" s="0"/>
      <c r="M2" s="0"/>
      <c r="N2" s="32"/>
    </row>
    <row r="3" customFormat="false" ht="12.75" hidden="false" customHeight="false" outlineLevel="0" collapsed="false">
      <c r="A3" s="8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53"/>
      <c r="K3" s="0"/>
      <c r="L3" s="0"/>
      <c r="M3" s="0"/>
      <c r="N3" s="32"/>
    </row>
    <row r="4" customFormat="false" ht="12.75" hidden="false" customHeight="true" outlineLevel="0" collapsed="false">
      <c r="A4" s="83"/>
      <c r="B4" s="86" t="s">
        <v>40</v>
      </c>
      <c r="C4" s="86"/>
      <c r="D4" s="86"/>
      <c r="E4" s="86"/>
      <c r="F4" s="86"/>
      <c r="G4" s="86"/>
      <c r="H4" s="86"/>
      <c r="I4" s="86"/>
      <c r="J4" s="87"/>
      <c r="K4" s="88"/>
      <c r="L4" s="88"/>
      <c r="M4" s="88"/>
      <c r="N4" s="32"/>
    </row>
    <row r="5" customFormat="false" ht="12.75" hidden="false" customHeight="true" outlineLevel="0" collapsed="false">
      <c r="A5" s="83"/>
      <c r="B5" s="86"/>
      <c r="C5" s="86"/>
      <c r="D5" s="86"/>
      <c r="E5" s="86"/>
      <c r="F5" s="86"/>
      <c r="G5" s="86"/>
      <c r="H5" s="86"/>
      <c r="I5" s="86"/>
      <c r="J5" s="87"/>
      <c r="K5" s="88"/>
      <c r="L5" s="88"/>
      <c r="M5" s="88"/>
      <c r="N5" s="32"/>
    </row>
    <row r="6" customFormat="false" ht="12.75" hidden="false" customHeight="true" outlineLevel="0" collapsed="false">
      <c r="A6" s="83"/>
      <c r="B6" s="86"/>
      <c r="C6" s="86"/>
      <c r="D6" s="86"/>
      <c r="E6" s="86"/>
      <c r="F6" s="86"/>
      <c r="G6" s="86"/>
      <c r="H6" s="86"/>
      <c r="I6" s="86"/>
      <c r="J6" s="87"/>
      <c r="K6" s="88"/>
      <c r="L6" s="88"/>
      <c r="M6" s="88"/>
      <c r="N6" s="32"/>
    </row>
    <row r="7" customFormat="false" ht="12.75" hidden="false" customHeight="true" outlineLevel="0" collapsed="false">
      <c r="A7" s="83"/>
      <c r="B7" s="89" t="s">
        <v>41</v>
      </c>
      <c r="C7" s="89"/>
      <c r="D7" s="89"/>
      <c r="E7" s="89"/>
      <c r="F7" s="89"/>
      <c r="G7" s="89"/>
      <c r="H7" s="89"/>
      <c r="I7" s="89"/>
      <c r="J7" s="90"/>
      <c r="K7" s="88"/>
      <c r="L7" s="88"/>
      <c r="M7" s="88"/>
      <c r="N7" s="32"/>
    </row>
    <row r="8" customFormat="false" ht="12.75" hidden="false" customHeight="true" outlineLevel="0" collapsed="false">
      <c r="A8" s="83"/>
      <c r="B8" s="89"/>
      <c r="C8" s="89"/>
      <c r="D8" s="89"/>
      <c r="E8" s="89"/>
      <c r="F8" s="89"/>
      <c r="G8" s="89"/>
      <c r="H8" s="89"/>
      <c r="I8" s="89"/>
      <c r="J8" s="90"/>
      <c r="K8" s="88"/>
      <c r="L8" s="88"/>
      <c r="M8" s="88"/>
      <c r="N8" s="32"/>
    </row>
    <row r="9" customFormat="false" ht="12.75" hidden="false" customHeight="false" outlineLevel="0" collapsed="false">
      <c r="A9" s="83"/>
      <c r="B9" s="91" t="s">
        <v>28</v>
      </c>
      <c r="C9" s="92" t="s">
        <v>42</v>
      </c>
      <c r="D9" s="92"/>
      <c r="E9" s="93"/>
      <c r="F9" s="93"/>
      <c r="G9" s="94"/>
      <c r="H9" s="94"/>
      <c r="I9" s="95"/>
      <c r="J9" s="96"/>
      <c r="M9" s="0"/>
    </row>
    <row r="10" customFormat="false" ht="12.75" hidden="false" customHeight="false" outlineLevel="0" collapsed="false">
      <c r="A10" s="97"/>
      <c r="B10" s="98"/>
      <c r="C10" s="99" t="s">
        <v>43</v>
      </c>
      <c r="D10" s="100"/>
      <c r="E10" s="101"/>
      <c r="F10" s="101"/>
      <c r="G10" s="102"/>
      <c r="H10" s="102"/>
      <c r="I10" s="103"/>
      <c r="J10" s="96"/>
      <c r="M10" s="0"/>
    </row>
    <row r="11" customFormat="false" ht="13.5" hidden="false" customHeight="false" outlineLevel="0" collapsed="false">
      <c r="A11" s="97"/>
      <c r="B11" s="104"/>
      <c r="C11" s="105"/>
      <c r="D11" s="106"/>
      <c r="E11" s="107"/>
      <c r="F11" s="107"/>
      <c r="G11" s="108"/>
      <c r="H11" s="108"/>
      <c r="I11" s="109"/>
      <c r="J11" s="96"/>
      <c r="M11" s="0"/>
    </row>
    <row r="12" customFormat="false" ht="13.5" hidden="false" customHeight="false" outlineLevel="0" collapsed="false">
      <c r="A12" s="97"/>
      <c r="B12" s="74"/>
      <c r="C12" s="74"/>
      <c r="D12" s="74"/>
      <c r="E12" s="74"/>
      <c r="F12" s="74"/>
      <c r="G12" s="110"/>
      <c r="H12" s="110"/>
      <c r="I12" s="74"/>
      <c r="J12" s="53"/>
      <c r="M12" s="0"/>
    </row>
    <row r="13" customFormat="false" ht="12.75" hidden="false" customHeight="false" outlineLevel="0" collapsed="false">
      <c r="B13" s="0"/>
      <c r="C13" s="0"/>
      <c r="D13" s="0"/>
      <c r="E13" s="0"/>
      <c r="F13" s="0"/>
      <c r="G13" s="0"/>
      <c r="H13" s="0"/>
      <c r="I13" s="0"/>
      <c r="J13" s="0"/>
      <c r="M13" s="0"/>
    </row>
    <row r="14" customFormat="false" ht="12.75" hidden="false" customHeight="true" outlineLevel="0" collapsed="false">
      <c r="B14" s="0"/>
      <c r="C14" s="111" t="s">
        <v>44</v>
      </c>
      <c r="D14" s="111"/>
      <c r="E14" s="111"/>
      <c r="F14" s="111"/>
      <c r="G14" s="111"/>
      <c r="H14" s="111"/>
      <c r="I14" s="112"/>
      <c r="J14" s="0"/>
      <c r="M14" s="0"/>
    </row>
    <row r="15" customFormat="false" ht="12.75" hidden="false" customHeight="true" outlineLevel="0" collapsed="false">
      <c r="B15" s="0"/>
      <c r="C15" s="111"/>
      <c r="D15" s="111"/>
      <c r="E15" s="111"/>
      <c r="F15" s="111"/>
      <c r="G15" s="111"/>
      <c r="H15" s="111"/>
      <c r="I15" s="112"/>
      <c r="J15" s="0"/>
      <c r="M15" s="0"/>
    </row>
    <row r="16" customFormat="false" ht="14.25" hidden="false" customHeight="false" outlineLevel="0" collapsed="false">
      <c r="B16" s="30"/>
      <c r="C16" s="30"/>
      <c r="D16" s="113" t="s">
        <v>45</v>
      </c>
      <c r="E16" s="114" t="s">
        <v>3</v>
      </c>
      <c r="F16" s="114" t="s">
        <v>46</v>
      </c>
      <c r="G16" s="115" t="s">
        <v>47</v>
      </c>
      <c r="H16" s="32"/>
      <c r="I16" s="0"/>
      <c r="J16" s="0"/>
      <c r="M16" s="76"/>
    </row>
    <row r="17" customFormat="false" ht="13.5" hidden="false" customHeight="false" outlineLevel="0" collapsed="false">
      <c r="B17" s="30"/>
      <c r="C17" s="30"/>
      <c r="D17" s="116" t="n">
        <v>1</v>
      </c>
      <c r="E17" s="117" t="s">
        <v>48</v>
      </c>
      <c r="F17" s="118" t="s">
        <v>49</v>
      </c>
      <c r="G17" s="119" t="s">
        <v>50</v>
      </c>
      <c r="H17" s="32"/>
      <c r="I17" s="0"/>
      <c r="J17" s="0"/>
      <c r="M17" s="76"/>
    </row>
    <row r="18" customFormat="false" ht="12.75" hidden="false" customHeight="false" outlineLevel="0" collapsed="false">
      <c r="B18" s="30"/>
      <c r="C18" s="30"/>
      <c r="D18" s="120" t="n">
        <f aca="false">D17+1</f>
        <v>2</v>
      </c>
      <c r="E18" s="121" t="s">
        <v>51</v>
      </c>
      <c r="F18" s="122" t="s">
        <v>52</v>
      </c>
      <c r="G18" s="123" t="s">
        <v>50</v>
      </c>
      <c r="H18" s="32"/>
      <c r="I18" s="0"/>
      <c r="J18" s="0"/>
      <c r="M18" s="76"/>
    </row>
    <row r="19" customFormat="false" ht="12.75" hidden="false" customHeight="false" outlineLevel="0" collapsed="false">
      <c r="B19" s="30"/>
      <c r="C19" s="30"/>
      <c r="D19" s="120" t="n">
        <f aca="false">D18+1</f>
        <v>3</v>
      </c>
      <c r="E19" s="121" t="s">
        <v>53</v>
      </c>
      <c r="F19" s="122" t="n">
        <v>20</v>
      </c>
      <c r="G19" s="124" t="s">
        <v>54</v>
      </c>
      <c r="H19" s="32"/>
      <c r="I19" s="0"/>
      <c r="J19" s="0"/>
      <c r="M19" s="76"/>
    </row>
    <row r="20" customFormat="false" ht="12.8" hidden="false" customHeight="false" outlineLevel="0" collapsed="false">
      <c r="B20" s="30"/>
      <c r="C20" s="30"/>
      <c r="D20" s="120" t="n">
        <f aca="false">D19+1</f>
        <v>4</v>
      </c>
      <c r="E20" s="121" t="s">
        <v>55</v>
      </c>
      <c r="F20" s="122" t="n">
        <v>1</v>
      </c>
      <c r="G20" s="123" t="s">
        <v>50</v>
      </c>
      <c r="H20" s="32"/>
      <c r="I20" s="0"/>
      <c r="J20" s="0"/>
      <c r="M20" s="76"/>
    </row>
    <row r="21" customFormat="false" ht="12.75" hidden="false" customHeight="false" outlineLevel="0" collapsed="false">
      <c r="B21" s="30"/>
      <c r="C21" s="30"/>
      <c r="D21" s="120" t="n">
        <f aca="false">D20+1</f>
        <v>5</v>
      </c>
      <c r="E21" s="121" t="s">
        <v>56</v>
      </c>
      <c r="F21" s="122" t="s">
        <v>57</v>
      </c>
      <c r="G21" s="124" t="s">
        <v>50</v>
      </c>
      <c r="H21" s="32"/>
      <c r="I21" s="0"/>
      <c r="J21" s="0"/>
      <c r="M21" s="76"/>
    </row>
    <row r="22" customFormat="false" ht="12.75" hidden="false" customHeight="false" outlineLevel="0" collapsed="false">
      <c r="B22" s="30"/>
      <c r="C22" s="30"/>
      <c r="D22" s="120" t="n">
        <f aca="false">D21+1</f>
        <v>6</v>
      </c>
      <c r="E22" s="121" t="s">
        <v>58</v>
      </c>
      <c r="F22" s="125" t="n">
        <v>532</v>
      </c>
      <c r="G22" s="124" t="s">
        <v>54</v>
      </c>
      <c r="H22" s="126"/>
      <c r="I22" s="32"/>
      <c r="J22" s="0"/>
      <c r="M22" s="76"/>
    </row>
    <row r="23" customFormat="false" ht="12.75" hidden="false" customHeight="false" outlineLevel="0" collapsed="false">
      <c r="B23" s="30"/>
      <c r="C23" s="30"/>
      <c r="D23" s="120" t="n">
        <f aca="false">D22+1</f>
        <v>7</v>
      </c>
      <c r="E23" s="121" t="s">
        <v>59</v>
      </c>
      <c r="F23" s="125" t="n">
        <v>16</v>
      </c>
      <c r="G23" s="124" t="s">
        <v>60</v>
      </c>
      <c r="H23" s="32"/>
      <c r="I23" s="0"/>
      <c r="J23" s="0"/>
      <c r="M23" s="76"/>
    </row>
    <row r="24" customFormat="false" ht="12.75" hidden="true" customHeight="false" outlineLevel="0" collapsed="false">
      <c r="B24" s="30"/>
      <c r="C24" s="30"/>
      <c r="D24" s="120" t="n">
        <f aca="false">D23+1</f>
        <v>8</v>
      </c>
      <c r="E24" s="121" t="s">
        <v>61</v>
      </c>
      <c r="F24" s="125" t="n">
        <v>1</v>
      </c>
      <c r="G24" s="124" t="s">
        <v>50</v>
      </c>
      <c r="H24" s="32"/>
      <c r="I24" s="0"/>
      <c r="J24" s="0"/>
      <c r="M24" s="76"/>
    </row>
    <row r="25" customFormat="false" ht="12.75" hidden="false" customHeight="false" outlineLevel="0" collapsed="false">
      <c r="B25" s="30"/>
      <c r="C25" s="30"/>
      <c r="D25" s="120" t="n">
        <v>8</v>
      </c>
      <c r="E25" s="121" t="s">
        <v>62</v>
      </c>
      <c r="F25" s="122" t="s">
        <v>63</v>
      </c>
      <c r="G25" s="124" t="s">
        <v>50</v>
      </c>
      <c r="H25" s="32"/>
      <c r="I25" s="0"/>
      <c r="J25" s="0"/>
      <c r="M25" s="76"/>
    </row>
    <row r="26" customFormat="false" ht="12.75" hidden="false" customHeight="false" outlineLevel="0" collapsed="false">
      <c r="B26" s="30"/>
      <c r="C26" s="30"/>
      <c r="D26" s="127" t="n">
        <f aca="false">D25+1</f>
        <v>9</v>
      </c>
      <c r="E26" s="128" t="s">
        <v>64</v>
      </c>
      <c r="F26" s="129" t="s">
        <v>65</v>
      </c>
      <c r="G26" s="130" t="s">
        <v>66</v>
      </c>
      <c r="H26" s="32"/>
      <c r="I26" s="0"/>
      <c r="J26" s="0"/>
      <c r="M26" s="76"/>
    </row>
    <row r="27" customFormat="false" ht="12.75" hidden="false" customHeight="false" outlineLevel="0" collapsed="false">
      <c r="B27" s="30"/>
      <c r="C27" s="30"/>
      <c r="D27" s="127" t="n">
        <f aca="false">D26+1</f>
        <v>10</v>
      </c>
      <c r="E27" s="131" t="s">
        <v>67</v>
      </c>
      <c r="F27" s="129" t="s">
        <v>68</v>
      </c>
      <c r="G27" s="130" t="s">
        <v>50</v>
      </c>
      <c r="H27" s="32"/>
      <c r="I27" s="0"/>
      <c r="J27" s="0"/>
    </row>
    <row r="28" customFormat="false" ht="12.75" hidden="false" customHeight="true" outlineLevel="0" collapsed="false">
      <c r="B28" s="30"/>
      <c r="C28" s="30"/>
      <c r="D28" s="120" t="n">
        <f aca="false">D27+1</f>
        <v>11</v>
      </c>
      <c r="E28" s="132" t="s">
        <v>69</v>
      </c>
      <c r="F28" s="133" t="n">
        <v>80000000</v>
      </c>
      <c r="G28" s="124" t="str">
        <f aca="false">IF(_reg_ecc_addr_rng_1_en=1,"Enabled","Disabled")</f>
        <v>Disabled</v>
      </c>
      <c r="H28" s="134" t="s">
        <v>70</v>
      </c>
      <c r="I28" s="0"/>
      <c r="J28" s="0"/>
    </row>
    <row r="29" customFormat="false" ht="12.75" hidden="false" customHeight="false" outlineLevel="0" collapsed="false">
      <c r="B29" s="30"/>
      <c r="C29" s="30"/>
      <c r="D29" s="120" t="n">
        <f aca="false">D28+1</f>
        <v>12</v>
      </c>
      <c r="E29" s="132" t="s">
        <v>71</v>
      </c>
      <c r="F29" s="133" t="s">
        <v>72</v>
      </c>
      <c r="G29" s="124" t="str">
        <f aca="false">IF(_reg_ecc_addr_rng_1_en=1,"Enabled","Disabled")</f>
        <v>Disabled</v>
      </c>
      <c r="H29" s="134"/>
      <c r="I29" s="0"/>
      <c r="J29" s="0"/>
    </row>
    <row r="30" customFormat="false" ht="12.75" hidden="false" customHeight="false" outlineLevel="0" collapsed="false">
      <c r="B30" s="30"/>
      <c r="C30" s="30"/>
      <c r="D30" s="120" t="n">
        <f aca="false">D29+1</f>
        <v>13</v>
      </c>
      <c r="E30" s="132" t="s">
        <v>73</v>
      </c>
      <c r="F30" s="133" t="n">
        <v>80000000</v>
      </c>
      <c r="G30" s="124" t="str">
        <f aca="false">IF(_reg_ecc_addr_rng_2_en=1,"Enabled","Disabled")</f>
        <v>Disabled</v>
      </c>
      <c r="H30" s="134"/>
      <c r="I30" s="0"/>
      <c r="J30" s="0"/>
    </row>
    <row r="31" customFormat="false" ht="13.5" hidden="false" customHeight="false" outlineLevel="0" collapsed="false">
      <c r="B31" s="30"/>
      <c r="C31" s="30"/>
      <c r="D31" s="135" t="n">
        <f aca="false">D30+1</f>
        <v>14</v>
      </c>
      <c r="E31" s="136" t="s">
        <v>74</v>
      </c>
      <c r="F31" s="137" t="n">
        <v>80000000</v>
      </c>
      <c r="G31" s="138" t="str">
        <f aca="false">IF(_reg_ecc_addr_rng_2_en=1,"Enabled","Disabled")</f>
        <v>Disabled</v>
      </c>
      <c r="H31" s="134"/>
      <c r="I31" s="0"/>
      <c r="J31" s="0"/>
    </row>
    <row r="32" customFormat="false" ht="13.5" hidden="false" customHeight="false" outlineLevel="0" collapsed="false">
      <c r="B32" s="0"/>
      <c r="C32" s="0"/>
      <c r="D32" s="139"/>
      <c r="E32" s="140"/>
      <c r="F32" s="141"/>
      <c r="G32" s="141"/>
      <c r="H32" s="27"/>
      <c r="I32" s="0"/>
      <c r="J32" s="76"/>
    </row>
    <row r="33" customFormat="false" ht="12.75" hidden="false" customHeight="true" outlineLevel="0" collapsed="false">
      <c r="B33" s="0"/>
      <c r="C33" s="111" t="s">
        <v>75</v>
      </c>
      <c r="D33" s="111"/>
      <c r="E33" s="111"/>
      <c r="F33" s="111"/>
      <c r="G33" s="111"/>
      <c r="H33" s="111"/>
      <c r="I33" s="112"/>
      <c r="J33" s="76"/>
    </row>
    <row r="34" customFormat="false" ht="12.75" hidden="false" customHeight="true" outlineLevel="0" collapsed="false">
      <c r="B34" s="0"/>
      <c r="C34" s="111"/>
      <c r="D34" s="111"/>
      <c r="E34" s="111"/>
      <c r="F34" s="111"/>
      <c r="G34" s="111"/>
      <c r="H34" s="111"/>
      <c r="I34" s="112"/>
      <c r="J34" s="76"/>
    </row>
    <row r="35" customFormat="false" ht="14.25" hidden="false" customHeight="false" outlineLevel="0" collapsed="false">
      <c r="B35" s="30"/>
      <c r="C35" s="30"/>
      <c r="D35" s="113" t="s">
        <v>45</v>
      </c>
      <c r="E35" s="114" t="s">
        <v>3</v>
      </c>
      <c r="F35" s="114" t="s">
        <v>46</v>
      </c>
      <c r="G35" s="115" t="s">
        <v>47</v>
      </c>
      <c r="H35" s="142" t="str">
        <f aca="false">CONCATENATE("NOTE: Detail ",D39," is only used to determine the ""JEDEC"" values defined in worksheet ""Step3-DDRTimings"". Detail ",D39," does not correspond to the actual CAS latency programmed to the EMIF.")</f>
        <v>NOTE: Detail 18 is only used to determine the "JEDEC" values defined in worksheet "Step3-DDRTimings". Detail 18 does not correspond to the actual CAS latency programmed to the EMIF.</v>
      </c>
      <c r="I35" s="0"/>
    </row>
    <row r="36" customFormat="false" ht="12.8" hidden="false" customHeight="false" outlineLevel="0" collapsed="false">
      <c r="B36" s="30"/>
      <c r="C36" s="30"/>
      <c r="D36" s="143" t="n">
        <v>15</v>
      </c>
      <c r="E36" s="144" t="s">
        <v>76</v>
      </c>
      <c r="F36" s="145" t="n">
        <v>1866</v>
      </c>
      <c r="G36" s="119" t="s">
        <v>54</v>
      </c>
      <c r="H36" s="142"/>
      <c r="I36" s="0"/>
    </row>
    <row r="37" customFormat="false" ht="12.8" hidden="false" customHeight="false" outlineLevel="0" collapsed="false">
      <c r="B37" s="30"/>
      <c r="C37" s="30"/>
      <c r="D37" s="146" t="n">
        <f aca="false">D36+1</f>
        <v>16</v>
      </c>
      <c r="E37" s="132" t="s">
        <v>77</v>
      </c>
      <c r="F37" s="125" t="n">
        <v>8</v>
      </c>
      <c r="G37" s="124" t="s">
        <v>78</v>
      </c>
      <c r="H37" s="142"/>
      <c r="I37" s="0"/>
    </row>
    <row r="38" customFormat="false" ht="12.75" hidden="false" customHeight="false" outlineLevel="0" collapsed="false">
      <c r="B38" s="30"/>
      <c r="C38" s="30"/>
      <c r="D38" s="146" t="n">
        <f aca="false">D37+1</f>
        <v>17</v>
      </c>
      <c r="E38" s="132" t="s">
        <v>79</v>
      </c>
      <c r="F38" s="125" t="n">
        <v>16</v>
      </c>
      <c r="G38" s="124" t="s">
        <v>60</v>
      </c>
      <c r="H38" s="142"/>
      <c r="I38" s="0"/>
    </row>
    <row r="39" customFormat="false" ht="12.8" hidden="false" customHeight="false" outlineLevel="0" collapsed="false">
      <c r="B39" s="30"/>
      <c r="C39" s="30"/>
      <c r="D39" s="147" t="n">
        <f aca="false">D38+1</f>
        <v>18</v>
      </c>
      <c r="E39" s="136" t="str">
        <f aca="false">CONCATENATE("Speed Bin: CAS Latency @ ",_sdram_data_rate," MHz data rate")</f>
        <v>Speed Bin: CAS Latency @ 1866 MHz data rate</v>
      </c>
      <c r="F39" s="148" t="n">
        <v>13</v>
      </c>
      <c r="G39" s="138" t="s">
        <v>80</v>
      </c>
      <c r="H39" s="142"/>
      <c r="I39" s="0"/>
    </row>
    <row r="40" customFormat="false" ht="13.5" hidden="false" customHeight="false" outlineLevel="0" collapsed="false">
      <c r="B40" s="0"/>
      <c r="C40" s="0"/>
      <c r="D40" s="141"/>
      <c r="E40" s="149"/>
      <c r="F40" s="141"/>
      <c r="G40" s="141"/>
      <c r="H40" s="27"/>
      <c r="I40" s="0"/>
    </row>
    <row r="41" customFormat="false" ht="12.75" hidden="false" customHeight="true" outlineLevel="0" collapsed="false">
      <c r="B41" s="0"/>
      <c r="C41" s="111" t="s">
        <v>81</v>
      </c>
      <c r="D41" s="111"/>
      <c r="E41" s="111"/>
      <c r="F41" s="111"/>
      <c r="G41" s="111"/>
      <c r="H41" s="111"/>
      <c r="I41" s="112"/>
    </row>
    <row r="42" customFormat="false" ht="12.75" hidden="false" customHeight="true" outlineLevel="0" collapsed="false">
      <c r="B42" s="0"/>
      <c r="C42" s="111"/>
      <c r="D42" s="111"/>
      <c r="E42" s="111"/>
      <c r="F42" s="111"/>
      <c r="G42" s="111"/>
      <c r="H42" s="111"/>
      <c r="I42" s="112"/>
    </row>
    <row r="43" customFormat="false" ht="14.25" hidden="false" customHeight="false" outlineLevel="0" collapsed="false">
      <c r="B43" s="30"/>
      <c r="C43" s="30"/>
      <c r="D43" s="113" t="s">
        <v>45</v>
      </c>
      <c r="E43" s="114" t="s">
        <v>3</v>
      </c>
      <c r="F43" s="114" t="s">
        <v>46</v>
      </c>
      <c r="G43" s="115" t="s">
        <v>47</v>
      </c>
      <c r="H43" s="150" t="s">
        <v>82</v>
      </c>
      <c r="I43" s="32"/>
    </row>
    <row r="44" customFormat="false" ht="13.5" hidden="false" customHeight="false" outlineLevel="0" collapsed="false">
      <c r="B44" s="30"/>
      <c r="C44" s="30"/>
      <c r="D44" s="143" t="n">
        <v>19</v>
      </c>
      <c r="E44" s="144" t="s">
        <v>83</v>
      </c>
      <c r="F44" s="118" t="s">
        <v>84</v>
      </c>
      <c r="G44" s="119" t="s">
        <v>85</v>
      </c>
      <c r="H44" s="151" t="str">
        <f aca="false">_sdram_rtt_rec</f>
        <v>RZQ/4</v>
      </c>
      <c r="I44" s="32"/>
    </row>
    <row r="45" customFormat="false" ht="12.75" hidden="false" customHeight="false" outlineLevel="0" collapsed="false">
      <c r="B45" s="30"/>
      <c r="C45" s="30"/>
      <c r="D45" s="146" t="n">
        <f aca="false">D44+1</f>
        <v>20</v>
      </c>
      <c r="E45" s="132" t="s">
        <v>86</v>
      </c>
      <c r="F45" s="122" t="s">
        <v>87</v>
      </c>
      <c r="G45" s="124" t="s">
        <v>85</v>
      </c>
      <c r="H45" s="152" t="str">
        <f aca="false">_sdram_rttwr_rec</f>
        <v>Disabled</v>
      </c>
      <c r="I45" s="32"/>
    </row>
    <row r="46" customFormat="false" ht="13.5" hidden="false" customHeight="false" outlineLevel="0" collapsed="false">
      <c r="B46" s="30"/>
      <c r="C46" s="30"/>
      <c r="D46" s="147" t="n">
        <f aca="false">D45+1</f>
        <v>21</v>
      </c>
      <c r="E46" s="136" t="s">
        <v>88</v>
      </c>
      <c r="F46" s="153" t="s">
        <v>89</v>
      </c>
      <c r="G46" s="138" t="s">
        <v>85</v>
      </c>
      <c r="H46" s="154" t="str">
        <f aca="false">_sdram_drive_imp_rec</f>
        <v>RZQ/7</v>
      </c>
      <c r="I46" s="32"/>
    </row>
    <row r="47" customFormat="false" ht="13.5" hidden="false" customHeight="false" outlineLevel="0" collapsed="false">
      <c r="B47" s="30"/>
      <c r="C47" s="30"/>
      <c r="D47" s="155" t="s">
        <v>90</v>
      </c>
      <c r="E47" s="140"/>
      <c r="F47" s="140"/>
      <c r="G47" s="140"/>
      <c r="H47" s="140"/>
      <c r="I47" s="32"/>
    </row>
    <row r="48" customFormat="false" ht="12.75" hidden="false" customHeight="false" outlineLevel="0" collapsed="false">
      <c r="B48" s="30"/>
      <c r="C48" s="30"/>
      <c r="D48" s="0"/>
      <c r="E48" s="0"/>
      <c r="F48" s="0"/>
      <c r="G48" s="27"/>
      <c r="H48" s="27"/>
      <c r="I48" s="32"/>
    </row>
    <row r="49" customFormat="false" ht="12.75" hidden="false" customHeight="true" outlineLevel="0" collapsed="false">
      <c r="C49" s="111" t="s">
        <v>91</v>
      </c>
      <c r="D49" s="111"/>
      <c r="E49" s="111"/>
      <c r="F49" s="111"/>
      <c r="G49" s="111"/>
      <c r="H49" s="111"/>
      <c r="I49" s="156"/>
    </row>
    <row r="50" customFormat="false" ht="12.75" hidden="false" customHeight="true" outlineLevel="0" collapsed="false">
      <c r="C50" s="111"/>
      <c r="D50" s="111"/>
      <c r="E50" s="111"/>
      <c r="F50" s="111"/>
      <c r="G50" s="111"/>
      <c r="H50" s="111"/>
      <c r="I50" s="156"/>
    </row>
    <row r="51" customFormat="false" ht="14.25" hidden="false" customHeight="false" outlineLevel="0" collapsed="false">
      <c r="D51" s="113" t="s">
        <v>45</v>
      </c>
      <c r="E51" s="114" t="s">
        <v>3</v>
      </c>
      <c r="F51" s="114" t="s">
        <v>46</v>
      </c>
      <c r="G51" s="114" t="s">
        <v>47</v>
      </c>
      <c r="H51" s="115" t="s">
        <v>82</v>
      </c>
      <c r="I51" s="32"/>
    </row>
    <row r="52" customFormat="false" ht="13.5" hidden="false" customHeight="false" outlineLevel="0" collapsed="false">
      <c r="D52" s="143" t="n">
        <v>22</v>
      </c>
      <c r="E52" s="144" t="s">
        <v>92</v>
      </c>
      <c r="F52" s="145" t="n">
        <v>60</v>
      </c>
      <c r="G52" s="119" t="s">
        <v>85</v>
      </c>
      <c r="H52" s="157" t="n">
        <f aca="false">_emif_io_odt_rec</f>
        <v>60</v>
      </c>
      <c r="I52" s="32"/>
    </row>
    <row r="53" customFormat="false" ht="12.75" hidden="false" customHeight="false" outlineLevel="0" collapsed="false">
      <c r="D53" s="146" t="n">
        <f aca="false">D52+1</f>
        <v>23</v>
      </c>
      <c r="E53" s="132" t="s">
        <v>93</v>
      </c>
      <c r="F53" s="122" t="s">
        <v>94</v>
      </c>
      <c r="G53" s="124" t="s">
        <v>50</v>
      </c>
      <c r="H53" s="158" t="str">
        <f aca="false">_emif_io_sr_acc_rec</f>
        <v>Fastest: SR[2:0] = 0b000</v>
      </c>
      <c r="I53" s="32"/>
    </row>
    <row r="54" customFormat="false" ht="12.75" hidden="false" customHeight="false" outlineLevel="0" collapsed="false">
      <c r="D54" s="146" t="n">
        <f aca="false">D53+1</f>
        <v>24</v>
      </c>
      <c r="E54" s="132" t="s">
        <v>95</v>
      </c>
      <c r="F54" s="122" t="s">
        <v>94</v>
      </c>
      <c r="G54" s="124" t="s">
        <v>50</v>
      </c>
      <c r="H54" s="158" t="str">
        <f aca="false">_emif_io_sr_ds_rec</f>
        <v>Fastest: SR[2:0] = 0b000</v>
      </c>
      <c r="I54" s="32"/>
    </row>
    <row r="55" customFormat="false" ht="12.75" hidden="false" customHeight="false" outlineLevel="0" collapsed="false">
      <c r="D55" s="146" t="n">
        <f aca="false">D54+1</f>
        <v>25</v>
      </c>
      <c r="E55" s="132" t="s">
        <v>96</v>
      </c>
      <c r="F55" s="125" t="n">
        <v>34</v>
      </c>
      <c r="G55" s="124" t="s">
        <v>85</v>
      </c>
      <c r="H55" s="158" t="n">
        <f aca="false">_emif_io_dr_acc_rec</f>
        <v>34</v>
      </c>
      <c r="I55" s="32"/>
    </row>
    <row r="56" customFormat="false" ht="12.8" hidden="false" customHeight="false" outlineLevel="0" collapsed="false">
      <c r="D56" s="147" t="n">
        <f aca="false">D55+1</f>
        <v>26</v>
      </c>
      <c r="E56" s="136" t="s">
        <v>97</v>
      </c>
      <c r="F56" s="148" t="n">
        <v>48</v>
      </c>
      <c r="G56" s="138" t="s">
        <v>85</v>
      </c>
      <c r="H56" s="159" t="n">
        <f aca="false">_emif_io_dr_ds_rec</f>
        <v>48</v>
      </c>
      <c r="I56" s="32"/>
    </row>
    <row r="57" customFormat="false" ht="13.5" hidden="false" customHeight="false" outlineLevel="0" collapsed="false">
      <c r="D57" s="155" t="s">
        <v>90</v>
      </c>
      <c r="E57" s="140"/>
      <c r="F57" s="140"/>
      <c r="G57" s="141"/>
      <c r="H57" s="141"/>
    </row>
    <row r="58" customFormat="false" ht="12.75" hidden="false" customHeight="false" outlineLevel="0" collapsed="false">
      <c r="G58" s="0"/>
      <c r="H58" s="0"/>
    </row>
    <row r="59" customFormat="false" ht="12.75" hidden="false" customHeight="false" outlineLevel="0" collapsed="false">
      <c r="G59" s="0"/>
      <c r="H59" s="0"/>
    </row>
    <row r="60" customFormat="false" ht="12.75" hidden="false" customHeight="false" outlineLevel="0" collapsed="false">
      <c r="G60" s="0"/>
      <c r="H60" s="0"/>
    </row>
    <row r="61" customFormat="false" ht="12.75" hidden="false" customHeight="false" outlineLevel="0" collapsed="false">
      <c r="G61" s="27"/>
      <c r="H61" s="27"/>
    </row>
    <row r="62" customFormat="false" ht="12.75" hidden="false" customHeight="false" outlineLevel="0" collapsed="false">
      <c r="G62" s="27"/>
      <c r="H62" s="27"/>
    </row>
    <row r="63" customFormat="false" ht="12.75" hidden="false" customHeight="false" outlineLevel="0" collapsed="false">
      <c r="G63" s="27"/>
      <c r="H63" s="27"/>
    </row>
    <row r="64" customFormat="false" ht="12.75" hidden="false" customHeight="false" outlineLevel="0" collapsed="false">
      <c r="G64" s="27"/>
      <c r="H64" s="27"/>
    </row>
    <row r="65" customFormat="false" ht="12.75" hidden="false" customHeight="false" outlineLevel="0" collapsed="false">
      <c r="G65" s="27"/>
      <c r="H65" s="27"/>
    </row>
    <row r="66" customFormat="false" ht="12.75" hidden="false" customHeight="false" outlineLevel="0" collapsed="false">
      <c r="G66" s="27"/>
      <c r="H66" s="27"/>
    </row>
    <row r="67" customFormat="false" ht="12.75" hidden="false" customHeight="false" outlineLevel="0" collapsed="false">
      <c r="G67" s="27"/>
      <c r="H67" s="27"/>
    </row>
    <row r="68" customFormat="false" ht="12.75" hidden="false" customHeight="false" outlineLevel="0" collapsed="false">
      <c r="G68" s="27"/>
      <c r="H68" s="27"/>
    </row>
    <row r="69" customFormat="false" ht="12.75" hidden="false" customHeight="false" outlineLevel="0" collapsed="false">
      <c r="G69" s="27"/>
      <c r="H69" s="27"/>
    </row>
    <row r="70" customFormat="false" ht="12.75" hidden="false" customHeight="false" outlineLevel="0" collapsed="false">
      <c r="G70" s="27"/>
      <c r="H70" s="27"/>
    </row>
    <row r="71" customFormat="false" ht="12.75" hidden="false" customHeight="false" outlineLevel="0" collapsed="false">
      <c r="G71" s="27"/>
      <c r="H71" s="27"/>
    </row>
    <row r="72" customFormat="false" ht="12.75" hidden="false" customHeight="false" outlineLevel="0" collapsed="false">
      <c r="G72" s="27"/>
      <c r="H72" s="27"/>
    </row>
  </sheetData>
  <sheetProtection sheet="true" objects="true" scenarios="true"/>
  <mergeCells count="10">
    <mergeCell ref="B2:I2"/>
    <mergeCell ref="B3:I3"/>
    <mergeCell ref="B4:I6"/>
    <mergeCell ref="B7:I8"/>
    <mergeCell ref="C14:H15"/>
    <mergeCell ref="H28:H31"/>
    <mergeCell ref="C33:H34"/>
    <mergeCell ref="H35:H39"/>
    <mergeCell ref="C41:H42"/>
    <mergeCell ref="C49:H50"/>
  </mergeCells>
  <conditionalFormatting sqref="F36">
    <cfRule type="cellIs" priority="2" operator="lessThan" aboveAverage="0" equalAverage="0" bottom="0" percent="0" rank="0" text="" dxfId="0">
      <formula>(2*_ddr_pll_freq)</formula>
    </cfRule>
    <cfRule type="expression" priority="3" aboveAverage="0" equalAverage="0" bottom="0" percent="0" rank="0" text="" dxfId="0">
      <formula>SUM(IF(_sdram_data_rate=_dyn_user_sdram_data_list,1,0))=0</formula>
    </cfRule>
  </conditionalFormatting>
  <conditionalFormatting sqref="F44">
    <cfRule type="expression" priority="4" aboveAverage="0" equalAverage="0" bottom="0" percent="0" rank="0" text="" dxfId="0">
      <formula>SUM(IF(_sdram_rtt=_dyn_user_sdram_rtt_list,1,0))=0</formula>
    </cfRule>
    <cfRule type="cellIs" priority="5" operator="notEqual" aboveAverage="0" equalAverage="0" bottom="0" percent="0" rank="0" text="" dxfId="0">
      <formula>H44</formula>
    </cfRule>
  </conditionalFormatting>
  <conditionalFormatting sqref="F45">
    <cfRule type="expression" priority="6" aboveAverage="0" equalAverage="0" bottom="0" percent="0" rank="0" text="" dxfId="0">
      <formula>SUM(IF(_sdram_rttwr=_dyn_user_sdram_rttwr_list,1,0))=0</formula>
    </cfRule>
    <cfRule type="cellIs" priority="7" operator="notEqual" aboveAverage="0" equalAverage="0" bottom="0" percent="0" rank="0" text="" dxfId="1">
      <formula>H45</formula>
    </cfRule>
  </conditionalFormatting>
  <conditionalFormatting sqref="F46">
    <cfRule type="expression" priority="8" aboveAverage="0" equalAverage="0" bottom="0" percent="0" rank="0" text="" dxfId="1">
      <formula>SUM(IF(_sdram_drive_imp=_dyn_user_sdram_drivimp_list,1,0))=0</formula>
    </cfRule>
    <cfRule type="cellIs" priority="9" operator="notEqual" aboveAverage="0" equalAverage="0" bottom="0" percent="0" rank="0" text="" dxfId="2">
      <formula>H46</formula>
    </cfRule>
  </conditionalFormatting>
  <conditionalFormatting sqref="F21">
    <cfRule type="expression" priority="10" aboveAverage="0" equalAverage="0" bottom="0" percent="0" rank="0" text="" dxfId="2">
      <formula>SUM(IF(_sdram_type=_dyn_user_memtype_list,1,0))=0</formula>
    </cfRule>
  </conditionalFormatting>
  <conditionalFormatting sqref="F24">
    <cfRule type="expression" priority="11" aboveAverage="0" equalAverage="0" bottom="0" percent="0" rank="0" text="" dxfId="2">
      <formula>SUM(IF(_sdram_ebank=_dyn_user_cs_list,1,0))=0</formula>
    </cfRule>
  </conditionalFormatting>
  <conditionalFormatting sqref="F22">
    <cfRule type="expression" priority="12" aboveAverage="0" equalAverage="0" bottom="0" percent="0" rank="0" text="" dxfId="2">
      <formula>OR(_ddr_pll_freq&lt;_dyn_user_freqmin,_ddr_pll_freq&gt;_dyn_user_freqmax)</formula>
    </cfRule>
  </conditionalFormatting>
  <conditionalFormatting sqref="F37">
    <cfRule type="expression" priority="13" aboveAverage="0" equalAverage="0" bottom="0" percent="0" rank="0" text="" dxfId="2">
      <formula>SUM(IF(_sdram_density=_dyn_user_sdram_density_list,1,0))=0</formula>
    </cfRule>
  </conditionalFormatting>
  <conditionalFormatting sqref="F39">
    <cfRule type="expression" priority="14" aboveAverage="0" equalAverage="0" bottom="0" percent="0" rank="0" text="" dxfId="3">
      <formula>SUM(IF(_sdram_cl_max=_dyn_user_sdram_cl,1,0))=0</formula>
    </cfRule>
  </conditionalFormatting>
  <conditionalFormatting sqref="F20">
    <cfRule type="expression" priority="15" aboveAverage="0" equalAverage="0" bottom="0" percent="0" rank="0" text="" dxfId="3">
      <formula>SUM(IF(_user_emifs=_dyn_user_emifs_list,1,0))=0</formula>
    </cfRule>
  </conditionalFormatting>
  <conditionalFormatting sqref="F25">
    <cfRule type="expression" priority="16" aboveAverage="0" equalAverage="0" bottom="0" percent="0" rank="0" text="" dxfId="4">
      <formula>SUM(IF(_user_lvl_tech=_dyn_user_sdram_lvl_list,1,0))=0</formula>
    </cfRule>
  </conditionalFormatting>
  <conditionalFormatting sqref="F55">
    <cfRule type="cellIs" priority="17" operator="notEqual" aboveAverage="0" equalAverage="0" bottom="0" percent="0" rank="0" text="" dxfId="4">
      <formula>$H$55</formula>
    </cfRule>
  </conditionalFormatting>
  <conditionalFormatting sqref="F52">
    <cfRule type="cellIs" priority="18" operator="notEqual" aboveAverage="0" equalAverage="0" bottom="0" percent="0" rank="0" text="" dxfId="4">
      <formula>$H$52</formula>
    </cfRule>
  </conditionalFormatting>
  <conditionalFormatting sqref="F53">
    <cfRule type="cellIs" priority="19" operator="notEqual" aboveAverage="0" equalAverage="0" bottom="0" percent="0" rank="0" text="" dxfId="5">
      <formula>$H$53</formula>
    </cfRule>
  </conditionalFormatting>
  <conditionalFormatting sqref="F54">
    <cfRule type="cellIs" priority="20" operator="notEqual" aboveAverage="0" equalAverage="0" bottom="0" percent="0" rank="0" text="" dxfId="6">
      <formula>$H$54</formula>
    </cfRule>
  </conditionalFormatting>
  <conditionalFormatting sqref="F56">
    <cfRule type="cellIs" priority="21" operator="notEqual" aboveAverage="0" equalAverage="0" bottom="0" percent="0" rank="0" text="" dxfId="7">
      <formula>$H$56</formula>
    </cfRule>
  </conditionalFormatting>
  <conditionalFormatting sqref="F27">
    <cfRule type="expression" priority="22" aboveAverage="0" equalAverage="0" bottom="0" percent="0" rank="0" text="" dxfId="7">
      <formula>SUM(IF(_user_ecc=_dyn_user_ecc_list,1,0))=0</formula>
    </cfRule>
  </conditionalFormatting>
  <conditionalFormatting sqref="F28:F31">
    <cfRule type="expression" priority="23" aboveAverage="0" equalAverage="0" bottom="0" percent="0" rank="0" text="" dxfId="8">
      <formula>_user_ecc="No"</formula>
    </cfRule>
  </conditionalFormatting>
  <conditionalFormatting sqref="F31">
    <cfRule type="expression" priority="24" aboveAverage="0" equalAverage="0" bottom="0" percent="0" rank="0" text="" dxfId="8">
      <formula>HEX2DEC(_user_ecc_end_addr2)&lt;HEX2DEC(_user_ecc_start_addr2)</formula>
    </cfRule>
  </conditionalFormatting>
  <conditionalFormatting sqref="F29">
    <cfRule type="expression" priority="25" aboveAverage="0" equalAverage="0" bottom="0" percent="0" rank="0" text="" dxfId="9">
      <formula>HEX2DEC(_user_ecc_end_addr1)&lt;HEX2DEC(_user_ecc_start_addr1)</formula>
    </cfRule>
  </conditionalFormatting>
  <conditionalFormatting sqref="G30">
    <cfRule type="expression" priority="26" aboveAverage="0" equalAverage="0" bottom="0" percent="0" rank="0" text="" dxfId="9">
      <formula>AND(_user_ecc="Yes",_reg_ecc_addr_rng_2_en=0)</formula>
    </cfRule>
  </conditionalFormatting>
  <conditionalFormatting sqref="G31">
    <cfRule type="expression" priority="27" aboveAverage="0" equalAverage="0" bottom="0" percent="0" rank="0" text="" dxfId="9">
      <formula>AND(_user_ecc="Yes",_reg_ecc_addr_rng_2_en=0)</formula>
    </cfRule>
  </conditionalFormatting>
  <conditionalFormatting sqref="G28">
    <cfRule type="expression" priority="28" aboveAverage="0" equalAverage="0" bottom="0" percent="0" rank="0" text="" dxfId="10">
      <formula>AND(_user_ecc="Yes",_reg_ecc_addr_rng_1_en=0)</formula>
    </cfRule>
  </conditionalFormatting>
  <conditionalFormatting sqref="G29">
    <cfRule type="expression" priority="29" aboveAverage="0" equalAverage="0" bottom="0" percent="0" rank="0" text="" dxfId="11">
      <formula>AND(_user_ecc="Yes",_reg_ecc_addr_rng_1_en=0)</formula>
    </cfRule>
  </conditionalFormatting>
  <dataValidations count="22">
    <dataValidation allowBlank="true" error="Special characters and spaces not allowed." operator="equal" prompt="Valid Characters: a-z,A-Z,0-9,_" showDropDown="false" showErrorMessage="true" showInputMessage="true" sqref="F17" type="none">
      <formula1>0</formula1>
      <formula2>0</formula2>
    </dataValidation>
    <dataValidation allowBlank="true" operator="equal" showDropDown="false" showErrorMessage="true" showInputMessage="true" sqref="F18" type="list">
      <formula1>_dyn_user_soc_list</formula1>
      <formula2>0</formula2>
    </dataValidation>
    <dataValidation allowBlank="true" operator="equal" showDropDown="false" showErrorMessage="true" showInputMessage="true" sqref="F19" type="list">
      <formula1>"19.2,20,27"</formula1>
      <formula2>0</formula2>
    </dataValidation>
    <dataValidation allowBlank="true" operator="equal" showDropDown="false" showErrorMessage="true" showInputMessage="true" sqref="F20" type="list">
      <formula1>_dyn_user_emifs</formula1>
      <formula2>0</formula2>
    </dataValidation>
    <dataValidation allowBlank="true" operator="equal" showDropDown="false" showErrorMessage="true" showInputMessage="true" sqref="F21" type="list">
      <formula1>_dyn_user_memtype</formula1>
      <formula2>0</formula2>
    </dataValidation>
    <dataValidation allowBlank="true" error="Frequency is beyond the datasheet limits of the selected SOC as of July 23rd, 2015. Refer to the latest datasheet for valid frequencies." operator="equal" showDropDown="false" showErrorMessage="true" showInputMessage="true" sqref="F22" type="none">
      <formula1>0</formula1>
      <formula2>0</formula2>
    </dataValidation>
    <dataValidation allowBlank="true" error="Please ensure the part number is correct, and that the value entered is within the datasheet limits!" operator="equal" showDropDown="false" showErrorMessage="true" showInputMessage="true" sqref="F23" type="list">
      <formula1>"16,32"</formula1>
      <formula2>0</formula2>
    </dataValidation>
    <dataValidation allowBlank="true" error="Please ensure the part number is correct, and that the value entered is within the datasheet limits!" operator="equal" showDropDown="true" showErrorMessage="true" showInputMessage="true" sqref="F24" type="list">
      <formula1>"1"</formula1>
      <formula2>0</formula2>
    </dataValidation>
    <dataValidation allowBlank="true" error="Please ensure the part number is correct, and that the value entered is within the datasheet limits!" operator="equal" showDropDown="false" showErrorMessage="true" showInputMessage="true" sqref="F25" type="list">
      <formula1>_dyn_user_sdram_lvl</formula1>
      <formula2>0</formula2>
    </dataValidation>
    <dataValidation allowBlank="true" error="Please ensure the part number is correct, and that the value entered is within the datasheet limits!" operator="equal" showDropDown="false" showErrorMessage="true" showInputMessage="true" sqref="F26" type="list">
      <formula1>"&lt;= 85,&lt;= 95,&lt;= 105,&lt;= 125"</formula1>
      <formula2>0</formula2>
    </dataValidation>
    <dataValidation allowBlank="true" operator="equal" showDropDown="false" showErrorMessage="true" showInputMessage="true" sqref="F27" type="list">
      <formula1>_dyn_user_ecc</formula1>
      <formula2>0</formula2>
    </dataValidation>
    <dataValidation allowBlank="true" operator="equal" showDropDown="false" showErrorMessage="true" showInputMessage="true" sqref="F28:F31" type="none">
      <formula1>0</formula1>
      <formula2>0</formula2>
    </dataValidation>
    <dataValidation allowBlank="true" operator="equal" showDropDown="false" showErrorMessage="true" showInputMessage="true" sqref="F36" type="list">
      <formula1>_dyn_user_sdram_data</formula1>
      <formula2>0</formula2>
    </dataValidation>
    <dataValidation allowBlank="true" operator="equal" showDropDown="false" showErrorMessage="true" showInputMessage="true" sqref="F37" type="list">
      <formula1>_dyn_user_sdram_density</formula1>
      <formula2>0</formula2>
    </dataValidation>
    <dataValidation allowBlank="true" operator="equal" showDropDown="false" showErrorMessage="true" showInputMessage="true" sqref="F38" type="list">
      <formula1>_dyn_user_sdram_width</formula1>
      <formula2>0</formula2>
    </dataValidation>
    <dataValidation allowBlank="true" operator="equal" showDropDown="false" showErrorMessage="true" showInputMessage="true" sqref="F39" type="list">
      <formula1>_dyn_user_sdram_cl</formula1>
      <formula2>0</formula2>
    </dataValidation>
    <dataValidation allowBlank="true" operator="equal" showDropDown="false" showErrorMessage="true" showInputMessage="true" sqref="F44" type="list">
      <formula1>_dyn_user_sdram_rtt</formula1>
      <formula2>0</formula2>
    </dataValidation>
    <dataValidation allowBlank="true" operator="equal" showDropDown="false" showErrorMessage="true" showInputMessage="true" sqref="F45" type="list">
      <formula1>_dyn_user_sdram_rttwr</formula1>
      <formula2>0</formula2>
    </dataValidation>
    <dataValidation allowBlank="true" operator="equal" showDropDown="false" showErrorMessage="true" showInputMessage="true" sqref="F46" type="list">
      <formula1>_dyn_user_sdram_drivimp</formula1>
      <formula2>0</formula2>
    </dataValidation>
    <dataValidation allowBlank="true" operator="equal" showDropDown="false" showErrorMessage="true" showInputMessage="true" sqref="F52" type="list">
      <formula1>"Disabled,60,80,120"</formula1>
      <formula2>0</formula2>
    </dataValidation>
    <dataValidation allowBlank="true" operator="equal" showDropDown="false" showErrorMessage="true" showInputMessage="true" sqref="F53:F54" type="list">
      <formula1>_dyn_user_emif_io_sr</formula1>
      <formula2>0</formula2>
    </dataValidation>
    <dataValidation allowBlank="true" operator="equal" showDropDown="false" showErrorMessage="true" showInputMessage="true" sqref="F55:F56" type="list">
      <formula1>"34,40,48,60,80"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T1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7" topLeftCell="A18" activePane="bottomLeft" state="frozen"/>
      <selection pane="topLeft" activeCell="A1" activeCellId="0" sqref="A1"/>
      <selection pane="bottomLeft" activeCell="R31" activeCellId="0" sqref="R31"/>
    </sheetView>
  </sheetViews>
  <sheetFormatPr defaultRowHeight="12.75" zeroHeight="false" outlineLevelRow="0" outlineLevelCol="0"/>
  <cols>
    <col collapsed="false" customWidth="true" hidden="false" outlineLevel="0" max="1" min="1" style="81" width="9.14"/>
    <col collapsed="false" customWidth="true" hidden="false" outlineLevel="0" max="2" min="2" style="24" width="9.14"/>
    <col collapsed="false" customWidth="true" hidden="false" outlineLevel="0" max="3" min="3" style="24" width="5.7"/>
    <col collapsed="false" customWidth="true" hidden="false" outlineLevel="0" max="14" min="4" style="24" width="11.71"/>
    <col collapsed="false" customWidth="true" hidden="false" outlineLevel="0" max="1025" min="15" style="24" width="9.14"/>
  </cols>
  <sheetData>
    <row r="1" customFormat="false" ht="12.75" hidden="false" customHeight="true" outlineLevel="0" collapsed="false">
      <c r="A1" s="53"/>
      <c r="B1" s="53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53"/>
      <c r="P1" s="53"/>
      <c r="Q1" s="53"/>
      <c r="R1" s="53"/>
      <c r="S1" s="0"/>
      <c r="T1" s="0"/>
    </row>
    <row r="2" customFormat="false" ht="12.75" hidden="false" customHeight="true" outlineLevel="0" collapsed="false">
      <c r="A2" s="5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53"/>
      <c r="Q2" s="53"/>
      <c r="R2" s="53"/>
      <c r="S2" s="0"/>
      <c r="T2" s="0"/>
    </row>
    <row r="3" customFormat="false" ht="12.75" hidden="false" customHeight="true" outlineLevel="0" collapsed="false">
      <c r="A3" s="5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53"/>
      <c r="Q3" s="53"/>
      <c r="R3" s="53"/>
      <c r="S3" s="0"/>
      <c r="T3" s="0"/>
    </row>
    <row r="4" customFormat="false" ht="12.75" hidden="false" customHeight="true" outlineLevel="0" collapsed="false">
      <c r="A4" s="97"/>
      <c r="B4" s="160" t="s">
        <v>98</v>
      </c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74"/>
      <c r="Q4" s="74"/>
      <c r="R4" s="53"/>
      <c r="S4" s="0"/>
      <c r="T4" s="0"/>
    </row>
    <row r="5" customFormat="false" ht="12.75" hidden="false" customHeight="true" outlineLevel="0" collapsed="false">
      <c r="A5" s="83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53"/>
      <c r="Q5" s="53"/>
      <c r="R5" s="53"/>
      <c r="S5" s="0"/>
      <c r="T5" s="0"/>
    </row>
    <row r="6" customFormat="false" ht="12.75" hidden="false" customHeight="true" outlineLevel="0" collapsed="false">
      <c r="A6" s="83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53"/>
      <c r="Q6" s="53"/>
      <c r="R6" s="53"/>
      <c r="S6" s="0"/>
      <c r="T6" s="0"/>
    </row>
    <row r="7" customFormat="false" ht="12.75" hidden="false" customHeight="true" outlineLevel="0" collapsed="false">
      <c r="A7" s="83"/>
      <c r="B7" s="89" t="s">
        <v>41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96"/>
      <c r="Q7" s="53"/>
      <c r="R7" s="53"/>
      <c r="S7" s="0"/>
      <c r="T7" s="0"/>
    </row>
    <row r="8" customFormat="false" ht="12.75" hidden="false" customHeight="true" outlineLevel="0" collapsed="false">
      <c r="A8" s="83"/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96"/>
      <c r="Q8" s="53"/>
      <c r="R8" s="53"/>
      <c r="S8" s="0"/>
      <c r="T8" s="0"/>
    </row>
    <row r="9" customFormat="false" ht="12.75" hidden="false" customHeight="true" outlineLevel="0" collapsed="false">
      <c r="A9" s="83"/>
      <c r="B9" s="161" t="s">
        <v>28</v>
      </c>
      <c r="C9" s="162" t="s">
        <v>99</v>
      </c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4"/>
      <c r="P9" s="96"/>
      <c r="Q9" s="53"/>
      <c r="R9" s="53"/>
      <c r="S9" s="0"/>
      <c r="T9" s="0"/>
    </row>
    <row r="10" customFormat="false" ht="12.75" hidden="false" customHeight="true" outlineLevel="0" collapsed="false">
      <c r="A10" s="83"/>
      <c r="B10" s="165"/>
      <c r="C10" s="166"/>
      <c r="D10" s="167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8"/>
      <c r="P10" s="96"/>
      <c r="Q10" s="53"/>
      <c r="R10" s="53"/>
      <c r="S10" s="0"/>
      <c r="T10" s="0"/>
    </row>
    <row r="11" customFormat="false" ht="12.75" hidden="false" customHeight="true" outlineLevel="0" collapsed="false">
      <c r="A11" s="83"/>
      <c r="B11" s="165"/>
      <c r="C11" s="167" t="s">
        <v>100</v>
      </c>
      <c r="D11" s="169"/>
      <c r="E11" s="170"/>
      <c r="F11" s="166"/>
      <c r="G11" s="166"/>
      <c r="H11" s="166"/>
      <c r="I11" s="166"/>
      <c r="J11" s="166"/>
      <c r="K11" s="166"/>
      <c r="L11" s="166"/>
      <c r="M11" s="166"/>
      <c r="N11" s="166"/>
      <c r="O11" s="168"/>
      <c r="P11" s="96"/>
      <c r="Q11" s="53"/>
      <c r="R11" s="53"/>
      <c r="S11" s="0"/>
      <c r="T11" s="0"/>
    </row>
    <row r="12" customFormat="false" ht="12.75" hidden="false" customHeight="true" outlineLevel="0" collapsed="false">
      <c r="A12" s="83"/>
      <c r="B12" s="165"/>
      <c r="C12" s="171" t="s">
        <v>28</v>
      </c>
      <c r="D12" s="170" t="s">
        <v>101</v>
      </c>
      <c r="E12" s="170"/>
      <c r="F12" s="166"/>
      <c r="G12" s="166"/>
      <c r="H12" s="166"/>
      <c r="I12" s="166"/>
      <c r="J12" s="166"/>
      <c r="K12" s="166"/>
      <c r="L12" s="166"/>
      <c r="M12" s="166"/>
      <c r="N12" s="166"/>
      <c r="O12" s="168"/>
      <c r="P12" s="96"/>
      <c r="Q12" s="53"/>
      <c r="R12" s="53"/>
      <c r="S12" s="0"/>
      <c r="T12" s="0"/>
    </row>
    <row r="13" customFormat="false" ht="12.75" hidden="false" customHeight="true" outlineLevel="0" collapsed="false">
      <c r="A13" s="83"/>
      <c r="B13" s="165"/>
      <c r="C13" s="171" t="s">
        <v>30</v>
      </c>
      <c r="D13" s="170" t="s">
        <v>102</v>
      </c>
      <c r="E13" s="170"/>
      <c r="F13" s="166"/>
      <c r="G13" s="166"/>
      <c r="H13" s="166"/>
      <c r="I13" s="166"/>
      <c r="J13" s="166"/>
      <c r="K13" s="166"/>
      <c r="L13" s="166"/>
      <c r="M13" s="166"/>
      <c r="N13" s="166"/>
      <c r="O13" s="168"/>
      <c r="P13" s="96"/>
      <c r="Q13" s="53"/>
      <c r="R13" s="53"/>
      <c r="S13" s="0"/>
      <c r="T13" s="0"/>
    </row>
    <row r="14" customFormat="false" ht="12.75" hidden="false" customHeight="true" outlineLevel="0" collapsed="false">
      <c r="A14" s="83"/>
      <c r="B14" s="165"/>
      <c r="C14" s="171" t="s">
        <v>32</v>
      </c>
      <c r="D14" s="170" t="s">
        <v>103</v>
      </c>
      <c r="E14" s="170"/>
      <c r="F14" s="166"/>
      <c r="G14" s="166"/>
      <c r="H14" s="166"/>
      <c r="I14" s="166"/>
      <c r="J14" s="166"/>
      <c r="K14" s="166"/>
      <c r="L14" s="166"/>
      <c r="M14" s="166"/>
      <c r="N14" s="166"/>
      <c r="O14" s="168"/>
      <c r="P14" s="96"/>
      <c r="Q14" s="53"/>
      <c r="R14" s="53"/>
      <c r="S14" s="0"/>
      <c r="T14" s="0"/>
    </row>
    <row r="15" customFormat="false" ht="12.75" hidden="false" customHeight="true" outlineLevel="0" collapsed="false">
      <c r="A15" s="83"/>
      <c r="B15" s="165"/>
      <c r="C15" s="171" t="s">
        <v>34</v>
      </c>
      <c r="D15" s="170" t="s">
        <v>104</v>
      </c>
      <c r="E15" s="170"/>
      <c r="F15" s="166"/>
      <c r="G15" s="166"/>
      <c r="H15" s="166"/>
      <c r="I15" s="166"/>
      <c r="J15" s="166"/>
      <c r="K15" s="166"/>
      <c r="L15" s="166"/>
      <c r="M15" s="166"/>
      <c r="N15" s="166"/>
      <c r="O15" s="168"/>
      <c r="P15" s="96"/>
      <c r="Q15" s="53"/>
      <c r="R15" s="53"/>
      <c r="S15" s="0"/>
      <c r="T15" s="0"/>
    </row>
    <row r="16" customFormat="false" ht="13.5" hidden="false" customHeight="false" outlineLevel="0" collapsed="false">
      <c r="A16" s="83"/>
      <c r="B16" s="172"/>
      <c r="C16" s="173"/>
      <c r="D16" s="173"/>
      <c r="E16" s="173"/>
      <c r="F16" s="173"/>
      <c r="G16" s="173"/>
      <c r="H16" s="174"/>
      <c r="I16" s="174"/>
      <c r="J16" s="173"/>
      <c r="K16" s="173"/>
      <c r="L16" s="173"/>
      <c r="M16" s="173"/>
      <c r="N16" s="173"/>
      <c r="O16" s="175"/>
      <c r="P16" s="96"/>
      <c r="Q16" s="53"/>
      <c r="R16" s="53"/>
      <c r="S16" s="0"/>
      <c r="T16" s="0"/>
    </row>
    <row r="17" customFormat="false" ht="13.5" hidden="false" customHeight="false" outlineLevel="0" collapsed="false">
      <c r="A17" s="83"/>
      <c r="B17" s="74"/>
      <c r="C17" s="74"/>
      <c r="D17" s="74"/>
      <c r="E17" s="74"/>
      <c r="F17" s="74"/>
      <c r="G17" s="74"/>
      <c r="H17" s="110"/>
      <c r="I17" s="110"/>
      <c r="J17" s="74"/>
      <c r="K17" s="74"/>
      <c r="L17" s="74"/>
      <c r="M17" s="74"/>
      <c r="N17" s="74"/>
      <c r="O17" s="74"/>
      <c r="P17" s="53"/>
      <c r="Q17" s="53"/>
      <c r="R17" s="53"/>
      <c r="S17" s="0"/>
      <c r="T17" s="0"/>
    </row>
    <row r="18" customFormat="false" ht="12.75" hidden="false" customHeight="false" outlineLevel="0" collapsed="false">
      <c r="B18" s="0"/>
      <c r="C18" s="0"/>
      <c r="D18" s="27"/>
      <c r="E18" s="27"/>
      <c r="F18" s="27"/>
      <c r="G18" s="27"/>
      <c r="H18" s="176"/>
      <c r="I18" s="176"/>
      <c r="J18" s="27"/>
      <c r="K18" s="0"/>
      <c r="L18" s="0"/>
      <c r="M18" s="0"/>
      <c r="N18" s="0"/>
      <c r="O18" s="0"/>
      <c r="P18" s="0"/>
      <c r="Q18" s="0"/>
      <c r="R18" s="0"/>
      <c r="S18" s="0"/>
      <c r="T18" s="0"/>
    </row>
    <row r="19" customFormat="false" ht="12.75" hidden="false" customHeight="false" outlineLevel="0" collapsed="false">
      <c r="B19" s="0"/>
      <c r="C19" s="177"/>
      <c r="D19" s="178" t="s">
        <v>105</v>
      </c>
      <c r="E19" s="177"/>
      <c r="F19" s="177"/>
      <c r="G19" s="177"/>
      <c r="H19" s="179"/>
      <c r="I19" s="179"/>
      <c r="J19" s="177"/>
      <c r="K19" s="177"/>
      <c r="L19" s="177"/>
      <c r="M19" s="177"/>
      <c r="N19" s="177"/>
      <c r="O19" s="0"/>
      <c r="P19" s="0"/>
      <c r="Q19" s="0"/>
      <c r="R19" s="0"/>
      <c r="S19" s="0"/>
      <c r="T19" s="0"/>
    </row>
    <row r="20" customFormat="false" ht="13.5" hidden="false" customHeight="false" outlineLevel="0" collapsed="false">
      <c r="B20" s="0"/>
      <c r="C20" s="29"/>
      <c r="D20" s="29"/>
      <c r="E20" s="29"/>
      <c r="F20" s="29"/>
      <c r="G20" s="29"/>
      <c r="H20" s="180"/>
      <c r="I20" s="180"/>
      <c r="J20" s="29"/>
      <c r="K20" s="29"/>
      <c r="L20" s="29"/>
      <c r="M20" s="29"/>
      <c r="N20" s="29"/>
      <c r="O20" s="0"/>
      <c r="P20" s="0"/>
      <c r="Q20" s="0"/>
      <c r="R20" s="0"/>
      <c r="S20" s="0"/>
      <c r="T20" s="0"/>
    </row>
    <row r="21" customFormat="false" ht="14.25" hidden="false" customHeight="false" outlineLevel="0" collapsed="false">
      <c r="B21" s="30"/>
      <c r="C21" s="181" t="s">
        <v>106</v>
      </c>
      <c r="D21" s="182" t="str">
        <f aca="false">"Enter the trace lengths for the associated signals connecting the DDR memories to EMIF1, chip select 0"</f>
        <v>Enter the trace lengths for the associated signals connecting the DDR memories to EMIF1, chip select 0</v>
      </c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32"/>
      <c r="P21" s="0"/>
      <c r="Q21" s="0"/>
      <c r="R21" s="0"/>
      <c r="S21" s="0"/>
      <c r="T21" s="0"/>
    </row>
    <row r="22" customFormat="false" ht="14.25" hidden="false" customHeight="false" outlineLevel="0" collapsed="false">
      <c r="B22" s="30"/>
      <c r="C22" s="181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32"/>
      <c r="P22" s="0"/>
      <c r="Q22" s="0"/>
      <c r="R22" s="0"/>
      <c r="S22" s="0"/>
      <c r="T22" s="0"/>
    </row>
    <row r="23" customFormat="false" ht="12.95" hidden="false" customHeight="true" outlineLevel="0" collapsed="false">
      <c r="B23" s="30"/>
      <c r="C23" s="30"/>
      <c r="D23" s="183" t="s">
        <v>107</v>
      </c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32"/>
      <c r="P23" s="0"/>
      <c r="Q23" s="0"/>
      <c r="R23" s="0"/>
      <c r="S23" s="0"/>
      <c r="T23" s="0"/>
    </row>
    <row r="24" customFormat="false" ht="12.95" hidden="false" customHeight="true" outlineLevel="0" collapsed="false">
      <c r="B24" s="30"/>
      <c r="C24" s="30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32"/>
      <c r="P24" s="0"/>
      <c r="Q24" s="0"/>
      <c r="R24" s="0"/>
      <c r="S24" s="0"/>
      <c r="T24" s="0"/>
    </row>
    <row r="25" customFormat="false" ht="12.95" hidden="false" customHeight="true" outlineLevel="0" collapsed="false">
      <c r="B25" s="30"/>
      <c r="C25" s="30"/>
      <c r="D25" s="184" t="s">
        <v>108</v>
      </c>
      <c r="E25" s="185" t="s">
        <v>109</v>
      </c>
      <c r="F25" s="185"/>
      <c r="G25" s="185"/>
      <c r="H25" s="185"/>
      <c r="I25" s="185"/>
      <c r="J25" s="185"/>
      <c r="K25" s="185"/>
      <c r="L25" s="185"/>
      <c r="M25" s="185"/>
      <c r="N25" s="185"/>
      <c r="O25" s="32"/>
      <c r="P25" s="0"/>
      <c r="Q25" s="0"/>
      <c r="R25" s="0"/>
      <c r="S25" s="0"/>
      <c r="T25" s="0"/>
    </row>
    <row r="26" customFormat="false" ht="12.4" hidden="false" customHeight="true" outlineLevel="0" collapsed="false">
      <c r="B26" s="30"/>
      <c r="C26" s="30"/>
      <c r="D26" s="184"/>
      <c r="E26" s="186" t="s">
        <v>110</v>
      </c>
      <c r="F26" s="186"/>
      <c r="G26" s="187" t="s">
        <v>111</v>
      </c>
      <c r="H26" s="187"/>
      <c r="I26" s="187" t="s">
        <v>112</v>
      </c>
      <c r="J26" s="187"/>
      <c r="K26" s="187" t="s">
        <v>113</v>
      </c>
      <c r="L26" s="187"/>
      <c r="M26" s="188" t="s">
        <v>114</v>
      </c>
      <c r="N26" s="188"/>
      <c r="O26" s="32"/>
      <c r="P26" s="0"/>
      <c r="Q26" s="0"/>
      <c r="R26" s="0"/>
      <c r="S26" s="0"/>
      <c r="T26" s="0"/>
    </row>
    <row r="27" customFormat="false" ht="12.95" hidden="false" customHeight="true" outlineLevel="0" collapsed="false">
      <c r="B27" s="30"/>
      <c r="C27" s="30"/>
      <c r="D27" s="184"/>
      <c r="E27" s="189" t="s">
        <v>115</v>
      </c>
      <c r="F27" s="190" t="s">
        <v>116</v>
      </c>
      <c r="G27" s="190" t="s">
        <v>115</v>
      </c>
      <c r="H27" s="190" t="s">
        <v>116</v>
      </c>
      <c r="I27" s="190" t="s">
        <v>115</v>
      </c>
      <c r="J27" s="190" t="s">
        <v>116</v>
      </c>
      <c r="K27" s="190" t="s">
        <v>115</v>
      </c>
      <c r="L27" s="190" t="s">
        <v>116</v>
      </c>
      <c r="M27" s="190" t="s">
        <v>115</v>
      </c>
      <c r="N27" s="191" t="s">
        <v>116</v>
      </c>
      <c r="O27" s="32"/>
      <c r="P27" s="0"/>
      <c r="Q27" s="0"/>
      <c r="R27" s="0"/>
      <c r="S27" s="0"/>
      <c r="T27" s="0"/>
    </row>
    <row r="28" customFormat="false" ht="12.95" hidden="false" customHeight="true" outlineLevel="0" collapsed="false">
      <c r="B28" s="30"/>
      <c r="C28" s="30"/>
      <c r="D28" s="192" t="s">
        <v>117</v>
      </c>
      <c r="E28" s="145" t="n">
        <v>1544</v>
      </c>
      <c r="F28" s="193" t="n">
        <v>0</v>
      </c>
      <c r="G28" s="193" t="n">
        <v>1544</v>
      </c>
      <c r="H28" s="193" t="n">
        <v>0</v>
      </c>
      <c r="I28" s="193" t="n">
        <v>0</v>
      </c>
      <c r="J28" s="193" t="n">
        <v>0</v>
      </c>
      <c r="K28" s="193" t="n">
        <v>0</v>
      </c>
      <c r="L28" s="193" t="n">
        <v>0</v>
      </c>
      <c r="M28" s="193" t="n">
        <v>0</v>
      </c>
      <c r="N28" s="194" t="n">
        <v>0</v>
      </c>
      <c r="O28" s="32"/>
      <c r="P28" s="0"/>
      <c r="Q28" s="0"/>
      <c r="R28" s="0"/>
      <c r="S28" s="0"/>
      <c r="T28" s="0"/>
    </row>
    <row r="29" customFormat="false" ht="12.95" hidden="false" customHeight="true" outlineLevel="0" collapsed="false">
      <c r="B29" s="30"/>
      <c r="C29" s="195"/>
      <c r="D29" s="196" t="s">
        <v>118</v>
      </c>
      <c r="E29" s="148" t="n">
        <v>982</v>
      </c>
      <c r="F29" s="197" t="n">
        <v>0</v>
      </c>
      <c r="G29" s="197" t="n">
        <v>982</v>
      </c>
      <c r="H29" s="197" t="n">
        <v>0</v>
      </c>
      <c r="I29" s="197" t="n">
        <v>0</v>
      </c>
      <c r="J29" s="197" t="n">
        <v>0</v>
      </c>
      <c r="K29" s="197" t="n">
        <v>0</v>
      </c>
      <c r="L29" s="197" t="n">
        <v>0</v>
      </c>
      <c r="M29" s="197" t="n">
        <v>0</v>
      </c>
      <c r="N29" s="198" t="n">
        <v>0</v>
      </c>
      <c r="O29" s="32"/>
      <c r="P29" s="0"/>
      <c r="Q29" s="0"/>
      <c r="R29" s="0"/>
      <c r="S29" s="0"/>
      <c r="T29" s="0"/>
    </row>
    <row r="30" customFormat="false" ht="13.35" hidden="false" customHeight="true" outlineLevel="0" collapsed="false">
      <c r="B30" s="0"/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0"/>
      <c r="P30" s="0"/>
      <c r="Q30" s="0"/>
      <c r="R30" s="0"/>
      <c r="S30" s="0"/>
      <c r="T30" s="0"/>
    </row>
    <row r="31" customFormat="false" ht="13.35" hidden="false" customHeight="true" outlineLevel="0" collapsed="false">
      <c r="B31" s="30"/>
      <c r="C31" s="199" t="s">
        <v>119</v>
      </c>
      <c r="D31" s="182" t="str">
        <f aca="false">IF(_sdram_ebank=1,"Input NOT required! No memories connected to EMIF1, chip select 1","Enter the trace lengths for the associated signals connecting the DDR memories to EMIF1, chip select 1")</f>
        <v>Input NOT required! No memories connected to EMIF1, chip select 1</v>
      </c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32"/>
      <c r="P31" s="0"/>
      <c r="Q31" s="0"/>
      <c r="R31" s="0"/>
      <c r="S31" s="0"/>
      <c r="T31" s="0"/>
    </row>
    <row r="32" customFormat="false" ht="13.35" hidden="false" customHeight="true" outlineLevel="0" collapsed="false">
      <c r="B32" s="30"/>
      <c r="C32" s="199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32"/>
      <c r="P32" s="0"/>
      <c r="Q32" s="0"/>
      <c r="R32" s="0"/>
      <c r="S32" s="0"/>
      <c r="T32" s="0"/>
    </row>
    <row r="33" customFormat="false" ht="13.35" hidden="false" customHeight="true" outlineLevel="0" collapsed="false">
      <c r="B33" s="30"/>
      <c r="C33" s="200"/>
      <c r="D33" s="183" t="s">
        <v>120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32"/>
      <c r="P33" s="0"/>
      <c r="Q33" s="0"/>
      <c r="R33" s="0"/>
      <c r="S33" s="0"/>
      <c r="T33" s="0"/>
    </row>
    <row r="34" customFormat="false" ht="13.35" hidden="false" customHeight="true" outlineLevel="0" collapsed="false">
      <c r="B34" s="30"/>
      <c r="C34" s="200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32"/>
      <c r="P34" s="0"/>
      <c r="Q34" s="0"/>
      <c r="R34" s="0"/>
      <c r="S34" s="0"/>
      <c r="T34" s="0"/>
    </row>
    <row r="35" customFormat="false" ht="13.35" hidden="false" customHeight="true" outlineLevel="0" collapsed="false">
      <c r="B35" s="30"/>
      <c r="C35" s="200"/>
      <c r="D35" s="184" t="s">
        <v>108</v>
      </c>
      <c r="E35" s="185" t="s">
        <v>109</v>
      </c>
      <c r="F35" s="185"/>
      <c r="G35" s="185"/>
      <c r="H35" s="185"/>
      <c r="I35" s="185"/>
      <c r="J35" s="185"/>
      <c r="K35" s="185"/>
      <c r="L35" s="185"/>
      <c r="M35" s="185"/>
      <c r="N35" s="185"/>
      <c r="O35" s="32"/>
      <c r="P35" s="0"/>
      <c r="Q35" s="0"/>
      <c r="R35" s="0"/>
      <c r="S35" s="0"/>
      <c r="T35" s="0"/>
    </row>
    <row r="36" customFormat="false" ht="13.35" hidden="false" customHeight="true" outlineLevel="0" collapsed="false">
      <c r="B36" s="30"/>
      <c r="C36" s="200"/>
      <c r="D36" s="184"/>
      <c r="E36" s="186" t="s">
        <v>110</v>
      </c>
      <c r="F36" s="186"/>
      <c r="G36" s="187" t="s">
        <v>111</v>
      </c>
      <c r="H36" s="187"/>
      <c r="I36" s="187" t="s">
        <v>112</v>
      </c>
      <c r="J36" s="187"/>
      <c r="K36" s="187" t="s">
        <v>113</v>
      </c>
      <c r="L36" s="187"/>
      <c r="M36" s="188" t="s">
        <v>114</v>
      </c>
      <c r="N36" s="188"/>
      <c r="O36" s="32"/>
      <c r="P36" s="0"/>
      <c r="Q36" s="0"/>
      <c r="R36" s="0"/>
      <c r="S36" s="0"/>
      <c r="T36" s="0"/>
    </row>
    <row r="37" customFormat="false" ht="13.35" hidden="false" customHeight="true" outlineLevel="0" collapsed="false">
      <c r="B37" s="30"/>
      <c r="C37" s="200"/>
      <c r="D37" s="184"/>
      <c r="E37" s="189" t="s">
        <v>115</v>
      </c>
      <c r="F37" s="190" t="s">
        <v>116</v>
      </c>
      <c r="G37" s="190" t="s">
        <v>115</v>
      </c>
      <c r="H37" s="190" t="s">
        <v>116</v>
      </c>
      <c r="I37" s="190" t="s">
        <v>115</v>
      </c>
      <c r="J37" s="190" t="s">
        <v>116</v>
      </c>
      <c r="K37" s="190" t="s">
        <v>115</v>
      </c>
      <c r="L37" s="190" t="s">
        <v>116</v>
      </c>
      <c r="M37" s="190" t="s">
        <v>115</v>
      </c>
      <c r="N37" s="191" t="s">
        <v>116</v>
      </c>
      <c r="O37" s="32"/>
      <c r="P37" s="0"/>
      <c r="Q37" s="0"/>
      <c r="R37" s="0"/>
      <c r="S37" s="0"/>
      <c r="T37" s="0"/>
    </row>
    <row r="38" customFormat="false" ht="13.35" hidden="false" customHeight="true" outlineLevel="0" collapsed="false">
      <c r="B38" s="30"/>
      <c r="C38" s="200"/>
      <c r="D38" s="192" t="s">
        <v>117</v>
      </c>
      <c r="E38" s="145"/>
      <c r="F38" s="193"/>
      <c r="G38" s="193"/>
      <c r="H38" s="193"/>
      <c r="I38" s="193"/>
      <c r="J38" s="193"/>
      <c r="K38" s="193"/>
      <c r="L38" s="193"/>
      <c r="M38" s="193"/>
      <c r="N38" s="194"/>
      <c r="O38" s="32"/>
      <c r="P38" s="0"/>
      <c r="Q38" s="0"/>
      <c r="R38" s="0"/>
      <c r="S38" s="0"/>
      <c r="T38" s="0"/>
    </row>
    <row r="39" customFormat="false" ht="13.35" hidden="false" customHeight="true" outlineLevel="0" collapsed="false">
      <c r="B39" s="30"/>
      <c r="C39" s="200"/>
      <c r="D39" s="196" t="s">
        <v>118</v>
      </c>
      <c r="E39" s="148"/>
      <c r="F39" s="197"/>
      <c r="G39" s="197"/>
      <c r="H39" s="197"/>
      <c r="I39" s="197"/>
      <c r="J39" s="197"/>
      <c r="K39" s="197"/>
      <c r="L39" s="197"/>
      <c r="M39" s="197"/>
      <c r="N39" s="198"/>
      <c r="O39" s="32"/>
      <c r="P39" s="0"/>
      <c r="Q39" s="0"/>
      <c r="R39" s="0"/>
      <c r="S39" s="0"/>
      <c r="T39" s="0"/>
    </row>
    <row r="40" customFormat="false" ht="13.35" hidden="false" customHeight="true" outlineLevel="0" collapsed="false">
      <c r="B40" s="0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0"/>
      <c r="P40" s="0"/>
      <c r="Q40" s="0"/>
      <c r="R40" s="0"/>
      <c r="S40" s="0"/>
      <c r="T40" s="0"/>
    </row>
    <row r="41" customFormat="false" ht="13.35" hidden="false" customHeight="true" outlineLevel="0" collapsed="false">
      <c r="B41" s="30"/>
      <c r="C41" s="199" t="s">
        <v>121</v>
      </c>
      <c r="D41" s="182" t="str">
        <f aca="false">IF(_user_emifs=1,"Input NOT required! No memories connected to EMIF2, chip select 0","Enter the trace lengths for the associated signals connecting the DDR memories to EMIF2, chip select 0")</f>
        <v>Input NOT required! No memories connected to EMIF2, chip select 0</v>
      </c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32"/>
      <c r="P41" s="0"/>
      <c r="Q41" s="0"/>
      <c r="R41" s="0"/>
      <c r="S41" s="0"/>
      <c r="T41" s="0"/>
    </row>
    <row r="42" customFormat="false" ht="13.35" hidden="false" customHeight="true" outlineLevel="0" collapsed="false">
      <c r="B42" s="30"/>
      <c r="C42" s="199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32"/>
      <c r="P42" s="0"/>
      <c r="Q42" s="0"/>
      <c r="R42" s="0"/>
      <c r="S42" s="0"/>
      <c r="T42" s="0"/>
    </row>
    <row r="43" customFormat="false" ht="13.35" hidden="false" customHeight="true" outlineLevel="0" collapsed="false">
      <c r="B43" s="30"/>
      <c r="C43" s="200"/>
      <c r="D43" s="183" t="s">
        <v>122</v>
      </c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32"/>
      <c r="P43" s="0"/>
      <c r="Q43" s="0"/>
      <c r="R43" s="0"/>
      <c r="S43" s="0"/>
      <c r="T43" s="0"/>
    </row>
    <row r="44" customFormat="false" ht="13.35" hidden="false" customHeight="true" outlineLevel="0" collapsed="false">
      <c r="B44" s="30"/>
      <c r="C44" s="200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32"/>
      <c r="P44" s="0"/>
      <c r="Q44" s="0"/>
      <c r="R44" s="0"/>
      <c r="S44" s="0"/>
      <c r="T44" s="0"/>
    </row>
    <row r="45" customFormat="false" ht="13.35" hidden="false" customHeight="true" outlineLevel="0" collapsed="false">
      <c r="B45" s="30"/>
      <c r="C45" s="200"/>
      <c r="D45" s="184" t="s">
        <v>108</v>
      </c>
      <c r="E45" s="185" t="s">
        <v>109</v>
      </c>
      <c r="F45" s="185"/>
      <c r="G45" s="185"/>
      <c r="H45" s="185"/>
      <c r="I45" s="185"/>
      <c r="J45" s="185"/>
      <c r="K45" s="185"/>
      <c r="L45" s="185"/>
      <c r="M45" s="185"/>
      <c r="N45" s="185"/>
      <c r="O45" s="32"/>
      <c r="P45" s="0"/>
      <c r="Q45" s="0"/>
      <c r="R45" s="0"/>
      <c r="S45" s="0"/>
      <c r="T45" s="0"/>
    </row>
    <row r="46" customFormat="false" ht="13.35" hidden="false" customHeight="true" outlineLevel="0" collapsed="false">
      <c r="B46" s="30"/>
      <c r="C46" s="200"/>
      <c r="D46" s="184"/>
      <c r="E46" s="186" t="s">
        <v>110</v>
      </c>
      <c r="F46" s="186"/>
      <c r="G46" s="187" t="s">
        <v>111</v>
      </c>
      <c r="H46" s="187"/>
      <c r="I46" s="187" t="s">
        <v>112</v>
      </c>
      <c r="J46" s="187"/>
      <c r="K46" s="187" t="s">
        <v>113</v>
      </c>
      <c r="L46" s="187"/>
      <c r="M46" s="188" t="s">
        <v>114</v>
      </c>
      <c r="N46" s="188"/>
      <c r="O46" s="32"/>
      <c r="P46" s="0"/>
      <c r="Q46" s="0"/>
      <c r="R46" s="0"/>
      <c r="S46" s="0"/>
      <c r="T46" s="0"/>
    </row>
    <row r="47" customFormat="false" ht="13.35" hidden="false" customHeight="true" outlineLevel="0" collapsed="false">
      <c r="B47" s="30"/>
      <c r="C47" s="200"/>
      <c r="D47" s="184"/>
      <c r="E47" s="189" t="s">
        <v>115</v>
      </c>
      <c r="F47" s="190" t="s">
        <v>116</v>
      </c>
      <c r="G47" s="190" t="s">
        <v>115</v>
      </c>
      <c r="H47" s="190" t="s">
        <v>116</v>
      </c>
      <c r="I47" s="190" t="s">
        <v>115</v>
      </c>
      <c r="J47" s="190" t="s">
        <v>116</v>
      </c>
      <c r="K47" s="190" t="s">
        <v>115</v>
      </c>
      <c r="L47" s="190" t="s">
        <v>116</v>
      </c>
      <c r="M47" s="190" t="s">
        <v>115</v>
      </c>
      <c r="N47" s="191" t="s">
        <v>116</v>
      </c>
      <c r="O47" s="32"/>
      <c r="P47" s="0"/>
      <c r="Q47" s="0"/>
      <c r="R47" s="0"/>
      <c r="S47" s="0"/>
      <c r="T47" s="0"/>
    </row>
    <row r="48" customFormat="false" ht="13.35" hidden="false" customHeight="true" outlineLevel="0" collapsed="false">
      <c r="B48" s="30"/>
      <c r="C48" s="200"/>
      <c r="D48" s="192" t="s">
        <v>117</v>
      </c>
      <c r="E48" s="145" t="n">
        <v>4531</v>
      </c>
      <c r="F48" s="193" t="n">
        <v>0</v>
      </c>
      <c r="G48" s="193" t="n">
        <v>4531</v>
      </c>
      <c r="H48" s="193" t="n">
        <v>0</v>
      </c>
      <c r="I48" s="193" t="n">
        <v>5249</v>
      </c>
      <c r="J48" s="193" t="n">
        <v>0</v>
      </c>
      <c r="K48" s="193" t="n">
        <v>5249</v>
      </c>
      <c r="L48" s="193" t="n">
        <v>0</v>
      </c>
      <c r="M48" s="193" t="n">
        <v>0</v>
      </c>
      <c r="N48" s="194" t="n">
        <v>0</v>
      </c>
      <c r="O48" s="32"/>
      <c r="P48" s="0"/>
      <c r="Q48" s="0"/>
      <c r="R48" s="0"/>
      <c r="S48" s="0"/>
      <c r="T48" s="0"/>
    </row>
    <row r="49" customFormat="false" ht="13.35" hidden="false" customHeight="true" outlineLevel="0" collapsed="false">
      <c r="B49" s="30"/>
      <c r="C49" s="200"/>
      <c r="D49" s="196" t="s">
        <v>118</v>
      </c>
      <c r="E49" s="148" t="n">
        <v>128</v>
      </c>
      <c r="F49" s="197" t="n">
        <v>1867</v>
      </c>
      <c r="G49" s="197" t="n">
        <v>190</v>
      </c>
      <c r="H49" s="197" t="n">
        <v>1749</v>
      </c>
      <c r="I49" s="197" t="n">
        <v>313</v>
      </c>
      <c r="J49" s="197" t="n">
        <v>1902</v>
      </c>
      <c r="K49" s="197" t="n">
        <v>141</v>
      </c>
      <c r="L49" s="197" t="n">
        <v>1826</v>
      </c>
      <c r="M49" s="197" t="n">
        <v>0</v>
      </c>
      <c r="N49" s="198" t="n">
        <v>0</v>
      </c>
      <c r="O49" s="32"/>
      <c r="P49" s="0"/>
      <c r="Q49" s="0"/>
      <c r="R49" s="0"/>
      <c r="S49" s="0"/>
      <c r="T49" s="0"/>
    </row>
    <row r="50" customFormat="false" ht="13.35" hidden="false" customHeight="true" outlineLevel="0" collapsed="false">
      <c r="B50" s="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0"/>
      <c r="P50" s="0"/>
      <c r="Q50" s="0"/>
      <c r="R50" s="0"/>
      <c r="S50" s="0"/>
      <c r="T50" s="0"/>
    </row>
    <row r="51" customFormat="false" ht="13.35" hidden="false" customHeight="true" outlineLevel="0" collapsed="false">
      <c r="B51" s="30"/>
      <c r="C51" s="199" t="s">
        <v>123</v>
      </c>
      <c r="D51" s="182" t="str">
        <f aca="false">IF(OR(_sdram_ebank=1,_user_emifs=1),"Input NOT required! No memories connected to EMIF2, chip select 1","Enter the trace lengths for the associated signals connecting the DDR memories to EMIF2, chip select 1")</f>
        <v>Input NOT required! No memories connected to EMIF2, chip select 1</v>
      </c>
      <c r="E51" s="182"/>
      <c r="F51" s="182"/>
      <c r="G51" s="182"/>
      <c r="H51" s="182"/>
      <c r="I51" s="182"/>
      <c r="J51" s="182"/>
      <c r="K51" s="182"/>
      <c r="L51" s="182"/>
      <c r="M51" s="182"/>
      <c r="N51" s="182"/>
      <c r="O51" s="32"/>
      <c r="P51" s="0"/>
      <c r="Q51" s="0"/>
      <c r="R51" s="0"/>
      <c r="S51" s="0"/>
      <c r="T51" s="0"/>
    </row>
    <row r="52" customFormat="false" ht="13.35" hidden="false" customHeight="true" outlineLevel="0" collapsed="false">
      <c r="B52" s="30"/>
      <c r="C52" s="199"/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32"/>
      <c r="P52" s="0"/>
      <c r="Q52" s="0"/>
      <c r="R52" s="0"/>
      <c r="S52" s="0"/>
      <c r="T52" s="0"/>
    </row>
    <row r="53" customFormat="false" ht="13.35" hidden="false" customHeight="true" outlineLevel="0" collapsed="false">
      <c r="B53" s="30"/>
      <c r="C53" s="200"/>
      <c r="D53" s="183" t="s">
        <v>124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32"/>
      <c r="P53" s="0"/>
      <c r="Q53" s="0"/>
      <c r="R53" s="0"/>
      <c r="S53" s="0"/>
      <c r="T53" s="0"/>
    </row>
    <row r="54" customFormat="false" ht="13.35" hidden="false" customHeight="true" outlineLevel="0" collapsed="false">
      <c r="B54" s="30"/>
      <c r="C54" s="200"/>
      <c r="D54" s="183"/>
      <c r="E54" s="183"/>
      <c r="F54" s="183"/>
      <c r="G54" s="183"/>
      <c r="H54" s="183"/>
      <c r="I54" s="183"/>
      <c r="J54" s="183"/>
      <c r="K54" s="183"/>
      <c r="L54" s="183"/>
      <c r="M54" s="183"/>
      <c r="N54" s="183"/>
      <c r="O54" s="32"/>
      <c r="P54" s="0"/>
      <c r="Q54" s="0"/>
      <c r="R54" s="0"/>
      <c r="S54" s="0"/>
      <c r="T54" s="0"/>
    </row>
    <row r="55" customFormat="false" ht="13.35" hidden="false" customHeight="true" outlineLevel="0" collapsed="false">
      <c r="B55" s="30"/>
      <c r="C55" s="200"/>
      <c r="D55" s="184" t="s">
        <v>108</v>
      </c>
      <c r="E55" s="185" t="s">
        <v>109</v>
      </c>
      <c r="F55" s="185"/>
      <c r="G55" s="185"/>
      <c r="H55" s="185"/>
      <c r="I55" s="185"/>
      <c r="J55" s="185"/>
      <c r="K55" s="185"/>
      <c r="L55" s="185"/>
      <c r="M55" s="185"/>
      <c r="N55" s="185"/>
      <c r="O55" s="32"/>
      <c r="P55" s="0"/>
      <c r="Q55" s="0"/>
      <c r="R55" s="0"/>
      <c r="S55" s="0"/>
      <c r="T55" s="0"/>
    </row>
    <row r="56" customFormat="false" ht="13.35" hidden="false" customHeight="true" outlineLevel="0" collapsed="false">
      <c r="B56" s="30"/>
      <c r="C56" s="200"/>
      <c r="D56" s="184"/>
      <c r="E56" s="186" t="s">
        <v>110</v>
      </c>
      <c r="F56" s="186"/>
      <c r="G56" s="187" t="s">
        <v>111</v>
      </c>
      <c r="H56" s="187"/>
      <c r="I56" s="187" t="s">
        <v>112</v>
      </c>
      <c r="J56" s="187"/>
      <c r="K56" s="187" t="s">
        <v>113</v>
      </c>
      <c r="L56" s="187"/>
      <c r="M56" s="188" t="s">
        <v>114</v>
      </c>
      <c r="N56" s="188"/>
      <c r="O56" s="32"/>
      <c r="P56" s="0"/>
      <c r="Q56" s="0"/>
      <c r="R56" s="0"/>
      <c r="S56" s="0"/>
      <c r="T56" s="0"/>
    </row>
    <row r="57" customFormat="false" ht="13.35" hidden="false" customHeight="true" outlineLevel="0" collapsed="false">
      <c r="B57" s="30"/>
      <c r="C57" s="200"/>
      <c r="D57" s="184"/>
      <c r="E57" s="189" t="s">
        <v>115</v>
      </c>
      <c r="F57" s="190" t="s">
        <v>116</v>
      </c>
      <c r="G57" s="190" t="s">
        <v>115</v>
      </c>
      <c r="H57" s="190" t="s">
        <v>116</v>
      </c>
      <c r="I57" s="190" t="s">
        <v>115</v>
      </c>
      <c r="J57" s="190" t="s">
        <v>116</v>
      </c>
      <c r="K57" s="190" t="s">
        <v>115</v>
      </c>
      <c r="L57" s="190" t="s">
        <v>116</v>
      </c>
      <c r="M57" s="190" t="s">
        <v>115</v>
      </c>
      <c r="N57" s="191" t="s">
        <v>116</v>
      </c>
      <c r="O57" s="32"/>
      <c r="P57" s="0"/>
      <c r="Q57" s="0"/>
      <c r="R57" s="0"/>
      <c r="S57" s="0"/>
      <c r="T57" s="0"/>
    </row>
    <row r="58" customFormat="false" ht="13.35" hidden="false" customHeight="true" outlineLevel="0" collapsed="false">
      <c r="B58" s="30"/>
      <c r="C58" s="200"/>
      <c r="D58" s="192" t="s">
        <v>117</v>
      </c>
      <c r="E58" s="145"/>
      <c r="F58" s="193"/>
      <c r="G58" s="193"/>
      <c r="H58" s="193"/>
      <c r="I58" s="193"/>
      <c r="J58" s="193"/>
      <c r="K58" s="193"/>
      <c r="L58" s="201"/>
      <c r="M58" s="193"/>
      <c r="N58" s="194"/>
      <c r="O58" s="32"/>
      <c r="P58" s="0"/>
      <c r="Q58" s="0"/>
      <c r="R58" s="0"/>
      <c r="S58" s="0"/>
      <c r="T58" s="0"/>
    </row>
    <row r="59" customFormat="false" ht="13.35" hidden="false" customHeight="true" outlineLevel="0" collapsed="false">
      <c r="B59" s="30"/>
      <c r="C59" s="200"/>
      <c r="D59" s="196" t="s">
        <v>118</v>
      </c>
      <c r="E59" s="148"/>
      <c r="F59" s="197"/>
      <c r="G59" s="197"/>
      <c r="H59" s="197"/>
      <c r="I59" s="197"/>
      <c r="J59" s="197"/>
      <c r="K59" s="197"/>
      <c r="L59" s="197"/>
      <c r="M59" s="197"/>
      <c r="N59" s="198"/>
      <c r="O59" s="32"/>
      <c r="P59" s="0"/>
      <c r="Q59" s="0"/>
      <c r="R59" s="0"/>
      <c r="S59" s="0"/>
      <c r="T59" s="0"/>
    </row>
    <row r="60" customFormat="false" ht="14.25" hidden="false" customHeight="false" outlineLevel="0" collapsed="false">
      <c r="B60" s="29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29"/>
      <c r="P60" s="0"/>
      <c r="Q60" s="0"/>
      <c r="R60" s="0"/>
      <c r="S60" s="0"/>
      <c r="T60" s="0"/>
    </row>
    <row r="61" customFormat="false" ht="13.5" hidden="false" customHeight="false" outlineLevel="0" collapsed="false">
      <c r="B61" s="202"/>
      <c r="C61" s="203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4"/>
      <c r="P61" s="32"/>
      <c r="Q61" s="0"/>
      <c r="R61" s="0"/>
      <c r="S61" s="0"/>
      <c r="T61" s="0"/>
    </row>
    <row r="62" customFormat="false" ht="12.75" hidden="false" customHeight="false" outlineLevel="0" collapsed="false">
      <c r="B62" s="205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195"/>
      <c r="P62" s="32"/>
      <c r="Q62" s="0"/>
      <c r="R62" s="0"/>
      <c r="S62" s="0"/>
      <c r="T62" s="0"/>
    </row>
    <row r="63" customFormat="false" ht="12.75" hidden="false" customHeight="true" outlineLevel="0" collapsed="false">
      <c r="B63" s="205"/>
      <c r="C63" s="0"/>
      <c r="D63" s="0"/>
      <c r="E63" s="0"/>
      <c r="F63" s="206" t="s">
        <v>125</v>
      </c>
      <c r="G63" s="206"/>
      <c r="H63" s="206"/>
      <c r="I63" s="206"/>
      <c r="J63" s="206"/>
      <c r="K63" s="206"/>
      <c r="L63" s="0"/>
      <c r="M63" s="0"/>
      <c r="N63" s="0"/>
      <c r="O63" s="195"/>
      <c r="P63" s="32"/>
      <c r="Q63" s="0"/>
      <c r="R63" s="0"/>
      <c r="S63" s="0"/>
      <c r="T63" s="0"/>
    </row>
    <row r="64" customFormat="false" ht="12.75" hidden="false" customHeight="true" outlineLevel="0" collapsed="false">
      <c r="B64" s="205"/>
      <c r="C64" s="0"/>
      <c r="D64" s="0"/>
      <c r="E64" s="0"/>
      <c r="F64" s="206"/>
      <c r="G64" s="206"/>
      <c r="H64" s="206"/>
      <c r="I64" s="206"/>
      <c r="J64" s="206"/>
      <c r="K64" s="206"/>
      <c r="L64" s="0"/>
      <c r="M64" s="0"/>
      <c r="N64" s="0"/>
      <c r="O64" s="195"/>
      <c r="P64" s="32"/>
      <c r="Q64" s="0"/>
      <c r="R64" s="0"/>
      <c r="S64" s="0"/>
      <c r="T64" s="0"/>
    </row>
    <row r="65" customFormat="false" ht="12.75" hidden="false" customHeight="false" outlineLevel="0" collapsed="false">
      <c r="B65" s="205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195"/>
      <c r="P65" s="32"/>
      <c r="Q65" s="0"/>
      <c r="R65" s="0"/>
      <c r="S65" s="0"/>
      <c r="T65" s="0"/>
    </row>
    <row r="66" customFormat="false" ht="12.75" hidden="false" customHeight="false" outlineLevel="0" collapsed="false">
      <c r="B66" s="205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195"/>
      <c r="P66" s="32"/>
      <c r="Q66" s="0"/>
      <c r="R66" s="0"/>
      <c r="S66" s="0"/>
      <c r="T66" s="0"/>
    </row>
    <row r="67" customFormat="false" ht="12.75" hidden="false" customHeight="false" outlineLevel="0" collapsed="false">
      <c r="B67" s="205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195"/>
      <c r="P67" s="32"/>
      <c r="Q67" s="0"/>
      <c r="R67" s="0"/>
      <c r="S67" s="0"/>
      <c r="T67" s="0"/>
    </row>
    <row r="68" customFormat="false" ht="12.75" hidden="false" customHeight="false" outlineLevel="0" collapsed="false">
      <c r="B68" s="205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195"/>
      <c r="P68" s="32"/>
      <c r="Q68" s="0"/>
      <c r="R68" s="0"/>
      <c r="S68" s="0"/>
      <c r="T68" s="0"/>
    </row>
    <row r="69" customFormat="false" ht="12.75" hidden="false" customHeight="false" outlineLevel="0" collapsed="false">
      <c r="B69" s="205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195"/>
      <c r="P69" s="32"/>
      <c r="Q69" s="0"/>
      <c r="R69" s="0"/>
      <c r="S69" s="0"/>
      <c r="T69" s="0"/>
    </row>
    <row r="70" customFormat="false" ht="12.75" hidden="false" customHeight="false" outlineLevel="0" collapsed="false">
      <c r="B70" s="205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195"/>
      <c r="P70" s="32"/>
      <c r="Q70" s="0"/>
      <c r="R70" s="0"/>
      <c r="S70" s="0"/>
      <c r="T70" s="0"/>
    </row>
    <row r="71" customFormat="false" ht="12.75" hidden="false" customHeight="false" outlineLevel="0" collapsed="false">
      <c r="B71" s="205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195"/>
      <c r="P71" s="32"/>
      <c r="Q71" s="0"/>
      <c r="R71" s="0"/>
      <c r="S71" s="0"/>
      <c r="T71" s="0"/>
    </row>
    <row r="72" customFormat="false" ht="12.75" hidden="false" customHeight="false" outlineLevel="0" collapsed="false">
      <c r="B72" s="205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195"/>
      <c r="P72" s="32"/>
      <c r="Q72" s="0"/>
      <c r="R72" s="0"/>
      <c r="S72" s="0"/>
      <c r="T72" s="0"/>
    </row>
    <row r="73" customFormat="false" ht="12.75" hidden="false" customHeight="true" outlineLevel="0" collapsed="false">
      <c r="B73" s="205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195"/>
      <c r="P73" s="207"/>
      <c r="Q73" s="208"/>
      <c r="R73" s="208"/>
      <c r="S73" s="208"/>
      <c r="T73" s="208"/>
    </row>
    <row r="74" customFormat="false" ht="12.75" hidden="false" customHeight="true" outlineLevel="0" collapsed="false">
      <c r="B74" s="205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195"/>
      <c r="P74" s="207"/>
      <c r="Q74" s="208"/>
      <c r="R74" s="208"/>
      <c r="S74" s="208"/>
      <c r="T74" s="208"/>
    </row>
    <row r="75" customFormat="false" ht="12.75" hidden="false" customHeight="false" outlineLevel="0" collapsed="false">
      <c r="B75" s="205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195"/>
      <c r="P75" s="32"/>
    </row>
    <row r="76" customFormat="false" ht="12.75" hidden="false" customHeight="false" outlineLevel="0" collapsed="false">
      <c r="B76" s="205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195"/>
      <c r="P76" s="32"/>
    </row>
    <row r="77" customFormat="false" ht="12.75" hidden="false" customHeight="false" outlineLevel="0" collapsed="false">
      <c r="B77" s="205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195"/>
      <c r="P77" s="32"/>
    </row>
    <row r="78" customFormat="false" ht="12.75" hidden="false" customHeight="false" outlineLevel="0" collapsed="false">
      <c r="B78" s="205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195"/>
      <c r="P78" s="32"/>
    </row>
    <row r="79" customFormat="false" ht="12.75" hidden="false" customHeight="false" outlineLevel="0" collapsed="false">
      <c r="B79" s="205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195"/>
      <c r="P79" s="32"/>
    </row>
    <row r="80" customFormat="false" ht="12.75" hidden="false" customHeight="false" outlineLevel="0" collapsed="false">
      <c r="B80" s="205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195"/>
      <c r="P80" s="32"/>
    </row>
    <row r="81" customFormat="false" ht="12.75" hidden="false" customHeight="false" outlineLevel="0" collapsed="false">
      <c r="B81" s="205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195"/>
      <c r="P81" s="32"/>
    </row>
    <row r="82" customFormat="false" ht="12.75" hidden="false" customHeight="false" outlineLevel="0" collapsed="false">
      <c r="B82" s="205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195"/>
      <c r="P82" s="32"/>
    </row>
    <row r="83" customFormat="false" ht="12.75" hidden="false" customHeight="false" outlineLevel="0" collapsed="false">
      <c r="B83" s="205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195"/>
      <c r="P83" s="32"/>
    </row>
    <row r="84" customFormat="false" ht="12.75" hidden="false" customHeight="false" outlineLevel="0" collapsed="false">
      <c r="B84" s="205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195"/>
      <c r="P84" s="32"/>
    </row>
    <row r="85" customFormat="false" ht="12.75" hidden="false" customHeight="false" outlineLevel="0" collapsed="false">
      <c r="B85" s="205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195"/>
      <c r="P85" s="32"/>
    </row>
    <row r="86" customFormat="false" ht="12.75" hidden="false" customHeight="false" outlineLevel="0" collapsed="false">
      <c r="B86" s="205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195"/>
      <c r="P86" s="32"/>
    </row>
    <row r="87" customFormat="false" ht="12.75" hidden="false" customHeight="false" outlineLevel="0" collapsed="false">
      <c r="B87" s="205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195"/>
      <c r="P87" s="32"/>
    </row>
    <row r="88" customFormat="false" ht="12.75" hidden="false" customHeight="false" outlineLevel="0" collapsed="false">
      <c r="B88" s="205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195"/>
      <c r="P88" s="32"/>
    </row>
    <row r="89" customFormat="false" ht="12.75" hidden="false" customHeight="false" outlineLevel="0" collapsed="false">
      <c r="B89" s="205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195"/>
      <c r="P89" s="32"/>
    </row>
    <row r="90" customFormat="false" ht="12.75" hidden="false" customHeight="false" outlineLevel="0" collapsed="false">
      <c r="B90" s="205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195"/>
      <c r="P90" s="32"/>
    </row>
    <row r="91" customFormat="false" ht="12.75" hidden="false" customHeight="false" outlineLevel="0" collapsed="false">
      <c r="B91" s="205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195"/>
      <c r="P91" s="32"/>
    </row>
    <row r="92" customFormat="false" ht="12.75" hidden="false" customHeight="false" outlineLevel="0" collapsed="false">
      <c r="B92" s="205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195"/>
      <c r="P92" s="32"/>
    </row>
    <row r="93" customFormat="false" ht="12.75" hidden="false" customHeight="false" outlineLevel="0" collapsed="false">
      <c r="B93" s="205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195"/>
      <c r="P93" s="32"/>
    </row>
    <row r="94" customFormat="false" ht="12.75" hidden="false" customHeight="false" outlineLevel="0" collapsed="false">
      <c r="B94" s="205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195"/>
      <c r="P94" s="32"/>
    </row>
    <row r="95" customFormat="false" ht="12.75" hidden="false" customHeight="false" outlineLevel="0" collapsed="false">
      <c r="B95" s="205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195"/>
      <c r="P95" s="32"/>
    </row>
    <row r="96" customFormat="false" ht="12.75" hidden="false" customHeight="false" outlineLevel="0" collapsed="false">
      <c r="B96" s="205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195"/>
      <c r="P96" s="32"/>
    </row>
    <row r="97" customFormat="false" ht="12.75" hidden="false" customHeight="false" outlineLevel="0" collapsed="false">
      <c r="B97" s="205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195"/>
      <c r="P97" s="32"/>
    </row>
    <row r="98" customFormat="false" ht="12.75" hidden="false" customHeight="false" outlineLevel="0" collapsed="false">
      <c r="B98" s="205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195"/>
      <c r="P98" s="32"/>
    </row>
    <row r="99" customFormat="false" ht="12.75" hidden="false" customHeight="false" outlineLevel="0" collapsed="false">
      <c r="B99" s="205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195"/>
      <c r="P99" s="32"/>
    </row>
    <row r="100" customFormat="false" ht="12.75" hidden="false" customHeight="false" outlineLevel="0" collapsed="false">
      <c r="B100" s="205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195"/>
      <c r="P100" s="32"/>
    </row>
    <row r="101" customFormat="false" ht="12.75" hidden="false" customHeight="false" outlineLevel="0" collapsed="false">
      <c r="B101" s="205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195"/>
      <c r="P101" s="32"/>
    </row>
    <row r="102" customFormat="false" ht="12.75" hidden="false" customHeight="false" outlineLevel="0" collapsed="false">
      <c r="B102" s="205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195"/>
      <c r="P102" s="32"/>
    </row>
    <row r="103" customFormat="false" ht="12.75" hidden="false" customHeight="false" outlineLevel="0" collapsed="false">
      <c r="B103" s="205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195"/>
      <c r="P103" s="32"/>
    </row>
    <row r="104" customFormat="false" ht="12.75" hidden="false" customHeight="false" outlineLevel="0" collapsed="false">
      <c r="B104" s="205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195"/>
      <c r="P104" s="32"/>
    </row>
    <row r="105" customFormat="false" ht="12.75" hidden="false" customHeight="false" outlineLevel="0" collapsed="false">
      <c r="B105" s="205"/>
      <c r="C105" s="0"/>
      <c r="D105" s="209" t="s">
        <v>126</v>
      </c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195"/>
      <c r="P105" s="32"/>
    </row>
    <row r="106" customFormat="false" ht="13.5" hidden="false" customHeight="false" outlineLevel="0" collapsed="false">
      <c r="B106" s="210"/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2"/>
      <c r="P106" s="32"/>
    </row>
  </sheetData>
  <sheetProtection sheet="true" objects="true" scenarios="true"/>
  <mergeCells count="45">
    <mergeCell ref="B2:O2"/>
    <mergeCell ref="B3:O3"/>
    <mergeCell ref="B4:O6"/>
    <mergeCell ref="B7:O8"/>
    <mergeCell ref="C21:C22"/>
    <mergeCell ref="D21:N22"/>
    <mergeCell ref="D23:N24"/>
    <mergeCell ref="D25:D27"/>
    <mergeCell ref="E25:N25"/>
    <mergeCell ref="E26:F26"/>
    <mergeCell ref="G26:H26"/>
    <mergeCell ref="I26:J26"/>
    <mergeCell ref="K26:L26"/>
    <mergeCell ref="M26:N26"/>
    <mergeCell ref="C31:C32"/>
    <mergeCell ref="D31:N32"/>
    <mergeCell ref="D33:N34"/>
    <mergeCell ref="D35:D37"/>
    <mergeCell ref="E35:N35"/>
    <mergeCell ref="E36:F36"/>
    <mergeCell ref="G36:H36"/>
    <mergeCell ref="I36:J36"/>
    <mergeCell ref="K36:L36"/>
    <mergeCell ref="M36:N36"/>
    <mergeCell ref="C41:C42"/>
    <mergeCell ref="D41:N42"/>
    <mergeCell ref="D43:N44"/>
    <mergeCell ref="D45:D47"/>
    <mergeCell ref="E45:N45"/>
    <mergeCell ref="E46:F46"/>
    <mergeCell ref="G46:H46"/>
    <mergeCell ref="I46:J46"/>
    <mergeCell ref="K46:L46"/>
    <mergeCell ref="M46:N46"/>
    <mergeCell ref="C51:C52"/>
    <mergeCell ref="D51:N52"/>
    <mergeCell ref="D53:N54"/>
    <mergeCell ref="D55:D57"/>
    <mergeCell ref="E55:N55"/>
    <mergeCell ref="E56:F56"/>
    <mergeCell ref="G56:H56"/>
    <mergeCell ref="I56:J56"/>
    <mergeCell ref="K56:L56"/>
    <mergeCell ref="M56:N56"/>
    <mergeCell ref="F63:K64"/>
  </mergeCells>
  <conditionalFormatting sqref="D21:N22">
    <cfRule type="expression" priority="2" aboveAverage="0" equalAverage="0" bottom="0" percent="0" rank="0" text="" dxfId="0">
      <formula>_user_lvl_tech="H/W"</formula>
    </cfRule>
  </conditionalFormatting>
  <conditionalFormatting sqref="D31:N32">
    <cfRule type="expression" priority="3" aboveAverage="0" equalAverage="0" bottom="0" percent="0" rank="0" text="" dxfId="0">
      <formula>OR(_sdram_ebank=1,_user_lvl_tech="H/W")</formula>
    </cfRule>
  </conditionalFormatting>
  <conditionalFormatting sqref="D41:N42">
    <cfRule type="expression" priority="4" aboveAverage="0" equalAverage="0" bottom="0" percent="0" rank="0" text="" dxfId="0">
      <formula>OR(_user_emifs=1,_user_lvl_tech="H/W")</formula>
    </cfRule>
  </conditionalFormatting>
  <conditionalFormatting sqref="D51:N52">
    <cfRule type="expression" priority="5" aboveAverage="0" equalAverage="0" bottom="0" percent="0" rank="0" text="" dxfId="0">
      <formula>OR(_sdram_ebank=1,_user_emifs=1,_user_lvl_tech="H/W")</formula>
    </cfRule>
  </conditionalFormatting>
  <dataValidations count="1">
    <dataValidation allowBlank="true" operator="greaterThanOrEqual" showDropDown="false" showErrorMessage="true" showInputMessage="true" sqref="E28:N29 E38:N39 E48:N49 E58:N59" type="decimal">
      <formula1>0</formula1>
      <formula2>0</formula2>
    </dataValidation>
  </dataValidations>
  <hyperlinks>
    <hyperlink ref="D19" location="'Step2-BoardDetails'!G61" display="CLICK for diagram."/>
    <hyperlink ref="D105" location="'Step2-BoardDetails'!D19" display="RETURN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  <picture r:id="rId2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8" topLeftCell="A34" activePane="bottomLeft" state="frozen"/>
      <selection pane="topLeft" activeCell="A1" activeCellId="0" sqref="A1"/>
      <selection pane="bottomLeft" activeCell="G44" activeCellId="0" sqref="G44"/>
    </sheetView>
  </sheetViews>
  <sheetFormatPr defaultRowHeight="12.75" zeroHeight="false" outlineLevelRow="0" outlineLevelCol="0"/>
  <cols>
    <col collapsed="false" customWidth="true" hidden="false" outlineLevel="0" max="2" min="1" style="24" width="9.14"/>
    <col collapsed="false" customWidth="true" hidden="false" outlineLevel="0" max="3" min="3" style="24" width="5.7"/>
    <col collapsed="false" customWidth="true" hidden="false" outlineLevel="0" max="4" min="4" style="24" width="13.7"/>
    <col collapsed="false" customWidth="true" hidden="false" outlineLevel="0" max="5" min="5" style="24" width="48.7"/>
    <col collapsed="false" customWidth="true" hidden="false" outlineLevel="0" max="8" min="6" style="24" width="9.71"/>
    <col collapsed="false" customWidth="true" hidden="false" outlineLevel="0" max="9" min="9" style="24" width="13.7"/>
    <col collapsed="false" customWidth="true" hidden="false" outlineLevel="0" max="10" min="10" style="24" width="24.71"/>
    <col collapsed="false" customWidth="true" hidden="false" outlineLevel="0" max="11" min="11" style="24" width="9.14"/>
    <col collapsed="false" customWidth="true" hidden="false" outlineLevel="0" max="12" min="12" style="24" width="6.15"/>
    <col collapsed="false" customWidth="true" hidden="false" outlineLevel="0" max="15" min="13" style="24" width="8.29"/>
    <col collapsed="false" customWidth="true" hidden="false" outlineLevel="0" max="16" min="16" style="24" width="6.42"/>
    <col collapsed="false" customWidth="true" hidden="false" outlineLevel="0" max="17" min="17" style="24" width="6.15"/>
    <col collapsed="false" customWidth="true" hidden="false" outlineLevel="0" max="20" min="18" style="24" width="8.29"/>
    <col collapsed="false" customWidth="true" hidden="false" outlineLevel="0" max="21" min="21" style="24" width="20.57"/>
    <col collapsed="false" customWidth="true" hidden="false" outlineLevel="0" max="1025" min="22" style="24" width="9.14"/>
  </cols>
  <sheetData>
    <row r="1" s="27" customFormat="true" ht="12.75" hidden="false" customHeight="true" outlineLevel="0" collapsed="false">
      <c r="A1" s="53"/>
      <c r="B1" s="53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32"/>
    </row>
    <row r="2" customFormat="false" ht="12.75" hidden="false" customHeight="true" outlineLevel="0" collapsed="false">
      <c r="A2" s="5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85"/>
      <c r="K2" s="85"/>
      <c r="L2" s="87"/>
      <c r="M2" s="87"/>
      <c r="N2" s="32"/>
    </row>
    <row r="3" customFormat="false" ht="12.75" hidden="false" customHeight="true" outlineLevel="0" collapsed="false">
      <c r="A3" s="5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85"/>
      <c r="K3" s="85"/>
      <c r="L3" s="87"/>
      <c r="M3" s="87"/>
      <c r="N3" s="32"/>
    </row>
    <row r="4" customFormat="false" ht="12.75" hidden="false" customHeight="true" outlineLevel="0" collapsed="false">
      <c r="A4" s="97"/>
      <c r="B4" s="160" t="s">
        <v>127</v>
      </c>
      <c r="C4" s="160"/>
      <c r="D4" s="160"/>
      <c r="E4" s="160"/>
      <c r="F4" s="160"/>
      <c r="G4" s="160"/>
      <c r="H4" s="160"/>
      <c r="I4" s="160"/>
      <c r="J4" s="160"/>
      <c r="K4" s="160"/>
      <c r="L4" s="213"/>
      <c r="M4" s="213"/>
      <c r="N4" s="32"/>
    </row>
    <row r="5" customFormat="false" ht="12.75" hidden="false" customHeight="true" outlineLevel="0" collapsed="false">
      <c r="A5" s="83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87"/>
      <c r="M5" s="87"/>
      <c r="N5" s="32"/>
    </row>
    <row r="6" customFormat="false" ht="12.75" hidden="false" customHeight="true" outlineLevel="0" collapsed="false">
      <c r="A6" s="83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87"/>
      <c r="M6" s="87"/>
      <c r="N6" s="32"/>
    </row>
    <row r="7" customFormat="false" ht="12.75" hidden="false" customHeight="true" outlineLevel="0" collapsed="false">
      <c r="A7" s="83"/>
      <c r="B7" s="89" t="s">
        <v>41</v>
      </c>
      <c r="C7" s="89"/>
      <c r="D7" s="89"/>
      <c r="E7" s="89"/>
      <c r="F7" s="89"/>
      <c r="G7" s="89"/>
      <c r="H7" s="89"/>
      <c r="I7" s="89"/>
      <c r="J7" s="89"/>
      <c r="K7" s="89"/>
      <c r="L7" s="214"/>
      <c r="M7" s="215"/>
      <c r="N7" s="216"/>
    </row>
    <row r="8" customFormat="false" ht="12.75" hidden="false" customHeight="true" outlineLevel="0" collapsed="false">
      <c r="A8" s="83"/>
      <c r="B8" s="89"/>
      <c r="C8" s="89"/>
      <c r="D8" s="89"/>
      <c r="E8" s="89"/>
      <c r="F8" s="89"/>
      <c r="G8" s="89"/>
      <c r="H8" s="89"/>
      <c r="I8" s="89"/>
      <c r="J8" s="89"/>
      <c r="K8" s="89"/>
      <c r="L8" s="217"/>
      <c r="M8" s="218"/>
      <c r="N8" s="216"/>
    </row>
    <row r="9" customFormat="false" ht="12.75" hidden="false" customHeight="true" outlineLevel="0" collapsed="false">
      <c r="A9" s="83"/>
      <c r="B9" s="91" t="s">
        <v>28</v>
      </c>
      <c r="C9" s="219" t="s">
        <v>128</v>
      </c>
      <c r="D9" s="220"/>
      <c r="E9" s="220"/>
      <c r="F9" s="220"/>
      <c r="G9" s="220"/>
      <c r="H9" s="220"/>
      <c r="I9" s="220"/>
      <c r="J9" s="220"/>
      <c r="K9" s="221"/>
      <c r="L9" s="217"/>
      <c r="M9" s="218"/>
      <c r="N9" s="216"/>
    </row>
    <row r="10" customFormat="false" ht="12.75" hidden="false" customHeight="true" outlineLevel="0" collapsed="false">
      <c r="A10" s="83"/>
      <c r="B10" s="91" t="s">
        <v>30</v>
      </c>
      <c r="C10" s="93" t="s">
        <v>129</v>
      </c>
      <c r="D10" s="222"/>
      <c r="E10" s="223"/>
      <c r="F10" s="223"/>
      <c r="G10" s="223"/>
      <c r="H10" s="223"/>
      <c r="I10" s="223"/>
      <c r="J10" s="223"/>
      <c r="K10" s="168"/>
      <c r="L10" s="96"/>
      <c r="M10" s="53"/>
      <c r="N10" s="27"/>
    </row>
    <row r="11" customFormat="false" ht="12.75" hidden="false" customHeight="false" outlineLevel="0" collapsed="false">
      <c r="A11" s="83"/>
      <c r="B11" s="165"/>
      <c r="C11" s="224"/>
      <c r="D11" s="225"/>
      <c r="E11" s="223"/>
      <c r="F11" s="223"/>
      <c r="G11" s="223"/>
      <c r="H11" s="223"/>
      <c r="I11" s="223"/>
      <c r="J11" s="223"/>
      <c r="K11" s="168"/>
      <c r="L11" s="96"/>
      <c r="M11" s="53"/>
      <c r="N11" s="27"/>
    </row>
    <row r="12" customFormat="false" ht="12.75" hidden="false" customHeight="false" outlineLevel="0" collapsed="false">
      <c r="A12" s="83"/>
      <c r="B12" s="165"/>
      <c r="C12" s="226" t="s">
        <v>100</v>
      </c>
      <c r="D12" s="225"/>
      <c r="E12" s="227"/>
      <c r="F12" s="223"/>
      <c r="G12" s="223"/>
      <c r="H12" s="223"/>
      <c r="I12" s="223"/>
      <c r="J12" s="223"/>
      <c r="K12" s="168"/>
      <c r="L12" s="96"/>
      <c r="M12" s="53"/>
      <c r="N12" s="27"/>
    </row>
    <row r="13" customFormat="false" ht="12.75" hidden="false" customHeight="false" outlineLevel="0" collapsed="false">
      <c r="A13" s="83"/>
      <c r="B13" s="165"/>
      <c r="C13" s="225" t="s">
        <v>28</v>
      </c>
      <c r="D13" s="222" t="s">
        <v>130</v>
      </c>
      <c r="E13" s="227"/>
      <c r="F13" s="223"/>
      <c r="G13" s="223"/>
      <c r="H13" s="223"/>
      <c r="I13" s="223"/>
      <c r="J13" s="223"/>
      <c r="K13" s="168"/>
      <c r="L13" s="96"/>
      <c r="M13" s="53"/>
      <c r="N13" s="27"/>
    </row>
    <row r="14" customFormat="false" ht="12.75" hidden="false" customHeight="false" outlineLevel="0" collapsed="false">
      <c r="A14" s="83"/>
      <c r="B14" s="165"/>
      <c r="C14" s="225" t="s">
        <v>30</v>
      </c>
      <c r="D14" s="222" t="s">
        <v>131</v>
      </c>
      <c r="E14" s="223"/>
      <c r="F14" s="223"/>
      <c r="G14" s="223"/>
      <c r="H14" s="223"/>
      <c r="I14" s="223"/>
      <c r="J14" s="223"/>
      <c r="K14" s="168"/>
      <c r="L14" s="96"/>
      <c r="M14" s="53"/>
      <c r="N14" s="27"/>
    </row>
    <row r="15" customFormat="false" ht="12.75" hidden="false" customHeight="false" outlineLevel="0" collapsed="false">
      <c r="A15" s="83"/>
      <c r="B15" s="228"/>
      <c r="C15" s="225" t="s">
        <v>32</v>
      </c>
      <c r="D15" s="229" t="s">
        <v>132</v>
      </c>
      <c r="E15" s="230"/>
      <c r="F15" s="230"/>
      <c r="G15" s="230"/>
      <c r="H15" s="230"/>
      <c r="I15" s="230"/>
      <c r="J15" s="230"/>
      <c r="K15" s="231"/>
      <c r="L15" s="96"/>
      <c r="M15" s="53"/>
      <c r="N15" s="27"/>
    </row>
    <row r="16" customFormat="false" ht="12.75" hidden="false" customHeight="false" outlineLevel="0" collapsed="false">
      <c r="A16" s="83"/>
      <c r="B16" s="228"/>
      <c r="C16" s="225" t="s">
        <v>34</v>
      </c>
      <c r="D16" s="229" t="s">
        <v>133</v>
      </c>
      <c r="E16" s="230"/>
      <c r="F16" s="230"/>
      <c r="G16" s="230"/>
      <c r="H16" s="230"/>
      <c r="I16" s="230"/>
      <c r="J16" s="230"/>
      <c r="K16" s="231"/>
      <c r="L16" s="96"/>
      <c r="M16" s="53"/>
      <c r="N16" s="27"/>
    </row>
    <row r="17" customFormat="false" ht="13.5" hidden="false" customHeight="false" outlineLevel="0" collapsed="false">
      <c r="A17" s="83"/>
      <c r="B17" s="172"/>
      <c r="C17" s="173"/>
      <c r="D17" s="173"/>
      <c r="E17" s="173"/>
      <c r="F17" s="173"/>
      <c r="G17" s="173"/>
      <c r="H17" s="174"/>
      <c r="I17" s="174"/>
      <c r="J17" s="174"/>
      <c r="K17" s="175"/>
      <c r="L17" s="96"/>
      <c r="M17" s="53"/>
      <c r="N17" s="27"/>
    </row>
    <row r="18" customFormat="false" ht="13.5" hidden="false" customHeight="false" outlineLevel="0" collapsed="false">
      <c r="A18" s="83"/>
      <c r="B18" s="74"/>
      <c r="C18" s="74"/>
      <c r="D18" s="232"/>
      <c r="E18" s="74"/>
      <c r="F18" s="74"/>
      <c r="G18" s="74"/>
      <c r="H18" s="74"/>
      <c r="I18" s="74"/>
      <c r="J18" s="74"/>
      <c r="K18" s="74"/>
      <c r="L18" s="53"/>
      <c r="M18" s="53"/>
    </row>
    <row r="19" customFormat="false" ht="12.75" hidden="false" customHeight="false" outlineLevel="0" collapsed="false">
      <c r="A19" s="30"/>
      <c r="B19" s="0"/>
      <c r="C19" s="0"/>
      <c r="D19" s="32"/>
      <c r="E19" s="0"/>
      <c r="F19" s="0"/>
      <c r="G19" s="0"/>
      <c r="H19" s="0"/>
      <c r="I19" s="0"/>
      <c r="J19" s="0"/>
      <c r="K19" s="0"/>
    </row>
    <row r="20" customFormat="false" ht="12.75" hidden="false" customHeight="false" outlineLevel="0" collapsed="false">
      <c r="A20" s="30"/>
      <c r="B20" s="0"/>
      <c r="C20" s="233" t="s">
        <v>134</v>
      </c>
      <c r="D20" s="234" t="s">
        <v>135</v>
      </c>
      <c r="E20" s="234"/>
      <c r="F20" s="234"/>
      <c r="G20" s="234"/>
      <c r="H20" s="234"/>
      <c r="I20" s="234"/>
      <c r="J20" s="234"/>
      <c r="K20" s="0"/>
    </row>
    <row r="21" customFormat="false" ht="12.75" hidden="false" customHeight="false" outlineLevel="0" collapsed="false">
      <c r="A21" s="30"/>
      <c r="B21" s="0"/>
      <c r="C21" s="233"/>
      <c r="D21" s="234"/>
      <c r="E21" s="234"/>
      <c r="F21" s="234"/>
      <c r="G21" s="234"/>
      <c r="H21" s="234"/>
      <c r="I21" s="234"/>
      <c r="J21" s="234"/>
      <c r="K21" s="0"/>
    </row>
    <row r="22" customFormat="false" ht="13.5" hidden="false" customHeight="false" outlineLevel="0" collapsed="false">
      <c r="A22" s="30"/>
      <c r="B22" s="0"/>
      <c r="C22" s="0"/>
      <c r="D22" s="235"/>
      <c r="E22" s="29"/>
      <c r="F22" s="236" t="s">
        <v>136</v>
      </c>
      <c r="G22" s="236"/>
      <c r="H22" s="29"/>
      <c r="I22" s="29"/>
      <c r="J22" s="29"/>
      <c r="K22" s="0"/>
    </row>
    <row r="23" customFormat="false" ht="13.5" hidden="false" customHeight="false" outlineLevel="0" collapsed="false">
      <c r="A23" s="30"/>
      <c r="B23" s="0"/>
      <c r="C23" s="30"/>
      <c r="D23" s="237" t="s">
        <v>137</v>
      </c>
      <c r="E23" s="238" t="s">
        <v>3</v>
      </c>
      <c r="F23" s="239" t="s">
        <v>138</v>
      </c>
      <c r="G23" s="239"/>
      <c r="H23" s="239" t="s">
        <v>139</v>
      </c>
      <c r="I23" s="239"/>
      <c r="J23" s="240" t="str">
        <f aca="false">CONCATENATE("JEDEC Bit Field Values (",_user_sdram_type,"-",_sdram_data_rate," @ ",_ddr_pll_freq," MHz)")</f>
        <v>JEDEC Bit Field Values (DDR3/L-1866 @ 532 MHz)</v>
      </c>
      <c r="K23" s="32"/>
    </row>
    <row r="24" customFormat="false" ht="12.75" hidden="false" customHeight="false" outlineLevel="0" collapsed="false">
      <c r="A24" s="30"/>
      <c r="B24" s="0"/>
      <c r="C24" s="30"/>
      <c r="D24" s="237"/>
      <c r="E24" s="238"/>
      <c r="F24" s="241" t="s">
        <v>140</v>
      </c>
      <c r="G24" s="241" t="s">
        <v>141</v>
      </c>
      <c r="H24" s="241" t="s">
        <v>46</v>
      </c>
      <c r="I24" s="241" t="s">
        <v>47</v>
      </c>
      <c r="J24" s="240"/>
      <c r="K24" s="32"/>
    </row>
    <row r="25" customFormat="false" ht="12.75" hidden="false" customHeight="false" outlineLevel="0" collapsed="false">
      <c r="A25" s="30"/>
      <c r="B25" s="0"/>
      <c r="C25" s="30"/>
      <c r="D25" s="242" t="s">
        <v>142</v>
      </c>
      <c r="E25" s="243" t="s">
        <v>143</v>
      </c>
      <c r="F25" s="244" t="n">
        <v>13</v>
      </c>
      <c r="G25" s="245"/>
      <c r="H25" s="245" t="n">
        <f aca="true">_t_cl_user</f>
        <v>13</v>
      </c>
      <c r="I25" s="124" t="s">
        <v>140</v>
      </c>
      <c r="J25" s="246" t="n">
        <f aca="true">_sdram_cl</f>
        <v>7</v>
      </c>
      <c r="K25" s="32"/>
    </row>
    <row r="26" customFormat="false" ht="12.75" hidden="false" customHeight="false" outlineLevel="0" collapsed="false">
      <c r="A26" s="30"/>
      <c r="B26" s="0"/>
      <c r="C26" s="30"/>
      <c r="D26" s="242" t="s">
        <v>144</v>
      </c>
      <c r="E26" s="243" t="s">
        <v>145</v>
      </c>
      <c r="F26" s="244" t="n">
        <v>7</v>
      </c>
      <c r="G26" s="245"/>
      <c r="H26" s="245" t="n">
        <f aca="false">_t_cwl_user</f>
        <v>7</v>
      </c>
      <c r="I26" s="124" t="s">
        <v>140</v>
      </c>
      <c r="J26" s="246" t="n">
        <f aca="true">_sdram_cwl_jedec</f>
        <v>6</v>
      </c>
      <c r="K26" s="32"/>
    </row>
    <row r="27" customFormat="false" ht="12.75" hidden="false" customHeight="false" outlineLevel="0" collapsed="false">
      <c r="A27" s="65"/>
      <c r="B27" s="76"/>
      <c r="C27" s="30"/>
      <c r="D27" s="247" t="s">
        <v>146</v>
      </c>
      <c r="E27" s="132" t="s">
        <v>147</v>
      </c>
      <c r="F27" s="248"/>
      <c r="G27" s="249" t="n">
        <v>13.91</v>
      </c>
      <c r="H27" s="250" t="n">
        <f aca="false">_t_rp_user</f>
        <v>7</v>
      </c>
      <c r="I27" s="124" t="s">
        <v>140</v>
      </c>
      <c r="J27" s="251" t="n">
        <f aca="false">_t_rp_jedec</f>
        <v>7</v>
      </c>
      <c r="K27" s="32"/>
    </row>
    <row r="28" customFormat="false" ht="12.75" hidden="false" customHeight="false" outlineLevel="0" collapsed="false">
      <c r="A28" s="65"/>
      <c r="B28" s="76"/>
      <c r="C28" s="30"/>
      <c r="D28" s="247" t="s">
        <v>148</v>
      </c>
      <c r="E28" s="132" t="s">
        <v>149</v>
      </c>
      <c r="F28" s="248"/>
      <c r="G28" s="249" t="n">
        <v>13.91</v>
      </c>
      <c r="H28" s="250" t="n">
        <f aca="false">_t_rcd_user</f>
        <v>7</v>
      </c>
      <c r="I28" s="124" t="s">
        <v>140</v>
      </c>
      <c r="J28" s="251" t="n">
        <f aca="false">_t_rcd_jedec</f>
        <v>7</v>
      </c>
      <c r="K28" s="32"/>
    </row>
    <row r="29" customFormat="false" ht="12.75" hidden="false" customHeight="false" outlineLevel="0" collapsed="false">
      <c r="A29" s="65"/>
      <c r="B29" s="76"/>
      <c r="C29" s="30"/>
      <c r="D29" s="247" t="s">
        <v>150</v>
      </c>
      <c r="E29" s="132" t="s">
        <v>151</v>
      </c>
      <c r="F29" s="248"/>
      <c r="G29" s="249" t="n">
        <v>15</v>
      </c>
      <c r="H29" s="250" t="n">
        <f aca="false">_t_wr_user</f>
        <v>7</v>
      </c>
      <c r="I29" s="124" t="s">
        <v>140</v>
      </c>
      <c r="J29" s="251" t="n">
        <f aca="false">_t_wr_jedec</f>
        <v>7</v>
      </c>
      <c r="K29" s="32"/>
    </row>
    <row r="30" customFormat="false" ht="12.75" hidden="false" customHeight="false" outlineLevel="0" collapsed="false">
      <c r="A30" s="65"/>
      <c r="B30" s="76"/>
      <c r="C30" s="30"/>
      <c r="D30" s="247" t="s">
        <v>152</v>
      </c>
      <c r="E30" s="132" t="s">
        <v>153</v>
      </c>
      <c r="F30" s="248"/>
      <c r="G30" s="249" t="n">
        <v>34</v>
      </c>
      <c r="H30" s="250" t="n">
        <f aca="false">_t_ras_user</f>
        <v>18</v>
      </c>
      <c r="I30" s="124" t="s">
        <v>140</v>
      </c>
      <c r="J30" s="251" t="n">
        <f aca="false">_t_ras_jedec</f>
        <v>18</v>
      </c>
      <c r="K30" s="32"/>
    </row>
    <row r="31" customFormat="false" ht="12.75" hidden="false" customHeight="false" outlineLevel="0" collapsed="false">
      <c r="A31" s="65"/>
      <c r="B31" s="76"/>
      <c r="C31" s="30"/>
      <c r="D31" s="247" t="s">
        <v>154</v>
      </c>
      <c r="E31" s="132" t="s">
        <v>155</v>
      </c>
      <c r="F31" s="248"/>
      <c r="G31" s="249" t="n">
        <v>47.91</v>
      </c>
      <c r="H31" s="250" t="n">
        <f aca="false">_t_rc_user</f>
        <v>25</v>
      </c>
      <c r="I31" s="124" t="s">
        <v>140</v>
      </c>
      <c r="J31" s="251" t="n">
        <f aca="false">_t_rc_jedec</f>
        <v>25</v>
      </c>
      <c r="K31" s="32"/>
    </row>
    <row r="32" customFormat="false" ht="12.75" hidden="false" customHeight="false" outlineLevel="0" collapsed="false">
      <c r="A32" s="65"/>
      <c r="B32" s="76"/>
      <c r="C32" s="30"/>
      <c r="D32" s="247" t="s">
        <v>156</v>
      </c>
      <c r="E32" s="132" t="s">
        <v>157</v>
      </c>
      <c r="F32" s="122" t="n">
        <v>4</v>
      </c>
      <c r="G32" s="249" t="n">
        <v>7.5</v>
      </c>
      <c r="H32" s="250" t="n">
        <f aca="false">_t_rrd_user</f>
        <v>4</v>
      </c>
      <c r="I32" s="124" t="s">
        <v>140</v>
      </c>
      <c r="J32" s="251" t="n">
        <f aca="false">MAX(_t_rrd_jedec,_t_faw_jedec)</f>
        <v>4</v>
      </c>
      <c r="K32" s="32"/>
    </row>
    <row r="33" customFormat="false" ht="12.75" hidden="false" customHeight="false" outlineLevel="0" collapsed="false">
      <c r="A33" s="65"/>
      <c r="B33" s="76"/>
      <c r="C33" s="30"/>
      <c r="D33" s="247" t="s">
        <v>158</v>
      </c>
      <c r="E33" s="132" t="s">
        <v>159</v>
      </c>
      <c r="F33" s="122" t="n">
        <v>4</v>
      </c>
      <c r="G33" s="249" t="n">
        <v>7.5</v>
      </c>
      <c r="H33" s="250" t="n">
        <f aca="false">_t_wtr_user</f>
        <v>3</v>
      </c>
      <c r="I33" s="124" t="s">
        <v>140</v>
      </c>
      <c r="J33" s="251" t="n">
        <f aca="false">_t_wtr_jedec</f>
        <v>3</v>
      </c>
      <c r="K33" s="32"/>
    </row>
    <row r="34" customFormat="false" ht="12.75" hidden="false" customHeight="false" outlineLevel="0" collapsed="false">
      <c r="A34" s="65"/>
      <c r="B34" s="76"/>
      <c r="C34" s="30"/>
      <c r="D34" s="247" t="s">
        <v>160</v>
      </c>
      <c r="E34" s="132" t="s">
        <v>161</v>
      </c>
      <c r="F34" s="122" t="n">
        <v>3</v>
      </c>
      <c r="G34" s="249" t="n">
        <v>6</v>
      </c>
      <c r="H34" s="250" t="n">
        <f aca="false">_t_xp_user</f>
        <v>3</v>
      </c>
      <c r="I34" s="124" t="s">
        <v>140</v>
      </c>
      <c r="J34" s="251" t="n">
        <f aca="false">_t_xp_jedec</f>
        <v>3</v>
      </c>
      <c r="K34" s="32"/>
    </row>
    <row r="35" customFormat="false" ht="12.75" hidden="false" customHeight="false" outlineLevel="0" collapsed="false">
      <c r="A35" s="65"/>
      <c r="B35" s="76"/>
      <c r="C35" s="30"/>
      <c r="D35" s="247" t="s">
        <v>162</v>
      </c>
      <c r="E35" s="132" t="s">
        <v>163</v>
      </c>
      <c r="F35" s="122" t="n">
        <v>5</v>
      </c>
      <c r="G35" s="249" t="n">
        <v>360</v>
      </c>
      <c r="H35" s="250" t="n">
        <f aca="false">_t_xsnr_user</f>
        <v>191</v>
      </c>
      <c r="I35" s="124" t="s">
        <v>140</v>
      </c>
      <c r="J35" s="251" t="n">
        <f aca="false">_t_xsnr_jedec</f>
        <v>191</v>
      </c>
      <c r="K35" s="32"/>
    </row>
    <row r="36" customFormat="false" ht="12.75" hidden="false" customHeight="false" outlineLevel="0" collapsed="false">
      <c r="A36" s="65"/>
      <c r="B36" s="76"/>
      <c r="C36" s="30"/>
      <c r="D36" s="247" t="s">
        <v>164</v>
      </c>
      <c r="E36" s="132" t="s">
        <v>165</v>
      </c>
      <c r="F36" s="122" t="n">
        <v>512</v>
      </c>
      <c r="G36" s="252"/>
      <c r="H36" s="250" t="n">
        <f aca="false">_t_xsrd_user</f>
        <v>511</v>
      </c>
      <c r="I36" s="124" t="s">
        <v>140</v>
      </c>
      <c r="J36" s="251" t="n">
        <f aca="false">_t_xsrd_jedec</f>
        <v>511</v>
      </c>
      <c r="K36" s="32"/>
    </row>
    <row r="37" customFormat="false" ht="12.75" hidden="false" customHeight="false" outlineLevel="0" collapsed="false">
      <c r="A37" s="65"/>
      <c r="B37" s="76"/>
      <c r="C37" s="30"/>
      <c r="D37" s="247" t="s">
        <v>166</v>
      </c>
      <c r="E37" s="132" t="s">
        <v>167</v>
      </c>
      <c r="F37" s="122" t="n">
        <v>4</v>
      </c>
      <c r="G37" s="249" t="n">
        <v>7.5</v>
      </c>
      <c r="H37" s="250" t="n">
        <f aca="false">_t_rtp_user</f>
        <v>3</v>
      </c>
      <c r="I37" s="124" t="s">
        <v>140</v>
      </c>
      <c r="J37" s="251" t="n">
        <f aca="false">_t_rtp_jedec</f>
        <v>3</v>
      </c>
      <c r="K37" s="32"/>
    </row>
    <row r="38" customFormat="false" ht="12.75" hidden="false" customHeight="false" outlineLevel="0" collapsed="false">
      <c r="A38" s="65"/>
      <c r="B38" s="76"/>
      <c r="C38" s="30"/>
      <c r="D38" s="247" t="s">
        <v>168</v>
      </c>
      <c r="E38" s="132" t="s">
        <v>169</v>
      </c>
      <c r="F38" s="122" t="n">
        <v>3</v>
      </c>
      <c r="G38" s="249" t="n">
        <v>5</v>
      </c>
      <c r="H38" s="250" t="n">
        <f aca="false">_t_cke_user</f>
        <v>2</v>
      </c>
      <c r="I38" s="124" t="s">
        <v>140</v>
      </c>
      <c r="J38" s="251" t="n">
        <f aca="false">_t_cke_jedec</f>
        <v>2</v>
      </c>
      <c r="K38" s="32"/>
    </row>
    <row r="39" customFormat="false" ht="12.75" hidden="false" customHeight="false" outlineLevel="0" collapsed="false">
      <c r="A39" s="65"/>
      <c r="B39" s="76"/>
      <c r="C39" s="30"/>
      <c r="D39" s="247" t="s">
        <v>170</v>
      </c>
      <c r="E39" s="132" t="s">
        <v>171</v>
      </c>
      <c r="F39" s="125" t="n">
        <v>4</v>
      </c>
      <c r="G39" s="253"/>
      <c r="H39" s="250" t="n">
        <f aca="false">_t_ckesr_user</f>
        <v>3</v>
      </c>
      <c r="I39" s="124" t="s">
        <v>140</v>
      </c>
      <c r="J39" s="251" t="n">
        <f aca="false">_t_ckesr_jedec</f>
        <v>3</v>
      </c>
      <c r="K39" s="32"/>
    </row>
    <row r="40" customFormat="false" ht="12.75" hidden="false" customHeight="false" outlineLevel="0" collapsed="false">
      <c r="A40" s="65"/>
      <c r="B40" s="76"/>
      <c r="C40" s="30"/>
      <c r="D40" s="247" t="s">
        <v>172</v>
      </c>
      <c r="E40" s="132" t="s">
        <v>173</v>
      </c>
      <c r="F40" s="122" t="n">
        <v>64</v>
      </c>
      <c r="G40" s="249" t="n">
        <v>80</v>
      </c>
      <c r="H40" s="250" t="n">
        <f aca="false">_t_zqcs_user</f>
        <v>63</v>
      </c>
      <c r="I40" s="124" t="s">
        <v>140</v>
      </c>
      <c r="J40" s="251" t="n">
        <f aca="false">_t_zqcs_jedec</f>
        <v>63</v>
      </c>
      <c r="K40" s="32"/>
    </row>
    <row r="41" customFormat="false" ht="12.75" hidden="false" customHeight="false" outlineLevel="0" collapsed="false">
      <c r="A41" s="65"/>
      <c r="B41" s="76"/>
      <c r="C41" s="30"/>
      <c r="D41" s="247" t="s">
        <v>174</v>
      </c>
      <c r="E41" s="132" t="s">
        <v>175</v>
      </c>
      <c r="F41" s="248"/>
      <c r="G41" s="249" t="n">
        <v>350</v>
      </c>
      <c r="H41" s="250" t="n">
        <f aca="false">_t_rfc_user</f>
        <v>186</v>
      </c>
      <c r="I41" s="124" t="s">
        <v>140</v>
      </c>
      <c r="J41" s="251" t="n">
        <f aca="false">_t_rfc_jedec</f>
        <v>186</v>
      </c>
      <c r="K41" s="32"/>
    </row>
    <row r="42" customFormat="false" ht="12.75" hidden="false" customHeight="false" outlineLevel="0" collapsed="false">
      <c r="A42" s="65"/>
      <c r="B42" s="76"/>
      <c r="C42" s="30"/>
      <c r="D42" s="254" t="s">
        <v>176</v>
      </c>
      <c r="E42" s="131" t="s">
        <v>177</v>
      </c>
      <c r="F42" s="248"/>
      <c r="G42" s="249" t="n">
        <v>70200</v>
      </c>
      <c r="H42" s="250" t="n">
        <f aca="false">_t_ras_max_user</f>
        <v>8</v>
      </c>
      <c r="I42" s="124" t="s">
        <v>178</v>
      </c>
      <c r="J42" s="255" t="n">
        <f aca="false">_t_ras_max_jedec</f>
        <v>8</v>
      </c>
      <c r="K42" s="32"/>
    </row>
    <row r="43" customFormat="false" ht="12.75" hidden="false" customHeight="false" outlineLevel="0" collapsed="false">
      <c r="A43" s="76"/>
      <c r="B43" s="76"/>
      <c r="C43" s="256"/>
      <c r="D43" s="254" t="s">
        <v>179</v>
      </c>
      <c r="E43" s="131" t="s">
        <v>180</v>
      </c>
      <c r="F43" s="257"/>
      <c r="G43" s="258" t="n">
        <v>7800</v>
      </c>
      <c r="H43" s="259" t="n">
        <f aca="false">_t_refi_user</f>
        <v>4149</v>
      </c>
      <c r="I43" s="130" t="s">
        <v>140</v>
      </c>
      <c r="J43" s="260" t="n">
        <f aca="false">_t_refi_jedec</f>
        <v>4149</v>
      </c>
      <c r="K43" s="32"/>
    </row>
    <row r="44" customFormat="false" ht="13.5" hidden="false" customHeight="false" outlineLevel="0" collapsed="false">
      <c r="C44" s="30"/>
      <c r="D44" s="261" t="s">
        <v>181</v>
      </c>
      <c r="E44" s="136" t="s">
        <v>182</v>
      </c>
      <c r="F44" s="262"/>
      <c r="G44" s="263" t="n">
        <v>33</v>
      </c>
      <c r="H44" s="264" t="s">
        <v>183</v>
      </c>
      <c r="I44" s="138" t="s">
        <v>50</v>
      </c>
      <c r="J44" s="265" t="n">
        <f aca="false">_t_faw_jedec</f>
        <v>4</v>
      </c>
      <c r="K44" s="32"/>
    </row>
    <row r="45" customFormat="false" ht="13.5" hidden="false" customHeight="false" outlineLevel="0" collapsed="false">
      <c r="D45" s="140"/>
      <c r="E45" s="140"/>
      <c r="F45" s="140"/>
      <c r="G45" s="140"/>
      <c r="H45" s="140"/>
      <c r="I45" s="140"/>
      <c r="J45" s="140"/>
    </row>
  </sheetData>
  <sheetProtection sheet="true" objects="true" scenarios="true"/>
  <mergeCells count="12">
    <mergeCell ref="B2:K2"/>
    <mergeCell ref="B3:K3"/>
    <mergeCell ref="B4:K6"/>
    <mergeCell ref="B7:K8"/>
    <mergeCell ref="C20:C21"/>
    <mergeCell ref="D20:J21"/>
    <mergeCell ref="F22:G22"/>
    <mergeCell ref="D23:D24"/>
    <mergeCell ref="E23:E24"/>
    <mergeCell ref="F23:G23"/>
    <mergeCell ref="H23:I23"/>
    <mergeCell ref="J23:J24"/>
  </mergeCells>
  <conditionalFormatting sqref="H27:H41">
    <cfRule type="cellIs" priority="2" operator="lessThan" aboveAverage="0" equalAverage="0" bottom="0" percent="0" rank="0" text="" dxfId="0">
      <formula>$J27</formula>
    </cfRule>
  </conditionalFormatting>
  <conditionalFormatting sqref="H42:H43">
    <cfRule type="cellIs" priority="3" operator="greaterThan" aboveAverage="0" equalAverage="0" bottom="0" percent="0" rank="0" text="" dxfId="0">
      <formula>J42</formula>
    </cfRule>
  </conditionalFormatting>
  <conditionalFormatting sqref="H25">
    <cfRule type="cellIs" priority="4" operator="lessThan" aboveAverage="0" equalAverage="0" bottom="0" percent="0" rank="0" text="" dxfId="0">
      <formula>$J25</formula>
    </cfRule>
  </conditionalFormatting>
  <conditionalFormatting sqref="H26">
    <cfRule type="expression" priority="5" aboveAverage="0" equalAverage="0" bottom="0" percent="0" rank="0" text="" dxfId="0">
      <formula>IF(_sdram_type="DDR3/L",H26&lt;J26,0)</formula>
    </cfRule>
  </conditionalFormatting>
  <conditionalFormatting sqref="G43">
    <cfRule type="expression" priority="6" aboveAverage="0" equalAverage="0" bottom="0" percent="0" rank="0" text="" dxfId="0">
      <formula>(G43*_ddr_pll_freq/1000)&lt;H43</formula>
    </cfRule>
  </conditionalFormatting>
  <dataValidations count="9">
    <dataValidation allowBlank="true" operator="equal" showDropDown="false" showErrorMessage="true" showInputMessage="true" sqref="G27:G43 F42 G44" type="none">
      <formula1>0</formula1>
      <formula2>0</formula2>
    </dataValidation>
    <dataValidation allowBlank="true" operator="between" prompt="Value must be between 5 and 8. Value only applies to DDR3." showDropDown="false" showErrorMessage="true" showInputMessage="true" sqref="F26" type="whole">
      <formula1>5</formula1>
      <formula2>8</formula2>
    </dataValidation>
    <dataValidation allowBlank="true" operator="between" showDropDown="false" showErrorMessage="true" showInputMessage="true" sqref="F27:F29" type="whole">
      <formula1>0</formula1>
      <formula2>16</formula2>
    </dataValidation>
    <dataValidation allowBlank="true" operator="between" showDropDown="false" showErrorMessage="true" showInputMessage="true" sqref="F30 F44" type="whole">
      <formula1>0</formula1>
      <formula2>32</formula2>
    </dataValidation>
    <dataValidation allowBlank="true" operator="between" showDropDown="false" showErrorMessage="true" showInputMessage="true" sqref="F31 F40" type="whole">
      <formula1>0</formula1>
      <formula2>64</formula2>
    </dataValidation>
    <dataValidation allowBlank="true" operator="between" showDropDown="false" showErrorMessage="true" showInputMessage="true" sqref="F32:F34 F37:F39" type="whole">
      <formula1>0</formula1>
      <formula2>8</formula2>
    </dataValidation>
    <dataValidation allowBlank="true" operator="between" showDropDown="false" showErrorMessage="true" showInputMessage="true" sqref="F35 F41" type="whole">
      <formula1>0</formula1>
      <formula2>512</formula2>
    </dataValidation>
    <dataValidation allowBlank="true" operator="between" showDropDown="false" showErrorMessage="true" showInputMessage="true" sqref="F36" type="whole">
      <formula1>0</formula1>
      <formula2>1024</formula2>
    </dataValidation>
    <dataValidation allowBlank="true" operator="between" showDropDown="false" showErrorMessage="true" showInputMessage="true" sqref="F43" type="whole">
      <formula1>0</formula1>
      <formula2>65536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2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6" activeCellId="0" sqref="I16"/>
    </sheetView>
  </sheetViews>
  <sheetFormatPr defaultRowHeight="12.75" zeroHeight="false" outlineLevelRow="0" outlineLevelCol="0"/>
  <cols>
    <col collapsed="false" customWidth="true" hidden="false" outlineLevel="0" max="1" min="1" style="266" width="7.42"/>
    <col collapsed="false" customWidth="true" hidden="false" outlineLevel="0" max="2" min="2" style="266" width="45.57"/>
    <col collapsed="false" customWidth="true" hidden="false" outlineLevel="0" max="3" min="3" style="267" width="4.86"/>
    <col collapsed="false" customWidth="true" hidden="false" outlineLevel="0" max="4" min="4" style="266" width="9.58"/>
    <col collapsed="false" customWidth="true" hidden="false" outlineLevel="0" max="5" min="5" style="266" width="10"/>
    <col collapsed="false" customWidth="true" hidden="false" outlineLevel="0" max="6" min="6" style="267" width="12.14"/>
    <col collapsed="false" customWidth="true" hidden="false" outlineLevel="0" max="7" min="7" style="267" width="10.58"/>
    <col collapsed="false" customWidth="true" hidden="false" outlineLevel="0" max="8" min="8" style="268" width="9.14"/>
    <col collapsed="false" customWidth="true" hidden="false" outlineLevel="0" max="40" min="9" style="266" width="6.71"/>
    <col collapsed="false" customWidth="true" hidden="false" outlineLevel="0" max="1025" min="41" style="268" width="9.14"/>
  </cols>
  <sheetData>
    <row r="1" customFormat="false" ht="12.75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5" s="270" customFormat="true" ht="12.75" hidden="false" customHeight="false" outlineLevel="0" collapsed="false">
      <c r="A5" s="269" t="s">
        <v>184</v>
      </c>
      <c r="B5" s="269" t="s">
        <v>185</v>
      </c>
      <c r="C5" s="269" t="s">
        <v>186</v>
      </c>
      <c r="D5" s="269" t="s">
        <v>187</v>
      </c>
      <c r="E5" s="269" t="s">
        <v>187</v>
      </c>
      <c r="F5" s="269" t="s">
        <v>188</v>
      </c>
      <c r="G5" s="269" t="s">
        <v>189</v>
      </c>
      <c r="I5" s="271" t="n">
        <v>31</v>
      </c>
      <c r="J5" s="271" t="n">
        <v>30</v>
      </c>
      <c r="K5" s="271" t="n">
        <v>29</v>
      </c>
      <c r="L5" s="271" t="n">
        <v>28</v>
      </c>
      <c r="M5" s="271" t="n">
        <v>27</v>
      </c>
      <c r="N5" s="271" t="n">
        <v>26</v>
      </c>
      <c r="O5" s="271" t="n">
        <v>25</v>
      </c>
      <c r="P5" s="271" t="n">
        <v>24</v>
      </c>
      <c r="Q5" s="271" t="n">
        <v>23</v>
      </c>
      <c r="R5" s="271" t="n">
        <v>22</v>
      </c>
      <c r="S5" s="271" t="n">
        <v>21</v>
      </c>
      <c r="T5" s="271" t="n">
        <v>20</v>
      </c>
      <c r="U5" s="271" t="n">
        <v>19</v>
      </c>
      <c r="V5" s="271" t="n">
        <v>18</v>
      </c>
      <c r="W5" s="271" t="n">
        <v>17</v>
      </c>
      <c r="X5" s="271" t="n">
        <v>16</v>
      </c>
      <c r="Y5" s="271" t="n">
        <v>15</v>
      </c>
      <c r="Z5" s="271" t="n">
        <v>14</v>
      </c>
      <c r="AA5" s="271" t="n">
        <v>13</v>
      </c>
      <c r="AB5" s="271" t="n">
        <v>12</v>
      </c>
      <c r="AC5" s="271" t="n">
        <v>11</v>
      </c>
      <c r="AD5" s="271" t="n">
        <v>10</v>
      </c>
      <c r="AE5" s="271" t="n">
        <v>9</v>
      </c>
      <c r="AF5" s="271" t="n">
        <v>8</v>
      </c>
      <c r="AG5" s="271" t="n">
        <v>7</v>
      </c>
      <c r="AH5" s="271" t="n">
        <v>6</v>
      </c>
      <c r="AI5" s="271" t="n">
        <v>5</v>
      </c>
      <c r="AJ5" s="271" t="n">
        <v>4</v>
      </c>
      <c r="AK5" s="271" t="n">
        <v>3</v>
      </c>
      <c r="AL5" s="271" t="n">
        <v>2</v>
      </c>
      <c r="AM5" s="271" t="n">
        <v>1</v>
      </c>
      <c r="AN5" s="271" t="n">
        <v>0</v>
      </c>
    </row>
    <row r="6" customFormat="false" ht="12.75" hidden="false" customHeight="false" outlineLevel="0" collapsed="false">
      <c r="B6" s="266" t="s">
        <v>190</v>
      </c>
      <c r="C6" s="267" t="s">
        <v>191</v>
      </c>
      <c r="D6" s="266" t="s">
        <v>192</v>
      </c>
      <c r="E6" s="266" t="str">
        <f aca="false">CONCATENATE("0x",DEC2HEX(HEX2DEC(RIGHT(D6,3)),8))</f>
        <v>0x00000000</v>
      </c>
      <c r="F6" s="272"/>
      <c r="G6" s="272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</row>
    <row r="7" customFormat="false" ht="12.75" hidden="false" customHeight="false" outlineLevel="0" collapsed="false">
      <c r="B7" s="266" t="s">
        <v>193</v>
      </c>
      <c r="C7" s="267" t="s">
        <v>191</v>
      </c>
      <c r="D7" s="266" t="s">
        <v>194</v>
      </c>
      <c r="E7" s="266" t="str">
        <f aca="false">CONCATENATE("0x",DEC2HEX(HEX2DEC(RIGHT(D7,3)),8))</f>
        <v>0x00000004</v>
      </c>
      <c r="F7" s="272"/>
      <c r="G7" s="272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</row>
    <row r="8" customFormat="false" ht="12.75" hidden="false" customHeight="false" outlineLevel="0" collapsed="false">
      <c r="B8" s="273" t="s">
        <v>195</v>
      </c>
      <c r="C8" s="273" t="s">
        <v>196</v>
      </c>
      <c r="D8" s="273" t="s">
        <v>197</v>
      </c>
      <c r="E8" s="273" t="str">
        <f aca="false">CONCATENATE("0x",DEC2HEX(HEX2DEC(RIGHT(D8,3)),8))</f>
        <v>0x00000008</v>
      </c>
      <c r="F8" s="273" t="str">
        <f aca="true">CONCATENATE("0x",_EMIF_SDRAM_CONFIG_VAL)</f>
        <v>0x61867FB2</v>
      </c>
      <c r="G8" s="273"/>
      <c r="I8" s="274" t="s">
        <v>198</v>
      </c>
      <c r="J8" s="274"/>
      <c r="K8" s="274"/>
      <c r="L8" s="274" t="s">
        <v>199</v>
      </c>
      <c r="M8" s="274"/>
      <c r="N8" s="274" t="s">
        <v>200</v>
      </c>
      <c r="O8" s="274"/>
      <c r="P8" s="274"/>
      <c r="Q8" s="0"/>
      <c r="R8" s="274" t="s">
        <v>201</v>
      </c>
      <c r="S8" s="274"/>
      <c r="T8" s="0"/>
      <c r="U8" s="274" t="s">
        <v>202</v>
      </c>
      <c r="V8" s="274"/>
      <c r="W8" s="274" t="s">
        <v>203</v>
      </c>
      <c r="X8" s="274"/>
      <c r="Y8" s="274" t="s">
        <v>204</v>
      </c>
      <c r="Z8" s="274"/>
      <c r="AA8" s="274" t="s">
        <v>205</v>
      </c>
      <c r="AB8" s="274"/>
      <c r="AC8" s="274"/>
      <c r="AD8" s="274"/>
      <c r="AE8" s="274" t="s">
        <v>206</v>
      </c>
      <c r="AF8" s="274"/>
      <c r="AG8" s="274"/>
      <c r="AH8" s="274" t="s">
        <v>207</v>
      </c>
      <c r="AI8" s="274"/>
      <c r="AJ8" s="274"/>
      <c r="AK8" s="266" t="s">
        <v>208</v>
      </c>
      <c r="AL8" s="274" t="s">
        <v>209</v>
      </c>
      <c r="AM8" s="274"/>
      <c r="AN8" s="274"/>
    </row>
    <row r="9" customFormat="false" ht="12.75" hidden="false" customHeight="false" outlineLevel="0" collapsed="false">
      <c r="B9" s="273"/>
      <c r="C9" s="273"/>
      <c r="D9" s="273"/>
      <c r="E9" s="273"/>
      <c r="F9" s="273"/>
      <c r="G9" s="273"/>
      <c r="I9" s="274"/>
      <c r="J9" s="274"/>
      <c r="K9" s="274"/>
      <c r="L9" s="274"/>
      <c r="M9" s="274"/>
      <c r="N9" s="274"/>
      <c r="O9" s="274"/>
      <c r="P9" s="274"/>
      <c r="Q9" s="0"/>
      <c r="R9" s="274"/>
      <c r="S9" s="274"/>
      <c r="T9" s="0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0"/>
      <c r="AL9" s="274"/>
      <c r="AM9" s="274"/>
      <c r="AN9" s="274"/>
    </row>
    <row r="10" customFormat="false" ht="12.75" hidden="false" customHeight="false" outlineLevel="0" collapsed="false">
      <c r="B10" s="266" t="s">
        <v>210</v>
      </c>
      <c r="C10" s="267" t="s">
        <v>196</v>
      </c>
      <c r="D10" s="266" t="s">
        <v>211</v>
      </c>
      <c r="E10" s="266" t="str">
        <f aca="false">CONCATENATE("0x",DEC2HEX(HEX2DEC(RIGHT(D10,3)),8))</f>
        <v>0x0000000C</v>
      </c>
      <c r="F10" s="267" t="str">
        <f aca="false">CONCATENATE("0x",_EMIF_SDRAM_CONFIG_2_VAL)</f>
        <v>0x00000000</v>
      </c>
      <c r="G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</row>
    <row r="11" customFormat="false" ht="12.75" hidden="false" customHeight="false" outlineLevel="0" collapsed="false">
      <c r="B11" s="266" t="s">
        <v>212</v>
      </c>
      <c r="C11" s="267" t="s">
        <v>196</v>
      </c>
      <c r="D11" s="266" t="s">
        <v>213</v>
      </c>
      <c r="E11" s="266" t="str">
        <f aca="false">CONCATENATE("0x",DEC2HEX(HEX2DEC(RIGHT(D11,3)),8))</f>
        <v>0x00000010</v>
      </c>
      <c r="F11" s="267" t="str">
        <f aca="false">CONCATENATE("0x",_EMIF_SDRAM_REF_CTRL_VAL)</f>
        <v>0x00001035</v>
      </c>
      <c r="G11" s="267" t="str">
        <f aca="false">CONCATENATE("0x",_EMIF_SDRAM_REF_CTRL_INIT_VAL)</f>
        <v>0x000040F1</v>
      </c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</row>
    <row r="12" customFormat="false" ht="13.5" hidden="false" customHeight="false" outlineLevel="0" collapsed="false">
      <c r="B12" s="266" t="s">
        <v>214</v>
      </c>
      <c r="C12" s="267" t="s">
        <v>196</v>
      </c>
      <c r="D12" s="266" t="s">
        <v>215</v>
      </c>
      <c r="E12" s="266" t="str">
        <f aca="false">CONCATENATE("0x",DEC2HEX(HEX2DEC(RIGHT(D12,3)),8))</f>
        <v>0x00000014</v>
      </c>
      <c r="F12" s="267" t="str">
        <f aca="false">CONCATENATE("0x",_EMIF_SDRAM_REF_CTRL_VAL)</f>
        <v>0x00001035</v>
      </c>
      <c r="G12" s="267" t="str">
        <f aca="false">CONCATENATE("0x",_EMIF_SDRAM_REF_CTRL_INIT_VAL)</f>
        <v>0x000040F1</v>
      </c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</row>
    <row r="13" customFormat="false" ht="13.5" hidden="false" customHeight="false" outlineLevel="0" collapsed="false">
      <c r="B13" s="273" t="s">
        <v>216</v>
      </c>
      <c r="C13" s="273" t="s">
        <v>196</v>
      </c>
      <c r="D13" s="273" t="s">
        <v>217</v>
      </c>
      <c r="E13" s="273" t="str">
        <f aca="false">CONCATENATE("0x",DEC2HEX(HEX2DEC(RIGHT(D13,3)),8))</f>
        <v>0x00000018</v>
      </c>
      <c r="F13" s="271"/>
      <c r="G13" s="273"/>
      <c r="I13" s="275" t="s">
        <v>218</v>
      </c>
      <c r="J13" s="275"/>
      <c r="K13" s="275"/>
      <c r="L13" s="276" t="s">
        <v>219</v>
      </c>
      <c r="M13" s="276"/>
      <c r="N13" s="276"/>
      <c r="O13" s="276"/>
      <c r="P13" s="276" t="s">
        <v>220</v>
      </c>
      <c r="Q13" s="276"/>
      <c r="R13" s="276"/>
      <c r="S13" s="276"/>
      <c r="T13" s="276" t="s">
        <v>221</v>
      </c>
      <c r="U13" s="276"/>
      <c r="V13" s="276"/>
      <c r="W13" s="276"/>
      <c r="X13" s="276" t="s">
        <v>222</v>
      </c>
      <c r="Y13" s="276"/>
      <c r="Z13" s="276"/>
      <c r="AA13" s="276"/>
      <c r="AB13" s="276"/>
      <c r="AC13" s="276" t="s">
        <v>223</v>
      </c>
      <c r="AD13" s="276"/>
      <c r="AE13" s="276"/>
      <c r="AF13" s="276"/>
      <c r="AG13" s="276"/>
      <c r="AH13" s="276"/>
      <c r="AI13" s="276" t="s">
        <v>224</v>
      </c>
      <c r="AJ13" s="276"/>
      <c r="AK13" s="276"/>
      <c r="AL13" s="277" t="s">
        <v>225</v>
      </c>
      <c r="AM13" s="277"/>
      <c r="AN13" s="277"/>
    </row>
    <row r="14" customFormat="false" ht="13.5" hidden="false" customHeight="false" outlineLevel="0" collapsed="false">
      <c r="B14" s="273"/>
      <c r="C14" s="273"/>
      <c r="D14" s="273"/>
      <c r="E14" s="273"/>
      <c r="F14" s="271" t="str">
        <f aca="false">CONCATENATE("0x",_EMIF_SDRAM_TIM_1_VAL)</f>
        <v>0xCEEF2663</v>
      </c>
      <c r="G14" s="273"/>
      <c r="I14" s="278" t="n">
        <f aca="false">_t_rtw_gel</f>
        <v>6</v>
      </c>
      <c r="J14" s="278"/>
      <c r="K14" s="278"/>
      <c r="L14" s="279" t="n">
        <f aca="false">_t_rp</f>
        <v>7</v>
      </c>
      <c r="M14" s="279"/>
      <c r="N14" s="279"/>
      <c r="O14" s="279"/>
      <c r="P14" s="279" t="n">
        <f aca="false">_t_rcd</f>
        <v>7</v>
      </c>
      <c r="Q14" s="279"/>
      <c r="R14" s="279"/>
      <c r="S14" s="279"/>
      <c r="T14" s="279" t="n">
        <f aca="false">_t_wr</f>
        <v>7</v>
      </c>
      <c r="U14" s="279"/>
      <c r="V14" s="279"/>
      <c r="W14" s="279"/>
      <c r="X14" s="279" t="n">
        <f aca="false">_t_ras</f>
        <v>18</v>
      </c>
      <c r="Y14" s="279"/>
      <c r="Z14" s="279"/>
      <c r="AA14" s="279"/>
      <c r="AB14" s="279"/>
      <c r="AC14" s="279" t="n">
        <f aca="false">_t_rc</f>
        <v>25</v>
      </c>
      <c r="AD14" s="279"/>
      <c r="AE14" s="279"/>
      <c r="AF14" s="279"/>
      <c r="AG14" s="279"/>
      <c r="AH14" s="279"/>
      <c r="AI14" s="279" t="n">
        <f aca="false">_t_rrd</f>
        <v>4</v>
      </c>
      <c r="AJ14" s="279"/>
      <c r="AK14" s="279"/>
      <c r="AL14" s="280" t="n">
        <f aca="false">_t_wtr</f>
        <v>3</v>
      </c>
      <c r="AM14" s="280"/>
      <c r="AN14" s="280"/>
    </row>
    <row r="15" customFormat="false" ht="13.5" hidden="false" customHeight="false" outlineLevel="0" collapsed="false">
      <c r="B15" s="273"/>
      <c r="C15" s="273"/>
      <c r="D15" s="273"/>
      <c r="E15" s="273"/>
      <c r="F15" s="271"/>
      <c r="G15" s="271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4"/>
      <c r="AB15" s="274"/>
      <c r="AC15" s="274"/>
      <c r="AD15" s="274"/>
      <c r="AE15" s="274"/>
      <c r="AF15" s="274"/>
      <c r="AG15" s="274"/>
      <c r="AH15" s="274"/>
      <c r="AI15" s="274"/>
      <c r="AJ15" s="274"/>
      <c r="AK15" s="274"/>
      <c r="AL15" s="274"/>
      <c r="AM15" s="274"/>
      <c r="AN15" s="274"/>
    </row>
    <row r="16" customFormat="false" ht="12.75" hidden="false" customHeight="false" outlineLevel="0" collapsed="false">
      <c r="B16" s="266" t="s">
        <v>226</v>
      </c>
      <c r="C16" s="267" t="s">
        <v>196</v>
      </c>
      <c r="D16" s="266" t="s">
        <v>227</v>
      </c>
      <c r="E16" s="266" t="str">
        <f aca="false">CONCATENATE("0x",DEC2HEX(HEX2DEC(RIGHT(D16,3)),8))</f>
        <v>0x0000001C</v>
      </c>
      <c r="F16" s="267" t="str">
        <f aca="false">CONCATENATE("0x",_EMIF_SDRAM_TIM_1_VAL)</f>
        <v>0xCEEF2663</v>
      </c>
      <c r="G16" s="0"/>
    </row>
    <row r="17" customFormat="false" ht="12.75" hidden="false" customHeight="false" outlineLevel="0" collapsed="false">
      <c r="B17" s="266" t="s">
        <v>228</v>
      </c>
      <c r="C17" s="267" t="s">
        <v>196</v>
      </c>
      <c r="D17" s="266" t="s">
        <v>229</v>
      </c>
      <c r="E17" s="266" t="str">
        <f aca="false">CONCATENATE("0x",DEC2HEX(HEX2DEC(RIGHT(D17,3)),8))</f>
        <v>0x00000020</v>
      </c>
      <c r="F17" s="267" t="str">
        <f aca="false">CONCATENATE("0x",_EMIF_SDRAM_TIM_2_VAL)</f>
        <v>0x30BF7FDA</v>
      </c>
      <c r="G17" s="0"/>
    </row>
    <row r="18" customFormat="false" ht="12.75" hidden="false" customHeight="false" outlineLevel="0" collapsed="false">
      <c r="B18" s="266" t="s">
        <v>230</v>
      </c>
      <c r="C18" s="267" t="s">
        <v>196</v>
      </c>
      <c r="D18" s="266" t="s">
        <v>231</v>
      </c>
      <c r="E18" s="266" t="str">
        <f aca="false">CONCATENATE("0x",DEC2HEX(HEX2DEC(RIGHT(D18,3)),8))</f>
        <v>0x00000024</v>
      </c>
      <c r="F18" s="267" t="str">
        <f aca="false">CONCATENATE("0x",_EMIF_SDRAM_TIM_2_VAL)</f>
        <v>0x30BF7FDA</v>
      </c>
      <c r="G18" s="0"/>
    </row>
    <row r="19" customFormat="false" ht="12.75" hidden="false" customHeight="false" outlineLevel="0" collapsed="false">
      <c r="B19" s="266" t="s">
        <v>232</v>
      </c>
      <c r="C19" s="267" t="s">
        <v>196</v>
      </c>
      <c r="D19" s="266" t="s">
        <v>233</v>
      </c>
      <c r="E19" s="266" t="str">
        <f aca="false">CONCATENATE("0x",DEC2HEX(HEX2DEC(RIGHT(D19,3)),8))</f>
        <v>0x00000028</v>
      </c>
      <c r="F19" s="267" t="str">
        <f aca="false">CONCATENATE("0x",_EMIF_SDRAM_TIM_3_VAL)</f>
        <v>0x407F8BA8</v>
      </c>
      <c r="G19" s="0"/>
    </row>
    <row r="20" customFormat="false" ht="12.75" hidden="false" customHeight="false" outlineLevel="0" collapsed="false">
      <c r="B20" s="266" t="s">
        <v>234</v>
      </c>
      <c r="C20" s="267" t="s">
        <v>196</v>
      </c>
      <c r="D20" s="266" t="s">
        <v>235</v>
      </c>
      <c r="E20" s="266" t="str">
        <f aca="false">CONCATENATE("0x",DEC2HEX(HEX2DEC(RIGHT(D20,3)),8))</f>
        <v>0x0000002C</v>
      </c>
      <c r="F20" s="267" t="str">
        <f aca="false">CONCATENATE("0x",_EMIF_SDRAM_TIM_3_VAL)</f>
        <v>0x407F8BA8</v>
      </c>
      <c r="G20" s="0"/>
    </row>
    <row r="21" customFormat="false" ht="12.75" hidden="false" customHeight="false" outlineLevel="0" collapsed="false">
      <c r="B21" s="266" t="s">
        <v>236</v>
      </c>
      <c r="C21" s="267" t="s">
        <v>196</v>
      </c>
      <c r="D21" s="266" t="s">
        <v>237</v>
      </c>
      <c r="E21" s="266" t="str">
        <f aca="false">CONCATENATE("0x",DEC2HEX(HEX2DEC(RIGHT(D21,3)),8))</f>
        <v>0x00000030</v>
      </c>
      <c r="F21" s="0"/>
      <c r="G21" s="0"/>
    </row>
    <row r="22" customFormat="false" ht="12.75" hidden="false" customHeight="false" outlineLevel="0" collapsed="false">
      <c r="B22" s="266" t="s">
        <v>238</v>
      </c>
      <c r="C22" s="267" t="s">
        <v>196</v>
      </c>
      <c r="D22" s="266" t="s">
        <v>239</v>
      </c>
      <c r="E22" s="266" t="str">
        <f aca="false">CONCATENATE("0x",DEC2HEX(HEX2DEC(RIGHT(D22,3)),8))</f>
        <v>0x00000034</v>
      </c>
      <c r="F22" s="0"/>
      <c r="G22" s="0"/>
    </row>
    <row r="23" customFormat="false" ht="12.75" hidden="false" customHeight="false" outlineLevel="0" collapsed="false">
      <c r="B23" s="266" t="s">
        <v>240</v>
      </c>
      <c r="C23" s="267" t="s">
        <v>196</v>
      </c>
      <c r="D23" s="266" t="s">
        <v>241</v>
      </c>
      <c r="E23" s="266" t="str">
        <f aca="false">CONCATENATE("0x",DEC2HEX(HEX2DEC(RIGHT(D23,3)),8))</f>
        <v>0x00000038</v>
      </c>
      <c r="F23" s="0"/>
      <c r="G23" s="0"/>
    </row>
    <row r="24" customFormat="false" ht="12.75" hidden="false" customHeight="false" outlineLevel="0" collapsed="false">
      <c r="B24" s="266" t="s">
        <v>242</v>
      </c>
      <c r="C24" s="267" t="s">
        <v>196</v>
      </c>
      <c r="D24" s="266" t="s">
        <v>243</v>
      </c>
      <c r="E24" s="266" t="str">
        <f aca="false">CONCATENATE("0x",DEC2HEX(HEX2DEC(RIGHT(D24,3)),8))</f>
        <v>0x0000003C</v>
      </c>
      <c r="F24" s="0"/>
      <c r="G24" s="0"/>
    </row>
    <row r="25" customFormat="false" ht="12.75" hidden="false" customHeight="false" outlineLevel="0" collapsed="false">
      <c r="B25" s="281" t="s">
        <v>244</v>
      </c>
      <c r="C25" s="0"/>
      <c r="D25" s="266" t="s">
        <v>245</v>
      </c>
      <c r="E25" s="266" t="str">
        <f aca="false">CONCATENATE("0x",DEC2HEX(HEX2DEC(RIGHT(D25,3)),8))</f>
        <v>0x00000040</v>
      </c>
      <c r="F25" s="0"/>
      <c r="G25" s="0"/>
    </row>
    <row r="26" customFormat="false" ht="12.75" hidden="false" customHeight="false" outlineLevel="0" collapsed="false">
      <c r="B26" s="266" t="s">
        <v>246</v>
      </c>
      <c r="C26" s="267" t="s">
        <v>191</v>
      </c>
      <c r="D26" s="266" t="s">
        <v>247</v>
      </c>
      <c r="E26" s="266" t="str">
        <f aca="false">CONCATENATE("0x",DEC2HEX(HEX2DEC(RIGHT(D26,3)),8))</f>
        <v>0x00000044</v>
      </c>
      <c r="F26" s="272"/>
      <c r="G26" s="272"/>
    </row>
    <row r="27" customFormat="false" ht="12.75" hidden="false" customHeight="false" outlineLevel="0" collapsed="false">
      <c r="B27" s="266" t="s">
        <v>246</v>
      </c>
      <c r="C27" s="267" t="s">
        <v>191</v>
      </c>
      <c r="D27" s="266" t="s">
        <v>248</v>
      </c>
      <c r="E27" s="266" t="str">
        <f aca="false">CONCATENATE("0x",DEC2HEX(HEX2DEC(RIGHT(D27,3)),8))</f>
        <v>0x00000048</v>
      </c>
      <c r="F27" s="272"/>
      <c r="G27" s="272"/>
    </row>
    <row r="28" customFormat="false" ht="12.75" hidden="false" customHeight="false" outlineLevel="0" collapsed="false">
      <c r="B28" s="266" t="s">
        <v>246</v>
      </c>
      <c r="C28" s="267" t="s">
        <v>191</v>
      </c>
      <c r="D28" s="266" t="s">
        <v>249</v>
      </c>
      <c r="E28" s="266" t="str">
        <f aca="false">CONCATENATE("0x",DEC2HEX(HEX2DEC(RIGHT(D28,3)),8))</f>
        <v>0x0000004C</v>
      </c>
      <c r="F28" s="272"/>
      <c r="G28" s="272"/>
    </row>
    <row r="29" customFormat="false" ht="12.75" hidden="false" customHeight="false" outlineLevel="0" collapsed="false">
      <c r="B29" s="281" t="s">
        <v>250</v>
      </c>
      <c r="C29" s="0"/>
      <c r="D29" s="266" t="s">
        <v>251</v>
      </c>
      <c r="E29" s="266" t="str">
        <f aca="false">CONCATENATE("0x",DEC2HEX(HEX2DEC(RIGHT(D29,3)),8))</f>
        <v>0x00000050</v>
      </c>
      <c r="F29" s="0"/>
      <c r="G29" s="0"/>
    </row>
    <row r="30" customFormat="false" ht="12.75" hidden="false" customHeight="false" outlineLevel="0" collapsed="false">
      <c r="B30" s="266" t="s">
        <v>252</v>
      </c>
      <c r="C30" s="0"/>
      <c r="D30" s="266" t="s">
        <v>253</v>
      </c>
      <c r="E30" s="266" t="str">
        <f aca="false">CONCATENATE("0x",DEC2HEX(HEX2DEC(RIGHT(D30,3)),8))</f>
        <v>0x00000054</v>
      </c>
      <c r="F30" s="0"/>
      <c r="G30" s="0"/>
    </row>
    <row r="31" customFormat="false" ht="12.75" hidden="false" customHeight="false" outlineLevel="0" collapsed="false">
      <c r="B31" s="266" t="s">
        <v>254</v>
      </c>
      <c r="C31" s="267" t="s">
        <v>191</v>
      </c>
      <c r="D31" s="266" t="s">
        <v>255</v>
      </c>
      <c r="E31" s="266" t="str">
        <f aca="false">CONCATENATE("0x",DEC2HEX(HEX2DEC(RIGHT(D31,3)),8))</f>
        <v>0x00000058</v>
      </c>
      <c r="F31" s="272"/>
      <c r="G31" s="272"/>
    </row>
    <row r="32" customFormat="false" ht="12.75" hidden="false" customHeight="false" outlineLevel="0" collapsed="false">
      <c r="B32" s="266" t="s">
        <v>256</v>
      </c>
      <c r="C32" s="267" t="s">
        <v>191</v>
      </c>
      <c r="D32" s="266" t="s">
        <v>257</v>
      </c>
      <c r="E32" s="266" t="str">
        <f aca="false">CONCATENATE("0x",DEC2HEX(HEX2DEC(RIGHT(D32,3)),8))</f>
        <v>0x0000005C</v>
      </c>
      <c r="F32" s="272"/>
      <c r="G32" s="272"/>
    </row>
    <row r="33" customFormat="false" ht="12.75" hidden="false" customHeight="false" outlineLevel="0" collapsed="false">
      <c r="B33" s="266" t="s">
        <v>258</v>
      </c>
      <c r="C33" s="0"/>
      <c r="D33" s="266" t="s">
        <v>259</v>
      </c>
      <c r="E33" s="266" t="str">
        <f aca="false">CONCATENATE("0x",DEC2HEX(HEX2DEC(RIGHT(D33,3)),8))</f>
        <v>0x00000060</v>
      </c>
      <c r="F33" s="0"/>
      <c r="G33" s="0"/>
    </row>
    <row r="34" customFormat="false" ht="12.75" hidden="false" customHeight="false" outlineLevel="0" collapsed="false">
      <c r="B34" s="281" t="s">
        <v>260</v>
      </c>
      <c r="C34" s="0"/>
      <c r="D34" s="266" t="s">
        <v>261</v>
      </c>
      <c r="E34" s="266" t="str">
        <f aca="false">CONCATENATE("0x",DEC2HEX(HEX2DEC(RIGHT(D34,3)),8))</f>
        <v>0x00000064</v>
      </c>
      <c r="F34" s="0"/>
      <c r="G34" s="0"/>
    </row>
    <row r="35" customFormat="false" ht="12.75" hidden="false" customHeight="false" outlineLevel="0" collapsed="false">
      <c r="B35" s="0"/>
      <c r="C35" s="0"/>
      <c r="D35" s="266" t="s">
        <v>262</v>
      </c>
      <c r="E35" s="266" t="str">
        <f aca="false">CONCATENATE("0x",DEC2HEX(HEX2DEC(RIGHT(D35,3)),8))</f>
        <v>0x00000068</v>
      </c>
      <c r="F35" s="0"/>
      <c r="G35" s="0"/>
    </row>
    <row r="36" customFormat="false" ht="12.75" hidden="false" customHeight="false" outlineLevel="0" collapsed="false">
      <c r="B36" s="0"/>
      <c r="C36" s="0"/>
      <c r="D36" s="266" t="s">
        <v>263</v>
      </c>
      <c r="E36" s="266" t="str">
        <f aca="false">CONCATENATE("0x",DEC2HEX(HEX2DEC(RIGHT(D36,3)),8))</f>
        <v>0x0000006C</v>
      </c>
      <c r="F36" s="0"/>
      <c r="G36" s="0"/>
    </row>
    <row r="37" customFormat="false" ht="12.75" hidden="false" customHeight="false" outlineLevel="0" collapsed="false">
      <c r="B37" s="0"/>
      <c r="C37" s="0"/>
      <c r="D37" s="266" t="s">
        <v>264</v>
      </c>
      <c r="E37" s="266" t="str">
        <f aca="false">CONCATENATE("0x",DEC2HEX(HEX2DEC(RIGHT(D37,3)),8))</f>
        <v>0x00000070</v>
      </c>
      <c r="F37" s="0"/>
      <c r="G37" s="0"/>
    </row>
    <row r="38" customFormat="false" ht="12.75" hidden="false" customHeight="false" outlineLevel="0" collapsed="false">
      <c r="B38" s="0"/>
      <c r="C38" s="0"/>
      <c r="D38" s="266" t="s">
        <v>265</v>
      </c>
      <c r="E38" s="266" t="str">
        <f aca="false">CONCATENATE("0x",DEC2HEX(HEX2DEC(RIGHT(D38,3)),8))</f>
        <v>0x00000074</v>
      </c>
      <c r="F38" s="0"/>
      <c r="G38" s="0"/>
    </row>
    <row r="39" customFormat="false" ht="12.75" hidden="false" customHeight="false" outlineLevel="0" collapsed="false">
      <c r="B39" s="266" t="s">
        <v>246</v>
      </c>
      <c r="C39" s="267" t="s">
        <v>191</v>
      </c>
      <c r="D39" s="266" t="s">
        <v>266</v>
      </c>
      <c r="E39" s="266" t="str">
        <f aca="false">CONCATENATE("0x",DEC2HEX(HEX2DEC(RIGHT(D39,3)),8))</f>
        <v>0x00000078</v>
      </c>
      <c r="F39" s="272"/>
      <c r="G39" s="272"/>
    </row>
    <row r="40" customFormat="false" ht="12.75" hidden="false" customHeight="false" outlineLevel="0" collapsed="false">
      <c r="B40" s="266" t="s">
        <v>246</v>
      </c>
      <c r="C40" s="267" t="s">
        <v>191</v>
      </c>
      <c r="D40" s="266" t="s">
        <v>267</v>
      </c>
      <c r="E40" s="266" t="str">
        <f aca="false">CONCATENATE("0x",DEC2HEX(HEX2DEC(RIGHT(D40,3)),8))</f>
        <v>0x0000007C</v>
      </c>
      <c r="F40" s="272"/>
      <c r="G40" s="272"/>
    </row>
    <row r="41" customFormat="false" ht="12.75" hidden="false" customHeight="false" outlineLevel="0" collapsed="false">
      <c r="B41" s="266" t="s">
        <v>268</v>
      </c>
      <c r="C41" s="267" t="s">
        <v>191</v>
      </c>
      <c r="D41" s="266" t="s">
        <v>269</v>
      </c>
      <c r="E41" s="266" t="str">
        <f aca="false">CONCATENATE("0x",DEC2HEX(HEX2DEC(RIGHT(D41,3)),8))</f>
        <v>0x00000080</v>
      </c>
      <c r="F41" s="272"/>
      <c r="G41" s="272"/>
    </row>
    <row r="42" customFormat="false" ht="12.75" hidden="false" customHeight="false" outlineLevel="0" collapsed="false">
      <c r="B42" s="266" t="s">
        <v>270</v>
      </c>
      <c r="C42" s="267" t="s">
        <v>191</v>
      </c>
      <c r="D42" s="266" t="s">
        <v>271</v>
      </c>
      <c r="E42" s="266" t="str">
        <f aca="false">CONCATENATE("0x",DEC2HEX(HEX2DEC(RIGHT(D42,3)),8))</f>
        <v>0x00000084</v>
      </c>
      <c r="F42" s="272"/>
      <c r="G42" s="272"/>
    </row>
    <row r="43" customFormat="false" ht="12.75" hidden="false" customHeight="false" outlineLevel="0" collapsed="false">
      <c r="B43" s="266" t="s">
        <v>272</v>
      </c>
      <c r="C43" s="0"/>
      <c r="D43" s="266" t="s">
        <v>273</v>
      </c>
      <c r="E43" s="266" t="str">
        <f aca="false">CONCATENATE("0x",DEC2HEX(HEX2DEC(RIGHT(D43,3)),8))</f>
        <v>0x00000088</v>
      </c>
      <c r="F43" s="0"/>
      <c r="G43" s="0"/>
    </row>
    <row r="44" customFormat="false" ht="12.75" hidden="false" customHeight="false" outlineLevel="0" collapsed="false">
      <c r="B44" s="266" t="s">
        <v>274</v>
      </c>
      <c r="C44" s="0"/>
      <c r="D44" s="266" t="s">
        <v>275</v>
      </c>
      <c r="E44" s="266" t="str">
        <f aca="false">CONCATENATE("0x",DEC2HEX(HEX2DEC(RIGHT(D44,3)),8))</f>
        <v>0x0000008C</v>
      </c>
      <c r="F44" s="0"/>
      <c r="G44" s="0"/>
    </row>
    <row r="45" customFormat="false" ht="12.75" hidden="false" customHeight="false" outlineLevel="0" collapsed="false">
      <c r="B45" s="266" t="s">
        <v>276</v>
      </c>
      <c r="C45" s="267" t="s">
        <v>191</v>
      </c>
      <c r="D45" s="266" t="s">
        <v>277</v>
      </c>
      <c r="E45" s="266" t="str">
        <f aca="false">CONCATENATE("0x",DEC2HEX(HEX2DEC(RIGHT(D45,3)),8))</f>
        <v>0x00000090</v>
      </c>
      <c r="F45" s="272"/>
      <c r="G45" s="272"/>
    </row>
    <row r="46" customFormat="false" ht="12.75" hidden="false" customHeight="false" outlineLevel="0" collapsed="false">
      <c r="B46" s="266" t="s">
        <v>278</v>
      </c>
      <c r="C46" s="0"/>
      <c r="D46" s="266" t="s">
        <v>279</v>
      </c>
      <c r="E46" s="266" t="str">
        <f aca="false">CONCATENATE("0x",DEC2HEX(HEX2DEC(RIGHT(D46,3)),8))</f>
        <v>0x00000094</v>
      </c>
      <c r="F46" s="0"/>
      <c r="G46" s="0"/>
    </row>
    <row r="47" customFormat="false" ht="12.75" hidden="false" customHeight="false" outlineLevel="0" collapsed="false">
      <c r="B47" s="266" t="s">
        <v>280</v>
      </c>
      <c r="C47" s="0"/>
      <c r="D47" s="266" t="s">
        <v>281</v>
      </c>
      <c r="E47" s="266" t="str">
        <f aca="false">CONCATENATE("0x",DEC2HEX(HEX2DEC(RIGHT(D47,3)),8))</f>
        <v>0x00000098</v>
      </c>
      <c r="F47" s="267" t="str">
        <f aca="false">CONCATENATE("0x",_EMIF_DLL_CALIB_CTRL_VAL)</f>
        <v>0x00050000</v>
      </c>
      <c r="G47" s="0"/>
    </row>
    <row r="48" customFormat="false" ht="12.75" hidden="false" customHeight="false" outlineLevel="0" collapsed="false">
      <c r="B48" s="266" t="s">
        <v>282</v>
      </c>
      <c r="C48" s="0"/>
      <c r="D48" s="266" t="s">
        <v>283</v>
      </c>
      <c r="E48" s="266" t="str">
        <f aca="false">CONCATENATE("0x",DEC2HEX(HEX2DEC(RIGHT(D48,3)),8))</f>
        <v>0x0000009C</v>
      </c>
      <c r="F48" s="267" t="str">
        <f aca="false">CONCATENATE("0x",_EMIF_DLL_CALIB_CTRL_VAL)</f>
        <v>0x00050000</v>
      </c>
      <c r="G48" s="0"/>
    </row>
    <row r="49" customFormat="false" ht="12.75" hidden="false" customHeight="false" outlineLevel="0" collapsed="false">
      <c r="B49" s="266" t="s">
        <v>284</v>
      </c>
      <c r="C49" s="0"/>
      <c r="D49" s="266" t="s">
        <v>285</v>
      </c>
      <c r="E49" s="266" t="str">
        <f aca="false">CONCATENATE("0x",DEC2HEX(HEX2DEC(RIGHT(D49,3)),8))</f>
        <v>0x000000A0</v>
      </c>
      <c r="F49" s="0"/>
      <c r="G49" s="0"/>
    </row>
    <row r="50" customFormat="false" ht="12.75" hidden="false" customHeight="false" outlineLevel="0" collapsed="false">
      <c r="B50" s="266" t="s">
        <v>286</v>
      </c>
      <c r="C50" s="0"/>
      <c r="D50" s="266" t="s">
        <v>287</v>
      </c>
      <c r="E50" s="266" t="str">
        <f aca="false">CONCATENATE("0x",DEC2HEX(HEX2DEC(RIGHT(D50,3)),8))</f>
        <v>0x000000A4</v>
      </c>
      <c r="F50" s="0"/>
      <c r="G50" s="0"/>
    </row>
    <row r="51" customFormat="false" ht="12.75" hidden="false" customHeight="false" outlineLevel="0" collapsed="false">
      <c r="B51" s="281" t="s">
        <v>246</v>
      </c>
      <c r="C51" s="0"/>
      <c r="D51" s="266" t="s">
        <v>288</v>
      </c>
      <c r="E51" s="266" t="str">
        <f aca="false">CONCATENATE("0x",DEC2HEX(HEX2DEC(RIGHT(D51,3)),8))</f>
        <v>0x000000A8</v>
      </c>
      <c r="F51" s="0"/>
      <c r="G51" s="0"/>
    </row>
    <row r="52" customFormat="false" ht="12.75" hidden="false" customHeight="false" outlineLevel="0" collapsed="false">
      <c r="B52" s="266" t="s">
        <v>289</v>
      </c>
      <c r="C52" s="0"/>
      <c r="D52" s="266" t="s">
        <v>290</v>
      </c>
      <c r="E52" s="266" t="str">
        <f aca="false">CONCATENATE("0x",DEC2HEX(HEX2DEC(RIGHT(D52,3)),8))</f>
        <v>0x000000AC</v>
      </c>
      <c r="F52" s="0"/>
      <c r="G52" s="0"/>
    </row>
    <row r="53" customFormat="false" ht="12.75" hidden="false" customHeight="false" outlineLevel="0" collapsed="false">
      <c r="B53" s="281" t="s">
        <v>246</v>
      </c>
      <c r="C53" s="0"/>
      <c r="D53" s="266" t="s">
        <v>291</v>
      </c>
      <c r="E53" s="266" t="str">
        <f aca="false">CONCATENATE("0x",DEC2HEX(HEX2DEC(RIGHT(D53,3)),8))</f>
        <v>0x000000B0</v>
      </c>
      <c r="F53" s="0"/>
      <c r="G53" s="0"/>
    </row>
    <row r="54" customFormat="false" ht="12.75" hidden="false" customHeight="false" outlineLevel="0" collapsed="false">
      <c r="B54" s="266" t="s">
        <v>292</v>
      </c>
      <c r="C54" s="0"/>
      <c r="D54" s="266" t="s">
        <v>293</v>
      </c>
      <c r="E54" s="266" t="str">
        <f aca="false">CONCATENATE("0x",DEC2HEX(HEX2DEC(RIGHT(D54,3)),8))</f>
        <v>0x000000B4</v>
      </c>
      <c r="F54" s="0"/>
      <c r="G54" s="0"/>
    </row>
    <row r="55" customFormat="false" ht="12.75" hidden="false" customHeight="false" outlineLevel="0" collapsed="false">
      <c r="B55" s="281" t="s">
        <v>246</v>
      </c>
      <c r="C55" s="0"/>
      <c r="D55" s="266" t="s">
        <v>294</v>
      </c>
      <c r="E55" s="266" t="str">
        <f aca="false">CONCATENATE("0x",DEC2HEX(HEX2DEC(RIGHT(D55,3)),8))</f>
        <v>0x000000B8</v>
      </c>
      <c r="F55" s="0"/>
      <c r="G55" s="0"/>
    </row>
    <row r="56" customFormat="false" ht="12.75" hidden="false" customHeight="false" outlineLevel="0" collapsed="false">
      <c r="B56" s="266" t="s">
        <v>295</v>
      </c>
      <c r="C56" s="0"/>
      <c r="D56" s="266" t="s">
        <v>296</v>
      </c>
      <c r="E56" s="266" t="str">
        <f aca="false">CONCATENATE("0x",DEC2HEX(HEX2DEC(RIGHT(D56,3)),8))</f>
        <v>0x000000BC</v>
      </c>
      <c r="F56" s="0"/>
      <c r="G56" s="0"/>
    </row>
    <row r="57" customFormat="false" ht="12.75" hidden="false" customHeight="false" outlineLevel="0" collapsed="false">
      <c r="B57" s="281" t="s">
        <v>246</v>
      </c>
      <c r="C57" s="0"/>
      <c r="D57" s="266" t="s">
        <v>297</v>
      </c>
      <c r="E57" s="266" t="str">
        <f aca="false">CONCATENATE("0x",DEC2HEX(HEX2DEC(RIGHT(D57,3)),8))</f>
        <v>0x000000C0</v>
      </c>
      <c r="F57" s="0"/>
      <c r="G57" s="0"/>
    </row>
    <row r="58" customFormat="false" ht="12.75" hidden="false" customHeight="false" outlineLevel="0" collapsed="false">
      <c r="B58" s="266" t="s">
        <v>246</v>
      </c>
      <c r="C58" s="267" t="s">
        <v>191</v>
      </c>
      <c r="D58" s="266" t="s">
        <v>298</v>
      </c>
      <c r="E58" s="266" t="str">
        <f aca="false">CONCATENATE("0x",DEC2HEX(HEX2DEC(RIGHT(D58,3)),8))</f>
        <v>0x000000C4</v>
      </c>
      <c r="F58" s="272"/>
      <c r="G58" s="272"/>
    </row>
    <row r="59" customFormat="false" ht="12.75" hidden="false" customHeight="false" outlineLevel="0" collapsed="false">
      <c r="B59" s="266" t="s">
        <v>299</v>
      </c>
      <c r="C59" s="0"/>
      <c r="D59" s="266" t="s">
        <v>300</v>
      </c>
      <c r="E59" s="266" t="str">
        <f aca="false">CONCATENATE("0x",DEC2HEX(HEX2DEC(RIGHT(D59,3)),8))</f>
        <v>0x000000C8</v>
      </c>
      <c r="F59" s="0"/>
      <c r="G59" s="0"/>
    </row>
    <row r="60" customFormat="false" ht="12.75" hidden="false" customHeight="false" outlineLevel="0" collapsed="false">
      <c r="B60" s="266" t="s">
        <v>301</v>
      </c>
      <c r="C60" s="0"/>
      <c r="D60" s="266" t="s">
        <v>302</v>
      </c>
      <c r="E60" s="266" t="str">
        <f aca="false">CONCATENATE("0x",DEC2HEX(HEX2DEC(RIGHT(D60,3)),8))</f>
        <v>0x000000CC</v>
      </c>
      <c r="F60" s="0"/>
      <c r="G60" s="0"/>
    </row>
    <row r="61" customFormat="false" ht="12.75" hidden="false" customHeight="false" outlineLevel="0" collapsed="false">
      <c r="B61" s="266" t="s">
        <v>303</v>
      </c>
      <c r="C61" s="0"/>
      <c r="D61" s="266" t="s">
        <v>304</v>
      </c>
      <c r="E61" s="266" t="str">
        <f aca="false">CONCATENATE("0x",DEC2HEX(HEX2DEC(RIGHT(D61,3)),8))</f>
        <v>0x000000D0</v>
      </c>
      <c r="F61" s="0"/>
      <c r="G61" s="0"/>
    </row>
    <row r="62" customFormat="false" ht="12.75" hidden="false" customHeight="false" outlineLevel="0" collapsed="false">
      <c r="B62" s="266" t="s">
        <v>305</v>
      </c>
      <c r="C62" s="0"/>
      <c r="D62" s="266" t="s">
        <v>306</v>
      </c>
      <c r="E62" s="266" t="str">
        <f aca="false">CONCATENATE("0x",DEC2HEX(HEX2DEC(RIGHT(D62,3)),8))</f>
        <v>0x000000D4</v>
      </c>
      <c r="F62" s="0"/>
      <c r="G62" s="0"/>
    </row>
    <row r="63" customFormat="false" ht="12.75" hidden="false" customHeight="false" outlineLevel="0" collapsed="false">
      <c r="B63" s="266" t="s">
        <v>307</v>
      </c>
      <c r="C63" s="0"/>
      <c r="D63" s="266" t="s">
        <v>308</v>
      </c>
      <c r="E63" s="266" t="str">
        <f aca="false">CONCATENATE("0x",DEC2HEX(HEX2DEC(RIGHT(D63,3)),8))</f>
        <v>0x000000D8</v>
      </c>
      <c r="F63" s="0"/>
      <c r="G63" s="0"/>
    </row>
    <row r="64" customFormat="false" ht="12.75" hidden="false" customHeight="false" outlineLevel="0" collapsed="false">
      <c r="B64" s="266" t="s">
        <v>309</v>
      </c>
      <c r="C64" s="0"/>
      <c r="D64" s="266" t="s">
        <v>310</v>
      </c>
      <c r="E64" s="266" t="str">
        <f aca="false">CONCATENATE("0x",DEC2HEX(HEX2DEC(RIGHT(D64,3)),8))</f>
        <v>0x000000DC</v>
      </c>
      <c r="F64" s="0"/>
      <c r="G64" s="0"/>
    </row>
    <row r="65" customFormat="false" ht="12.75" hidden="false" customHeight="false" outlineLevel="0" collapsed="false">
      <c r="B65" s="266" t="s">
        <v>246</v>
      </c>
      <c r="C65" s="267" t="s">
        <v>191</v>
      </c>
      <c r="D65" s="266" t="s">
        <v>311</v>
      </c>
      <c r="E65" s="266" t="str">
        <f aca="false">CONCATENATE("0x",DEC2HEX(HEX2DEC(RIGHT(D65,3)),8))</f>
        <v>0x000000E0</v>
      </c>
      <c r="F65" s="272"/>
      <c r="G65" s="272"/>
    </row>
    <row r="66" customFormat="false" ht="12.75" hidden="false" customHeight="false" outlineLevel="0" collapsed="false">
      <c r="B66" s="266" t="s">
        <v>312</v>
      </c>
      <c r="C66" s="0"/>
      <c r="D66" s="266" t="s">
        <v>313</v>
      </c>
      <c r="E66" s="266" t="str">
        <f aca="false">CONCATENATE("0x",DEC2HEX(HEX2DEC(RIGHT(D66,3)),8))</f>
        <v>0x000000E4</v>
      </c>
      <c r="F66" s="267" t="str">
        <f aca="true">CONCATENATE("0x",_EMIF_DDR_PHY_CTRL_1_VAL)</f>
        <v>0x00244011</v>
      </c>
      <c r="G66" s="267" t="str">
        <f aca="true">CONCATENATE("0x",_EMIF_DDR_PHY_CTRL_1_VAL_NOLVL)</f>
        <v>0x0E244011</v>
      </c>
    </row>
    <row r="67" customFormat="false" ht="12.75" hidden="false" customHeight="false" outlineLevel="0" collapsed="false">
      <c r="B67" s="266" t="s">
        <v>314</v>
      </c>
      <c r="C67" s="0"/>
      <c r="D67" s="266" t="s">
        <v>315</v>
      </c>
      <c r="E67" s="266" t="str">
        <f aca="false">CONCATENATE("0x",DEC2HEX(HEX2DEC(RIGHT(D67,3)),8))</f>
        <v>0x000000E8</v>
      </c>
      <c r="F67" s="267" t="str">
        <f aca="true">CONCATENATE("0x",_EMIF_DDR_PHY_CTRL_1_VAL)</f>
        <v>0x00244011</v>
      </c>
      <c r="G67" s="267" t="str">
        <f aca="true">CONCATENATE("0x",_EMIF_DDR_PHY_CTRL_1_VAL_NOLVL)</f>
        <v>0x0E244011</v>
      </c>
    </row>
    <row r="68" customFormat="false" ht="12.75" hidden="false" customHeight="false" outlineLevel="0" collapsed="false">
      <c r="B68" s="266" t="s">
        <v>316</v>
      </c>
      <c r="C68" s="0"/>
      <c r="D68" s="266" t="s">
        <v>317</v>
      </c>
      <c r="E68" s="266" t="str">
        <f aca="false">CONCATENATE("0x",DEC2HEX(HEX2DEC(RIGHT(D68,3)),8))</f>
        <v>0x000000EC</v>
      </c>
      <c r="F68" s="0"/>
      <c r="G68" s="0"/>
    </row>
    <row r="69" customFormat="false" ht="12.75" hidden="false" customHeight="false" outlineLevel="0" collapsed="false">
      <c r="B69" s="266" t="s">
        <v>246</v>
      </c>
      <c r="C69" s="267" t="s">
        <v>191</v>
      </c>
      <c r="D69" s="266" t="s">
        <v>318</v>
      </c>
      <c r="E69" s="266" t="str">
        <f aca="false">CONCATENATE("0x",DEC2HEX(HEX2DEC(RIGHT(D69,3)),8))</f>
        <v>0x000000F0</v>
      </c>
      <c r="F69" s="272"/>
      <c r="G69" s="272"/>
    </row>
    <row r="70" customFormat="false" ht="12.75" hidden="false" customHeight="false" outlineLevel="0" collapsed="false">
      <c r="B70" s="266" t="s">
        <v>246</v>
      </c>
      <c r="C70" s="267" t="s">
        <v>191</v>
      </c>
      <c r="D70" s="266" t="s">
        <v>319</v>
      </c>
      <c r="E70" s="266" t="str">
        <f aca="false">CONCATENATE("0x",DEC2HEX(HEX2DEC(RIGHT(D70,3)),8))</f>
        <v>0x000000F4</v>
      </c>
      <c r="F70" s="272"/>
      <c r="G70" s="272"/>
    </row>
    <row r="71" customFormat="false" ht="12.75" hidden="false" customHeight="false" outlineLevel="0" collapsed="false">
      <c r="B71" s="266" t="s">
        <v>246</v>
      </c>
      <c r="C71" s="267" t="s">
        <v>191</v>
      </c>
      <c r="D71" s="266" t="s">
        <v>320</v>
      </c>
      <c r="E71" s="266" t="str">
        <f aca="false">CONCATENATE("0x",DEC2HEX(HEX2DEC(RIGHT(D71,3)),8))</f>
        <v>0x000000F8</v>
      </c>
      <c r="F71" s="272"/>
      <c r="G71" s="272"/>
    </row>
    <row r="72" customFormat="false" ht="12.75" hidden="false" customHeight="false" outlineLevel="0" collapsed="false">
      <c r="B72" s="266" t="s">
        <v>246</v>
      </c>
      <c r="C72" s="267" t="s">
        <v>191</v>
      </c>
      <c r="D72" s="266" t="s">
        <v>321</v>
      </c>
      <c r="E72" s="266" t="str">
        <f aca="false">CONCATENATE("0x",DEC2HEX(HEX2DEC(RIGHT(D72,3)),8))</f>
        <v>0x000000FC</v>
      </c>
      <c r="F72" s="272"/>
      <c r="G72" s="272"/>
    </row>
    <row r="73" customFormat="false" ht="12.75" hidden="false" customHeight="false" outlineLevel="0" collapsed="false">
      <c r="B73" s="266" t="s">
        <v>322</v>
      </c>
      <c r="C73" s="0"/>
      <c r="D73" s="266" t="s">
        <v>323</v>
      </c>
      <c r="E73" s="266" t="str">
        <f aca="false">CONCATENATE("0x",DEC2HEX(HEX2DEC(RIGHT(D73,3)),8))</f>
        <v>0x00000100</v>
      </c>
      <c r="F73" s="0"/>
      <c r="G73" s="0"/>
    </row>
    <row r="74" customFormat="false" ht="12.75" hidden="false" customHeight="false" outlineLevel="0" collapsed="false">
      <c r="B74" s="266" t="s">
        <v>324</v>
      </c>
      <c r="C74" s="0"/>
      <c r="D74" s="266" t="s">
        <v>325</v>
      </c>
      <c r="E74" s="266" t="str">
        <f aca="false">CONCATENATE("0x",DEC2HEX(HEX2DEC(RIGHT(D74,3)),8))</f>
        <v>0x00000104</v>
      </c>
      <c r="F74" s="0"/>
      <c r="G74" s="0"/>
    </row>
    <row r="75" customFormat="false" ht="12.75" hidden="false" customHeight="false" outlineLevel="0" collapsed="false">
      <c r="B75" s="266" t="s">
        <v>326</v>
      </c>
      <c r="C75" s="0"/>
      <c r="D75" s="266" t="s">
        <v>327</v>
      </c>
      <c r="E75" s="266" t="str">
        <f aca="false">CONCATENATE("0x",DEC2HEX(HEX2DEC(RIGHT(D75,3)),8))</f>
        <v>0x00000108</v>
      </c>
      <c r="F75" s="0"/>
      <c r="G75" s="0"/>
    </row>
    <row r="76" customFormat="false" ht="12.75" hidden="false" customHeight="false" outlineLevel="0" collapsed="false">
      <c r="B76" s="266" t="s">
        <v>246</v>
      </c>
      <c r="C76" s="267" t="s">
        <v>191</v>
      </c>
      <c r="D76" s="266" t="s">
        <v>328</v>
      </c>
      <c r="E76" s="266" t="str">
        <f aca="false">CONCATENATE("0x",DEC2HEX(HEX2DEC(RIGHT(D76,3)),8))</f>
        <v>0x0000010C</v>
      </c>
      <c r="F76" s="272"/>
      <c r="G76" s="272"/>
    </row>
    <row r="77" customFormat="false" ht="12.75" hidden="false" customHeight="false" outlineLevel="0" collapsed="false">
      <c r="B77" s="266" t="s">
        <v>329</v>
      </c>
      <c r="C77" s="0"/>
      <c r="D77" s="266" t="s">
        <v>330</v>
      </c>
      <c r="E77" s="266" t="str">
        <f aca="false">CONCATENATE("0x",DEC2HEX(HEX2DEC(RIGHT(D77,3)),8))</f>
        <v>0x00000110</v>
      </c>
      <c r="F77" s="0"/>
      <c r="G77" s="0"/>
    </row>
    <row r="78" customFormat="false" ht="12.75" hidden="false" customHeight="false" outlineLevel="0" collapsed="false">
      <c r="B78" s="266" t="s">
        <v>331</v>
      </c>
      <c r="C78" s="0"/>
      <c r="D78" s="266" t="s">
        <v>332</v>
      </c>
      <c r="E78" s="266" t="str">
        <f aca="false">CONCATENATE("0x",DEC2HEX(HEX2DEC(RIGHT(D78,3)),8))</f>
        <v>0x00000114</v>
      </c>
      <c r="F78" s="0"/>
      <c r="G78" s="0"/>
    </row>
    <row r="79" customFormat="false" ht="12.75" hidden="false" customHeight="false" outlineLevel="0" collapsed="false">
      <c r="B79" s="266" t="s">
        <v>333</v>
      </c>
      <c r="C79" s="0"/>
      <c r="D79" s="266" t="s">
        <v>334</v>
      </c>
      <c r="E79" s="266" t="str">
        <f aca="false">CONCATENATE("0x",DEC2HEX(HEX2DEC(RIGHT(D79,3)),8))</f>
        <v>0x00000118</v>
      </c>
      <c r="F79" s="0"/>
      <c r="G79" s="0"/>
    </row>
    <row r="80" customFormat="false" ht="12.75" hidden="false" customHeight="false" outlineLevel="0" collapsed="false">
      <c r="B80" s="266" t="s">
        <v>246</v>
      </c>
      <c r="C80" s="267" t="s">
        <v>191</v>
      </c>
      <c r="D80" s="266" t="s">
        <v>335</v>
      </c>
      <c r="E80" s="266" t="str">
        <f aca="false">CONCATENATE("0x",DEC2HEX(HEX2DEC(RIGHT(D80,3)),8))</f>
        <v>0x0000011C</v>
      </c>
      <c r="F80" s="272"/>
      <c r="G80" s="272"/>
    </row>
    <row r="81" customFormat="false" ht="12.75" hidden="false" customHeight="false" outlineLevel="0" collapsed="false">
      <c r="B81" s="266" t="s">
        <v>336</v>
      </c>
      <c r="C81" s="0"/>
      <c r="D81" s="266" t="s">
        <v>337</v>
      </c>
      <c r="E81" s="266" t="str">
        <f aca="false">CONCATENATE("0x",DEC2HEX(HEX2DEC(RIGHT(D81,3)),8))</f>
        <v>0x00000120</v>
      </c>
      <c r="F81" s="0"/>
      <c r="G81" s="0"/>
    </row>
    <row r="82" customFormat="false" ht="12.75" hidden="false" customHeight="false" outlineLevel="0" collapsed="false">
      <c r="B82" s="266" t="s">
        <v>338</v>
      </c>
      <c r="C82" s="0"/>
      <c r="D82" s="266" t="s">
        <v>339</v>
      </c>
      <c r="E82" s="266" t="str">
        <f aca="false">CONCATENATE("0x",DEC2HEX(HEX2DEC(RIGHT(D82,3)),8))</f>
        <v>0x00000124</v>
      </c>
      <c r="F82" s="0"/>
      <c r="G82" s="0"/>
    </row>
    <row r="83" customFormat="false" ht="12.75" hidden="false" customHeight="false" outlineLevel="0" collapsed="false">
      <c r="B83" s="266" t="s">
        <v>246</v>
      </c>
      <c r="C83" s="267" t="s">
        <v>191</v>
      </c>
      <c r="D83" s="266" t="s">
        <v>340</v>
      </c>
      <c r="E83" s="266" t="str">
        <f aca="false">CONCATENATE("0x",DEC2HEX(HEX2DEC(RIGHT(D83,3)),8))</f>
        <v>0x00000128</v>
      </c>
      <c r="F83" s="272"/>
      <c r="G83" s="272"/>
    </row>
    <row r="84" customFormat="false" ht="12.75" hidden="false" customHeight="false" outlineLevel="0" collapsed="false">
      <c r="B84" s="266" t="s">
        <v>246</v>
      </c>
      <c r="C84" s="267" t="s">
        <v>191</v>
      </c>
      <c r="D84" s="266" t="s">
        <v>341</v>
      </c>
      <c r="E84" s="266" t="str">
        <f aca="false">CONCATENATE("0x",DEC2HEX(HEX2DEC(RIGHT(D84,3)),8))</f>
        <v>0x0000012C</v>
      </c>
      <c r="F84" s="272"/>
      <c r="G84" s="272"/>
    </row>
    <row r="85" customFormat="false" ht="12.75" hidden="false" customHeight="false" outlineLevel="0" collapsed="false">
      <c r="B85" s="266" t="s">
        <v>342</v>
      </c>
      <c r="C85" s="0"/>
      <c r="D85" s="266" t="s">
        <v>343</v>
      </c>
      <c r="E85" s="266" t="str">
        <f aca="false">CONCATENATE("0x",DEC2HEX(HEX2DEC(RIGHT(D85,3)),8))</f>
        <v>0x00000130</v>
      </c>
      <c r="F85" s="0"/>
      <c r="G85" s="0"/>
    </row>
    <row r="86" customFormat="false" ht="12.75" hidden="false" customHeight="false" outlineLevel="0" collapsed="false">
      <c r="B86" s="266" t="s">
        <v>344</v>
      </c>
      <c r="C86" s="0"/>
      <c r="D86" s="266" t="s">
        <v>345</v>
      </c>
      <c r="E86" s="266" t="str">
        <f aca="false">CONCATENATE("0x",DEC2HEX(HEX2DEC(RIGHT(D86,3)),8))</f>
        <v>0x00000134</v>
      </c>
      <c r="F86" s="0"/>
      <c r="G86" s="0"/>
    </row>
    <row r="87" customFormat="false" ht="12.75" hidden="false" customHeight="false" outlineLevel="0" collapsed="false">
      <c r="B87" s="266" t="s">
        <v>346</v>
      </c>
      <c r="C87" s="0"/>
      <c r="D87" s="266" t="s">
        <v>347</v>
      </c>
      <c r="E87" s="266" t="str">
        <f aca="false">CONCATENATE("0x",DEC2HEX(HEX2DEC(RIGHT(D87,3)),8))</f>
        <v>0x00000138</v>
      </c>
      <c r="F87" s="0"/>
      <c r="G87" s="0"/>
    </row>
    <row r="88" customFormat="false" ht="12.75" hidden="false" customHeight="false" outlineLevel="0" collapsed="false">
      <c r="B88" s="266" t="s">
        <v>348</v>
      </c>
      <c r="C88" s="0"/>
      <c r="D88" s="266" t="s">
        <v>349</v>
      </c>
      <c r="E88" s="266" t="str">
        <f aca="false">CONCATENATE("0x",DEC2HEX(HEX2DEC(RIGHT(D88,3)),8))</f>
        <v>0x0000013C</v>
      </c>
      <c r="F88" s="0"/>
      <c r="G88" s="0"/>
    </row>
    <row r="89" customFormat="false" ht="12.75" hidden="false" customHeight="false" outlineLevel="0" collapsed="false">
      <c r="B89" s="266" t="s">
        <v>350</v>
      </c>
      <c r="C89" s="0"/>
      <c r="D89" s="266" t="s">
        <v>351</v>
      </c>
      <c r="E89" s="266" t="str">
        <f aca="false">CONCATENATE("0x",DEC2HEX(HEX2DEC(RIGHT(D89,3)),8))</f>
        <v>0x00000140</v>
      </c>
      <c r="F89" s="0"/>
      <c r="G89" s="0"/>
    </row>
    <row r="90" customFormat="false" ht="12.75" hidden="false" customHeight="false" outlineLevel="0" collapsed="false">
      <c r="B90" s="266" t="s">
        <v>352</v>
      </c>
      <c r="C90" s="267" t="s">
        <v>191</v>
      </c>
      <c r="D90" s="266" t="s">
        <v>353</v>
      </c>
      <c r="E90" s="266" t="str">
        <f aca="false">CONCATENATE("0x",DEC2HEX(HEX2DEC(RIGHT(D90,3)),8))</f>
        <v>0x00000144</v>
      </c>
      <c r="F90" s="272"/>
      <c r="G90" s="272"/>
    </row>
    <row r="91" customFormat="false" ht="12.75" hidden="false" customHeight="false" outlineLevel="0" collapsed="false">
      <c r="B91" s="266" t="s">
        <v>354</v>
      </c>
      <c r="C91" s="267" t="s">
        <v>191</v>
      </c>
      <c r="D91" s="266" t="s">
        <v>355</v>
      </c>
      <c r="E91" s="266" t="str">
        <f aca="false">CONCATENATE("0x",DEC2HEX(HEX2DEC(RIGHT(D91,3)),8))</f>
        <v>0x00000148</v>
      </c>
      <c r="F91" s="272"/>
      <c r="G91" s="272"/>
    </row>
    <row r="92" customFormat="false" ht="12.75" hidden="false" customHeight="false" outlineLevel="0" collapsed="false">
      <c r="B92" s="266" t="s">
        <v>356</v>
      </c>
      <c r="C92" s="267" t="s">
        <v>191</v>
      </c>
      <c r="D92" s="266" t="s">
        <v>357</v>
      </c>
      <c r="E92" s="266" t="str">
        <f aca="false">CONCATENATE("0x",DEC2HEX(HEX2DEC(RIGHT(D92,3)),8))</f>
        <v>0x0000014C</v>
      </c>
      <c r="F92" s="272"/>
      <c r="G92" s="272"/>
    </row>
    <row r="93" customFormat="false" ht="12.75" hidden="false" customHeight="false" outlineLevel="0" collapsed="false">
      <c r="B93" s="266" t="s">
        <v>358</v>
      </c>
      <c r="C93" s="267" t="s">
        <v>191</v>
      </c>
      <c r="D93" s="266" t="s">
        <v>359</v>
      </c>
      <c r="E93" s="266" t="str">
        <f aca="false">CONCATENATE("0x",DEC2HEX(HEX2DEC(RIGHT(D93,3)),8))</f>
        <v>0x00000150</v>
      </c>
      <c r="F93" s="272"/>
      <c r="G93" s="272"/>
    </row>
    <row r="94" customFormat="false" ht="12.75" hidden="false" customHeight="false" outlineLevel="0" collapsed="false">
      <c r="B94" s="266" t="s">
        <v>360</v>
      </c>
      <c r="C94" s="267" t="s">
        <v>191</v>
      </c>
      <c r="D94" s="266" t="s">
        <v>361</v>
      </c>
      <c r="E94" s="266" t="str">
        <f aca="false">CONCATENATE("0x",DEC2HEX(HEX2DEC(RIGHT(D94,3)),8))</f>
        <v>0x00000154</v>
      </c>
      <c r="F94" s="272"/>
      <c r="G94" s="272"/>
    </row>
    <row r="95" customFormat="false" ht="12.75" hidden="false" customHeight="false" outlineLevel="0" collapsed="false">
      <c r="B95" s="266" t="s">
        <v>362</v>
      </c>
      <c r="C95" s="267" t="s">
        <v>191</v>
      </c>
      <c r="D95" s="266" t="s">
        <v>363</v>
      </c>
      <c r="E95" s="266" t="str">
        <f aca="false">CONCATENATE("0x",DEC2HEX(HEX2DEC(RIGHT(D95,3)),8))</f>
        <v>0x00000158</v>
      </c>
      <c r="F95" s="272"/>
      <c r="G95" s="272"/>
    </row>
    <row r="96" customFormat="false" ht="12.75" hidden="false" customHeight="false" outlineLevel="0" collapsed="false">
      <c r="B96" s="266" t="s">
        <v>364</v>
      </c>
      <c r="C96" s="267" t="s">
        <v>191</v>
      </c>
      <c r="D96" s="266" t="s">
        <v>365</v>
      </c>
      <c r="E96" s="266" t="str">
        <f aca="false">CONCATENATE("0x",DEC2HEX(HEX2DEC(RIGHT(D96,3)),8))</f>
        <v>0x0000015C</v>
      </c>
      <c r="F96" s="272"/>
      <c r="G96" s="272"/>
    </row>
    <row r="97" customFormat="false" ht="12.75" hidden="false" customHeight="false" outlineLevel="0" collapsed="false">
      <c r="B97" s="266" t="s">
        <v>366</v>
      </c>
      <c r="C97" s="267" t="s">
        <v>191</v>
      </c>
      <c r="D97" s="266" t="s">
        <v>367</v>
      </c>
      <c r="E97" s="266" t="str">
        <f aca="false">CONCATENATE("0x",DEC2HEX(HEX2DEC(RIGHT(D97,3)),8))</f>
        <v>0x00000160</v>
      </c>
      <c r="F97" s="272"/>
      <c r="G97" s="272"/>
    </row>
    <row r="98" customFormat="false" ht="12.75" hidden="false" customHeight="false" outlineLevel="0" collapsed="false">
      <c r="B98" s="266" t="s">
        <v>368</v>
      </c>
      <c r="C98" s="267" t="s">
        <v>191</v>
      </c>
      <c r="D98" s="266" t="s">
        <v>369</v>
      </c>
      <c r="E98" s="266" t="str">
        <f aca="false">CONCATENATE("0x",DEC2HEX(HEX2DEC(RIGHT(D98,3)),8))</f>
        <v>0x00000164</v>
      </c>
      <c r="F98" s="272"/>
      <c r="G98" s="272"/>
    </row>
    <row r="99" customFormat="false" ht="12.75" hidden="false" customHeight="false" outlineLevel="0" collapsed="false">
      <c r="B99" s="266" t="s">
        <v>370</v>
      </c>
      <c r="C99" s="267" t="s">
        <v>191</v>
      </c>
      <c r="D99" s="266" t="s">
        <v>371</v>
      </c>
      <c r="E99" s="266" t="str">
        <f aca="false">CONCATENATE("0x",DEC2HEX(HEX2DEC(RIGHT(D99,3)),8))</f>
        <v>0x00000168</v>
      </c>
      <c r="F99" s="272"/>
      <c r="G99" s="272"/>
    </row>
    <row r="100" customFormat="false" ht="12.75" hidden="false" customHeight="false" outlineLevel="0" collapsed="false">
      <c r="B100" s="266" t="s">
        <v>372</v>
      </c>
      <c r="C100" s="267" t="s">
        <v>191</v>
      </c>
      <c r="D100" s="266" t="s">
        <v>373</v>
      </c>
      <c r="E100" s="266" t="str">
        <f aca="false">CONCATENATE("0x",DEC2HEX(HEX2DEC(RIGHT(D100,3)),8))</f>
        <v>0x0000016C</v>
      </c>
      <c r="F100" s="272"/>
      <c r="G100" s="272"/>
    </row>
    <row r="101" customFormat="false" ht="12.75" hidden="false" customHeight="false" outlineLevel="0" collapsed="false">
      <c r="B101" s="266" t="s">
        <v>374</v>
      </c>
      <c r="C101" s="267" t="s">
        <v>191</v>
      </c>
      <c r="D101" s="266" t="s">
        <v>375</v>
      </c>
      <c r="E101" s="266" t="str">
        <f aca="false">CONCATENATE("0x",DEC2HEX(HEX2DEC(RIGHT(D101,3)),8))</f>
        <v>0x00000170</v>
      </c>
      <c r="F101" s="272"/>
      <c r="G101" s="272"/>
    </row>
    <row r="102" customFormat="false" ht="12.75" hidden="false" customHeight="false" outlineLevel="0" collapsed="false">
      <c r="B102" s="266" t="s">
        <v>376</v>
      </c>
      <c r="C102" s="267" t="s">
        <v>191</v>
      </c>
      <c r="D102" s="266" t="s">
        <v>377</v>
      </c>
      <c r="E102" s="266" t="str">
        <f aca="false">CONCATENATE("0x",DEC2HEX(HEX2DEC(RIGHT(D102,3)),8))</f>
        <v>0x00000174</v>
      </c>
      <c r="F102" s="272"/>
      <c r="G102" s="272"/>
    </row>
    <row r="103" customFormat="false" ht="12.75" hidden="false" customHeight="false" outlineLevel="0" collapsed="false">
      <c r="B103" s="266" t="s">
        <v>378</v>
      </c>
      <c r="C103" s="267" t="s">
        <v>191</v>
      </c>
      <c r="D103" s="266" t="s">
        <v>379</v>
      </c>
      <c r="E103" s="266" t="str">
        <f aca="false">CONCATENATE("0x",DEC2HEX(HEX2DEC(RIGHT(D103,3)),8))</f>
        <v>0x00000178</v>
      </c>
      <c r="F103" s="272"/>
      <c r="G103" s="272"/>
    </row>
    <row r="104" customFormat="false" ht="12.75" hidden="false" customHeight="false" outlineLevel="0" collapsed="false">
      <c r="B104" s="266" t="s">
        <v>380</v>
      </c>
      <c r="C104" s="267" t="s">
        <v>191</v>
      </c>
      <c r="D104" s="266" t="s">
        <v>381</v>
      </c>
      <c r="E104" s="266" t="str">
        <f aca="false">CONCATENATE("0x",DEC2HEX(HEX2DEC(RIGHT(D104,3)),8))</f>
        <v>0x0000017C</v>
      </c>
      <c r="F104" s="272"/>
      <c r="G104" s="272"/>
    </row>
    <row r="105" customFormat="false" ht="12.75" hidden="false" customHeight="false" outlineLevel="0" collapsed="false">
      <c r="B105" s="266" t="s">
        <v>382</v>
      </c>
      <c r="C105" s="267" t="s">
        <v>191</v>
      </c>
      <c r="D105" s="266" t="s">
        <v>383</v>
      </c>
      <c r="E105" s="266" t="str">
        <f aca="false">CONCATENATE("0x",DEC2HEX(HEX2DEC(RIGHT(D105,3)),8))</f>
        <v>0x00000180</v>
      </c>
      <c r="F105" s="272"/>
      <c r="G105" s="272"/>
    </row>
    <row r="106" customFormat="false" ht="12.75" hidden="false" customHeight="false" outlineLevel="0" collapsed="false">
      <c r="B106" s="266" t="s">
        <v>384</v>
      </c>
      <c r="C106" s="267" t="s">
        <v>191</v>
      </c>
      <c r="D106" s="266" t="s">
        <v>385</v>
      </c>
      <c r="E106" s="266" t="str">
        <f aca="false">CONCATENATE("0x",DEC2HEX(HEX2DEC(RIGHT(D106,3)),8))</f>
        <v>0x00000184</v>
      </c>
      <c r="F106" s="272"/>
      <c r="G106" s="272"/>
    </row>
    <row r="107" customFormat="false" ht="12.75" hidden="false" customHeight="false" outlineLevel="0" collapsed="false">
      <c r="B107" s="266" t="s">
        <v>386</v>
      </c>
      <c r="C107" s="267" t="s">
        <v>191</v>
      </c>
      <c r="D107" s="266" t="s">
        <v>387</v>
      </c>
      <c r="E107" s="266" t="str">
        <f aca="false">CONCATENATE("0x",DEC2HEX(HEX2DEC(RIGHT(D107,3)),8))</f>
        <v>0x00000188</v>
      </c>
      <c r="F107" s="272"/>
      <c r="G107" s="272"/>
    </row>
    <row r="108" customFormat="false" ht="12.75" hidden="false" customHeight="false" outlineLevel="0" collapsed="false">
      <c r="B108" s="266" t="s">
        <v>388</v>
      </c>
      <c r="C108" s="267" t="s">
        <v>191</v>
      </c>
      <c r="D108" s="266" t="s">
        <v>389</v>
      </c>
      <c r="E108" s="266" t="str">
        <f aca="false">CONCATENATE("0x",DEC2HEX(HEX2DEC(RIGHT(D108,3)),8))</f>
        <v>0x0000018C</v>
      </c>
      <c r="F108" s="272"/>
      <c r="G108" s="272"/>
    </row>
    <row r="109" customFormat="false" ht="12.75" hidden="false" customHeight="false" outlineLevel="0" collapsed="false">
      <c r="B109" s="266" t="s">
        <v>390</v>
      </c>
      <c r="C109" s="267" t="s">
        <v>191</v>
      </c>
      <c r="D109" s="266" t="s">
        <v>391</v>
      </c>
      <c r="E109" s="266" t="str">
        <f aca="false">CONCATENATE("0x",DEC2HEX(HEX2DEC(RIGHT(D109,3)),8))</f>
        <v>0x00000190</v>
      </c>
      <c r="F109" s="272"/>
      <c r="G109" s="272"/>
    </row>
    <row r="110" customFormat="false" ht="12.75" hidden="false" customHeight="false" outlineLevel="0" collapsed="false">
      <c r="B110" s="266" t="s">
        <v>392</v>
      </c>
      <c r="C110" s="267" t="s">
        <v>191</v>
      </c>
      <c r="D110" s="266" t="s">
        <v>393</v>
      </c>
      <c r="E110" s="266" t="str">
        <f aca="false">CONCATENATE("0x",DEC2HEX(HEX2DEC(RIGHT(D110,3)),8))</f>
        <v>0x00000194</v>
      </c>
      <c r="F110" s="272"/>
      <c r="G110" s="272"/>
    </row>
    <row r="111" customFormat="false" ht="12.75" hidden="false" customHeight="false" outlineLevel="0" collapsed="false">
      <c r="B111" s="266" t="s">
        <v>394</v>
      </c>
      <c r="C111" s="267" t="s">
        <v>191</v>
      </c>
      <c r="D111" s="266" t="s">
        <v>395</v>
      </c>
      <c r="E111" s="266" t="str">
        <f aca="false">CONCATENATE("0x",DEC2HEX(HEX2DEC(RIGHT(D111,3)),8))</f>
        <v>0x00000198</v>
      </c>
      <c r="F111" s="272"/>
      <c r="G111" s="272"/>
    </row>
    <row r="112" customFormat="false" ht="12.75" hidden="false" customHeight="false" outlineLevel="0" collapsed="false">
      <c r="B112" s="266" t="s">
        <v>396</v>
      </c>
      <c r="C112" s="267" t="s">
        <v>191</v>
      </c>
      <c r="D112" s="266" t="s">
        <v>397</v>
      </c>
      <c r="E112" s="266" t="str">
        <f aca="false">CONCATENATE("0x",DEC2HEX(HEX2DEC(RIGHT(D112,3)),8))</f>
        <v>0x0000019C</v>
      </c>
      <c r="F112" s="272"/>
      <c r="G112" s="272"/>
    </row>
    <row r="113" customFormat="false" ht="12.75" hidden="false" customHeight="false" outlineLevel="0" collapsed="false">
      <c r="B113" s="266" t="s">
        <v>398</v>
      </c>
      <c r="C113" s="267" t="s">
        <v>191</v>
      </c>
      <c r="D113" s="266" t="s">
        <v>399</v>
      </c>
      <c r="E113" s="266" t="str">
        <f aca="false">CONCATENATE("0x",DEC2HEX(HEX2DEC(RIGHT(D113,3)),8))</f>
        <v>0x000001A0</v>
      </c>
      <c r="F113" s="272"/>
      <c r="G113" s="272"/>
    </row>
    <row r="114" customFormat="false" ht="12.75" hidden="false" customHeight="false" outlineLevel="0" collapsed="false">
      <c r="B114" s="266" t="s">
        <v>400</v>
      </c>
      <c r="C114" s="267" t="s">
        <v>191</v>
      </c>
      <c r="D114" s="266" t="s">
        <v>401</v>
      </c>
      <c r="E114" s="266" t="str">
        <f aca="false">CONCATENATE("0x",DEC2HEX(HEX2DEC(RIGHT(D114,3)),8))</f>
        <v>0x000001A4</v>
      </c>
      <c r="F114" s="272"/>
      <c r="G114" s="272"/>
    </row>
    <row r="115" customFormat="false" ht="12.75" hidden="false" customHeight="false" outlineLevel="0" collapsed="false">
      <c r="B115" s="266" t="s">
        <v>402</v>
      </c>
      <c r="C115" s="267" t="s">
        <v>191</v>
      </c>
      <c r="D115" s="266" t="s">
        <v>403</v>
      </c>
      <c r="E115" s="266" t="str">
        <f aca="false">CONCATENATE("0x",DEC2HEX(HEX2DEC(RIGHT(D115,3)),8))</f>
        <v>0x000001A8</v>
      </c>
      <c r="F115" s="272"/>
      <c r="G115" s="272"/>
    </row>
    <row r="116" customFormat="false" ht="12.75" hidden="false" customHeight="false" outlineLevel="0" collapsed="false">
      <c r="B116" s="266" t="s">
        <v>404</v>
      </c>
      <c r="C116" s="267" t="s">
        <v>191</v>
      </c>
      <c r="D116" s="266" t="s">
        <v>405</v>
      </c>
      <c r="E116" s="266" t="str">
        <f aca="false">CONCATENATE("0x",DEC2HEX(HEX2DEC(RIGHT(D116,3)),8))</f>
        <v>0x000001AC</v>
      </c>
      <c r="F116" s="272"/>
      <c r="G116" s="272"/>
    </row>
    <row r="117" customFormat="false" ht="12.75" hidden="false" customHeight="false" outlineLevel="0" collapsed="false">
      <c r="B117" s="266" t="s">
        <v>406</v>
      </c>
      <c r="C117" s="267" t="s">
        <v>191</v>
      </c>
      <c r="D117" s="266" t="s">
        <v>407</v>
      </c>
      <c r="E117" s="266" t="str">
        <f aca="false">CONCATENATE("0x",DEC2HEX(HEX2DEC(RIGHT(D117,3)),8))</f>
        <v>0x000001B0</v>
      </c>
      <c r="F117" s="272"/>
      <c r="G117" s="272"/>
    </row>
    <row r="118" customFormat="false" ht="12.75" hidden="false" customHeight="false" outlineLevel="0" collapsed="false">
      <c r="B118" s="266" t="s">
        <v>246</v>
      </c>
      <c r="C118" s="267" t="s">
        <v>191</v>
      </c>
      <c r="D118" s="266" t="s">
        <v>408</v>
      </c>
      <c r="E118" s="266" t="str">
        <f aca="false">CONCATENATE("0x",DEC2HEX(HEX2DEC(RIGHT(D118,3)),8))</f>
        <v>0x000001B4</v>
      </c>
      <c r="F118" s="272"/>
      <c r="G118" s="272"/>
    </row>
    <row r="119" customFormat="false" ht="12.75" hidden="false" customHeight="false" outlineLevel="0" collapsed="false">
      <c r="B119" s="266" t="s">
        <v>246</v>
      </c>
      <c r="C119" s="267" t="s">
        <v>191</v>
      </c>
      <c r="D119" s="266" t="s">
        <v>409</v>
      </c>
      <c r="E119" s="266" t="str">
        <f aca="false">CONCATENATE("0x",DEC2HEX(HEX2DEC(RIGHT(D119,3)),8))</f>
        <v>0x000001B8</v>
      </c>
      <c r="F119" s="272"/>
      <c r="G119" s="272"/>
    </row>
    <row r="120" customFormat="false" ht="12.75" hidden="false" customHeight="false" outlineLevel="0" collapsed="false">
      <c r="B120" s="266" t="s">
        <v>246</v>
      </c>
      <c r="C120" s="267" t="s">
        <v>191</v>
      </c>
      <c r="D120" s="266" t="s">
        <v>410</v>
      </c>
      <c r="E120" s="266" t="str">
        <f aca="false">CONCATENATE("0x",DEC2HEX(HEX2DEC(RIGHT(D120,3)),8))</f>
        <v>0x000001BC</v>
      </c>
      <c r="F120" s="272"/>
      <c r="G120" s="272"/>
    </row>
    <row r="121" customFormat="false" ht="12.75" hidden="false" customHeight="false" outlineLevel="0" collapsed="false">
      <c r="B121" s="266" t="s">
        <v>246</v>
      </c>
      <c r="C121" s="267" t="s">
        <v>191</v>
      </c>
      <c r="D121" s="266" t="s">
        <v>411</v>
      </c>
      <c r="E121" s="266" t="str">
        <f aca="false">CONCATENATE("0x",DEC2HEX(HEX2DEC(RIGHT(D121,3)),8))</f>
        <v>0x000001C0</v>
      </c>
      <c r="F121" s="272"/>
      <c r="G121" s="272"/>
    </row>
    <row r="122" customFormat="false" ht="12.75" hidden="false" customHeight="false" outlineLevel="0" collapsed="false">
      <c r="B122" s="266" t="s">
        <v>246</v>
      </c>
      <c r="C122" s="267" t="s">
        <v>191</v>
      </c>
      <c r="D122" s="266" t="s">
        <v>412</v>
      </c>
      <c r="E122" s="266" t="str">
        <f aca="false">CONCATENATE("0x",DEC2HEX(HEX2DEC(RIGHT(D122,3)),8))</f>
        <v>0x000001C4</v>
      </c>
      <c r="F122" s="272"/>
      <c r="G122" s="272"/>
    </row>
    <row r="123" customFormat="false" ht="12.75" hidden="false" customHeight="false" outlineLevel="0" collapsed="false">
      <c r="B123" s="266" t="s">
        <v>246</v>
      </c>
      <c r="C123" s="267" t="s">
        <v>191</v>
      </c>
      <c r="D123" s="266" t="s">
        <v>413</v>
      </c>
      <c r="E123" s="266" t="str">
        <f aca="false">CONCATENATE("0x",DEC2HEX(HEX2DEC(RIGHT(D123,3)),8))</f>
        <v>0x000001C8</v>
      </c>
      <c r="F123" s="272"/>
      <c r="G123" s="272"/>
    </row>
    <row r="124" customFormat="false" ht="12.75" hidden="false" customHeight="false" outlineLevel="0" collapsed="false">
      <c r="B124" s="266" t="s">
        <v>246</v>
      </c>
      <c r="C124" s="267" t="s">
        <v>191</v>
      </c>
      <c r="D124" s="266" t="s">
        <v>414</v>
      </c>
      <c r="E124" s="266" t="str">
        <f aca="false">CONCATENATE("0x",DEC2HEX(HEX2DEC(RIGHT(D124,3)),8))</f>
        <v>0x000001CC</v>
      </c>
      <c r="F124" s="272"/>
      <c r="G124" s="272"/>
    </row>
    <row r="125" customFormat="false" ht="12.75" hidden="false" customHeight="false" outlineLevel="0" collapsed="false">
      <c r="B125" s="266" t="s">
        <v>246</v>
      </c>
      <c r="C125" s="267" t="s">
        <v>191</v>
      </c>
      <c r="D125" s="266" t="s">
        <v>415</v>
      </c>
      <c r="E125" s="266" t="str">
        <f aca="false">CONCATENATE("0x",DEC2HEX(HEX2DEC(RIGHT(D125,3)),8))</f>
        <v>0x000001D0</v>
      </c>
      <c r="F125" s="272"/>
      <c r="G125" s="272"/>
    </row>
    <row r="126" customFormat="false" ht="12.75" hidden="false" customHeight="false" outlineLevel="0" collapsed="false">
      <c r="B126" s="266" t="s">
        <v>246</v>
      </c>
      <c r="C126" s="267" t="s">
        <v>191</v>
      </c>
      <c r="D126" s="266" t="s">
        <v>416</v>
      </c>
      <c r="E126" s="266" t="str">
        <f aca="false">CONCATENATE("0x",DEC2HEX(HEX2DEC(RIGHT(D126,3)),8))</f>
        <v>0x000001D4</v>
      </c>
      <c r="F126" s="272"/>
      <c r="G126" s="272"/>
    </row>
    <row r="127" customFormat="false" ht="12.75" hidden="false" customHeight="false" outlineLevel="0" collapsed="false">
      <c r="B127" s="266" t="s">
        <v>246</v>
      </c>
      <c r="C127" s="267" t="s">
        <v>191</v>
      </c>
      <c r="D127" s="266" t="s">
        <v>417</v>
      </c>
      <c r="E127" s="266" t="str">
        <f aca="false">CONCATENATE("0x",DEC2HEX(HEX2DEC(RIGHT(D127,3)),8))</f>
        <v>0x000001D8</v>
      </c>
      <c r="F127" s="272"/>
      <c r="G127" s="272"/>
    </row>
    <row r="128" customFormat="false" ht="12.75" hidden="false" customHeight="false" outlineLevel="0" collapsed="false">
      <c r="B128" s="266" t="s">
        <v>246</v>
      </c>
      <c r="C128" s="267" t="s">
        <v>191</v>
      </c>
      <c r="D128" s="266" t="s">
        <v>418</v>
      </c>
      <c r="E128" s="266" t="str">
        <f aca="false">CONCATENATE("0x",DEC2HEX(HEX2DEC(RIGHT(D128,3)),8))</f>
        <v>0x000001DC</v>
      </c>
      <c r="F128" s="272"/>
      <c r="G128" s="272"/>
    </row>
    <row r="129" customFormat="false" ht="12.75" hidden="false" customHeight="false" outlineLevel="0" collapsed="false">
      <c r="B129" s="266" t="s">
        <v>246</v>
      </c>
      <c r="C129" s="267" t="s">
        <v>191</v>
      </c>
      <c r="D129" s="266" t="s">
        <v>419</v>
      </c>
      <c r="E129" s="266" t="str">
        <f aca="false">CONCATENATE("0x",DEC2HEX(HEX2DEC(RIGHT(D129,3)),8))</f>
        <v>0x000001E0</v>
      </c>
      <c r="F129" s="272"/>
      <c r="G129" s="272"/>
    </row>
    <row r="130" customFormat="false" ht="12.75" hidden="false" customHeight="false" outlineLevel="0" collapsed="false">
      <c r="B130" s="266" t="s">
        <v>246</v>
      </c>
      <c r="C130" s="267" t="s">
        <v>191</v>
      </c>
      <c r="D130" s="266" t="s">
        <v>420</v>
      </c>
      <c r="E130" s="266" t="str">
        <f aca="false">CONCATENATE("0x",DEC2HEX(HEX2DEC(RIGHT(D130,3)),8))</f>
        <v>0x000001E4</v>
      </c>
      <c r="F130" s="272"/>
      <c r="G130" s="272"/>
    </row>
    <row r="131" customFormat="false" ht="12.75" hidden="false" customHeight="false" outlineLevel="0" collapsed="false">
      <c r="B131" s="266" t="s">
        <v>246</v>
      </c>
      <c r="C131" s="267" t="s">
        <v>191</v>
      </c>
      <c r="D131" s="266" t="s">
        <v>421</v>
      </c>
      <c r="E131" s="266" t="str">
        <f aca="false">CONCATENATE("0x",DEC2HEX(HEX2DEC(RIGHT(D131,3)),8))</f>
        <v>0x000001E8</v>
      </c>
      <c r="F131" s="272"/>
      <c r="G131" s="272"/>
    </row>
    <row r="132" customFormat="false" ht="12.75" hidden="false" customHeight="false" outlineLevel="0" collapsed="false">
      <c r="B132" s="266" t="s">
        <v>246</v>
      </c>
      <c r="C132" s="267" t="s">
        <v>191</v>
      </c>
      <c r="D132" s="266" t="s">
        <v>422</v>
      </c>
      <c r="E132" s="266" t="str">
        <f aca="false">CONCATENATE("0x",DEC2HEX(HEX2DEC(RIGHT(D132,3)),8))</f>
        <v>0x000001EC</v>
      </c>
      <c r="F132" s="272"/>
      <c r="G132" s="272"/>
    </row>
    <row r="133" customFormat="false" ht="12.75" hidden="false" customHeight="false" outlineLevel="0" collapsed="false">
      <c r="B133" s="266" t="s">
        <v>246</v>
      </c>
      <c r="C133" s="267" t="s">
        <v>191</v>
      </c>
      <c r="D133" s="266" t="s">
        <v>423</v>
      </c>
      <c r="E133" s="266" t="str">
        <f aca="false">CONCATENATE("0x",DEC2HEX(HEX2DEC(RIGHT(D133,3)),8))</f>
        <v>0x000001F0</v>
      </c>
      <c r="F133" s="272"/>
      <c r="G133" s="272"/>
    </row>
    <row r="134" customFormat="false" ht="12.75" hidden="false" customHeight="false" outlineLevel="0" collapsed="false">
      <c r="B134" s="266" t="s">
        <v>246</v>
      </c>
      <c r="C134" s="267" t="s">
        <v>191</v>
      </c>
      <c r="D134" s="266" t="s">
        <v>424</v>
      </c>
      <c r="E134" s="266" t="str">
        <f aca="false">CONCATENATE("0x",DEC2HEX(HEX2DEC(RIGHT(D134,3)),8))</f>
        <v>0x000001F4</v>
      </c>
      <c r="F134" s="272"/>
      <c r="G134" s="272"/>
    </row>
    <row r="135" customFormat="false" ht="12.75" hidden="false" customHeight="false" outlineLevel="0" collapsed="false">
      <c r="B135" s="266" t="s">
        <v>246</v>
      </c>
      <c r="C135" s="267" t="s">
        <v>191</v>
      </c>
      <c r="D135" s="266" t="s">
        <v>425</v>
      </c>
      <c r="E135" s="266" t="str">
        <f aca="false">CONCATENATE("0x",DEC2HEX(HEX2DEC(RIGHT(D135,3)),8))</f>
        <v>0x000001F8</v>
      </c>
      <c r="F135" s="272"/>
      <c r="G135" s="272"/>
    </row>
    <row r="136" customFormat="false" ht="12.75" hidden="false" customHeight="false" outlineLevel="0" collapsed="false">
      <c r="B136" s="266" t="s">
        <v>246</v>
      </c>
      <c r="C136" s="267" t="s">
        <v>191</v>
      </c>
      <c r="D136" s="266" t="s">
        <v>426</v>
      </c>
      <c r="E136" s="266" t="str">
        <f aca="false">CONCATENATE("0x",DEC2HEX(HEX2DEC(RIGHT(D136,3)),8))</f>
        <v>0x000001FC</v>
      </c>
      <c r="F136" s="272"/>
      <c r="G136" s="272"/>
    </row>
    <row r="137" customFormat="false" ht="12.75" hidden="false" customHeight="false" outlineLevel="0" collapsed="false">
      <c r="B137" s="0"/>
      <c r="C137" s="0"/>
      <c r="D137" s="0"/>
      <c r="E137" s="0"/>
      <c r="F137" s="267" t="s">
        <v>427</v>
      </c>
      <c r="G137" s="267" t="s">
        <v>428</v>
      </c>
    </row>
    <row r="138" customFormat="false" ht="12.75" hidden="false" customHeight="false" outlineLevel="0" collapsed="false">
      <c r="B138" s="266" t="s">
        <v>429</v>
      </c>
      <c r="C138" s="267" t="s">
        <v>196</v>
      </c>
      <c r="D138" s="266" t="s">
        <v>430</v>
      </c>
      <c r="E138" s="266" t="str">
        <f aca="false">CONCATENATE("0x",DEC2HEX(HEX2DEC(RIGHT(D138,3)),8))</f>
        <v>0x00000200</v>
      </c>
      <c r="F138" s="267" t="str">
        <f aca="false">CONCATENATE("0x",_EMIF1_EXT_PHY_CTRL_1_VAL)</f>
        <v>0x04040100</v>
      </c>
      <c r="G138" s="267" t="str">
        <f aca="false">IF(_user_emifs=2,CONCATENATE("0x",_EMIF2_EXT_PHY_CTRL_1_VAL),"NA")</f>
        <v>NA</v>
      </c>
    </row>
    <row r="139" customFormat="false" ht="12.75" hidden="false" customHeight="false" outlineLevel="0" collapsed="false">
      <c r="B139" s="266" t="s">
        <v>431</v>
      </c>
      <c r="C139" s="267" t="s">
        <v>196</v>
      </c>
      <c r="D139" s="266" t="s">
        <v>432</v>
      </c>
      <c r="E139" s="266" t="str">
        <f aca="false">CONCATENATE("0x",DEC2HEX(HEX2DEC(RIGHT(D139,3)),8))</f>
        <v>0x00000204</v>
      </c>
      <c r="F139" s="267" t="str">
        <f aca="false">CONCATENATE("0x",_EMIF1_EXT_PHY_CTRL_1_VAL)</f>
        <v>0x04040100</v>
      </c>
      <c r="G139" s="267" t="str">
        <f aca="false">IF(_user_emifs=2,CONCATENATE("0x",_EMIF2_EXT_PHY_CTRL_1_VAL),"NA")</f>
        <v>NA</v>
      </c>
    </row>
    <row r="140" customFormat="false" ht="12.75" hidden="false" customHeight="false" outlineLevel="0" collapsed="false">
      <c r="B140" s="266" t="s">
        <v>433</v>
      </c>
      <c r="C140" s="267" t="s">
        <v>196</v>
      </c>
      <c r="D140" s="266" t="s">
        <v>434</v>
      </c>
      <c r="E140" s="266" t="str">
        <f aca="false">CONCATENATE("0x",DEC2HEX(HEX2DEC(RIGHT(D140,3)),8))</f>
        <v>0x00000208</v>
      </c>
      <c r="F140" s="267" t="str">
        <f aca="false">CONCATENATE("0x",_EMIF1_EXT_PHY_CTRL_2_VAL)</f>
        <v>0x006B0082</v>
      </c>
      <c r="G140" s="267" t="str">
        <f aca="false">IF(_user_emifs=2,CONCATENATE("0x",_EMIF2_EXT_PHY_CTRL_2_VAL),"NA")</f>
        <v>NA</v>
      </c>
    </row>
    <row r="141" customFormat="false" ht="12.75" hidden="false" customHeight="false" outlineLevel="0" collapsed="false">
      <c r="B141" s="266" t="s">
        <v>435</v>
      </c>
      <c r="C141" s="267" t="s">
        <v>196</v>
      </c>
      <c r="D141" s="266" t="s">
        <v>436</v>
      </c>
      <c r="E141" s="266" t="str">
        <f aca="false">CONCATENATE("0x",DEC2HEX(HEX2DEC(RIGHT(D141,3)),8))</f>
        <v>0x0000020C</v>
      </c>
      <c r="F141" s="267" t="str">
        <f aca="false">CONCATENATE("0x",_EMIF1_EXT_PHY_CTRL_2_VAL)</f>
        <v>0x006B0082</v>
      </c>
      <c r="G141" s="267" t="str">
        <f aca="false">IF(_user_emifs=2,CONCATENATE("0x",_EMIF2_EXT_PHY_CTRL_2_VAL),"NA")</f>
        <v>NA</v>
      </c>
    </row>
    <row r="142" customFormat="false" ht="12.75" hidden="false" customHeight="false" outlineLevel="0" collapsed="false">
      <c r="B142" s="266" t="s">
        <v>437</v>
      </c>
      <c r="C142" s="267" t="s">
        <v>196</v>
      </c>
      <c r="D142" s="266" t="s">
        <v>438</v>
      </c>
      <c r="E142" s="266" t="str">
        <f aca="false">CONCATENATE("0x",DEC2HEX(HEX2DEC(RIGHT(D142,3)),8))</f>
        <v>0x00000210</v>
      </c>
      <c r="F142" s="267" t="str">
        <f aca="false">CONCATENATE("0x",_EMIF1_EXT_PHY_CTRL_3_VAL)</f>
        <v>0x006B0082</v>
      </c>
      <c r="G142" s="267" t="str">
        <f aca="false">IF(_user_emifs=2,CONCATENATE("0x",_EMIF2_EXT_PHY_CTRL_3_VAL),"NA")</f>
        <v>NA</v>
      </c>
    </row>
    <row r="143" customFormat="false" ht="12.75" hidden="false" customHeight="false" outlineLevel="0" collapsed="false">
      <c r="B143" s="266" t="s">
        <v>439</v>
      </c>
      <c r="C143" s="267" t="s">
        <v>196</v>
      </c>
      <c r="D143" s="266" t="s">
        <v>440</v>
      </c>
      <c r="E143" s="266" t="str">
        <f aca="false">CONCATENATE("0x",DEC2HEX(HEX2DEC(RIGHT(D143,3)),8))</f>
        <v>0x00000214</v>
      </c>
      <c r="F143" s="267" t="str">
        <f aca="false">CONCATENATE("0x",_EMIF1_EXT_PHY_CTRL_3_VAL)</f>
        <v>0x006B0082</v>
      </c>
      <c r="G143" s="267" t="str">
        <f aca="false">IF(_user_emifs=2,CONCATENATE("0x",_EMIF2_EXT_PHY_CTRL_3_VAL),"NA")</f>
        <v>NA</v>
      </c>
    </row>
    <row r="144" customFormat="false" ht="12.75" hidden="false" customHeight="false" outlineLevel="0" collapsed="false">
      <c r="B144" s="266" t="s">
        <v>441</v>
      </c>
      <c r="C144" s="267" t="s">
        <v>196</v>
      </c>
      <c r="D144" s="266" t="s">
        <v>442</v>
      </c>
      <c r="E144" s="266" t="str">
        <f aca="false">CONCATENATE("0x",DEC2HEX(HEX2DEC(RIGHT(D144,3)),8))</f>
        <v>0x00000218</v>
      </c>
      <c r="F144" s="267" t="str">
        <f aca="false">CONCATENATE("0x",_EMIF1_EXT_PHY_CTRL_4_VAL)</f>
        <v>0x006B006B</v>
      </c>
      <c r="G144" s="267" t="str">
        <f aca="false">IF(_user_emifs=2,CONCATENATE("0x",_EMIF2_EXT_PHY_CTRL_4_VAL),"NA")</f>
        <v>NA</v>
      </c>
    </row>
    <row r="145" customFormat="false" ht="12.75" hidden="false" customHeight="false" outlineLevel="0" collapsed="false">
      <c r="B145" s="266" t="s">
        <v>443</v>
      </c>
      <c r="C145" s="267" t="s">
        <v>196</v>
      </c>
      <c r="D145" s="266" t="s">
        <v>444</v>
      </c>
      <c r="E145" s="266" t="str">
        <f aca="false">CONCATENATE("0x",DEC2HEX(HEX2DEC(RIGHT(D145,3)),8))</f>
        <v>0x0000021C</v>
      </c>
      <c r="F145" s="267" t="str">
        <f aca="false">CONCATENATE("0x",_EMIF1_EXT_PHY_CTRL_4_VAL)</f>
        <v>0x006B006B</v>
      </c>
      <c r="G145" s="267" t="str">
        <f aca="false">IF(_user_emifs=2,CONCATENATE("0x",_EMIF2_EXT_PHY_CTRL_4_VAL),"NA")</f>
        <v>NA</v>
      </c>
    </row>
    <row r="146" customFormat="false" ht="12.75" hidden="false" customHeight="false" outlineLevel="0" collapsed="false">
      <c r="B146" s="266" t="s">
        <v>445</v>
      </c>
      <c r="C146" s="267" t="s">
        <v>196</v>
      </c>
      <c r="D146" s="266" t="s">
        <v>446</v>
      </c>
      <c r="E146" s="266" t="str">
        <f aca="false">CONCATENATE("0x",DEC2HEX(HEX2DEC(RIGHT(D146,3)),8))</f>
        <v>0x00000220</v>
      </c>
      <c r="F146" s="267" t="str">
        <f aca="false">CONCATENATE("0x",_EMIF1_EXT_PHY_CTRL_5_VAL)</f>
        <v>0x006B006B</v>
      </c>
      <c r="G146" s="267" t="str">
        <f aca="false">IF(_user_emifs=2,CONCATENATE("0x",_EMIF2_EXT_PHY_CTRL_5_VAL),"NA")</f>
        <v>NA</v>
      </c>
    </row>
    <row r="147" customFormat="false" ht="12.75" hidden="false" customHeight="false" outlineLevel="0" collapsed="false">
      <c r="B147" s="266" t="s">
        <v>447</v>
      </c>
      <c r="C147" s="267" t="s">
        <v>196</v>
      </c>
      <c r="D147" s="266" t="s">
        <v>448</v>
      </c>
      <c r="E147" s="266" t="str">
        <f aca="false">CONCATENATE("0x",DEC2HEX(HEX2DEC(RIGHT(D147,3)),8))</f>
        <v>0x00000224</v>
      </c>
      <c r="F147" s="267" t="str">
        <f aca="false">CONCATENATE("0x",_EMIF1_EXT_PHY_CTRL_5_VAL)</f>
        <v>0x006B006B</v>
      </c>
      <c r="G147" s="267" t="str">
        <f aca="false">IF(_user_emifs=2,CONCATENATE("0x",_EMIF2_EXT_PHY_CTRL_5_VAL),"NA")</f>
        <v>NA</v>
      </c>
    </row>
    <row r="148" customFormat="false" ht="12.75" hidden="false" customHeight="false" outlineLevel="0" collapsed="false">
      <c r="B148" s="266" t="s">
        <v>449</v>
      </c>
      <c r="C148" s="267" t="s">
        <v>196</v>
      </c>
      <c r="D148" s="266" t="s">
        <v>450</v>
      </c>
      <c r="E148" s="266" t="str">
        <f aca="false">CONCATENATE("0x",DEC2HEX(HEX2DEC(RIGHT(D148,3)),8))</f>
        <v>0x00000228</v>
      </c>
      <c r="F148" s="267" t="str">
        <f aca="false">CONCATENATE("0x",_EMIF1_EXT_PHY_CTRL_6_VAL)</f>
        <v>0x006B006B</v>
      </c>
      <c r="G148" s="267" t="str">
        <f aca="false">IF(_user_emifs=2,CONCATENATE("0x",_EMIF2_EXT_PHY_CTRL_6_VAL),"NA")</f>
        <v>NA</v>
      </c>
    </row>
    <row r="149" customFormat="false" ht="12.75" hidden="false" customHeight="false" outlineLevel="0" collapsed="false">
      <c r="B149" s="266" t="s">
        <v>451</v>
      </c>
      <c r="C149" s="267" t="s">
        <v>196</v>
      </c>
      <c r="D149" s="266" t="s">
        <v>452</v>
      </c>
      <c r="E149" s="266" t="str">
        <f aca="false">CONCATENATE("0x",DEC2HEX(HEX2DEC(RIGHT(D149,3)),8))</f>
        <v>0x0000022C</v>
      </c>
      <c r="F149" s="267" t="str">
        <f aca="false">CONCATENATE("0x",_EMIF1_EXT_PHY_CTRL_6_VAL)</f>
        <v>0x006B006B</v>
      </c>
      <c r="G149" s="267" t="str">
        <f aca="false">IF(_user_emifs=2,CONCATENATE("0x",_EMIF2_EXT_PHY_CTRL_6_VAL),"NA")</f>
        <v>NA</v>
      </c>
    </row>
    <row r="150" customFormat="false" ht="12.75" hidden="false" customHeight="false" outlineLevel="0" collapsed="false">
      <c r="B150" s="266" t="s">
        <v>453</v>
      </c>
      <c r="C150" s="267" t="s">
        <v>196</v>
      </c>
      <c r="D150" s="266" t="s">
        <v>454</v>
      </c>
      <c r="E150" s="266" t="str">
        <f aca="false">CONCATENATE("0x",DEC2HEX(HEX2DEC(RIGHT(D150,3)),8))</f>
        <v>0x00000230</v>
      </c>
      <c r="F150" s="267" t="str">
        <f aca="false">CONCATENATE("0x",_EMIF1_EXT_PHY_CTRL_7_VAL)</f>
        <v>0x00320032</v>
      </c>
      <c r="G150" s="267" t="str">
        <f aca="false">IF(_user_emifs=2,CONCATENATE("0x",_EMIF2_EXT_PHY_CTRL_7_VAL),"NA")</f>
        <v>NA</v>
      </c>
    </row>
    <row r="151" customFormat="false" ht="12.75" hidden="false" customHeight="false" outlineLevel="0" collapsed="false">
      <c r="B151" s="266" t="s">
        <v>455</v>
      </c>
      <c r="C151" s="267" t="s">
        <v>196</v>
      </c>
      <c r="D151" s="266" t="s">
        <v>456</v>
      </c>
      <c r="E151" s="266" t="str">
        <f aca="false">CONCATENATE("0x",DEC2HEX(HEX2DEC(RIGHT(D151,3)),8))</f>
        <v>0x00000234</v>
      </c>
      <c r="F151" s="267" t="str">
        <f aca="false">CONCATENATE("0x",_EMIF1_EXT_PHY_CTRL_7_VAL)</f>
        <v>0x00320032</v>
      </c>
      <c r="G151" s="267" t="str">
        <f aca="false">IF(_user_emifs=2,CONCATENATE("0x",_EMIF2_EXT_PHY_CTRL_7_VAL),"NA")</f>
        <v>NA</v>
      </c>
    </row>
    <row r="152" customFormat="false" ht="12.75" hidden="false" customHeight="false" outlineLevel="0" collapsed="false">
      <c r="B152" s="266" t="s">
        <v>457</v>
      </c>
      <c r="C152" s="267" t="s">
        <v>196</v>
      </c>
      <c r="D152" s="266" t="s">
        <v>458</v>
      </c>
      <c r="E152" s="266" t="str">
        <f aca="false">CONCATENATE("0x",DEC2HEX(HEX2DEC(RIGHT(D152,3)),8))</f>
        <v>0x00000238</v>
      </c>
      <c r="F152" s="267" t="str">
        <f aca="false">CONCATENATE("0x",_EMIF1_EXT_PHY_CTRL_8_VAL)</f>
        <v>0x00320032</v>
      </c>
      <c r="G152" s="267" t="str">
        <f aca="false">IF(_user_emifs=2,CONCATENATE("0x",_EMIF2_EXT_PHY_CTRL_8_VAL),"NA")</f>
        <v>NA</v>
      </c>
    </row>
    <row r="153" customFormat="false" ht="12.75" hidden="false" customHeight="false" outlineLevel="0" collapsed="false">
      <c r="B153" s="266" t="s">
        <v>459</v>
      </c>
      <c r="C153" s="267" t="s">
        <v>196</v>
      </c>
      <c r="D153" s="266" t="s">
        <v>460</v>
      </c>
      <c r="E153" s="266" t="str">
        <f aca="false">CONCATENATE("0x",DEC2HEX(HEX2DEC(RIGHT(D153,3)),8))</f>
        <v>0x0000023C</v>
      </c>
      <c r="F153" s="267" t="str">
        <f aca="false">CONCATENATE("0x",_EMIF1_EXT_PHY_CTRL_8_VAL)</f>
        <v>0x00320032</v>
      </c>
      <c r="G153" s="267" t="str">
        <f aca="false">IF(_user_emifs=2,CONCATENATE("0x",_EMIF2_EXT_PHY_CTRL_8_VAL),"NA")</f>
        <v>NA</v>
      </c>
    </row>
    <row r="154" customFormat="false" ht="12.75" hidden="false" customHeight="false" outlineLevel="0" collapsed="false">
      <c r="B154" s="266" t="s">
        <v>461</v>
      </c>
      <c r="C154" s="267" t="s">
        <v>196</v>
      </c>
      <c r="D154" s="266" t="s">
        <v>462</v>
      </c>
      <c r="E154" s="266" t="str">
        <f aca="false">CONCATENATE("0x",DEC2HEX(HEX2DEC(RIGHT(D154,3)),8))</f>
        <v>0x00000240</v>
      </c>
      <c r="F154" s="267" t="str">
        <f aca="false">CONCATENATE("0x",_EMIF1_EXT_PHY_CTRL_9_VAL)</f>
        <v>0x00320032</v>
      </c>
      <c r="G154" s="267" t="str">
        <f aca="false">IF(_user_emifs=2,CONCATENATE("0x",_EMIF2_EXT_PHY_CTRL_9_VAL),"NA")</f>
        <v>NA</v>
      </c>
    </row>
    <row r="155" customFormat="false" ht="12.75" hidden="false" customHeight="false" outlineLevel="0" collapsed="false">
      <c r="B155" s="266" t="s">
        <v>463</v>
      </c>
      <c r="C155" s="267" t="s">
        <v>196</v>
      </c>
      <c r="D155" s="266" t="s">
        <v>464</v>
      </c>
      <c r="E155" s="266" t="str">
        <f aca="false">CONCATENATE("0x",DEC2HEX(HEX2DEC(RIGHT(D155,3)),8))</f>
        <v>0x00000244</v>
      </c>
      <c r="F155" s="267" t="str">
        <f aca="false">CONCATENATE("0x",_EMIF1_EXT_PHY_CTRL_9_VAL)</f>
        <v>0x00320032</v>
      </c>
      <c r="G155" s="267" t="str">
        <f aca="false">IF(_user_emifs=2,CONCATENATE("0x",_EMIF2_EXT_PHY_CTRL_9_VAL),"NA")</f>
        <v>NA</v>
      </c>
    </row>
    <row r="156" customFormat="false" ht="12.75" hidden="false" customHeight="false" outlineLevel="0" collapsed="false">
      <c r="B156" s="266" t="s">
        <v>465</v>
      </c>
      <c r="C156" s="267" t="s">
        <v>196</v>
      </c>
      <c r="D156" s="266" t="s">
        <v>466</v>
      </c>
      <c r="E156" s="266" t="str">
        <f aca="false">CONCATENATE("0x",DEC2HEX(HEX2DEC(RIGHT(D156,3)),8))</f>
        <v>0x00000248</v>
      </c>
      <c r="F156" s="267" t="str">
        <f aca="false">CONCATENATE("0x",_EMIF1_EXT_PHY_CTRL_10_VAL)</f>
        <v>0x00320032</v>
      </c>
      <c r="G156" s="267" t="str">
        <f aca="false">IF(_user_emifs=2,CONCATENATE("0x",_EMIF2_EXT_PHY_CTRL_10_VAL),"NA")</f>
        <v>NA</v>
      </c>
    </row>
    <row r="157" customFormat="false" ht="12.75" hidden="false" customHeight="false" outlineLevel="0" collapsed="false">
      <c r="B157" s="266" t="s">
        <v>467</v>
      </c>
      <c r="C157" s="267" t="s">
        <v>196</v>
      </c>
      <c r="D157" s="266" t="s">
        <v>468</v>
      </c>
      <c r="E157" s="266" t="str">
        <f aca="false">CONCATENATE("0x",DEC2HEX(HEX2DEC(RIGHT(D157,3)),8))</f>
        <v>0x0000024C</v>
      </c>
      <c r="F157" s="267" t="str">
        <f aca="false">CONCATENATE("0x",_EMIF1_EXT_PHY_CTRL_10_VAL)</f>
        <v>0x00320032</v>
      </c>
      <c r="G157" s="267" t="str">
        <f aca="false">IF(_user_emifs=2,CONCATENATE("0x",_EMIF2_EXT_PHY_CTRL_10_VAL),"NA")</f>
        <v>NA</v>
      </c>
    </row>
    <row r="158" customFormat="false" ht="12.75" hidden="false" customHeight="false" outlineLevel="0" collapsed="false">
      <c r="B158" s="266" t="s">
        <v>469</v>
      </c>
      <c r="C158" s="267" t="s">
        <v>196</v>
      </c>
      <c r="D158" s="266" t="s">
        <v>470</v>
      </c>
      <c r="E158" s="266" t="str">
        <f aca="false">CONCATENATE("0x",DEC2HEX(HEX2DEC(RIGHT(D158,3)),8))</f>
        <v>0x00000250</v>
      </c>
      <c r="F158" s="267" t="str">
        <f aca="false">CONCATENATE("0x",_EMIF1_EXT_PHY_CTRL_11_VAL)</f>
        <v>0x00320032</v>
      </c>
      <c r="G158" s="267" t="str">
        <f aca="false">IF(_user_emifs=2,CONCATENATE("0x",_EMIF2_EXT_PHY_CTRL_11_VAL),"NA")</f>
        <v>NA</v>
      </c>
    </row>
    <row r="159" customFormat="false" ht="12.75" hidden="false" customHeight="false" outlineLevel="0" collapsed="false">
      <c r="B159" s="266" t="s">
        <v>471</v>
      </c>
      <c r="C159" s="267" t="s">
        <v>196</v>
      </c>
      <c r="D159" s="266" t="s">
        <v>472</v>
      </c>
      <c r="E159" s="266" t="str">
        <f aca="false">CONCATENATE("0x",DEC2HEX(HEX2DEC(RIGHT(D159,3)),8))</f>
        <v>0x00000254</v>
      </c>
      <c r="F159" s="267" t="str">
        <f aca="false">CONCATENATE("0x",_EMIF1_EXT_PHY_CTRL_11_VAL)</f>
        <v>0x00320032</v>
      </c>
      <c r="G159" s="267" t="str">
        <f aca="false">IF(_user_emifs=2,CONCATENATE("0x",_EMIF2_EXT_PHY_CTRL_11_VAL),"NA")</f>
        <v>NA</v>
      </c>
    </row>
    <row r="160" customFormat="false" ht="12.75" hidden="false" customHeight="false" outlineLevel="0" collapsed="false">
      <c r="B160" s="266" t="s">
        <v>473</v>
      </c>
      <c r="C160" s="267" t="s">
        <v>196</v>
      </c>
      <c r="D160" s="266" t="s">
        <v>474</v>
      </c>
      <c r="E160" s="266" t="str">
        <f aca="false">CONCATENATE("0x",DEC2HEX(HEX2DEC(RIGHT(D160,3)),8))</f>
        <v>0x00000258</v>
      </c>
      <c r="F160" s="267" t="str">
        <f aca="false">CONCATENATE("0x",_EMIF1_EXT_PHY_CTRL_12_VAL)</f>
        <v>0x00600065</v>
      </c>
      <c r="G160" s="267" t="str">
        <f aca="false">IF(_user_emifs=2,CONCATENATE("0x",_EMIF2_EXT_PHY_CTRL_12_VAL),"NA")</f>
        <v>NA</v>
      </c>
    </row>
    <row r="161" customFormat="false" ht="12.75" hidden="false" customHeight="false" outlineLevel="0" collapsed="false">
      <c r="B161" s="266" t="s">
        <v>475</v>
      </c>
      <c r="C161" s="267" t="s">
        <v>196</v>
      </c>
      <c r="D161" s="266" t="s">
        <v>476</v>
      </c>
      <c r="E161" s="266" t="str">
        <f aca="false">CONCATENATE("0x",DEC2HEX(HEX2DEC(RIGHT(D161,3)),8))</f>
        <v>0x0000025C</v>
      </c>
      <c r="F161" s="267" t="str">
        <f aca="false">CONCATENATE("0x",_EMIF1_EXT_PHY_CTRL_12_VAL)</f>
        <v>0x00600065</v>
      </c>
      <c r="G161" s="267" t="str">
        <f aca="false">IF(_user_emifs=2,CONCATENATE("0x",_EMIF2_EXT_PHY_CTRL_12_VAL),"NA")</f>
        <v>NA</v>
      </c>
    </row>
    <row r="162" customFormat="false" ht="12.75" hidden="false" customHeight="false" outlineLevel="0" collapsed="false">
      <c r="B162" s="266" t="s">
        <v>477</v>
      </c>
      <c r="C162" s="267" t="s">
        <v>196</v>
      </c>
      <c r="D162" s="266" t="s">
        <v>478</v>
      </c>
      <c r="E162" s="266" t="str">
        <f aca="false">CONCATENATE("0x",DEC2HEX(HEX2DEC(RIGHT(D162,3)),8))</f>
        <v>0x00000260</v>
      </c>
      <c r="F162" s="267" t="str">
        <f aca="false">CONCATENATE("0x",_EMIF1_EXT_PHY_CTRL_13_VAL)</f>
        <v>0x00600065</v>
      </c>
      <c r="G162" s="267" t="str">
        <f aca="false">IF(_user_emifs=2,CONCATENATE("0x",_EMIF2_EXT_PHY_CTRL_13_VAL),"NA")</f>
        <v>NA</v>
      </c>
    </row>
    <row r="163" customFormat="false" ht="12.75" hidden="false" customHeight="false" outlineLevel="0" collapsed="false">
      <c r="B163" s="266" t="s">
        <v>479</v>
      </c>
      <c r="C163" s="267" t="s">
        <v>196</v>
      </c>
      <c r="D163" s="266" t="s">
        <v>480</v>
      </c>
      <c r="E163" s="266" t="str">
        <f aca="false">CONCATENATE("0x",DEC2HEX(HEX2DEC(RIGHT(D163,3)),8))</f>
        <v>0x00000264</v>
      </c>
      <c r="F163" s="267" t="str">
        <f aca="false">CONCATENATE("0x",_EMIF1_EXT_PHY_CTRL_13_VAL)</f>
        <v>0x00600065</v>
      </c>
      <c r="G163" s="267" t="str">
        <f aca="false">IF(_user_emifs=2,CONCATENATE("0x",_EMIF2_EXT_PHY_CTRL_13_VAL),"NA")</f>
        <v>NA</v>
      </c>
    </row>
    <row r="164" customFormat="false" ht="12.75" hidden="false" customHeight="false" outlineLevel="0" collapsed="false">
      <c r="B164" s="266" t="s">
        <v>481</v>
      </c>
      <c r="C164" s="267" t="s">
        <v>196</v>
      </c>
      <c r="D164" s="266" t="s">
        <v>482</v>
      </c>
      <c r="E164" s="266" t="str">
        <f aca="false">CONCATENATE("0x",DEC2HEX(HEX2DEC(RIGHT(D164,3)),8))</f>
        <v>0x00000268</v>
      </c>
      <c r="F164" s="267" t="str">
        <f aca="false">CONCATENATE("0x",_EMIF1_EXT_PHY_CTRL_14_VAL)</f>
        <v>0x00600060</v>
      </c>
      <c r="G164" s="267" t="str">
        <f aca="false">IF(_user_emifs=2,CONCATENATE("0x",_EMIF2_EXT_PHY_CTRL_14_VAL),"NA")</f>
        <v>NA</v>
      </c>
    </row>
    <row r="165" customFormat="false" ht="12.75" hidden="false" customHeight="false" outlineLevel="0" collapsed="false">
      <c r="B165" s="266" t="s">
        <v>483</v>
      </c>
      <c r="C165" s="267" t="s">
        <v>196</v>
      </c>
      <c r="D165" s="266" t="s">
        <v>484</v>
      </c>
      <c r="E165" s="266" t="str">
        <f aca="false">CONCATENATE("0x",DEC2HEX(HEX2DEC(RIGHT(D165,3)),8))</f>
        <v>0x0000026C</v>
      </c>
      <c r="F165" s="267" t="str">
        <f aca="false">CONCATENATE("0x",_EMIF1_EXT_PHY_CTRL_14_VAL)</f>
        <v>0x00600060</v>
      </c>
      <c r="G165" s="267" t="str">
        <f aca="false">IF(_user_emifs=2,CONCATENATE("0x",_EMIF2_EXT_PHY_CTRL_14_VAL),"NA")</f>
        <v>NA</v>
      </c>
    </row>
    <row r="166" customFormat="false" ht="12.75" hidden="false" customHeight="false" outlineLevel="0" collapsed="false">
      <c r="B166" s="266" t="s">
        <v>485</v>
      </c>
      <c r="C166" s="267" t="s">
        <v>196</v>
      </c>
      <c r="D166" s="266" t="s">
        <v>486</v>
      </c>
      <c r="E166" s="266" t="str">
        <f aca="false">CONCATENATE("0x",DEC2HEX(HEX2DEC(RIGHT(D166,3)),8))</f>
        <v>0x00000270</v>
      </c>
      <c r="F166" s="267" t="str">
        <f aca="false">CONCATENATE("0x",_EMIF1_EXT_PHY_CTRL_15_VAL)</f>
        <v>0x00600060</v>
      </c>
      <c r="G166" s="267" t="str">
        <f aca="false">IF(_user_emifs=2,CONCATENATE("0x",_EMIF2_EXT_PHY_CTRL_15_VAL),"NA")</f>
        <v>NA</v>
      </c>
    </row>
    <row r="167" customFormat="false" ht="12.75" hidden="false" customHeight="false" outlineLevel="0" collapsed="false">
      <c r="B167" s="266" t="s">
        <v>487</v>
      </c>
      <c r="C167" s="267" t="s">
        <v>196</v>
      </c>
      <c r="D167" s="266" t="s">
        <v>488</v>
      </c>
      <c r="E167" s="266" t="str">
        <f aca="false">CONCATENATE("0x",DEC2HEX(HEX2DEC(RIGHT(D167,3)),8))</f>
        <v>0x00000274</v>
      </c>
      <c r="F167" s="267" t="str">
        <f aca="false">CONCATENATE("0x",_EMIF1_EXT_PHY_CTRL_15_VAL)</f>
        <v>0x00600060</v>
      </c>
      <c r="G167" s="267" t="str">
        <f aca="false">IF(_user_emifs=2,CONCATENATE("0x",_EMIF2_EXT_PHY_CTRL_15_VAL),"NA")</f>
        <v>NA</v>
      </c>
    </row>
    <row r="168" customFormat="false" ht="12.75" hidden="false" customHeight="false" outlineLevel="0" collapsed="false">
      <c r="B168" s="266" t="s">
        <v>489</v>
      </c>
      <c r="C168" s="267" t="s">
        <v>196</v>
      </c>
      <c r="D168" s="266" t="s">
        <v>490</v>
      </c>
      <c r="E168" s="266" t="str">
        <f aca="false">CONCATENATE("0x",DEC2HEX(HEX2DEC(RIGHT(D168,3)),8))</f>
        <v>0x00000278</v>
      </c>
      <c r="F168" s="267" t="str">
        <f aca="false">CONCATENATE("0x",_EMIF1_EXT_PHY_CTRL_16_VAL)</f>
        <v>0x00600060</v>
      </c>
      <c r="G168" s="267" t="str">
        <f aca="false">IF(_user_emifs=2,CONCATENATE("0x",_EMIF2_EXT_PHY_CTRL_16_VAL),"NA")</f>
        <v>NA</v>
      </c>
    </row>
    <row r="169" customFormat="false" ht="12.75" hidden="false" customHeight="false" outlineLevel="0" collapsed="false">
      <c r="B169" s="266" t="s">
        <v>491</v>
      </c>
      <c r="C169" s="267" t="s">
        <v>196</v>
      </c>
      <c r="D169" s="266" t="s">
        <v>492</v>
      </c>
      <c r="E169" s="266" t="str">
        <f aca="false">CONCATENATE("0x",DEC2HEX(HEX2DEC(RIGHT(D169,3)),8))</f>
        <v>0x0000027C</v>
      </c>
      <c r="F169" s="267" t="str">
        <f aca="false">CONCATENATE("0x",_EMIF1_EXT_PHY_CTRL_16_VAL)</f>
        <v>0x00600060</v>
      </c>
      <c r="G169" s="267" t="str">
        <f aca="false">IF(_user_emifs=2,CONCATENATE("0x",_EMIF2_EXT_PHY_CTRL_16_VAL),"NA")</f>
        <v>NA</v>
      </c>
    </row>
    <row r="170" customFormat="false" ht="12.75" hidden="false" customHeight="false" outlineLevel="0" collapsed="false">
      <c r="B170" s="266" t="s">
        <v>493</v>
      </c>
      <c r="C170" s="267" t="s">
        <v>196</v>
      </c>
      <c r="D170" s="266" t="s">
        <v>494</v>
      </c>
      <c r="E170" s="266" t="str">
        <f aca="false">CONCATENATE("0x",DEC2HEX(HEX2DEC(RIGHT(D170,3)),8))</f>
        <v>0x00000280</v>
      </c>
      <c r="F170" s="267" t="str">
        <f aca="false">CONCATENATE("0x",_EMIF1_EXT_PHY_CTRL_17_VAL)</f>
        <v>0x00400045</v>
      </c>
      <c r="G170" s="267" t="str">
        <f aca="false">IF(_user_emifs=2,CONCATENATE("0x",_EMIF2_EXT_PHY_CTRL_17_VAL),"NA")</f>
        <v>NA</v>
      </c>
    </row>
    <row r="171" customFormat="false" ht="12.75" hidden="false" customHeight="false" outlineLevel="0" collapsed="false">
      <c r="B171" s="266" t="s">
        <v>495</v>
      </c>
      <c r="C171" s="267" t="s">
        <v>196</v>
      </c>
      <c r="D171" s="266" t="s">
        <v>496</v>
      </c>
      <c r="E171" s="266" t="str">
        <f aca="false">CONCATENATE("0x",DEC2HEX(HEX2DEC(RIGHT(D171,3)),8))</f>
        <v>0x00000284</v>
      </c>
      <c r="F171" s="267" t="str">
        <f aca="false">CONCATENATE("0x",_EMIF1_EXT_PHY_CTRL_17_VAL)</f>
        <v>0x00400045</v>
      </c>
      <c r="G171" s="267" t="str">
        <f aca="false">IF(_user_emifs=2,CONCATENATE("0x",_EMIF2_EXT_PHY_CTRL_17_VAL),"NA")</f>
        <v>NA</v>
      </c>
    </row>
    <row r="172" customFormat="false" ht="12.75" hidden="false" customHeight="false" outlineLevel="0" collapsed="false">
      <c r="B172" s="266" t="s">
        <v>497</v>
      </c>
      <c r="C172" s="267" t="s">
        <v>196</v>
      </c>
      <c r="D172" s="266" t="s">
        <v>498</v>
      </c>
      <c r="E172" s="266" t="str">
        <f aca="false">CONCATENATE("0x",DEC2HEX(HEX2DEC(RIGHT(D172,3)),8))</f>
        <v>0x00000288</v>
      </c>
      <c r="F172" s="267" t="str">
        <f aca="false">CONCATENATE("0x",_EMIF1_EXT_PHY_CTRL_18_VAL)</f>
        <v>0x00400045</v>
      </c>
      <c r="G172" s="267" t="str">
        <f aca="false">IF(_user_emifs=2,CONCATENATE("0x",_EMIF2_EXT_PHY_CTRL_18_VAL),"NA")</f>
        <v>NA</v>
      </c>
    </row>
    <row r="173" customFormat="false" ht="12.75" hidden="false" customHeight="false" outlineLevel="0" collapsed="false">
      <c r="B173" s="266" t="s">
        <v>499</v>
      </c>
      <c r="C173" s="267" t="s">
        <v>196</v>
      </c>
      <c r="D173" s="266" t="s">
        <v>500</v>
      </c>
      <c r="E173" s="266" t="str">
        <f aca="false">CONCATENATE("0x",DEC2HEX(HEX2DEC(RIGHT(D173,3)),8))</f>
        <v>0x0000028C</v>
      </c>
      <c r="F173" s="267" t="str">
        <f aca="false">CONCATENATE("0x",_EMIF1_EXT_PHY_CTRL_18_VAL)</f>
        <v>0x00400045</v>
      </c>
      <c r="G173" s="267" t="str">
        <f aca="false">IF(_user_emifs=2,CONCATENATE("0x",_EMIF2_EXT_PHY_CTRL_18_VAL),"NA")</f>
        <v>NA</v>
      </c>
    </row>
    <row r="174" customFormat="false" ht="12.75" hidden="false" customHeight="false" outlineLevel="0" collapsed="false">
      <c r="B174" s="266" t="s">
        <v>501</v>
      </c>
      <c r="C174" s="267" t="s">
        <v>196</v>
      </c>
      <c r="D174" s="266" t="s">
        <v>502</v>
      </c>
      <c r="E174" s="266" t="str">
        <f aca="false">CONCATENATE("0x",DEC2HEX(HEX2DEC(RIGHT(D174,3)),8))</f>
        <v>0x00000290</v>
      </c>
      <c r="F174" s="267" t="str">
        <f aca="false">CONCATENATE("0x",_EMIF1_EXT_PHY_CTRL_19_VAL)</f>
        <v>0x00400040</v>
      </c>
      <c r="G174" s="267" t="str">
        <f aca="false">IF(_user_emifs=2,CONCATENATE("0x",_EMIF2_EXT_PHY_CTRL_19_VAL),"NA")</f>
        <v>NA</v>
      </c>
    </row>
    <row r="175" customFormat="false" ht="12.75" hidden="false" customHeight="false" outlineLevel="0" collapsed="false">
      <c r="B175" s="266" t="s">
        <v>503</v>
      </c>
      <c r="C175" s="267" t="s">
        <v>196</v>
      </c>
      <c r="D175" s="266" t="s">
        <v>504</v>
      </c>
      <c r="E175" s="266" t="str">
        <f aca="false">CONCATENATE("0x",DEC2HEX(HEX2DEC(RIGHT(D175,3)),8))</f>
        <v>0x00000294</v>
      </c>
      <c r="F175" s="267" t="str">
        <f aca="false">CONCATENATE("0x",_EMIF1_EXT_PHY_CTRL_19_VAL)</f>
        <v>0x00400040</v>
      </c>
      <c r="G175" s="267" t="str">
        <f aca="false">IF(_user_emifs=2,CONCATENATE("0x",_EMIF2_EXT_PHY_CTRL_19_VAL),"NA")</f>
        <v>NA</v>
      </c>
    </row>
    <row r="176" customFormat="false" ht="12.75" hidden="false" customHeight="false" outlineLevel="0" collapsed="false">
      <c r="B176" s="266" t="s">
        <v>505</v>
      </c>
      <c r="C176" s="267" t="s">
        <v>196</v>
      </c>
      <c r="D176" s="266" t="s">
        <v>506</v>
      </c>
      <c r="E176" s="266" t="str">
        <f aca="false">CONCATENATE("0x",DEC2HEX(HEX2DEC(RIGHT(D176,3)),8))</f>
        <v>0x00000298</v>
      </c>
      <c r="F176" s="267" t="str">
        <f aca="false">CONCATENATE("0x",_EMIF1_EXT_PHY_CTRL_20_VAL)</f>
        <v>0x00400040</v>
      </c>
      <c r="G176" s="267" t="str">
        <f aca="false">IF(_user_emifs=2,CONCATENATE("0x",_EMIF2_EXT_PHY_CTRL_20_VAL),"NA")</f>
        <v>NA</v>
      </c>
    </row>
    <row r="177" customFormat="false" ht="12.75" hidden="false" customHeight="false" outlineLevel="0" collapsed="false">
      <c r="B177" s="266" t="s">
        <v>507</v>
      </c>
      <c r="C177" s="267" t="s">
        <v>196</v>
      </c>
      <c r="D177" s="266" t="s">
        <v>508</v>
      </c>
      <c r="E177" s="266" t="str">
        <f aca="false">CONCATENATE("0x",DEC2HEX(HEX2DEC(RIGHT(D177,3)),8))</f>
        <v>0x0000029C</v>
      </c>
      <c r="F177" s="267" t="str">
        <f aca="false">CONCATENATE("0x",_EMIF1_EXT_PHY_CTRL_20_VAL)</f>
        <v>0x00400040</v>
      </c>
      <c r="G177" s="267" t="str">
        <f aca="false">IF(_user_emifs=2,CONCATENATE("0x",_EMIF2_EXT_PHY_CTRL_20_VAL),"NA")</f>
        <v>NA</v>
      </c>
    </row>
    <row r="178" customFormat="false" ht="12.75" hidden="false" customHeight="false" outlineLevel="0" collapsed="false">
      <c r="B178" s="266" t="s">
        <v>509</v>
      </c>
      <c r="C178" s="267" t="s">
        <v>196</v>
      </c>
      <c r="D178" s="266" t="s">
        <v>510</v>
      </c>
      <c r="E178" s="266" t="str">
        <f aca="false">CONCATENATE("0x",DEC2HEX(HEX2DEC(RIGHT(D178,3)),8))</f>
        <v>0x000002A0</v>
      </c>
      <c r="F178" s="267" t="str">
        <f aca="false">CONCATENATE("0x",_EMIF1_EXT_PHY_CTRL_21_VAL)</f>
        <v>0x00400040</v>
      </c>
      <c r="G178" s="267" t="str">
        <f aca="false">IF(_user_emifs=2,CONCATENATE("0x",_EMIF2_EXT_PHY_CTRL_21_VAL),"NA")</f>
        <v>NA</v>
      </c>
    </row>
    <row r="179" customFormat="false" ht="12.75" hidden="false" customHeight="false" outlineLevel="0" collapsed="false">
      <c r="B179" s="266" t="s">
        <v>511</v>
      </c>
      <c r="C179" s="267" t="s">
        <v>196</v>
      </c>
      <c r="D179" s="266" t="s">
        <v>512</v>
      </c>
      <c r="E179" s="266" t="str">
        <f aca="false">CONCATENATE("0x",DEC2HEX(HEX2DEC(RIGHT(D179,3)),8))</f>
        <v>0x000002A4</v>
      </c>
      <c r="F179" s="267" t="str">
        <f aca="false">CONCATENATE("0x",_EMIF1_EXT_PHY_CTRL_21_VAL)</f>
        <v>0x00400040</v>
      </c>
      <c r="G179" s="267" t="str">
        <f aca="false">IF(_user_emifs=2,CONCATENATE("0x",_EMIF2_EXT_PHY_CTRL_21_VAL),"NA")</f>
        <v>NA</v>
      </c>
    </row>
    <row r="180" customFormat="false" ht="12.75" hidden="false" customHeight="false" outlineLevel="0" collapsed="false">
      <c r="B180" s="266" t="s">
        <v>513</v>
      </c>
      <c r="C180" s="267" t="s">
        <v>196</v>
      </c>
      <c r="D180" s="266" t="s">
        <v>514</v>
      </c>
      <c r="E180" s="266" t="str">
        <f aca="false">CONCATENATE("0x",DEC2HEX(HEX2DEC(RIGHT(D180,3)),8))</f>
        <v>0x000002A8</v>
      </c>
      <c r="F180" s="267" t="str">
        <f aca="false">CONCATENATE("0x",_EMIF1_EXT_PHY_CTRL_22_VAL)</f>
        <v>0x00800080</v>
      </c>
      <c r="G180" s="267" t="str">
        <f aca="false">IF(_user_emifs=2,CONCATENATE("0x",_EMIF2_EXT_PHY_CTRL_22_VAL),"NA")</f>
        <v>NA</v>
      </c>
    </row>
    <row r="181" customFormat="false" ht="12.75" hidden="false" customHeight="false" outlineLevel="0" collapsed="false">
      <c r="B181" s="266" t="s">
        <v>515</v>
      </c>
      <c r="C181" s="267" t="s">
        <v>196</v>
      </c>
      <c r="D181" s="266" t="s">
        <v>516</v>
      </c>
      <c r="E181" s="266" t="str">
        <f aca="false">CONCATENATE("0x",DEC2HEX(HEX2DEC(RIGHT(D181,3)),8))</f>
        <v>0x000002AC</v>
      </c>
      <c r="F181" s="267" t="str">
        <f aca="false">CONCATENATE("0x",_EMIF1_EXT_PHY_CTRL_22_VAL)</f>
        <v>0x00800080</v>
      </c>
      <c r="G181" s="267" t="str">
        <f aca="false">IF(_user_emifs=2,CONCATENATE("0x",_EMIF2_EXT_PHY_CTRL_22_VAL),"NA")</f>
        <v>NA</v>
      </c>
    </row>
    <row r="182" customFormat="false" ht="12.75" hidden="false" customHeight="false" outlineLevel="0" collapsed="false">
      <c r="B182" s="266" t="s">
        <v>517</v>
      </c>
      <c r="C182" s="267" t="s">
        <v>196</v>
      </c>
      <c r="D182" s="266" t="s">
        <v>518</v>
      </c>
      <c r="E182" s="266" t="str">
        <f aca="false">CONCATENATE("0x",DEC2HEX(HEX2DEC(RIGHT(D182,3)),8))</f>
        <v>0x000002B0</v>
      </c>
      <c r="F182" s="267" t="str">
        <f aca="false">CONCATENATE("0x",_EMIF1_EXT_PHY_CTRL_22_VAL)</f>
        <v>0x00800080</v>
      </c>
      <c r="G182" s="267" t="str">
        <f aca="false">IF(_user_emifs=2,CONCATENATE("0x",_EMIF2_EXT_PHY_CTRL_22_VAL),"NA")</f>
        <v>NA</v>
      </c>
    </row>
    <row r="183" customFormat="false" ht="12.75" hidden="false" customHeight="false" outlineLevel="0" collapsed="false">
      <c r="B183" s="266" t="s">
        <v>519</v>
      </c>
      <c r="C183" s="267" t="s">
        <v>196</v>
      </c>
      <c r="D183" s="266" t="s">
        <v>520</v>
      </c>
      <c r="E183" s="266" t="str">
        <f aca="false">CONCATENATE("0x",DEC2HEX(HEX2DEC(RIGHT(D183,3)),8))</f>
        <v>0x000002B4</v>
      </c>
      <c r="F183" s="267" t="str">
        <f aca="false">CONCATENATE("0x",_EMIF1_EXT_PHY_CTRL_22_VAL)</f>
        <v>0x00800080</v>
      </c>
      <c r="G183" s="267" t="str">
        <f aca="false">IF(_user_emifs=2,CONCATENATE("0x",_EMIF2_EXT_PHY_CTRL_22_VAL),"NA")</f>
        <v>NA</v>
      </c>
    </row>
    <row r="184" customFormat="false" ht="12.75" hidden="false" customHeight="false" outlineLevel="0" collapsed="false">
      <c r="B184" s="266" t="s">
        <v>521</v>
      </c>
      <c r="C184" s="267" t="s">
        <v>196</v>
      </c>
      <c r="D184" s="266" t="s">
        <v>522</v>
      </c>
      <c r="E184" s="266" t="str">
        <f aca="false">CONCATENATE("0x",DEC2HEX(HEX2DEC(RIGHT(D184,3)),8))</f>
        <v>0x000002B8</v>
      </c>
      <c r="F184" s="267" t="str">
        <f aca="false">CONCATENATE("0x",_EMIF1_EXT_PHY_CTRL_24_VAL)</f>
        <v>0x40010080</v>
      </c>
      <c r="G184" s="267" t="str">
        <f aca="false">IF(_user_emifs=2,CONCATENATE("0x",_EMIF2_EXT_PHY_CTRL_24_VAL),"NA")</f>
        <v>NA</v>
      </c>
    </row>
    <row r="185" customFormat="false" ht="12.75" hidden="false" customHeight="false" outlineLevel="0" collapsed="false">
      <c r="B185" s="266" t="s">
        <v>523</v>
      </c>
      <c r="C185" s="267" t="s">
        <v>196</v>
      </c>
      <c r="D185" s="266" t="s">
        <v>524</v>
      </c>
      <c r="E185" s="266" t="str">
        <f aca="false">CONCATENATE("0x",DEC2HEX(HEX2DEC(RIGHT(D185,3)),8))</f>
        <v>0x000002BC</v>
      </c>
      <c r="F185" s="267" t="str">
        <f aca="false">CONCATENATE("0x",_EMIF1_EXT_PHY_CTRL_24_VAL)</f>
        <v>0x40010080</v>
      </c>
      <c r="G185" s="267" t="str">
        <f aca="false">IF(_user_emifs=2,CONCATENATE("0x",_EMIF2_EXT_PHY_CTRL_24_VAL),"NA")</f>
        <v>NA</v>
      </c>
    </row>
    <row r="186" customFormat="false" ht="12.75" hidden="false" customHeight="false" outlineLevel="0" collapsed="false">
      <c r="B186" s="266" t="s">
        <v>525</v>
      </c>
      <c r="C186" s="267" t="s">
        <v>196</v>
      </c>
      <c r="D186" s="266" t="s">
        <v>526</v>
      </c>
      <c r="E186" s="266" t="str">
        <f aca="false">CONCATENATE("0x",DEC2HEX(HEX2DEC(RIGHT(D186,3)),8))</f>
        <v>0x000002C0</v>
      </c>
      <c r="F186" s="267" t="str">
        <f aca="false">CONCATENATE("0x",_EMIF1_EXT_PHY_CTRL_25_VAL)</f>
        <v>0x08102040</v>
      </c>
      <c r="G186" s="267" t="str">
        <f aca="false">IF(_user_emifs=2,CONCATENATE("0x",_EMIF2_EXT_PHY_CTRL_25_VAL),"NA")</f>
        <v>NA</v>
      </c>
    </row>
    <row r="187" customFormat="false" ht="12.75" hidden="false" customHeight="false" outlineLevel="0" collapsed="false">
      <c r="B187" s="266" t="s">
        <v>527</v>
      </c>
      <c r="C187" s="267" t="s">
        <v>196</v>
      </c>
      <c r="D187" s="266" t="s">
        <v>528</v>
      </c>
      <c r="E187" s="266" t="str">
        <f aca="false">CONCATENATE("0x",DEC2HEX(HEX2DEC(RIGHT(D187,3)),8))</f>
        <v>0x000002C4</v>
      </c>
      <c r="F187" s="267" t="str">
        <f aca="false">CONCATENATE("0x",_EMIF1_EXT_PHY_CTRL_25_VAL)</f>
        <v>0x08102040</v>
      </c>
      <c r="G187" s="267" t="str">
        <f aca="false">IF(_user_emifs=2,CONCATENATE("0x",_EMIF2_EXT_PHY_CTRL_25_VAL),"NA")</f>
        <v>NA</v>
      </c>
    </row>
    <row r="188" customFormat="false" ht="12.75" hidden="false" customHeight="false" outlineLevel="0" collapsed="false">
      <c r="B188" s="266" t="s">
        <v>529</v>
      </c>
      <c r="C188" s="267" t="s">
        <v>196</v>
      </c>
      <c r="D188" s="266" t="s">
        <v>530</v>
      </c>
      <c r="E188" s="266" t="str">
        <f aca="false">CONCATENATE("0x",DEC2HEX(HEX2DEC(RIGHT(D188,3)),8))</f>
        <v>0x000002C8</v>
      </c>
      <c r="F188" s="267" t="str">
        <f aca="false">CONCATENATE("0x",_EMIF1_EXT_PHY_CTRL_26_VAL)</f>
        <v>0x00000072</v>
      </c>
      <c r="G188" s="267" t="str">
        <f aca="false">IF(_user_emifs=2,CONCATENATE("0x",_EMIF2_EXT_PHY_CTRL_26_VAL),"NA")</f>
        <v>NA</v>
      </c>
    </row>
    <row r="189" customFormat="false" ht="12.75" hidden="false" customHeight="false" outlineLevel="0" collapsed="false">
      <c r="B189" s="266" t="s">
        <v>531</v>
      </c>
      <c r="C189" s="267" t="s">
        <v>196</v>
      </c>
      <c r="D189" s="266" t="s">
        <v>532</v>
      </c>
      <c r="E189" s="266" t="str">
        <f aca="false">CONCATENATE("0x",DEC2HEX(HEX2DEC(RIGHT(D189,3)),8))</f>
        <v>0x000002CC</v>
      </c>
      <c r="F189" s="267" t="str">
        <f aca="false">CONCATENATE("0x",_EMIF1_EXT_PHY_CTRL_26_VAL)</f>
        <v>0x00000072</v>
      </c>
      <c r="G189" s="267" t="str">
        <f aca="false">IF(_user_emifs=2,CONCATENATE("0x",_EMIF2_EXT_PHY_CTRL_26_VAL),"NA")</f>
        <v>NA</v>
      </c>
    </row>
    <row r="190" customFormat="false" ht="12.75" hidden="false" customHeight="false" outlineLevel="0" collapsed="false">
      <c r="B190" s="266" t="s">
        <v>533</v>
      </c>
      <c r="C190" s="267" t="s">
        <v>196</v>
      </c>
      <c r="D190" s="266" t="s">
        <v>534</v>
      </c>
      <c r="E190" s="266" t="str">
        <f aca="false">CONCATENATE("0x",DEC2HEX(HEX2DEC(RIGHT(D190,3)),8))</f>
        <v>0x000002D0</v>
      </c>
      <c r="F190" s="267" t="str">
        <f aca="false">CONCATENATE("0x",_EMIF1_EXT_PHY_CTRL_27_VAL)</f>
        <v>0x00000072</v>
      </c>
      <c r="G190" s="267" t="str">
        <f aca="false">IF(_user_emifs=2,CONCATENATE("0x",_EMIF2_EXT_PHY_CTRL_27_VAL),"NA")</f>
        <v>NA</v>
      </c>
    </row>
    <row r="191" customFormat="false" ht="12.75" hidden="false" customHeight="false" outlineLevel="0" collapsed="false">
      <c r="B191" s="266" t="s">
        <v>535</v>
      </c>
      <c r="C191" s="267" t="s">
        <v>196</v>
      </c>
      <c r="D191" s="266" t="s">
        <v>536</v>
      </c>
      <c r="E191" s="266" t="str">
        <f aca="false">CONCATENATE("0x",DEC2HEX(HEX2DEC(RIGHT(D191,3)),8))</f>
        <v>0x000002D4</v>
      </c>
      <c r="F191" s="267" t="str">
        <f aca="false">CONCATENATE("0x",_EMIF1_EXT_PHY_CTRL_27_VAL)</f>
        <v>0x00000072</v>
      </c>
      <c r="G191" s="267" t="str">
        <f aca="false">IF(_user_emifs=2,CONCATENATE("0x",_EMIF2_EXT_PHY_CTRL_27_VAL),"NA")</f>
        <v>NA</v>
      </c>
    </row>
    <row r="192" customFormat="false" ht="12.75" hidden="false" customHeight="false" outlineLevel="0" collapsed="false">
      <c r="B192" s="266" t="s">
        <v>537</v>
      </c>
      <c r="C192" s="267" t="s">
        <v>196</v>
      </c>
      <c r="D192" s="266" t="s">
        <v>538</v>
      </c>
      <c r="E192" s="266" t="str">
        <f aca="false">CONCATENATE("0x",DEC2HEX(HEX2DEC(RIGHT(D192,3)),8))</f>
        <v>0x000002D8</v>
      </c>
      <c r="F192" s="267" t="str">
        <f aca="false">CONCATENATE("0x",_EMIF1_EXT_PHY_CTRL_28_VAL)</f>
        <v>0x00000000</v>
      </c>
      <c r="G192" s="267" t="str">
        <f aca="false">IF(_user_emifs=2,CONCATENATE("0x",_EMIF2_EXT_PHY_CTRL_28_VAL),"NA")</f>
        <v>NA</v>
      </c>
    </row>
    <row r="193" customFormat="false" ht="12.75" hidden="false" customHeight="false" outlineLevel="0" collapsed="false">
      <c r="B193" s="266" t="s">
        <v>539</v>
      </c>
      <c r="C193" s="267" t="s">
        <v>196</v>
      </c>
      <c r="D193" s="266" t="s">
        <v>540</v>
      </c>
      <c r="E193" s="266" t="str">
        <f aca="false">CONCATENATE("0x",DEC2HEX(HEX2DEC(RIGHT(D193,3)),8))</f>
        <v>0x000002DC</v>
      </c>
      <c r="F193" s="267" t="str">
        <f aca="false">CONCATENATE("0x",_EMIF1_EXT_PHY_CTRL_28_VAL)</f>
        <v>0x00000000</v>
      </c>
      <c r="G193" s="267" t="str">
        <f aca="false">IF(_user_emifs=2,CONCATENATE("0x",_EMIF2_EXT_PHY_CTRL_28_VAL),"NA")</f>
        <v>NA</v>
      </c>
    </row>
    <row r="194" customFormat="false" ht="12.75" hidden="false" customHeight="false" outlineLevel="0" collapsed="false">
      <c r="B194" s="266" t="s">
        <v>541</v>
      </c>
      <c r="C194" s="267" t="s">
        <v>196</v>
      </c>
      <c r="D194" s="266" t="s">
        <v>542</v>
      </c>
      <c r="E194" s="266" t="str">
        <f aca="false">CONCATENATE("0x",DEC2HEX(HEX2DEC(RIGHT(D194,3)),8))</f>
        <v>0x000002E0</v>
      </c>
      <c r="F194" s="267" t="str">
        <f aca="false">CONCATENATE("0x",_EMIF1_EXT_PHY_CTRL_29_VAL)</f>
        <v>0x00000000</v>
      </c>
      <c r="G194" s="267" t="str">
        <f aca="false">IF(_user_emifs=2,CONCATENATE("0x",_EMIF2_EXT_PHY_CTRL_29_VAL),"NA")</f>
        <v>NA</v>
      </c>
    </row>
    <row r="195" customFormat="false" ht="12.75" hidden="false" customHeight="false" outlineLevel="0" collapsed="false">
      <c r="B195" s="266" t="s">
        <v>543</v>
      </c>
      <c r="C195" s="267" t="s">
        <v>196</v>
      </c>
      <c r="D195" s="266" t="s">
        <v>544</v>
      </c>
      <c r="E195" s="266" t="str">
        <f aca="false">CONCATENATE("0x",DEC2HEX(HEX2DEC(RIGHT(D195,3)),8))</f>
        <v>0x000002E4</v>
      </c>
      <c r="F195" s="267" t="str">
        <f aca="false">CONCATENATE("0x",_EMIF1_EXT_PHY_CTRL_29_VAL)</f>
        <v>0x00000000</v>
      </c>
      <c r="G195" s="267" t="str">
        <f aca="false">IF(_user_emifs=2,CONCATENATE("0x",_EMIF2_EXT_PHY_CTRL_29_VAL),"NA")</f>
        <v>NA</v>
      </c>
    </row>
    <row r="196" customFormat="false" ht="12.75" hidden="false" customHeight="false" outlineLevel="0" collapsed="false">
      <c r="B196" s="266" t="s">
        <v>545</v>
      </c>
      <c r="C196" s="267" t="s">
        <v>196</v>
      </c>
      <c r="D196" s="266" t="s">
        <v>546</v>
      </c>
      <c r="E196" s="266" t="str">
        <f aca="false">CONCATENATE("0x",DEC2HEX(HEX2DEC(RIGHT(D196,3)),8))</f>
        <v>0x000002E8</v>
      </c>
      <c r="F196" s="267" t="str">
        <f aca="false">CONCATENATE("0x",_EMIF1_EXT_PHY_CTRL_30_VAL)</f>
        <v>0x00000000</v>
      </c>
      <c r="G196" s="267" t="str">
        <f aca="false">IF(_user_emifs=2,CONCATENATE("0x",_EMIF2_EXT_PHY_CTRL_30_VAL),"NA")</f>
        <v>NA</v>
      </c>
    </row>
    <row r="197" customFormat="false" ht="12.75" hidden="false" customHeight="false" outlineLevel="0" collapsed="false">
      <c r="B197" s="266" t="s">
        <v>547</v>
      </c>
      <c r="C197" s="267" t="s">
        <v>196</v>
      </c>
      <c r="D197" s="266" t="s">
        <v>548</v>
      </c>
      <c r="E197" s="266" t="str">
        <f aca="false">CONCATENATE("0x",DEC2HEX(HEX2DEC(RIGHT(D197,3)),8))</f>
        <v>0x000002EC</v>
      </c>
      <c r="F197" s="267" t="str">
        <f aca="false">CONCATENATE("0x",_EMIF1_EXT_PHY_CTRL_30_VAL)</f>
        <v>0x00000000</v>
      </c>
      <c r="G197" s="267" t="str">
        <f aca="false">IF(_user_emifs=2,CONCATENATE("0x",_EMIF2_EXT_PHY_CTRL_30_VAL),"NA")</f>
        <v>NA</v>
      </c>
    </row>
    <row r="198" customFormat="false" ht="12.75" hidden="false" customHeight="false" outlineLevel="0" collapsed="false">
      <c r="B198" s="266" t="s">
        <v>549</v>
      </c>
      <c r="C198" s="267" t="s">
        <v>196</v>
      </c>
      <c r="D198" s="266" t="s">
        <v>550</v>
      </c>
      <c r="E198" s="266" t="str">
        <f aca="false">CONCATENATE("0x",DEC2HEX(HEX2DEC(RIGHT(D198,3)),8))</f>
        <v>0x000002F0</v>
      </c>
      <c r="F198" s="267" t="str">
        <f aca="false">CONCATENATE("0x",_EMIF1_EXT_PHY_CTRL_31_VAL)</f>
        <v>0x00000035</v>
      </c>
      <c r="G198" s="267" t="str">
        <f aca="false">IF(_user_emifs=2,CONCATENATE("0x",_EMIF2_EXT_PHY_CTRL_31_VAL),"NA")</f>
        <v>NA</v>
      </c>
    </row>
    <row r="199" customFormat="false" ht="12.75" hidden="false" customHeight="false" outlineLevel="0" collapsed="false">
      <c r="B199" s="266" t="s">
        <v>551</v>
      </c>
      <c r="C199" s="267" t="s">
        <v>196</v>
      </c>
      <c r="D199" s="266" t="s">
        <v>552</v>
      </c>
      <c r="E199" s="266" t="str">
        <f aca="false">CONCATENATE("0x",DEC2HEX(HEX2DEC(RIGHT(D199,3)),8))</f>
        <v>0x000002F4</v>
      </c>
      <c r="F199" s="267" t="str">
        <f aca="false">CONCATENATE("0x",_EMIF1_EXT_PHY_CTRL_31_VAL)</f>
        <v>0x00000035</v>
      </c>
      <c r="G199" s="267" t="str">
        <f aca="false">IF(_user_emifs=2,CONCATENATE("0x",_EMIF2_EXT_PHY_CTRL_31_VAL),"NA")</f>
        <v>NA</v>
      </c>
    </row>
    <row r="200" customFormat="false" ht="12.75" hidden="false" customHeight="false" outlineLevel="0" collapsed="false">
      <c r="B200" s="266" t="s">
        <v>553</v>
      </c>
      <c r="C200" s="267" t="s">
        <v>196</v>
      </c>
      <c r="D200" s="266" t="s">
        <v>554</v>
      </c>
      <c r="E200" s="266" t="str">
        <f aca="false">CONCATENATE("0x",DEC2HEX(HEX2DEC(RIGHT(D200,3)),8))</f>
        <v>0x000002F8</v>
      </c>
      <c r="F200" s="267" t="str">
        <f aca="false">CONCATENATE("0x",_EMIF1_EXT_PHY_CTRL_32_VAL)</f>
        <v>0x00000035</v>
      </c>
      <c r="G200" s="267" t="str">
        <f aca="false">IF(_user_emifs=2,CONCATENATE("0x",_EMIF2_EXT_PHY_CTRL_32_VAL),"NA")</f>
        <v>NA</v>
      </c>
    </row>
    <row r="201" customFormat="false" ht="12.75" hidden="false" customHeight="false" outlineLevel="0" collapsed="false">
      <c r="B201" s="266" t="s">
        <v>555</v>
      </c>
      <c r="C201" s="267" t="s">
        <v>196</v>
      </c>
      <c r="D201" s="266" t="s">
        <v>556</v>
      </c>
      <c r="E201" s="266" t="str">
        <f aca="false">CONCATENATE("0x",DEC2HEX(HEX2DEC(RIGHT(D201,3)),8))</f>
        <v>0x000002FC</v>
      </c>
      <c r="F201" s="267" t="str">
        <f aca="false">CONCATENATE("0x",_EMIF1_EXT_PHY_CTRL_32_VAL)</f>
        <v>0x00000035</v>
      </c>
      <c r="G201" s="267" t="str">
        <f aca="false">IF(_user_emifs=2,CONCATENATE("0x",_EMIF2_EXT_PHY_CTRL_32_VAL),"NA")</f>
        <v>NA</v>
      </c>
    </row>
    <row r="202" customFormat="false" ht="12.75" hidden="false" customHeight="false" outlineLevel="0" collapsed="false">
      <c r="B202" s="266" t="s">
        <v>557</v>
      </c>
      <c r="C202" s="267" t="s">
        <v>196</v>
      </c>
      <c r="D202" s="266" t="s">
        <v>558</v>
      </c>
      <c r="E202" s="266" t="str">
        <f aca="false">CONCATENATE("0x",DEC2HEX(HEX2DEC(RIGHT(D202,3)),8))</f>
        <v>0x00000300</v>
      </c>
      <c r="F202" s="267" t="str">
        <f aca="false">CONCATENATE("0x",_EMIF1_EXT_PHY_CTRL_33_VAL)</f>
        <v>0x00000000</v>
      </c>
      <c r="G202" s="267" t="str">
        <f aca="false">IF(_user_emifs=2,CONCATENATE("0x",_EMIF2_EXT_PHY_CTRL_33_VAL),"NA")</f>
        <v>NA</v>
      </c>
    </row>
    <row r="203" customFormat="false" ht="12.75" hidden="false" customHeight="false" outlineLevel="0" collapsed="false">
      <c r="B203" s="266" t="s">
        <v>559</v>
      </c>
      <c r="C203" s="267" t="s">
        <v>196</v>
      </c>
      <c r="D203" s="266" t="s">
        <v>560</v>
      </c>
      <c r="E203" s="266" t="str">
        <f aca="false">CONCATENATE("0x",DEC2HEX(HEX2DEC(RIGHT(D203,3)),8))</f>
        <v>0x00000304</v>
      </c>
      <c r="F203" s="267" t="str">
        <f aca="false">CONCATENATE("0x",_EMIF1_EXT_PHY_CTRL_33_VAL)</f>
        <v>0x00000000</v>
      </c>
      <c r="G203" s="267" t="str">
        <f aca="false">IF(_user_emifs=2,CONCATENATE("0x",_EMIF2_EXT_PHY_CTRL_33_VAL),"NA")</f>
        <v>NA</v>
      </c>
    </row>
    <row r="204" customFormat="false" ht="12.75" hidden="false" customHeight="false" outlineLevel="0" collapsed="false">
      <c r="B204" s="266" t="s">
        <v>561</v>
      </c>
      <c r="C204" s="267" t="s">
        <v>196</v>
      </c>
      <c r="D204" s="266" t="s">
        <v>562</v>
      </c>
      <c r="E204" s="266" t="str">
        <f aca="false">CONCATENATE("0x",DEC2HEX(HEX2DEC(RIGHT(D204,3)),8))</f>
        <v>0x00000308</v>
      </c>
      <c r="F204" s="267" t="str">
        <f aca="false">CONCATENATE("0x",_EMIF1_EXT_PHY_CTRL_34_VAL)</f>
        <v>0x00000000</v>
      </c>
      <c r="G204" s="267" t="str">
        <f aca="false">IF(_user_emifs=2,CONCATENATE("0x",_EMIF2_EXT_PHY_CTRL_34_VAL),"NA")</f>
        <v>NA</v>
      </c>
    </row>
    <row r="205" customFormat="false" ht="12.75" hidden="false" customHeight="false" outlineLevel="0" collapsed="false">
      <c r="B205" s="266" t="s">
        <v>563</v>
      </c>
      <c r="C205" s="267" t="s">
        <v>196</v>
      </c>
      <c r="D205" s="266" t="s">
        <v>564</v>
      </c>
      <c r="E205" s="266" t="str">
        <f aca="false">CONCATENATE("0x",DEC2HEX(HEX2DEC(RIGHT(D205,3)),8))</f>
        <v>0x0000030C</v>
      </c>
      <c r="F205" s="267" t="str">
        <f aca="false">CONCATENATE("0x",_EMIF1_EXT_PHY_CTRL_34_VAL)</f>
        <v>0x00000000</v>
      </c>
      <c r="G205" s="267" t="str">
        <f aca="false">IF(_user_emifs=2,CONCATENATE("0x",_EMIF2_EXT_PHY_CTRL_34_VAL),"NA")</f>
        <v>NA</v>
      </c>
    </row>
    <row r="206" customFormat="false" ht="12.75" hidden="false" customHeight="false" outlineLevel="0" collapsed="false">
      <c r="B206" s="266" t="s">
        <v>565</v>
      </c>
      <c r="C206" s="267" t="s">
        <v>196</v>
      </c>
      <c r="D206" s="266" t="s">
        <v>566</v>
      </c>
      <c r="E206" s="266" t="str">
        <f aca="false">CONCATENATE("0x",DEC2HEX(HEX2DEC(RIGHT(D206,3)),8))</f>
        <v>0x00000310</v>
      </c>
      <c r="F206" s="267" t="str">
        <f aca="false">CONCATENATE("0x",_EMIF1_EXT_PHY_CTRL_35_VAL)</f>
        <v>0x00000000</v>
      </c>
      <c r="G206" s="267" t="str">
        <f aca="false">IF(_user_emifs=2,CONCATENATE("0x",_EMIF2_EXT_PHY_CTRL_35_VAL),"NA")</f>
        <v>NA</v>
      </c>
    </row>
    <row r="207" customFormat="false" ht="12.75" hidden="false" customHeight="false" outlineLevel="0" collapsed="false">
      <c r="B207" s="266" t="s">
        <v>567</v>
      </c>
      <c r="C207" s="267" t="s">
        <v>196</v>
      </c>
      <c r="D207" s="266" t="s">
        <v>568</v>
      </c>
      <c r="E207" s="266" t="str">
        <f aca="false">CONCATENATE("0x",DEC2HEX(HEX2DEC(RIGHT(D207,3)),8))</f>
        <v>0x00000314</v>
      </c>
      <c r="F207" s="267" t="str">
        <f aca="false">CONCATENATE("0x",_EMIF1_EXT_PHY_CTRL_35_VAL)</f>
        <v>0x00000000</v>
      </c>
      <c r="G207" s="267" t="str">
        <f aca="false">IF(_user_emifs=2,CONCATENATE("0x",_EMIF2_EXT_PHY_CTRL_35_VAL),"NA")</f>
        <v>NA</v>
      </c>
    </row>
    <row r="208" customFormat="false" ht="12.75" hidden="false" customHeight="false" outlineLevel="0" collapsed="false">
      <c r="B208" s="266" t="s">
        <v>569</v>
      </c>
      <c r="C208" s="267" t="s">
        <v>196</v>
      </c>
      <c r="D208" s="266" t="s">
        <v>570</v>
      </c>
      <c r="E208" s="266" t="str">
        <f aca="false">CONCATENATE("0x",DEC2HEX(HEX2DEC(RIGHT(D208,3)),8))</f>
        <v>0x00000318</v>
      </c>
      <c r="F208" s="267" t="str">
        <f aca="false">CONCATENATE("0x",_EMIF1_EXT_PHY_CTRL_36_VAL)</f>
        <v>0x00000077</v>
      </c>
      <c r="G208" s="267" t="str">
        <f aca="false">IF(_user_emifs=2,CONCATENATE("0x",_EMIF2_EXT_PHY_CTRL_36_VAL),"NA")</f>
        <v>NA</v>
      </c>
    </row>
    <row r="209" customFormat="false" ht="12.75" hidden="false" customHeight="false" outlineLevel="0" collapsed="false">
      <c r="B209" s="266" t="s">
        <v>571</v>
      </c>
      <c r="C209" s="267" t="s">
        <v>196</v>
      </c>
      <c r="D209" s="266" t="s">
        <v>572</v>
      </c>
      <c r="E209" s="266" t="str">
        <f aca="false">CONCATENATE("0x",DEC2HEX(HEX2DEC(RIGHT(D209,3)),8))</f>
        <v>0x0000031C</v>
      </c>
      <c r="F209" s="267" t="str">
        <f aca="false">CONCATENATE("0x",_EMIF1_EXT_PHY_CTRL_36_VAL)</f>
        <v>0x00000077</v>
      </c>
      <c r="G209" s="267" t="str">
        <f aca="false">IF(_user_emifs=2,CONCATENATE("0x",_EMIF2_EXT_PHY_CTRL_36_VAL),"NA")</f>
        <v>NA</v>
      </c>
    </row>
    <row r="210" customFormat="false" ht="12.75" hidden="false" customHeight="false" outlineLevel="0" collapsed="false">
      <c r="B210" s="0"/>
      <c r="D210" s="0"/>
    </row>
    <row r="211" customFormat="false" ht="12.75" hidden="false" customHeight="false" outlineLevel="0" collapsed="false">
      <c r="B211" s="266" t="s">
        <v>573</v>
      </c>
      <c r="D211" s="266" t="s">
        <v>574</v>
      </c>
    </row>
    <row r="212" customFormat="false" ht="12.75" hidden="false" customHeight="false" outlineLevel="0" collapsed="false">
      <c r="B212" s="266" t="s">
        <v>575</v>
      </c>
      <c r="D212" s="266" t="s">
        <v>576</v>
      </c>
    </row>
    <row r="213" customFormat="false" ht="12.75" hidden="false" customHeight="false" outlineLevel="0" collapsed="false">
      <c r="B213" s="266" t="s">
        <v>577</v>
      </c>
      <c r="D213" s="266" t="s">
        <v>578</v>
      </c>
    </row>
    <row r="214" customFormat="false" ht="12.75" hidden="false" customHeight="false" outlineLevel="0" collapsed="false">
      <c r="B214" s="266" t="s">
        <v>579</v>
      </c>
      <c r="D214" s="266" t="s">
        <v>580</v>
      </c>
    </row>
    <row r="215" customFormat="false" ht="12.75" hidden="false" customHeight="false" outlineLevel="0" collapsed="false">
      <c r="B215" s="266" t="s">
        <v>581</v>
      </c>
      <c r="D215" s="266" t="s">
        <v>582</v>
      </c>
    </row>
    <row r="216" customFormat="false" ht="12.75" hidden="false" customHeight="false" outlineLevel="0" collapsed="false">
      <c r="B216" s="266" t="s">
        <v>583</v>
      </c>
      <c r="D216" s="266" t="s">
        <v>584</v>
      </c>
    </row>
    <row r="217" customFormat="false" ht="12.75" hidden="false" customHeight="false" outlineLevel="0" collapsed="false">
      <c r="B217" s="266" t="s">
        <v>585</v>
      </c>
      <c r="D217" s="266" t="s">
        <v>586</v>
      </c>
    </row>
    <row r="218" customFormat="false" ht="12.75" hidden="false" customHeight="false" outlineLevel="0" collapsed="false">
      <c r="B218" s="0"/>
      <c r="D218" s="266" t="s">
        <v>587</v>
      </c>
    </row>
    <row r="219" customFormat="false" ht="12.75" hidden="false" customHeight="false" outlineLevel="0" collapsed="false">
      <c r="B219" s="266" t="s">
        <v>588</v>
      </c>
      <c r="D219" s="266" t="s">
        <v>589</v>
      </c>
    </row>
    <row r="220" customFormat="false" ht="12.75" hidden="false" customHeight="false" outlineLevel="0" collapsed="false">
      <c r="B220" s="266" t="s">
        <v>590</v>
      </c>
      <c r="D220" s="266" t="s">
        <v>591</v>
      </c>
    </row>
    <row r="221" customFormat="false" ht="12.75" hidden="false" customHeight="false" outlineLevel="0" collapsed="false">
      <c r="D221" s="266" t="s">
        <v>592</v>
      </c>
    </row>
    <row r="222" customFormat="false" ht="12.75" hidden="false" customHeight="false" outlineLevel="0" collapsed="false">
      <c r="D222" s="266" t="s">
        <v>593</v>
      </c>
    </row>
    <row r="223" customFormat="false" ht="12.75" hidden="false" customHeight="false" outlineLevel="0" collapsed="false">
      <c r="D223" s="266" t="s">
        <v>594</v>
      </c>
    </row>
    <row r="224" customFormat="false" ht="12.75" hidden="false" customHeight="false" outlineLevel="0" collapsed="false">
      <c r="D224" s="266" t="s">
        <v>595</v>
      </c>
    </row>
    <row r="225" customFormat="false" ht="12.75" hidden="false" customHeight="false" outlineLevel="0" collapsed="false">
      <c r="D225" s="266" t="s">
        <v>596</v>
      </c>
    </row>
    <row r="226" customFormat="false" ht="12.75" hidden="false" customHeight="false" outlineLevel="0" collapsed="false">
      <c r="D226" s="266" t="s">
        <v>597</v>
      </c>
    </row>
    <row r="227" customFormat="false" ht="12.75" hidden="false" customHeight="false" outlineLevel="0" collapsed="false">
      <c r="D227" s="266" t="s">
        <v>598</v>
      </c>
    </row>
    <row r="228" customFormat="false" ht="12.75" hidden="false" customHeight="false" outlineLevel="0" collapsed="false">
      <c r="D228" s="266" t="s">
        <v>599</v>
      </c>
    </row>
    <row r="229" customFormat="false" ht="12.75" hidden="false" customHeight="false" outlineLevel="0" collapsed="false">
      <c r="D229" s="266" t="s">
        <v>600</v>
      </c>
    </row>
  </sheetData>
  <sheetProtection sheet="true" objects="true" scenarios="true"/>
  <mergeCells count="49">
    <mergeCell ref="B8:B9"/>
    <mergeCell ref="C8:C9"/>
    <mergeCell ref="D8:D9"/>
    <mergeCell ref="E8:E9"/>
    <mergeCell ref="F8:F9"/>
    <mergeCell ref="G8:G9"/>
    <mergeCell ref="I8:K8"/>
    <mergeCell ref="L8:M8"/>
    <mergeCell ref="N8:P8"/>
    <mergeCell ref="R8:S8"/>
    <mergeCell ref="U8:V8"/>
    <mergeCell ref="W8:X8"/>
    <mergeCell ref="Y8:Z8"/>
    <mergeCell ref="AA8:AD8"/>
    <mergeCell ref="AE8:AG8"/>
    <mergeCell ref="AH8:AJ8"/>
    <mergeCell ref="AL8:AN8"/>
    <mergeCell ref="I9:K9"/>
    <mergeCell ref="L9:M9"/>
    <mergeCell ref="N9:P9"/>
    <mergeCell ref="R9:S9"/>
    <mergeCell ref="U9:V9"/>
    <mergeCell ref="W9:X9"/>
    <mergeCell ref="Y9:Z9"/>
    <mergeCell ref="AA9:AD9"/>
    <mergeCell ref="AE9:AG9"/>
    <mergeCell ref="AH9:AJ9"/>
    <mergeCell ref="AL9:AN9"/>
    <mergeCell ref="B13:B15"/>
    <mergeCell ref="C13:C15"/>
    <mergeCell ref="D13:D15"/>
    <mergeCell ref="E13:E15"/>
    <mergeCell ref="G13:G14"/>
    <mergeCell ref="I13:K13"/>
    <mergeCell ref="L13:O13"/>
    <mergeCell ref="P13:S13"/>
    <mergeCell ref="T13:W13"/>
    <mergeCell ref="X13:AB13"/>
    <mergeCell ref="AC13:AH13"/>
    <mergeCell ref="AI13:AK13"/>
    <mergeCell ref="AL13:AN13"/>
    <mergeCell ref="I14:K14"/>
    <mergeCell ref="L14:O14"/>
    <mergeCell ref="P14:S14"/>
    <mergeCell ref="T14:W14"/>
    <mergeCell ref="X14:AB14"/>
    <mergeCell ref="AC14:AH14"/>
    <mergeCell ref="AI14:AK14"/>
    <mergeCell ref="AL14:AN1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3" topLeftCell="A14" activePane="bottomLeft" state="frozen"/>
      <selection pane="topLeft" activeCell="A1" activeCellId="0" sqref="A1"/>
      <selection pane="bottom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81" width="9.14"/>
    <col collapsed="false" customWidth="true" hidden="false" outlineLevel="0" max="2" min="2" style="24" width="9.14"/>
    <col collapsed="false" customWidth="true" hidden="false" outlineLevel="0" max="3" min="3" style="24" width="20.71"/>
    <col collapsed="false" customWidth="true" hidden="false" outlineLevel="0" max="4" min="4" style="282" width="20.71"/>
    <col collapsed="false" customWidth="true" hidden="false" outlineLevel="0" max="8" min="5" style="24" width="20.71"/>
    <col collapsed="false" customWidth="true" hidden="false" outlineLevel="0" max="9" min="9" style="24" width="9.14"/>
    <col collapsed="false" customWidth="true" hidden="false" outlineLevel="0" max="1025" min="10" style="24" width="20.71"/>
  </cols>
  <sheetData>
    <row r="1" customFormat="false" ht="12.75" hidden="false" customHeight="true" outlineLevel="0" collapsed="false">
      <c r="A1" s="53"/>
      <c r="B1" s="53"/>
      <c r="C1" s="87"/>
      <c r="D1" s="87"/>
      <c r="E1" s="87"/>
      <c r="F1" s="87"/>
      <c r="G1" s="87"/>
      <c r="H1" s="87"/>
      <c r="I1" s="87"/>
      <c r="J1" s="88"/>
      <c r="K1" s="88"/>
      <c r="L1" s="88"/>
      <c r="M1" s="88"/>
      <c r="N1" s="32"/>
    </row>
    <row r="2" customFormat="false" ht="12.75" hidden="false" customHeight="true" outlineLevel="0" collapsed="false">
      <c r="A2" s="5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88"/>
      <c r="K2" s="88"/>
      <c r="L2" s="88"/>
      <c r="M2" s="88"/>
      <c r="N2" s="32"/>
    </row>
    <row r="3" customFormat="false" ht="12.75" hidden="false" customHeight="true" outlineLevel="0" collapsed="false">
      <c r="A3" s="5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88"/>
      <c r="K3" s="88"/>
      <c r="L3" s="88"/>
      <c r="M3" s="88"/>
      <c r="N3" s="32"/>
    </row>
    <row r="4" customFormat="false" ht="12.75" hidden="false" customHeight="true" outlineLevel="0" collapsed="false">
      <c r="A4" s="53"/>
      <c r="B4" s="86" t="s">
        <v>601</v>
      </c>
      <c r="C4" s="86"/>
      <c r="D4" s="86"/>
      <c r="E4" s="86"/>
      <c r="F4" s="86"/>
      <c r="G4" s="86"/>
      <c r="H4" s="86"/>
      <c r="I4" s="86"/>
      <c r="J4" s="88"/>
      <c r="K4" s="88"/>
      <c r="L4" s="88"/>
      <c r="M4" s="88"/>
      <c r="N4" s="32"/>
    </row>
    <row r="5" customFormat="false" ht="12.75" hidden="false" customHeight="true" outlineLevel="0" collapsed="false">
      <c r="A5" s="53"/>
      <c r="B5" s="86"/>
      <c r="C5" s="86"/>
      <c r="D5" s="86"/>
      <c r="E5" s="86"/>
      <c r="F5" s="86"/>
      <c r="G5" s="86"/>
      <c r="H5" s="86"/>
      <c r="I5" s="86"/>
      <c r="J5" s="88"/>
      <c r="K5" s="88"/>
      <c r="L5" s="88"/>
      <c r="M5" s="88"/>
      <c r="N5" s="32"/>
    </row>
    <row r="6" customFormat="false" ht="12.75" hidden="false" customHeight="true" outlineLevel="0" collapsed="false">
      <c r="A6" s="53"/>
      <c r="B6" s="86"/>
      <c r="C6" s="86"/>
      <c r="D6" s="86"/>
      <c r="E6" s="86"/>
      <c r="F6" s="86"/>
      <c r="G6" s="86"/>
      <c r="H6" s="86"/>
      <c r="I6" s="86"/>
      <c r="J6" s="88"/>
      <c r="K6" s="88"/>
      <c r="L6" s="88"/>
      <c r="M6" s="88"/>
      <c r="N6" s="32"/>
    </row>
    <row r="7" customFormat="false" ht="12.75" hidden="false" customHeight="true" outlineLevel="0" collapsed="false">
      <c r="A7" s="97"/>
      <c r="B7" s="283" t="s">
        <v>41</v>
      </c>
      <c r="C7" s="283"/>
      <c r="D7" s="283"/>
      <c r="E7" s="283"/>
      <c r="F7" s="283"/>
      <c r="G7" s="283"/>
      <c r="H7" s="283"/>
      <c r="I7" s="283"/>
      <c r="J7" s="284"/>
      <c r="K7" s="216"/>
      <c r="L7" s="216"/>
      <c r="M7" s="216"/>
      <c r="N7" s="32"/>
    </row>
    <row r="8" customFormat="false" ht="12.75" hidden="false" customHeight="true" outlineLevel="0" collapsed="false">
      <c r="A8" s="83"/>
      <c r="B8" s="283"/>
      <c r="C8" s="283"/>
      <c r="D8" s="283"/>
      <c r="E8" s="283"/>
      <c r="F8" s="283"/>
      <c r="G8" s="283"/>
      <c r="H8" s="283"/>
      <c r="I8" s="283"/>
      <c r="J8" s="285"/>
      <c r="K8" s="216"/>
      <c r="L8" s="216"/>
      <c r="M8" s="216"/>
      <c r="N8" s="32"/>
    </row>
    <row r="9" customFormat="false" ht="12.75" hidden="false" customHeight="true" outlineLevel="0" collapsed="false">
      <c r="A9" s="83"/>
      <c r="B9" s="91" t="s">
        <v>28</v>
      </c>
      <c r="C9" s="219" t="s">
        <v>602</v>
      </c>
      <c r="D9" s="220"/>
      <c r="E9" s="220"/>
      <c r="F9" s="220"/>
      <c r="G9" s="220"/>
      <c r="H9" s="220"/>
      <c r="I9" s="221"/>
      <c r="J9" s="285"/>
      <c r="K9" s="216"/>
      <c r="L9" s="216"/>
      <c r="M9" s="216"/>
      <c r="N9" s="32"/>
    </row>
    <row r="10" customFormat="false" ht="12.75" hidden="false" customHeight="false" outlineLevel="0" collapsed="false">
      <c r="A10" s="83"/>
      <c r="B10" s="165"/>
      <c r="C10" s="222" t="s">
        <v>603</v>
      </c>
      <c r="D10" s="222"/>
      <c r="E10" s="224"/>
      <c r="F10" s="224"/>
      <c r="G10" s="286"/>
      <c r="H10" s="286"/>
      <c r="I10" s="168"/>
      <c r="J10" s="32"/>
      <c r="K10" s="27"/>
      <c r="L10" s="27"/>
      <c r="M10" s="27"/>
      <c r="N10" s="32"/>
    </row>
    <row r="11" customFormat="false" ht="12.75" hidden="false" customHeight="false" outlineLevel="0" collapsed="false">
      <c r="A11" s="83"/>
      <c r="B11" s="165"/>
      <c r="C11" s="287" t="s">
        <v>604</v>
      </c>
      <c r="D11" s="222"/>
      <c r="E11" s="288"/>
      <c r="F11" s="224"/>
      <c r="G11" s="286"/>
      <c r="H11" s="286"/>
      <c r="I11" s="168"/>
      <c r="J11" s="32"/>
      <c r="K11" s="27"/>
      <c r="L11" s="27"/>
      <c r="M11" s="27"/>
      <c r="N11" s="32"/>
    </row>
    <row r="12" customFormat="false" ht="13.5" hidden="false" customHeight="false" outlineLevel="0" collapsed="false">
      <c r="A12" s="83"/>
      <c r="B12" s="172"/>
      <c r="C12" s="173"/>
      <c r="D12" s="289"/>
      <c r="E12" s="173"/>
      <c r="F12" s="173"/>
      <c r="G12" s="174"/>
      <c r="H12" s="174"/>
      <c r="I12" s="175"/>
      <c r="J12" s="32"/>
      <c r="K12" s="27"/>
      <c r="L12" s="27"/>
      <c r="M12" s="27"/>
      <c r="N12" s="32"/>
    </row>
    <row r="13" customFormat="false" ht="14.25" hidden="false" customHeight="false" outlineLevel="0" collapsed="false">
      <c r="A13" s="290"/>
      <c r="B13" s="140"/>
      <c r="C13" s="177"/>
      <c r="D13" s="291"/>
      <c r="E13" s="177"/>
      <c r="F13" s="177"/>
      <c r="G13" s="177"/>
      <c r="H13" s="177"/>
      <c r="I13" s="140"/>
      <c r="J13" s="140"/>
      <c r="K13" s="140"/>
      <c r="L13" s="140"/>
      <c r="M13" s="140"/>
    </row>
    <row r="14" customFormat="false" ht="13.5" hidden="false" customHeight="false" outlineLevel="0" collapsed="false">
      <c r="A14" s="0"/>
      <c r="B14" s="30"/>
      <c r="C14" s="292" t="s">
        <v>605</v>
      </c>
      <c r="D14" s="293"/>
      <c r="E14" s="203"/>
      <c r="F14" s="203"/>
      <c r="G14" s="203"/>
      <c r="H14" s="204"/>
      <c r="I14" s="32"/>
    </row>
    <row r="15" customFormat="false" ht="12.75" hidden="false" customHeight="false" outlineLevel="0" collapsed="false">
      <c r="A15" s="0"/>
      <c r="B15" s="30"/>
      <c r="C15" s="294" t="s">
        <v>606</v>
      </c>
      <c r="D15" s="295"/>
      <c r="E15" s="140"/>
      <c r="F15" s="140"/>
      <c r="G15" s="140"/>
      <c r="H15" s="296"/>
      <c r="I15" s="32"/>
    </row>
    <row r="16" customFormat="false" ht="12.75" hidden="false" customHeight="false" outlineLevel="0" collapsed="false">
      <c r="A16" s="0"/>
      <c r="B16" s="30"/>
      <c r="C16" s="294" t="s">
        <v>607</v>
      </c>
      <c r="D16" s="295"/>
      <c r="E16" s="140"/>
      <c r="F16" s="140"/>
      <c r="G16" s="140"/>
      <c r="H16" s="296"/>
      <c r="I16" s="32"/>
    </row>
    <row r="17" customFormat="false" ht="12.75" hidden="false" customHeight="false" outlineLevel="0" collapsed="false">
      <c r="A17" s="0"/>
      <c r="B17" s="30"/>
      <c r="C17" s="297" t="s">
        <v>608</v>
      </c>
      <c r="D17" s="78"/>
      <c r="E17" s="0"/>
      <c r="F17" s="0"/>
      <c r="G17" s="0"/>
      <c r="H17" s="195"/>
      <c r="I17" s="32"/>
    </row>
    <row r="18" customFormat="false" ht="12.75" hidden="false" customHeight="false" outlineLevel="0" collapsed="false">
      <c r="A18" s="0"/>
      <c r="B18" s="30"/>
      <c r="C18" s="297" t="s">
        <v>609</v>
      </c>
      <c r="D18" s="0"/>
      <c r="E18" s="0"/>
      <c r="F18" s="0"/>
      <c r="G18" s="0"/>
      <c r="H18" s="195"/>
      <c r="I18" s="32"/>
    </row>
    <row r="19" customFormat="false" ht="12.75" hidden="false" customHeight="false" outlineLevel="0" collapsed="false">
      <c r="A19" s="0"/>
      <c r="B19" s="30"/>
      <c r="C19" s="297" t="s">
        <v>610</v>
      </c>
      <c r="D19" s="0"/>
      <c r="E19" s="0"/>
      <c r="F19" s="0"/>
      <c r="G19" s="0"/>
      <c r="H19" s="195"/>
      <c r="I19" s="32"/>
    </row>
    <row r="20" customFormat="false" ht="12.75" hidden="false" customHeight="false" outlineLevel="0" collapsed="false">
      <c r="A20" s="0"/>
      <c r="B20" s="30"/>
      <c r="C20" s="297" t="s">
        <v>607</v>
      </c>
      <c r="D20" s="0"/>
      <c r="E20" s="0"/>
      <c r="F20" s="0"/>
      <c r="G20" s="0"/>
      <c r="H20" s="195"/>
      <c r="I20" s="32"/>
    </row>
    <row r="21" customFormat="false" ht="12.75" hidden="false" customHeight="false" outlineLevel="0" collapsed="false">
      <c r="A21" s="0"/>
      <c r="B21" s="30"/>
      <c r="C21" s="297" t="s">
        <v>611</v>
      </c>
      <c r="D21" s="0"/>
      <c r="E21" s="0"/>
      <c r="F21" s="0"/>
      <c r="G21" s="0"/>
      <c r="H21" s="195"/>
      <c r="I21" s="32"/>
    </row>
    <row r="22" customFormat="false" ht="12.75" hidden="false" customHeight="false" outlineLevel="0" collapsed="false">
      <c r="A22" s="0"/>
      <c r="B22" s="30"/>
      <c r="C22" s="297" t="s">
        <v>612</v>
      </c>
      <c r="D22" s="0"/>
      <c r="E22" s="0"/>
      <c r="F22" s="0"/>
      <c r="G22" s="0"/>
      <c r="H22" s="195"/>
      <c r="I22" s="32"/>
    </row>
    <row r="23" customFormat="false" ht="12.75" hidden="false" customHeight="false" outlineLevel="0" collapsed="false">
      <c r="A23" s="0"/>
      <c r="B23" s="30"/>
      <c r="C23" s="297" t="s">
        <v>613</v>
      </c>
      <c r="D23" s="298"/>
      <c r="E23" s="0"/>
      <c r="F23" s="0"/>
      <c r="G23" s="0"/>
      <c r="H23" s="195"/>
      <c r="I23" s="32"/>
    </row>
    <row r="24" customFormat="false" ht="12.75" hidden="false" customHeight="false" outlineLevel="0" collapsed="false">
      <c r="A24" s="0"/>
      <c r="B24" s="30"/>
      <c r="C24" s="299" t="s">
        <v>614</v>
      </c>
      <c r="D24" s="78"/>
      <c r="E24" s="0"/>
      <c r="F24" s="0"/>
      <c r="G24" s="0"/>
      <c r="H24" s="195"/>
      <c r="I24" s="32"/>
    </row>
    <row r="25" customFormat="false" ht="12.75" hidden="false" customHeight="false" outlineLevel="0" collapsed="false">
      <c r="A25" s="0"/>
      <c r="B25" s="30"/>
      <c r="C25" s="297" t="s">
        <v>615</v>
      </c>
      <c r="D25" s="0"/>
      <c r="E25" s="0"/>
      <c r="F25" s="0"/>
      <c r="G25" s="0"/>
      <c r="H25" s="195"/>
      <c r="I25" s="32"/>
    </row>
    <row r="26" customFormat="false" ht="12.75" hidden="false" customHeight="false" outlineLevel="0" collapsed="false">
      <c r="A26" s="0"/>
      <c r="B26" s="30"/>
      <c r="C26" s="205"/>
      <c r="D26" s="0"/>
      <c r="E26" s="0"/>
      <c r="F26" s="0"/>
      <c r="G26" s="0"/>
      <c r="H26" s="195"/>
      <c r="I26" s="32"/>
    </row>
    <row r="27" customFormat="false" ht="12.75" hidden="false" customHeight="false" outlineLevel="0" collapsed="false">
      <c r="A27" s="0"/>
      <c r="B27" s="30"/>
      <c r="C27" s="294" t="s">
        <v>616</v>
      </c>
      <c r="D27" s="0"/>
      <c r="E27" s="0"/>
      <c r="F27" s="0"/>
      <c r="G27" s="0"/>
      <c r="H27" s="195"/>
      <c r="I27" s="32"/>
    </row>
    <row r="28" customFormat="false" ht="12.75" hidden="false" customHeight="false" outlineLevel="0" collapsed="false">
      <c r="A28" s="0"/>
      <c r="B28" s="30"/>
      <c r="C28" s="294" t="str">
        <f aca="false">_user_config_name_txt2</f>
        <v>*  AM572x_DDR3L_532MHz_TI_AM572x_IDK_config.c</v>
      </c>
      <c r="D28" s="0"/>
      <c r="E28" s="0"/>
      <c r="F28" s="0"/>
      <c r="G28" s="0"/>
      <c r="H28" s="195"/>
      <c r="I28" s="32"/>
    </row>
    <row r="29" customFormat="false" ht="12.75" hidden="false" customHeight="false" outlineLevel="0" collapsed="false">
      <c r="A29" s="0"/>
      <c r="B29" s="30"/>
      <c r="C29" s="297" t="str">
        <f aca="true">CONCATENATE(" *     Created on: ",TEXT(TODAY(),"MM/DD/YYYY"))</f>
        <v> *     Created on: 22/02/2020</v>
      </c>
      <c r="D29" s="0"/>
      <c r="E29" s="0"/>
      <c r="F29" s="0"/>
      <c r="G29" s="0"/>
      <c r="H29" s="195"/>
      <c r="I29" s="32"/>
    </row>
    <row r="30" customFormat="false" ht="12.75" hidden="false" customHeight="false" outlineLevel="0" collapsed="false">
      <c r="A30" s="0"/>
      <c r="B30" s="30"/>
      <c r="C30" s="297" t="str">
        <f aca="false">CONCATENATE(" *     Created with: EMIF_RegisterConfig_v",RIGHT('Title-README'!$B$11,5))</f>
        <v>*     Created with: EMIF_RegisterConfig_v2.0.3</v>
      </c>
      <c r="D30" s="0"/>
      <c r="E30" s="0"/>
      <c r="F30" s="0"/>
      <c r="G30" s="0"/>
      <c r="H30" s="195"/>
      <c r="I30" s="32"/>
    </row>
    <row r="31" customFormat="false" ht="12.75" hidden="false" customHeight="false" outlineLevel="0" collapsed="false">
      <c r="A31" s="0"/>
      <c r="B31" s="30"/>
      <c r="C31" s="297" t="s">
        <v>617</v>
      </c>
      <c r="D31" s="0"/>
      <c r="E31" s="0"/>
      <c r="F31" s="0"/>
      <c r="G31" s="0"/>
      <c r="H31" s="195"/>
      <c r="I31" s="32"/>
    </row>
    <row r="32" customFormat="false" ht="12.75" hidden="false" customHeight="false" outlineLevel="0" collapsed="false">
      <c r="A32" s="0"/>
      <c r="B32" s="30"/>
      <c r="C32" s="300"/>
      <c r="D32" s="0"/>
      <c r="E32" s="0"/>
      <c r="F32" s="0"/>
      <c r="G32" s="0"/>
      <c r="H32" s="195"/>
      <c r="I32" s="32"/>
    </row>
    <row r="33" customFormat="false" ht="12.75" hidden="false" customHeight="false" outlineLevel="0" collapsed="false">
      <c r="A33" s="0"/>
      <c r="B33" s="30"/>
      <c r="C33" s="297"/>
      <c r="D33" s="0"/>
      <c r="E33" s="0"/>
      <c r="F33" s="0"/>
      <c r="G33" s="0"/>
      <c r="H33" s="195"/>
      <c r="I33" s="32"/>
    </row>
    <row r="34" customFormat="false" ht="12.75" hidden="false" customHeight="false" outlineLevel="0" collapsed="false">
      <c r="A34" s="0"/>
      <c r="B34" s="30"/>
      <c r="C34" s="297" t="str">
        <f aca="false">_user_config_name_txt4</f>
        <v>const struct ctrl_ioregs AM572x_DDR3L_532MHz_TI_AM572x_IDK_ctrl_ioregs = {</v>
      </c>
      <c r="D34" s="0"/>
      <c r="E34" s="0"/>
      <c r="F34" s="0"/>
      <c r="G34" s="0"/>
      <c r="H34" s="195"/>
      <c r="I34" s="32"/>
    </row>
    <row r="35" customFormat="false" ht="12.75" hidden="false" customHeight="false" outlineLevel="0" collapsed="false">
      <c r="A35" s="0"/>
      <c r="B35" s="30"/>
      <c r="C35" s="300" t="str">
        <f aca="false">CONCATENATE("    .ctrl_ddr3ch = 0x",_CTRL_CORE_CONTROL_DDRCACH1_0_VAL,",")</f>
        <v>    .ctrl_ddr3ch = 0x80808080,</v>
      </c>
      <c r="D35" s="0"/>
      <c r="E35" s="0"/>
      <c r="F35" s="0"/>
      <c r="G35" s="0"/>
      <c r="H35" s="195"/>
      <c r="I35" s="32"/>
    </row>
    <row r="36" customFormat="false" ht="12.75" hidden="false" customHeight="false" outlineLevel="0" collapsed="false">
      <c r="A36" s="0"/>
      <c r="B36" s="30"/>
      <c r="C36" s="300" t="str">
        <f aca="false">CONCATENATE("    .ctrl_ddrch = 0x",_CTRL_CORE_CONTROL_DDRCH1_0_VAL,",")</f>
        <v>    .ctrl_ddrch = 0x40404040,</v>
      </c>
      <c r="D36" s="0"/>
      <c r="E36" s="0"/>
      <c r="F36" s="0"/>
      <c r="G36" s="0"/>
      <c r="H36" s="195"/>
      <c r="I36" s="32"/>
    </row>
    <row r="37" customFormat="false" ht="12.75" hidden="false" customHeight="false" outlineLevel="0" collapsed="false">
      <c r="A37" s="0"/>
      <c r="B37" s="30"/>
      <c r="C37" s="300" t="str">
        <f aca="false">CONCATENATE("    .ctrl_ddrio_0 = 0x",_CTRL_CORE_CONTROL_DDRIO_0,",")</f>
        <v>    .ctrl_ddrio_0 = 0x00094A40,</v>
      </c>
      <c r="D37" s="0"/>
      <c r="E37" s="0"/>
      <c r="F37" s="0"/>
      <c r="G37" s="0"/>
      <c r="H37" s="195"/>
      <c r="I37" s="32"/>
    </row>
    <row r="38" customFormat="false" ht="12.75" hidden="false" customHeight="false" outlineLevel="0" collapsed="false">
      <c r="A38" s="0"/>
      <c r="B38" s="30"/>
      <c r="C38" s="300" t="str">
        <f aca="false">CONCATENATE("    .ctrl_ddrio_1 = 0x",_CTRL_CORE_CONTROL_DDRIO_1,",")</f>
        <v>    .ctrl_ddrio_1 = 0x04A52000,</v>
      </c>
      <c r="D38" s="0"/>
      <c r="E38" s="0"/>
      <c r="F38" s="0"/>
      <c r="G38" s="0"/>
      <c r="H38" s="195"/>
      <c r="I38" s="32"/>
    </row>
    <row r="39" customFormat="false" ht="12.75" hidden="false" customHeight="false" outlineLevel="0" collapsed="false">
      <c r="A39" s="0"/>
      <c r="B39" s="30"/>
      <c r="C39" s="300" t="str">
        <f aca="false">CONCATENATE("    .ctrl_lpddr2ch = 0x",_CTRL_CORE_CONTROL_DDRCH1_2_VAL)</f>
        <v>    .ctrl_lpddr2ch = 0x00404000</v>
      </c>
      <c r="D39" s="0"/>
      <c r="E39" s="0"/>
      <c r="F39" s="0"/>
      <c r="G39" s="0"/>
      <c r="H39" s="195"/>
      <c r="I39" s="32"/>
    </row>
    <row r="40" customFormat="false" ht="12.75" hidden="false" customHeight="false" outlineLevel="0" collapsed="false">
      <c r="A40" s="0"/>
      <c r="B40" s="30"/>
      <c r="C40" s="300" t="str">
        <f aca="false">CONCATENATE("    .ctrl_emif_sdram_config_ext = 0x",_CTRL_WKUP_EMIF1_SDRAM_CONFIG_EXT)</f>
        <v>    .ctrl_emif_sdram_config_ext = 0x0002C123</v>
      </c>
      <c r="D40" s="0"/>
      <c r="E40" s="0"/>
      <c r="F40" s="0"/>
      <c r="G40" s="0"/>
      <c r="H40" s="195"/>
      <c r="I40" s="32"/>
    </row>
    <row r="41" customFormat="false" ht="12.75" hidden="false" customHeight="false" outlineLevel="0" collapsed="false">
      <c r="A41" s="0"/>
      <c r="B41" s="30"/>
      <c r="C41" s="205" t="s">
        <v>618</v>
      </c>
      <c r="D41" s="61"/>
      <c r="E41" s="0"/>
      <c r="F41" s="0"/>
      <c r="G41" s="0"/>
      <c r="H41" s="195"/>
      <c r="I41" s="32"/>
    </row>
    <row r="42" customFormat="false" ht="12.75" hidden="false" customHeight="false" outlineLevel="0" collapsed="false">
      <c r="A42" s="0"/>
      <c r="B42" s="30"/>
      <c r="C42" s="205"/>
      <c r="D42" s="301"/>
      <c r="E42" s="0"/>
      <c r="F42" s="0"/>
      <c r="G42" s="0"/>
      <c r="H42" s="195"/>
      <c r="I42" s="32"/>
    </row>
    <row r="43" customFormat="false" ht="12.75" hidden="false" customHeight="false" outlineLevel="0" collapsed="false">
      <c r="A43" s="0"/>
      <c r="B43" s="30"/>
      <c r="C43" s="297" t="str">
        <f aca="false">_user_config_name_txt5</f>
        <v>const struct dmm_lisa_map_regs AM572x_DDR3L_532MHz_TI_AM572x_IDK_dmm_regs = {</v>
      </c>
      <c r="D43" s="0"/>
      <c r="E43" s="0"/>
      <c r="F43" s="0"/>
      <c r="G43" s="0"/>
      <c r="H43" s="195"/>
      <c r="I43" s="32"/>
    </row>
    <row r="44" customFormat="false" ht="12.75" hidden="false" customHeight="false" outlineLevel="0" collapsed="false">
      <c r="A44" s="0"/>
      <c r="B44" s="30"/>
      <c r="C44" s="300" t="str">
        <f aca="false">IF(OR(_soc_name="adaslow1",_soc_name="adaslow2"),"",CONCATENATE("    .dmm_lisa_map_0 = 0x",_DMM_LISA_MAP_0_VAL,","))</f>
        <v>    .dmm_lisa_map_0 = 0x00000000,</v>
      </c>
      <c r="D44" s="0"/>
      <c r="E44" s="302" t="str">
        <f aca="false">IF(1,"",IF(OR(_soc_name="adaslow1",_soc_name="adaslow2"),"/* NOTE: These registers and",""))</f>
        <v/>
      </c>
      <c r="F44" s="0"/>
      <c r="G44" s="0"/>
      <c r="H44" s="195"/>
      <c r="I44" s="32"/>
    </row>
    <row r="45" customFormat="false" ht="12.75" hidden="false" customHeight="false" outlineLevel="0" collapsed="false">
      <c r="A45" s="0"/>
      <c r="B45" s="30"/>
      <c r="C45" s="300" t="str">
        <f aca="false">IF(OR(_soc_name="adaslow1",_soc_name="adaslow2"),"",CONCATENATE("    .dmm_lisa_map_1 = 0x",_DMM_LISA_MAP_1_VAL,","))</f>
        <v>    .dmm_lisa_map_1 = 0x00000000,</v>
      </c>
      <c r="D45" s="0"/>
      <c r="E45" s="302" t="str">
        <f aca="false">IF(1,"",IF(OR(_soc_name="adaslow1",_soc_name="adaslow2")," * values are unused on this",""))</f>
        <v/>
      </c>
      <c r="F45" s="0"/>
      <c r="G45" s="0"/>
      <c r="H45" s="195"/>
      <c r="I45" s="32"/>
    </row>
    <row r="46" customFormat="false" ht="12.75" hidden="false" customHeight="false" outlineLevel="0" collapsed="false">
      <c r="A46" s="0"/>
      <c r="B46" s="30"/>
      <c r="C46" s="300" t="str">
        <f aca="false">IF(OR(_soc_name="adaslow1",_soc_name="adaslow2"),"",CONCATENATE("    .dmm_lisa_map_2 = 0x",_DMM_LISA_MAP_2_VAL,","))</f>
        <v>    .dmm_lisa_map_2 = 0x80600100,</v>
      </c>
      <c r="D46" s="0"/>
      <c r="E46" s="302" t="str">
        <f aca="false">IF(1,"",IF(OR(_soc_name="adaslow1",_soc_name="adaslow2")," * device. This structure is",""))</f>
        <v/>
      </c>
      <c r="F46" s="0"/>
      <c r="G46" s="0"/>
      <c r="H46" s="195"/>
      <c r="I46" s="32"/>
    </row>
    <row r="47" customFormat="false" ht="12.75" hidden="false" customHeight="false" outlineLevel="0" collapsed="false">
      <c r="A47" s="0"/>
      <c r="B47" s="30"/>
      <c r="C47" s="303" t="str">
        <f aca="false">IF(OR(_soc_name="adaslow1",_soc_name="adaslow2"),"",CONCATENATE("    .dmm_lisa_map_3 = 0x",_DMM_LISA_MAP_3_VAL,","))</f>
        <v>    .dmm_lisa_map_3 = 0xFF020100,</v>
      </c>
      <c r="D47" s="298"/>
      <c r="E47" s="302" t="str">
        <f aca="false">IF(1,"",IF(OR(_soc_name="adaslow1",_soc_name="adaslow2")," * here for compatibility",""))</f>
        <v/>
      </c>
      <c r="F47" s="0"/>
      <c r="G47" s="0"/>
      <c r="H47" s="195"/>
      <c r="I47" s="32"/>
    </row>
    <row r="48" customFormat="false" ht="12.75" hidden="false" customHeight="false" outlineLevel="0" collapsed="false">
      <c r="A48" s="0"/>
      <c r="B48" s="30"/>
      <c r="C48" s="304" t="str">
        <f aca="false">IF(OR(_soc_name="adaslow1",_soc_name="adaslow2"),"",CONCATENATE("    .is_ma_present = 0x",_is_ma_present))</f>
        <v>.is_ma_present = 0x1</v>
      </c>
      <c r="D48" s="301"/>
      <c r="E48" s="302" t="str">
        <f aca="false">IF(1,"",IF(OR(_soc_name="adaslow1",_soc_name="adaslow2")," * reasons only. */",""))</f>
        <v/>
      </c>
      <c r="F48" s="0"/>
      <c r="G48" s="0"/>
      <c r="H48" s="195"/>
      <c r="I48" s="32"/>
    </row>
    <row r="49" customFormat="false" ht="12.75" hidden="false" customHeight="false" outlineLevel="0" collapsed="false">
      <c r="A49" s="0"/>
      <c r="B49" s="30"/>
      <c r="C49" s="300" t="str">
        <f aca="false">IF(OR(_soc_name="adaslow1",_soc_name="adaslow2"),"","};")</f>
        <v>};</v>
      </c>
      <c r="D49" s="0"/>
      <c r="E49" s="0"/>
      <c r="F49" s="0"/>
      <c r="G49" s="0"/>
      <c r="H49" s="195"/>
      <c r="I49" s="32"/>
    </row>
    <row r="50" customFormat="false" ht="12.75" hidden="false" customHeight="false" outlineLevel="0" collapsed="false">
      <c r="A50" s="0"/>
      <c r="B50" s="30"/>
      <c r="C50" s="300"/>
      <c r="D50" s="0"/>
      <c r="E50" s="0"/>
      <c r="F50" s="0"/>
      <c r="G50" s="0"/>
      <c r="H50" s="195"/>
      <c r="I50" s="32"/>
    </row>
    <row r="51" customFormat="false" ht="12.75" hidden="false" customHeight="false" outlineLevel="0" collapsed="false">
      <c r="A51" s="0"/>
      <c r="B51" s="30"/>
      <c r="C51" s="297" t="str">
        <f aca="false">_user_config_name_txt6</f>
        <v>const struct emif_regs AM572x_DDR3L_532MHz_TI_AM572x_IDK_emif_regs = {</v>
      </c>
      <c r="D51" s="0"/>
      <c r="E51" s="0"/>
      <c r="F51" s="0"/>
      <c r="G51" s="0"/>
      <c r="H51" s="195"/>
      <c r="I51" s="32"/>
    </row>
    <row r="52" customFormat="false" ht="12.75" hidden="false" customHeight="false" outlineLevel="0" collapsed="false">
      <c r="A52" s="0"/>
      <c r="B52" s="30"/>
      <c r="C52" s="300" t="str">
        <f aca="true">CONCATENATE("    .sdram_config_init = 0x",_EMIF_SDRAM_CONFIG_VAL,",")</f>
        <v>    .sdram_config_init = 0x61867FB2,</v>
      </c>
      <c r="D52" s="0"/>
      <c r="E52" s="0"/>
      <c r="F52" s="0"/>
      <c r="G52" s="0"/>
      <c r="H52" s="195"/>
      <c r="I52" s="32"/>
    </row>
    <row r="53" customFormat="false" ht="12.75" hidden="false" customHeight="false" outlineLevel="0" collapsed="false">
      <c r="A53" s="0"/>
      <c r="B53" s="30"/>
      <c r="C53" s="205" t="str">
        <f aca="true">CONCATENATE("    .sdram_config = 0x",_EMIF_SDRAM_CONFIG_VAL,",")</f>
        <v>    .sdram_config = 0x61867FB2,</v>
      </c>
      <c r="D53" s="0"/>
      <c r="E53" s="0"/>
      <c r="F53" s="76"/>
      <c r="G53" s="0"/>
      <c r="H53" s="195"/>
      <c r="I53" s="32"/>
    </row>
    <row r="54" customFormat="false" ht="12.75" hidden="false" customHeight="false" outlineLevel="0" collapsed="false">
      <c r="A54" s="0"/>
      <c r="B54" s="30"/>
      <c r="C54" s="303" t="str">
        <f aca="false">CONCATENATE("    .sdram_config2 = 0x",_EMIF_SDRAM_CONFIG_2_VAL,",")</f>
        <v>    .sdram_config2 = 0x00000000,</v>
      </c>
      <c r="D54" s="0"/>
      <c r="E54" s="0"/>
      <c r="F54" s="76"/>
      <c r="G54" s="0"/>
      <c r="H54" s="195"/>
      <c r="I54" s="32"/>
    </row>
    <row r="55" customFormat="false" ht="12.75" hidden="false" customHeight="false" outlineLevel="0" collapsed="false">
      <c r="A55" s="0"/>
      <c r="B55" s="30"/>
      <c r="C55" s="304" t="str">
        <f aca="false">CONCATENATE("    .ref_ctrl = 0x",_EMIF_SDRAM_REF_CTRL_INIT_VAL,",")</f>
        <v>    .ref_ctrl = 0x000040F1,</v>
      </c>
      <c r="D55" s="0"/>
      <c r="E55" s="0"/>
      <c r="F55" s="76"/>
      <c r="G55" s="0"/>
      <c r="H55" s="195"/>
      <c r="I55" s="32"/>
    </row>
    <row r="56" customFormat="false" ht="12.75" hidden="false" customHeight="false" outlineLevel="0" collapsed="false">
      <c r="A56" s="0"/>
      <c r="B56" s="30"/>
      <c r="C56" s="205" t="str">
        <f aca="false">CONCATENATE("    .ref_ctrl_final = 0x",_EMIF_SDRAM_REF_CTRL_VAL,",")</f>
        <v>    .ref_ctrl_final = 0x00001035,</v>
      </c>
      <c r="D56" s="0"/>
      <c r="E56" s="0"/>
      <c r="F56" s="0"/>
      <c r="G56" s="0"/>
      <c r="H56" s="195"/>
      <c r="I56" s="32"/>
    </row>
    <row r="57" customFormat="false" ht="12.75" hidden="false" customHeight="false" outlineLevel="0" collapsed="false">
      <c r="A57" s="0"/>
      <c r="B57" s="30"/>
      <c r="C57" s="205" t="str">
        <f aca="false">CONCATENATE("    .sdram_tim1 = 0x",_EMIF_SDRAM_TIM_1_VAL,",")</f>
        <v>    .sdram_tim1 = 0xCEEF2663,</v>
      </c>
      <c r="D57" s="0"/>
      <c r="E57" s="0"/>
      <c r="F57" s="0"/>
      <c r="G57" s="0"/>
      <c r="H57" s="195"/>
      <c r="I57" s="32"/>
    </row>
    <row r="58" customFormat="false" ht="12.75" hidden="false" customHeight="false" outlineLevel="0" collapsed="false">
      <c r="A58" s="0"/>
      <c r="B58" s="30"/>
      <c r="C58" s="205" t="str">
        <f aca="false">CONCATENATE("    .sdram_tim2 = 0x",_EMIF_SDRAM_TIM_2_VAL,",")</f>
        <v>    .sdram_tim2 = 0x30BF7FDA,</v>
      </c>
      <c r="D58" s="0"/>
      <c r="E58" s="0"/>
      <c r="F58" s="0"/>
      <c r="G58" s="0"/>
      <c r="H58" s="195"/>
      <c r="I58" s="32"/>
    </row>
    <row r="59" customFormat="false" ht="12.75" hidden="false" customHeight="false" outlineLevel="0" collapsed="false">
      <c r="A59" s="0"/>
      <c r="B59" s="30"/>
      <c r="C59" s="205" t="str">
        <f aca="false">CONCATENATE("    .sdram_tim3 = 0x",_EMIF_SDRAM_TIM_3_VAL,",")</f>
        <v>    .sdram_tim3 = 0x407F8BA8,</v>
      </c>
      <c r="D59" s="0"/>
      <c r="E59" s="0"/>
      <c r="F59" s="0"/>
      <c r="G59" s="0"/>
      <c r="H59" s="195"/>
      <c r="I59" s="32"/>
    </row>
    <row r="60" customFormat="false" ht="12.75" hidden="false" customHeight="false" outlineLevel="0" collapsed="false">
      <c r="A60" s="0"/>
      <c r="B60" s="30"/>
      <c r="C60" s="205" t="str">
        <f aca="false">CONCATENATE("    .read_idle_ctrl = 0x",_EMIF_DLL_CALIB_CTRL_VAL,",")</f>
        <v>.read_idle_ctrl = 0x00050000,</v>
      </c>
      <c r="D60" s="0"/>
      <c r="E60" s="0"/>
      <c r="F60" s="0"/>
      <c r="G60" s="0"/>
      <c r="H60" s="195"/>
      <c r="I60" s="32"/>
    </row>
    <row r="61" customFormat="false" ht="12.75" hidden="false" customHeight="false" outlineLevel="0" collapsed="false">
      <c r="A61" s="0"/>
      <c r="B61" s="30"/>
      <c r="C61" s="205" t="str">
        <f aca="false">CONCATENATE("    .zq_config = 0x",_EMIF_ZQ_CONFIG_VAL,",")</f>
        <v>    .zq_config = 0x5007190B,</v>
      </c>
      <c r="D61" s="0"/>
      <c r="E61" s="0"/>
      <c r="F61" s="0"/>
      <c r="G61" s="0"/>
      <c r="H61" s="195"/>
      <c r="I61" s="32"/>
    </row>
    <row r="62" customFormat="false" ht="12.75" hidden="false" customHeight="false" outlineLevel="0" collapsed="false">
      <c r="A62" s="0"/>
      <c r="B62" s="30"/>
      <c r="C62" s="205" t="str">
        <f aca="false">CONCATENATE("    .temp_alert_config = 0x",_EMIF_TEMP_ALERT_CONFIG_VAL,",")</f>
        <v>.temp_alert_config = 0x00000000,</v>
      </c>
      <c r="D62" s="0"/>
      <c r="E62" s="0"/>
      <c r="F62" s="0"/>
      <c r="G62" s="0"/>
      <c r="H62" s="195"/>
      <c r="I62" s="32"/>
    </row>
    <row r="63" customFormat="false" ht="12.75" hidden="false" customHeight="false" outlineLevel="0" collapsed="false">
      <c r="A63" s="0"/>
      <c r="B63" s="30"/>
      <c r="C63" s="205" t="str">
        <f aca="false">CONCATENATE("    .emif_rd_wr_lvl_rmp_ctl = 0x",_EMIF_RDWR_LVL_RMP_CTRL_VAL,",")</f>
        <v>    .emif_rd_wr_lvl_rmp_ctl = 0x80000000,</v>
      </c>
      <c r="D63" s="0"/>
      <c r="E63" s="0"/>
      <c r="F63" s="0"/>
      <c r="G63" s="0"/>
      <c r="H63" s="195"/>
      <c r="I63" s="32"/>
    </row>
    <row r="64" customFormat="false" ht="12.75" hidden="false" customHeight="false" outlineLevel="0" collapsed="false">
      <c r="A64" s="0"/>
      <c r="B64" s="30"/>
      <c r="C64" s="205" t="str">
        <f aca="false">CONCATENATE("    .emif_rd_wr_lvl_ctl = 0x",_EMIF_RDWR_LVL_CTRL_VAL,",")</f>
        <v>    .emif_rd_wr_lvl_ctl = 0x00000000,</v>
      </c>
      <c r="D64" s="0"/>
      <c r="E64" s="0"/>
      <c r="F64" s="0"/>
      <c r="G64" s="0"/>
      <c r="H64" s="195"/>
      <c r="I64" s="32"/>
    </row>
    <row r="65" customFormat="false" ht="12.75" hidden="false" customHeight="false" outlineLevel="0" collapsed="false">
      <c r="A65" s="0"/>
      <c r="B65" s="30"/>
      <c r="C65" s="205" t="str">
        <f aca="true">CONCATENATE("    .emif_ddr_phy_ctlr_1_init = 0x",_EMIF_DDR_PHY_CTRL_1_VAL,",")</f>
        <v>    .emif_ddr_phy_ctlr_1_init = 0x00244011,</v>
      </c>
      <c r="D65" s="0"/>
      <c r="E65" s="0"/>
      <c r="F65" s="0"/>
      <c r="G65" s="0"/>
      <c r="H65" s="195"/>
      <c r="I65" s="32"/>
    </row>
    <row r="66" customFormat="false" ht="12.75" hidden="false" customHeight="false" outlineLevel="0" collapsed="false">
      <c r="A66" s="0"/>
      <c r="B66" s="30"/>
      <c r="C66" s="205" t="str">
        <f aca="true">CONCATENATE("    .emif_ddr_phy_ctlr_1 = 0x",_EMIF_DDR_PHY_CTRL_1_VAL_NOLVL,",")</f>
        <v>    .emif_ddr_phy_ctlr_1 = 0x0E244011,</v>
      </c>
      <c r="D66" s="0"/>
      <c r="E66" s="0"/>
      <c r="F66" s="0"/>
      <c r="G66" s="0"/>
      <c r="H66" s="195"/>
      <c r="I66" s="32"/>
    </row>
    <row r="67" customFormat="false" ht="12.75" hidden="false" customHeight="false" outlineLevel="0" collapsed="false">
      <c r="A67" s="65"/>
      <c r="B67" s="65"/>
      <c r="C67" s="205" t="str">
        <f aca="false">CONCATENATE("    .emif_rd_wr_exec_thresh = 0x",_EMIF_RD_WR_EXEC_THRESH_VAL,",")</f>
        <v>.emif_rd_wr_exec_thresh = 0x00000305,</v>
      </c>
      <c r="D67" s="0"/>
      <c r="E67" s="0"/>
      <c r="F67" s="0"/>
      <c r="G67" s="0"/>
      <c r="H67" s="195"/>
      <c r="I67" s="32"/>
    </row>
    <row r="68" customFormat="false" ht="12.75" hidden="false" customHeight="false" outlineLevel="0" collapsed="false">
      <c r="A68" s="65"/>
      <c r="B68" s="65"/>
      <c r="C68" s="205" t="str">
        <f aca="false">IF(_soc_market="auto","#ifdef EMIF_ECC_CTRL_REG_ECC_EN_MASK","")</f>
        <v/>
      </c>
      <c r="D68" s="0"/>
      <c r="E68" s="0"/>
      <c r="F68" s="0"/>
      <c r="G68" s="0"/>
      <c r="H68" s="195"/>
      <c r="I68" s="32"/>
    </row>
    <row r="69" customFormat="false" ht="12.75" hidden="false" customHeight="false" outlineLevel="0" collapsed="false">
      <c r="A69" s="65"/>
      <c r="B69" s="65"/>
      <c r="C69" s="300" t="str">
        <f aca="false">CONCATENATE("    .emif_ecc_ctrl_reg = 0x",_EMIF_ECC_CTRL,",")</f>
        <v>    .emif_ecc_ctrl_reg = 0x00000000,</v>
      </c>
      <c r="D69" s="0"/>
      <c r="E69" s="0"/>
      <c r="F69" s="0"/>
      <c r="G69" s="0"/>
      <c r="H69" s="195"/>
      <c r="I69" s="32"/>
    </row>
    <row r="70" customFormat="false" ht="12.75" hidden="false" customHeight="false" outlineLevel="0" collapsed="false">
      <c r="A70" s="65"/>
      <c r="B70" s="65"/>
      <c r="C70" s="300" t="str">
        <f aca="false">CONCATENATE("    .emif_ecc_address_range_1 = 0x",_EMIF_ECC_ADDR_RNG_1_VAL,",")</f>
        <v>    .emif_ecc_address_range_1 = 0x3FFF0000,</v>
      </c>
      <c r="D70" s="0"/>
      <c r="E70" s="0"/>
      <c r="F70" s="0"/>
      <c r="G70" s="0"/>
      <c r="H70" s="195"/>
      <c r="I70" s="32"/>
    </row>
    <row r="71" customFormat="false" ht="12.75" hidden="false" customHeight="false" outlineLevel="0" collapsed="false">
      <c r="A71" s="65"/>
      <c r="B71" s="65"/>
      <c r="C71" s="300" t="str">
        <f aca="false">CONCATENATE("    .emif_ecc_address_range_2 = 0x",_EMIF_ECC_ADDR_RNG_2_VAL,",")</f>
        <v>    .emif_ecc_address_range_2 = 0x00000000,</v>
      </c>
      <c r="D71" s="0"/>
      <c r="E71" s="0"/>
      <c r="F71" s="0"/>
      <c r="G71" s="0"/>
      <c r="H71" s="195"/>
      <c r="I71" s="32"/>
    </row>
    <row r="72" customFormat="false" ht="12.75" hidden="false" customHeight="false" outlineLevel="0" collapsed="false">
      <c r="A72" s="65"/>
      <c r="B72" s="65"/>
      <c r="C72" s="300" t="str">
        <f aca="false">IF(_soc_market="auto","#endif","")</f>
        <v/>
      </c>
      <c r="D72" s="0"/>
      <c r="E72" s="0"/>
      <c r="F72" s="0"/>
      <c r="G72" s="0"/>
      <c r="H72" s="195"/>
      <c r="I72" s="32"/>
    </row>
    <row r="73" customFormat="false" ht="12.75" hidden="false" customHeight="false" outlineLevel="0" collapsed="false">
      <c r="A73" s="65"/>
      <c r="B73" s="65"/>
      <c r="C73" s="300" t="s">
        <v>618</v>
      </c>
      <c r="D73" s="0"/>
      <c r="E73" s="0"/>
      <c r="F73" s="0"/>
      <c r="G73" s="0"/>
      <c r="H73" s="195"/>
      <c r="I73" s="32"/>
    </row>
    <row r="74" customFormat="false" ht="12.75" hidden="false" customHeight="false" outlineLevel="0" collapsed="false">
      <c r="A74" s="65"/>
      <c r="B74" s="65"/>
      <c r="C74" s="300"/>
      <c r="D74" s="0"/>
      <c r="E74" s="0"/>
      <c r="F74" s="0"/>
      <c r="G74" s="0"/>
      <c r="H74" s="195"/>
      <c r="I74" s="32"/>
    </row>
    <row r="75" customFormat="false" ht="12.75" hidden="false" customHeight="false" outlineLevel="0" collapsed="false">
      <c r="A75" s="65"/>
      <c r="B75" s="65"/>
      <c r="C75" s="297" t="s">
        <v>616</v>
      </c>
      <c r="D75" s="0"/>
      <c r="E75" s="0"/>
      <c r="F75" s="0"/>
      <c r="G75" s="0"/>
      <c r="H75" s="195"/>
      <c r="I75" s="32"/>
    </row>
    <row r="76" customFormat="false" ht="12.75" hidden="false" customHeight="false" outlineLevel="0" collapsed="false">
      <c r="A76" s="65"/>
      <c r="B76" s="65"/>
      <c r="C76" s="297" t="s">
        <v>619</v>
      </c>
      <c r="D76" s="0"/>
      <c r="E76" s="0"/>
      <c r="F76" s="0"/>
      <c r="G76" s="0"/>
      <c r="H76" s="195"/>
      <c r="I76" s="32"/>
    </row>
    <row r="77" customFormat="false" ht="12.75" hidden="false" customHeight="false" outlineLevel="0" collapsed="false">
      <c r="A77" s="65"/>
      <c r="B77" s="65"/>
      <c r="C77" s="297" t="str">
        <f aca="false">IF(_user_lvl_tech="H/W"," * Hardware leveling should be performed to determine"," * Software leveling should be performed to determine")</f>
        <v>* Hardware leveling should be performed to determine</v>
      </c>
      <c r="D77" s="0"/>
      <c r="E77" s="0"/>
      <c r="F77" s="0"/>
      <c r="G77" s="0"/>
      <c r="H77" s="195"/>
      <c r="I77" s="32"/>
    </row>
    <row r="78" customFormat="false" ht="12.75" hidden="false" customHeight="false" outlineLevel="0" collapsed="false">
      <c r="A78" s="65"/>
      <c r="B78" s="65"/>
      <c r="C78" s="297" t="s">
        <v>620</v>
      </c>
      <c r="D78" s="0"/>
      <c r="E78" s="0"/>
      <c r="F78" s="0"/>
      <c r="G78" s="0"/>
      <c r="H78" s="195"/>
      <c r="I78" s="32"/>
    </row>
    <row r="79" customFormat="false" ht="12.75" hidden="false" customHeight="false" outlineLevel="0" collapsed="false">
      <c r="A79" s="65"/>
      <c r="B79" s="65"/>
      <c r="C79" s="297" t="s">
        <v>617</v>
      </c>
      <c r="D79" s="0"/>
      <c r="E79" s="0"/>
      <c r="F79" s="0"/>
      <c r="G79" s="0"/>
      <c r="H79" s="195"/>
      <c r="I79" s="32"/>
    </row>
    <row r="80" customFormat="false" ht="12.75" hidden="false" customHeight="false" outlineLevel="0" collapsed="false">
      <c r="A80" s="65"/>
      <c r="B80" s="65"/>
      <c r="C80" s="297" t="str">
        <f aca="false">_user_config_name_txt7</f>
        <v>const unsigned int AM572x_DDR3L_532MHz_TI_AM572x_IDK_emif1_ext_phy_regs [] = {</v>
      </c>
      <c r="D80" s="0"/>
      <c r="E80" s="0"/>
      <c r="F80" s="0"/>
      <c r="G80" s="0"/>
      <c r="H80" s="195"/>
      <c r="I80" s="32"/>
    </row>
    <row r="81" customFormat="false" ht="12.75" hidden="false" customHeight="false" outlineLevel="0" collapsed="false">
      <c r="A81" s="65"/>
      <c r="B81" s="65"/>
      <c r="C81" s="303" t="str">
        <f aca="false">CONCATENATE("    ",_soc_register_value,",")</f>
        <v>    ,</v>
      </c>
      <c r="D81" s="61" t="str">
        <f aca="false">_soc_register_name_ddrphy1</f>
        <v>/* EMIF1_EXT_PHY_CTRL_1 */</v>
      </c>
      <c r="E81" s="0"/>
      <c r="F81" s="0"/>
      <c r="G81" s="0"/>
      <c r="H81" s="195"/>
      <c r="I81" s="32"/>
    </row>
    <row r="82" customFormat="false" ht="12.75" hidden="false" customHeight="false" outlineLevel="0" collapsed="false">
      <c r="A82" s="65"/>
      <c r="B82" s="65"/>
      <c r="C82" s="303" t="str">
        <f aca="false">CONCATENATE("    ",_soc_register_value,",")</f>
        <v>    ,</v>
      </c>
      <c r="D82" s="61" t="str">
        <f aca="false">_soc_register_name_ddrphy1</f>
        <v>/* EMIF1_EXT_PHY_CTRL_2 */</v>
      </c>
      <c r="E82" s="0"/>
      <c r="F82" s="0"/>
      <c r="G82" s="0"/>
      <c r="H82" s="195"/>
      <c r="I82" s="32"/>
    </row>
    <row r="83" customFormat="false" ht="12.75" hidden="false" customHeight="false" outlineLevel="0" collapsed="false">
      <c r="A83" s="65"/>
      <c r="B83" s="65"/>
      <c r="C83" s="303" t="str">
        <f aca="false">CONCATENATE("    ",_soc_register_value,",")</f>
        <v>    ,</v>
      </c>
      <c r="D83" s="61" t="str">
        <f aca="false">_soc_register_name_ddrphy1</f>
        <v>/* EMIF1_EXT_PHY_CTRL_3 */</v>
      </c>
      <c r="E83" s="0"/>
      <c r="F83" s="0"/>
      <c r="G83" s="0"/>
      <c r="H83" s="195"/>
      <c r="I83" s="32"/>
    </row>
    <row r="84" customFormat="false" ht="12.75" hidden="false" customHeight="false" outlineLevel="0" collapsed="false">
      <c r="A84" s="65"/>
      <c r="B84" s="65"/>
      <c r="C84" s="303" t="str">
        <f aca="false">CONCATENATE("    ",_soc_register_value,",")</f>
        <v>    ,</v>
      </c>
      <c r="D84" s="61" t="str">
        <f aca="false">_soc_register_name_ddrphy1</f>
        <v>/* EMIF1_EXT_PHY_CTRL_4 */</v>
      </c>
      <c r="E84" s="0"/>
      <c r="F84" s="0"/>
      <c r="G84" s="0"/>
      <c r="H84" s="195"/>
      <c r="I84" s="32"/>
    </row>
    <row r="85" customFormat="false" ht="12.75" hidden="false" customHeight="false" outlineLevel="0" collapsed="false">
      <c r="A85" s="65"/>
      <c r="B85" s="65"/>
      <c r="C85" s="303" t="str">
        <f aca="false">CONCATENATE("    ",_soc_register_value,",")</f>
        <v>    ,</v>
      </c>
      <c r="D85" s="61" t="str">
        <f aca="false">_soc_register_name_ddrphy1</f>
        <v>/* EMIF1_EXT_PHY_CTRL_5 */</v>
      </c>
      <c r="E85" s="0"/>
      <c r="F85" s="0"/>
      <c r="G85" s="0"/>
      <c r="H85" s="195"/>
      <c r="I85" s="32"/>
    </row>
    <row r="86" customFormat="false" ht="12.75" hidden="false" customHeight="false" outlineLevel="0" collapsed="false">
      <c r="A86" s="65"/>
      <c r="B86" s="65"/>
      <c r="C86" s="303" t="str">
        <f aca="false">CONCATENATE("    ",_soc_register_value,",")</f>
        <v>    ,</v>
      </c>
      <c r="D86" s="61" t="str">
        <f aca="false">_soc_register_name_ddrphy1</f>
        <v>/* EMIF1_EXT_PHY_CTRL_6 */</v>
      </c>
      <c r="E86" s="0"/>
      <c r="F86" s="0"/>
      <c r="G86" s="0"/>
      <c r="H86" s="195"/>
      <c r="I86" s="32"/>
    </row>
    <row r="87" customFormat="false" ht="12.75" hidden="false" customHeight="false" outlineLevel="0" collapsed="false">
      <c r="A87" s="65"/>
      <c r="B87" s="65"/>
      <c r="C87" s="303" t="str">
        <f aca="false">CONCATENATE("    ",_soc_register_value,",")</f>
        <v>    ,</v>
      </c>
      <c r="D87" s="61" t="str">
        <f aca="false">_soc_register_name_ddrphy1</f>
        <v>/* EMIF1_EXT_PHY_CTRL_7 */</v>
      </c>
      <c r="E87" s="0"/>
      <c r="F87" s="0"/>
      <c r="G87" s="76"/>
      <c r="H87" s="195"/>
      <c r="I87" s="32"/>
    </row>
    <row r="88" customFormat="false" ht="12.75" hidden="false" customHeight="false" outlineLevel="0" collapsed="false">
      <c r="A88" s="65"/>
      <c r="B88" s="65"/>
      <c r="C88" s="303" t="str">
        <f aca="false">CONCATENATE("    ",_soc_register_value,",")</f>
        <v>    ,</v>
      </c>
      <c r="D88" s="61" t="str">
        <f aca="false">_soc_register_name_ddrphy1</f>
        <v>/* EMIF1_EXT_PHY_CTRL_8 */</v>
      </c>
      <c r="E88" s="0"/>
      <c r="F88" s="0"/>
      <c r="G88" s="0"/>
      <c r="H88" s="195"/>
      <c r="I88" s="32"/>
    </row>
    <row r="89" customFormat="false" ht="12.75" hidden="false" customHeight="false" outlineLevel="0" collapsed="false">
      <c r="A89" s="65"/>
      <c r="B89" s="65"/>
      <c r="C89" s="303" t="str">
        <f aca="false">CONCATENATE("    ",_soc_register_value,",")</f>
        <v>    ,</v>
      </c>
      <c r="D89" s="61" t="str">
        <f aca="false">_soc_register_name_ddrphy1</f>
        <v>/* EMIF1_EXT_PHY_CTRL_9 */</v>
      </c>
      <c r="E89" s="0"/>
      <c r="F89" s="0"/>
      <c r="G89" s="0"/>
      <c r="H89" s="195"/>
      <c r="I89" s="32"/>
    </row>
    <row r="90" customFormat="false" ht="12.75" hidden="false" customHeight="false" outlineLevel="0" collapsed="false">
      <c r="A90" s="65"/>
      <c r="B90" s="65"/>
      <c r="C90" s="303" t="str">
        <f aca="false">CONCATENATE("    ",_soc_register_value,",")</f>
        <v>    ,</v>
      </c>
      <c r="D90" s="61" t="str">
        <f aca="false">_soc_register_name_ddrphy1</f>
        <v>/* EMIF1_EXT_PHY_CTRL_10 */</v>
      </c>
      <c r="E90" s="0"/>
      <c r="F90" s="0"/>
      <c r="G90" s="0"/>
      <c r="H90" s="195"/>
      <c r="I90" s="32"/>
    </row>
    <row r="91" customFormat="false" ht="12.75" hidden="false" customHeight="false" outlineLevel="0" collapsed="false">
      <c r="A91" s="65"/>
      <c r="B91" s="65"/>
      <c r="C91" s="303" t="str">
        <f aca="false">CONCATENATE("    ",_soc_register_value,",")</f>
        <v>    ,</v>
      </c>
      <c r="D91" s="61" t="str">
        <f aca="false">_soc_register_name_ddrphy1</f>
        <v>/* EMIF1_EXT_PHY_CTRL_11 */</v>
      </c>
      <c r="E91" s="0"/>
      <c r="F91" s="0"/>
      <c r="G91" s="0"/>
      <c r="H91" s="195"/>
      <c r="I91" s="32"/>
    </row>
    <row r="92" customFormat="false" ht="12.75" hidden="false" customHeight="false" outlineLevel="0" collapsed="false">
      <c r="A92" s="65"/>
      <c r="B92" s="65"/>
      <c r="C92" s="303" t="str">
        <f aca="false">CONCATENATE("    ",_soc_register_value,",")</f>
        <v>    ,</v>
      </c>
      <c r="D92" s="61" t="str">
        <f aca="false">_soc_register_name_ddrphy1</f>
        <v>/* EMIF1_EXT_PHY_CTRL_12 */</v>
      </c>
      <c r="E92" s="0"/>
      <c r="F92" s="0"/>
      <c r="G92" s="0"/>
      <c r="H92" s="195"/>
      <c r="I92" s="32"/>
    </row>
    <row r="93" customFormat="false" ht="12.75" hidden="false" customHeight="false" outlineLevel="0" collapsed="false">
      <c r="A93" s="65"/>
      <c r="B93" s="65"/>
      <c r="C93" s="303" t="str">
        <f aca="false">CONCATENATE("    ",_soc_register_value,",")</f>
        <v>    ,</v>
      </c>
      <c r="D93" s="61" t="str">
        <f aca="false">_soc_register_name_ddrphy1</f>
        <v>/* EMIF1_EXT_PHY_CTRL_13 */</v>
      </c>
      <c r="E93" s="0"/>
      <c r="F93" s="0"/>
      <c r="G93" s="0"/>
      <c r="H93" s="195"/>
      <c r="I93" s="32"/>
    </row>
    <row r="94" customFormat="false" ht="12.75" hidden="false" customHeight="false" outlineLevel="0" collapsed="false">
      <c r="A94" s="65"/>
      <c r="B94" s="65"/>
      <c r="C94" s="303" t="str">
        <f aca="false">CONCATENATE("    ",_soc_register_value,",")</f>
        <v>    ,</v>
      </c>
      <c r="D94" s="61" t="str">
        <f aca="false">_soc_register_name_ddrphy1</f>
        <v>/* EMIF1_EXT_PHY_CTRL_14 */</v>
      </c>
      <c r="E94" s="0"/>
      <c r="F94" s="0"/>
      <c r="G94" s="0"/>
      <c r="H94" s="195"/>
      <c r="I94" s="32"/>
    </row>
    <row r="95" customFormat="false" ht="12.75" hidden="false" customHeight="false" outlineLevel="0" collapsed="false">
      <c r="A95" s="65"/>
      <c r="B95" s="65"/>
      <c r="C95" s="303" t="str">
        <f aca="false">CONCATENATE("    ",_soc_register_value,",")</f>
        <v>    ,</v>
      </c>
      <c r="D95" s="61" t="str">
        <f aca="false">_soc_register_name_ddrphy1</f>
        <v>/* EMIF1_EXT_PHY_CTRL_15 */</v>
      </c>
      <c r="E95" s="0"/>
      <c r="F95" s="0"/>
      <c r="G95" s="0"/>
      <c r="H95" s="195"/>
      <c r="I95" s="32"/>
    </row>
    <row r="96" customFormat="false" ht="12.75" hidden="false" customHeight="false" outlineLevel="0" collapsed="false">
      <c r="A96" s="65"/>
      <c r="B96" s="65"/>
      <c r="C96" s="303" t="str">
        <f aca="false">CONCATENATE("    ",_soc_register_value,",")</f>
        <v>    ,</v>
      </c>
      <c r="D96" s="61" t="str">
        <f aca="false">_soc_register_name_ddrphy1</f>
        <v>/* EMIF1_EXT_PHY_CTRL_16 */</v>
      </c>
      <c r="E96" s="0"/>
      <c r="F96" s="0"/>
      <c r="G96" s="0"/>
      <c r="H96" s="195"/>
      <c r="I96" s="32"/>
    </row>
    <row r="97" customFormat="false" ht="12.75" hidden="false" customHeight="false" outlineLevel="0" collapsed="false">
      <c r="A97" s="65"/>
      <c r="B97" s="65"/>
      <c r="C97" s="303" t="str">
        <f aca="false">CONCATENATE("    ",_soc_register_value,",")</f>
        <v>    ,</v>
      </c>
      <c r="D97" s="61" t="str">
        <f aca="false">_soc_register_name_ddrphy1</f>
        <v>/* EMIF1_EXT_PHY_CTRL_17 */</v>
      </c>
      <c r="E97" s="0"/>
      <c r="F97" s="0"/>
      <c r="G97" s="0"/>
      <c r="H97" s="195"/>
      <c r="I97" s="32"/>
    </row>
    <row r="98" customFormat="false" ht="12.75" hidden="false" customHeight="false" outlineLevel="0" collapsed="false">
      <c r="A98" s="65"/>
      <c r="B98" s="65"/>
      <c r="C98" s="303" t="str">
        <f aca="false">CONCATENATE("    ",_soc_register_value,",")</f>
        <v>    ,</v>
      </c>
      <c r="D98" s="61" t="str">
        <f aca="false">_soc_register_name_ddrphy1</f>
        <v>/* EMIF1_EXT_PHY_CTRL_18 */</v>
      </c>
      <c r="E98" s="0"/>
      <c r="F98" s="0"/>
      <c r="G98" s="0"/>
      <c r="H98" s="195"/>
      <c r="I98" s="32"/>
    </row>
    <row r="99" customFormat="false" ht="12.75" hidden="false" customHeight="false" outlineLevel="0" collapsed="false">
      <c r="A99" s="65"/>
      <c r="B99" s="65"/>
      <c r="C99" s="303" t="str">
        <f aca="false">CONCATENATE("    ",_soc_register_value,",")</f>
        <v>    ,</v>
      </c>
      <c r="D99" s="61" t="str">
        <f aca="false">_soc_register_name_ddrphy1</f>
        <v>/* EMIF1_EXT_PHY_CTRL_19 */</v>
      </c>
      <c r="E99" s="0"/>
      <c r="F99" s="0"/>
      <c r="G99" s="0"/>
      <c r="H99" s="195"/>
      <c r="I99" s="32"/>
    </row>
    <row r="100" customFormat="false" ht="12.75" hidden="false" customHeight="false" outlineLevel="0" collapsed="false">
      <c r="A100" s="65"/>
      <c r="B100" s="65"/>
      <c r="C100" s="303" t="str">
        <f aca="false">CONCATENATE("    ",_soc_register_value,",")</f>
        <v>    ,</v>
      </c>
      <c r="D100" s="61" t="str">
        <f aca="false">_soc_register_name_ddrphy1</f>
        <v>/* EMIF1_EXT_PHY_CTRL_20 */</v>
      </c>
      <c r="E100" s="0"/>
      <c r="F100" s="0"/>
      <c r="G100" s="0"/>
      <c r="H100" s="195"/>
      <c r="I100" s="32"/>
    </row>
    <row r="101" customFormat="false" ht="12.75" hidden="false" customHeight="false" outlineLevel="0" collapsed="false">
      <c r="A101" s="65"/>
      <c r="B101" s="65"/>
      <c r="C101" s="303" t="str">
        <f aca="false">CONCATENATE("    ",_soc_register_value,",")</f>
        <v>    ,</v>
      </c>
      <c r="D101" s="61" t="str">
        <f aca="false">_soc_register_name_ddrphy1</f>
        <v>/* EMIF1_EXT_PHY_CTRL_21 */</v>
      </c>
      <c r="E101" s="0"/>
      <c r="F101" s="0"/>
      <c r="G101" s="0"/>
      <c r="H101" s="195"/>
      <c r="I101" s="32"/>
    </row>
    <row r="102" customFormat="false" ht="12.75" hidden="false" customHeight="false" outlineLevel="0" collapsed="false">
      <c r="A102" s="65"/>
      <c r="B102" s="65"/>
      <c r="C102" s="303" t="str">
        <f aca="false">CONCATENATE("    ",_soc_register_value,",")</f>
        <v>    ,</v>
      </c>
      <c r="D102" s="61" t="str">
        <f aca="false">_soc_register_name_ddrphy1</f>
        <v>/* EMIF1_EXT_PHY_CTRL_22 */</v>
      </c>
      <c r="E102" s="0"/>
      <c r="F102" s="0"/>
      <c r="G102" s="0"/>
      <c r="H102" s="195"/>
      <c r="I102" s="32"/>
    </row>
    <row r="103" customFormat="false" ht="12.75" hidden="false" customHeight="false" outlineLevel="0" collapsed="false">
      <c r="A103" s="65"/>
      <c r="B103" s="65"/>
      <c r="C103" s="303" t="str">
        <f aca="false">CONCATENATE("    ",_soc_register_value,",")</f>
        <v>    ,</v>
      </c>
      <c r="D103" s="61" t="str">
        <f aca="false">_soc_register_name_ddrphy1</f>
        <v>/* EMIF1_EXT_PHY_CTRL_23 */</v>
      </c>
      <c r="E103" s="0"/>
      <c r="F103" s="0"/>
      <c r="G103" s="0"/>
      <c r="H103" s="195"/>
      <c r="I103" s="32"/>
    </row>
    <row r="104" customFormat="false" ht="12.75" hidden="false" customHeight="false" outlineLevel="0" collapsed="false">
      <c r="A104" s="65"/>
      <c r="B104" s="65"/>
      <c r="C104" s="303" t="str">
        <f aca="false">CONCATENATE("    ",_soc_register_value,",")</f>
        <v>    ,</v>
      </c>
      <c r="D104" s="61" t="str">
        <f aca="false">_soc_register_name_ddrphy1</f>
        <v>/* EMIF1_EXT_PHY_CTRL_24 */</v>
      </c>
      <c r="E104" s="0"/>
      <c r="F104" s="0"/>
      <c r="G104" s="0"/>
      <c r="H104" s="195"/>
      <c r="I104" s="32"/>
    </row>
    <row r="105" customFormat="false" ht="12.75" hidden="false" customHeight="false" outlineLevel="0" collapsed="false">
      <c r="A105" s="65"/>
      <c r="B105" s="65"/>
      <c r="C105" s="303" t="str">
        <f aca="false">CONCATENATE("    ",_soc_register_value,",")</f>
        <v>    ,</v>
      </c>
      <c r="D105" s="61" t="str">
        <f aca="false">_soc_register_name_ddrphy1</f>
        <v>/* EMIF1_EXT_PHY_CTRL_25 */</v>
      </c>
      <c r="E105" s="0"/>
      <c r="F105" s="0"/>
      <c r="G105" s="0"/>
      <c r="H105" s="195"/>
      <c r="I105" s="32"/>
    </row>
    <row r="106" customFormat="false" ht="12.75" hidden="false" customHeight="false" outlineLevel="0" collapsed="false">
      <c r="A106" s="65"/>
      <c r="B106" s="65"/>
      <c r="C106" s="303" t="str">
        <f aca="false">CONCATENATE("    ",_soc_register_value,",")</f>
        <v>    ,</v>
      </c>
      <c r="D106" s="61" t="str">
        <f aca="false">_soc_register_name_ddrphy1</f>
        <v>/* EMIF1_EXT_PHY_CTRL_26 */</v>
      </c>
      <c r="E106" s="0"/>
      <c r="F106" s="0"/>
      <c r="G106" s="0"/>
      <c r="H106" s="195"/>
      <c r="I106" s="32"/>
    </row>
    <row r="107" customFormat="false" ht="12.75" hidden="false" customHeight="false" outlineLevel="0" collapsed="false">
      <c r="A107" s="0"/>
      <c r="B107" s="30"/>
      <c r="C107" s="303" t="str">
        <f aca="false">CONCATENATE("    ",_soc_register_value,",")</f>
        <v>    ,</v>
      </c>
      <c r="D107" s="61" t="str">
        <f aca="false">_soc_register_name_ddrphy1</f>
        <v>/* EMIF1_EXT_PHY_CTRL_27 */</v>
      </c>
      <c r="E107" s="0"/>
      <c r="F107" s="0"/>
      <c r="G107" s="0"/>
      <c r="H107" s="195"/>
      <c r="I107" s="32"/>
    </row>
    <row r="108" customFormat="false" ht="12.75" hidden="false" customHeight="false" outlineLevel="0" collapsed="false">
      <c r="A108" s="0"/>
      <c r="B108" s="30"/>
      <c r="C108" s="303" t="str">
        <f aca="false">CONCATENATE("    ",_soc_register_value,",")</f>
        <v>    ,</v>
      </c>
      <c r="D108" s="61" t="str">
        <f aca="false">_soc_register_name_ddrphy1</f>
        <v>/* EMIF1_EXT_PHY_CTRL_28 */</v>
      </c>
      <c r="E108" s="0"/>
      <c r="F108" s="0"/>
      <c r="G108" s="0"/>
      <c r="H108" s="195"/>
      <c r="I108" s="32"/>
    </row>
    <row r="109" customFormat="false" ht="12.75" hidden="false" customHeight="false" outlineLevel="0" collapsed="false">
      <c r="A109" s="0"/>
      <c r="B109" s="30"/>
      <c r="C109" s="303" t="str">
        <f aca="false">CONCATENATE("    ",_soc_register_value,",")</f>
        <v>    ,</v>
      </c>
      <c r="D109" s="61" t="str">
        <f aca="false">_soc_register_name_ddrphy1</f>
        <v>/* EMIF1_EXT_PHY_CTRL_29 */</v>
      </c>
      <c r="E109" s="0"/>
      <c r="F109" s="0"/>
      <c r="G109" s="0"/>
      <c r="H109" s="195"/>
      <c r="I109" s="32"/>
    </row>
    <row r="110" customFormat="false" ht="12.75" hidden="false" customHeight="false" outlineLevel="0" collapsed="false">
      <c r="A110" s="0"/>
      <c r="B110" s="30"/>
      <c r="C110" s="303" t="str">
        <f aca="false">CONCATENATE("    ",_soc_register_value,",")</f>
        <v>    ,</v>
      </c>
      <c r="D110" s="61" t="str">
        <f aca="false">_soc_register_name_ddrphy1</f>
        <v>/* EMIF1_EXT_PHY_CTRL_30 */</v>
      </c>
      <c r="E110" s="0"/>
      <c r="F110" s="0"/>
      <c r="G110" s="0"/>
      <c r="H110" s="195"/>
      <c r="I110" s="32"/>
    </row>
    <row r="111" customFormat="false" ht="12.75" hidden="false" customHeight="false" outlineLevel="0" collapsed="false">
      <c r="A111" s="0"/>
      <c r="B111" s="30"/>
      <c r="C111" s="303" t="str">
        <f aca="false">CONCATENATE("    ",_soc_register_value,",")</f>
        <v>    ,</v>
      </c>
      <c r="D111" s="61" t="str">
        <f aca="false">_soc_register_name_ddrphy1</f>
        <v>/* EMIF1_EXT_PHY_CTRL_31 */</v>
      </c>
      <c r="E111" s="0"/>
      <c r="F111" s="0"/>
      <c r="G111" s="0"/>
      <c r="H111" s="195"/>
      <c r="I111" s="32"/>
    </row>
    <row r="112" customFormat="false" ht="12.75" hidden="false" customHeight="false" outlineLevel="0" collapsed="false">
      <c r="A112" s="0"/>
      <c r="B112" s="30"/>
      <c r="C112" s="303" t="str">
        <f aca="false">CONCATENATE("    ",_soc_register_value,",")</f>
        <v>    ,</v>
      </c>
      <c r="D112" s="61" t="str">
        <f aca="false">_soc_register_name_ddrphy1</f>
        <v>/* EMIF1_EXT_PHY_CTRL_32 */</v>
      </c>
      <c r="E112" s="0"/>
      <c r="F112" s="0"/>
      <c r="G112" s="0"/>
      <c r="H112" s="195"/>
      <c r="I112" s="32"/>
    </row>
    <row r="113" customFormat="false" ht="12.75" hidden="false" customHeight="false" outlineLevel="0" collapsed="false">
      <c r="A113" s="0"/>
      <c r="B113" s="30"/>
      <c r="C113" s="303" t="str">
        <f aca="false">CONCATENATE("    ",_soc_register_value,",")</f>
        <v>    ,</v>
      </c>
      <c r="D113" s="61" t="str">
        <f aca="false">_soc_register_name_ddrphy1</f>
        <v>/* EMIF1_EXT_PHY_CTRL_33 */</v>
      </c>
      <c r="E113" s="0"/>
      <c r="F113" s="0"/>
      <c r="G113" s="0"/>
      <c r="H113" s="195"/>
      <c r="I113" s="32"/>
    </row>
    <row r="114" customFormat="false" ht="12.75" hidden="false" customHeight="false" outlineLevel="0" collapsed="false">
      <c r="A114" s="0"/>
      <c r="B114" s="30"/>
      <c r="C114" s="303" t="str">
        <f aca="false">CONCATENATE("    ",_soc_register_value,",")</f>
        <v>    ,</v>
      </c>
      <c r="D114" s="61" t="str">
        <f aca="false">_soc_register_name_ddrphy1</f>
        <v>/* EMIF1_EXT_PHY_CTRL_34 */</v>
      </c>
      <c r="E114" s="0"/>
      <c r="F114" s="0"/>
      <c r="G114" s="0"/>
      <c r="H114" s="195"/>
      <c r="I114" s="32"/>
    </row>
    <row r="115" customFormat="false" ht="12.75" hidden="false" customHeight="false" outlineLevel="0" collapsed="false">
      <c r="A115" s="0"/>
      <c r="B115" s="30"/>
      <c r="C115" s="303" t="str">
        <f aca="false">CONCATENATE("    ",_soc_register_value,",")</f>
        <v>    ,</v>
      </c>
      <c r="D115" s="61" t="str">
        <f aca="false">_soc_register_name_ddrphy1</f>
        <v>/* EMIF1_EXT_PHY_CTRL_35 */</v>
      </c>
      <c r="E115" s="0"/>
      <c r="F115" s="0"/>
      <c r="G115" s="0"/>
      <c r="H115" s="195"/>
      <c r="I115" s="32"/>
    </row>
    <row r="116" customFormat="false" ht="12.75" hidden="false" customHeight="false" outlineLevel="0" collapsed="false">
      <c r="A116" s="0"/>
      <c r="B116" s="30"/>
      <c r="C116" s="303" t="str">
        <f aca="false">CONCATENATE("    ",_soc_register_value)</f>
        <v>    </v>
      </c>
      <c r="D116" s="61" t="str">
        <f aca="false">_soc_register_name_ddrphy1</f>
        <v>/* EMIF1_EXT_PHY_CTRL_36 */</v>
      </c>
      <c r="E116" s="0"/>
      <c r="F116" s="0"/>
      <c r="G116" s="0"/>
      <c r="H116" s="195"/>
      <c r="I116" s="32"/>
    </row>
    <row r="117" customFormat="false" ht="12.75" hidden="false" customHeight="false" outlineLevel="0" collapsed="false">
      <c r="A117" s="0"/>
      <c r="B117" s="30"/>
      <c r="C117" s="304" t="s">
        <v>618</v>
      </c>
      <c r="D117" s="305" t="str">
        <f aca="false">_soc_register_value</f>
        <v/>
      </c>
      <c r="E117" s="0"/>
      <c r="F117" s="0"/>
      <c r="G117" s="0"/>
      <c r="H117" s="195"/>
      <c r="I117" s="32"/>
    </row>
    <row r="118" customFormat="false" ht="12.75" hidden="false" customHeight="false" outlineLevel="0" collapsed="false">
      <c r="A118" s="0"/>
      <c r="B118" s="30"/>
      <c r="C118" s="306"/>
      <c r="D118" s="305" t="str">
        <f aca="false">_soc_register_value</f>
        <v/>
      </c>
      <c r="E118" s="0"/>
      <c r="F118" s="0"/>
      <c r="G118" s="0"/>
      <c r="H118" s="195"/>
      <c r="I118" s="32"/>
    </row>
    <row r="119" customFormat="false" ht="12.75" hidden="false" customHeight="false" outlineLevel="0" collapsed="false">
      <c r="A119" s="0"/>
      <c r="B119" s="30"/>
      <c r="C119" s="297" t="str">
        <f aca="false">_user_config_name_txt8</f>
        <v/>
      </c>
      <c r="D119" s="0"/>
      <c r="E119" s="0"/>
      <c r="F119" s="0"/>
      <c r="G119" s="0"/>
      <c r="H119" s="195"/>
      <c r="I119" s="32"/>
    </row>
    <row r="120" customFormat="false" ht="12.75" hidden="false" customHeight="false" outlineLevel="0" collapsed="false">
      <c r="A120" s="0"/>
      <c r="B120" s="30"/>
      <c r="C120" s="205" t="str">
        <f aca="false">IF(_user_emifs=1,"",CONCATENATE("    ",_soc_register_value,","))</f>
        <v/>
      </c>
      <c r="D120" s="305" t="str">
        <f aca="false">IF(_user_emifs=1,"",_soc_register_name_ddrphy2)</f>
        <v/>
      </c>
      <c r="E120" s="0"/>
      <c r="F120" s="0"/>
      <c r="G120" s="0"/>
      <c r="H120" s="195"/>
      <c r="I120" s="32"/>
    </row>
    <row r="121" customFormat="false" ht="12.75" hidden="false" customHeight="false" outlineLevel="0" collapsed="false">
      <c r="A121" s="0"/>
      <c r="B121" s="30"/>
      <c r="C121" s="205" t="str">
        <f aca="false">IF(_user_emifs=1,"",CONCATENATE("    ",_soc_register_value,","))</f>
        <v/>
      </c>
      <c r="D121" s="305" t="str">
        <f aca="false">IF(_user_emifs=1,"",_soc_register_name_ddrphy2)</f>
        <v/>
      </c>
      <c r="E121" s="0"/>
      <c r="F121" s="0"/>
      <c r="G121" s="0"/>
      <c r="H121" s="195"/>
      <c r="I121" s="32"/>
    </row>
    <row r="122" customFormat="false" ht="12.75" hidden="false" customHeight="false" outlineLevel="0" collapsed="false">
      <c r="A122" s="0"/>
      <c r="B122" s="30"/>
      <c r="C122" s="205" t="str">
        <f aca="false">IF(_user_emifs=1,"",CONCATENATE("    ",_soc_register_value,","))</f>
        <v/>
      </c>
      <c r="D122" s="305" t="str">
        <f aca="false">IF(_user_emifs=1,"",_soc_register_name_ddrphy2)</f>
        <v/>
      </c>
      <c r="E122" s="0"/>
      <c r="F122" s="0"/>
      <c r="G122" s="0"/>
      <c r="H122" s="195"/>
      <c r="I122" s="32"/>
    </row>
    <row r="123" customFormat="false" ht="12.75" hidden="false" customHeight="false" outlineLevel="0" collapsed="false">
      <c r="A123" s="0"/>
      <c r="B123" s="30"/>
      <c r="C123" s="205" t="str">
        <f aca="false">IF(_user_emifs=1,"",CONCATENATE("    ",_soc_register_value,","))</f>
        <v/>
      </c>
      <c r="D123" s="305" t="str">
        <f aca="false">IF(_user_emifs=1,"",_soc_register_name_ddrphy2)</f>
        <v/>
      </c>
      <c r="E123" s="0"/>
      <c r="F123" s="0"/>
      <c r="G123" s="0"/>
      <c r="H123" s="195"/>
      <c r="I123" s="32"/>
    </row>
    <row r="124" customFormat="false" ht="12.75" hidden="false" customHeight="false" outlineLevel="0" collapsed="false">
      <c r="A124" s="0"/>
      <c r="B124" s="30"/>
      <c r="C124" s="205" t="str">
        <f aca="false">IF(_user_emifs=1,"",CONCATENATE("    ",_soc_register_value,","))</f>
        <v/>
      </c>
      <c r="D124" s="305" t="str">
        <f aca="false">IF(_user_emifs=1,"",_soc_register_name_ddrphy2)</f>
        <v/>
      </c>
      <c r="E124" s="0"/>
      <c r="F124" s="0"/>
      <c r="G124" s="0"/>
      <c r="H124" s="195"/>
      <c r="I124" s="32"/>
    </row>
    <row r="125" customFormat="false" ht="12.75" hidden="false" customHeight="false" outlineLevel="0" collapsed="false">
      <c r="A125" s="0"/>
      <c r="B125" s="30"/>
      <c r="C125" s="205" t="str">
        <f aca="false">IF(_user_emifs=1,"",CONCATENATE("    ",_soc_register_value,","))</f>
        <v/>
      </c>
      <c r="D125" s="305" t="str">
        <f aca="false">IF(_user_emifs=1,"",_soc_register_name_ddrphy2)</f>
        <v/>
      </c>
      <c r="E125" s="0"/>
      <c r="F125" s="0"/>
      <c r="G125" s="0"/>
      <c r="H125" s="195"/>
      <c r="I125" s="32"/>
    </row>
    <row r="126" customFormat="false" ht="12.75" hidden="false" customHeight="false" outlineLevel="0" collapsed="false">
      <c r="A126" s="0"/>
      <c r="B126" s="30"/>
      <c r="C126" s="205" t="str">
        <f aca="false">IF(_user_emifs=1,"",CONCATENATE("    ",_soc_register_value,","))</f>
        <v/>
      </c>
      <c r="D126" s="305" t="str">
        <f aca="false">IF(_user_emifs=1,"",_soc_register_name_ddrphy2)</f>
        <v/>
      </c>
      <c r="E126" s="0"/>
      <c r="F126" s="0"/>
      <c r="G126" s="0"/>
      <c r="H126" s="195"/>
      <c r="I126" s="32"/>
    </row>
    <row r="127" customFormat="false" ht="12.75" hidden="false" customHeight="false" outlineLevel="0" collapsed="false">
      <c r="A127" s="0"/>
      <c r="B127" s="30"/>
      <c r="C127" s="205" t="str">
        <f aca="false">IF(_user_emifs=1,"",CONCATENATE("    ",_soc_register_value,","))</f>
        <v/>
      </c>
      <c r="D127" s="305" t="str">
        <f aca="false">IF(_user_emifs=1,"",_soc_register_name_ddrphy2)</f>
        <v/>
      </c>
      <c r="E127" s="0"/>
      <c r="F127" s="0"/>
      <c r="G127" s="0"/>
      <c r="H127" s="195"/>
      <c r="I127" s="32"/>
    </row>
    <row r="128" customFormat="false" ht="12.75" hidden="false" customHeight="false" outlineLevel="0" collapsed="false">
      <c r="A128" s="0"/>
      <c r="B128" s="30"/>
      <c r="C128" s="205" t="str">
        <f aca="false">IF(_user_emifs=1,"",CONCATENATE("    ",_soc_register_value,","))</f>
        <v/>
      </c>
      <c r="D128" s="305" t="str">
        <f aca="false">IF(_user_emifs=1,"",_soc_register_name_ddrphy2)</f>
        <v/>
      </c>
      <c r="E128" s="0"/>
      <c r="F128" s="0"/>
      <c r="G128" s="0"/>
      <c r="H128" s="195"/>
      <c r="I128" s="32"/>
    </row>
    <row r="129" customFormat="false" ht="12.75" hidden="false" customHeight="false" outlineLevel="0" collapsed="false">
      <c r="A129" s="0"/>
      <c r="B129" s="30"/>
      <c r="C129" s="205" t="str">
        <f aca="false">IF(_user_emifs=1,"",CONCATENATE("    ",_soc_register_value,","))</f>
        <v/>
      </c>
      <c r="D129" s="305" t="str">
        <f aca="false">IF(_user_emifs=1,"",_soc_register_name_ddrphy2)</f>
        <v/>
      </c>
      <c r="E129" s="0"/>
      <c r="F129" s="0"/>
      <c r="G129" s="0"/>
      <c r="H129" s="195"/>
      <c r="I129" s="32"/>
    </row>
    <row r="130" customFormat="false" ht="12.75" hidden="false" customHeight="false" outlineLevel="0" collapsed="false">
      <c r="A130" s="0"/>
      <c r="B130" s="30"/>
      <c r="C130" s="205" t="str">
        <f aca="false">IF(_user_emifs=1,"",CONCATENATE("    ",_soc_register_value,","))</f>
        <v/>
      </c>
      <c r="D130" s="305" t="str">
        <f aca="false">IF(_user_emifs=1,"",_soc_register_name_ddrphy2)</f>
        <v/>
      </c>
      <c r="E130" s="0"/>
      <c r="F130" s="0"/>
      <c r="G130" s="0"/>
      <c r="H130" s="195"/>
      <c r="I130" s="32"/>
    </row>
    <row r="131" customFormat="false" ht="12.75" hidden="false" customHeight="false" outlineLevel="0" collapsed="false">
      <c r="A131" s="0"/>
      <c r="B131" s="30"/>
      <c r="C131" s="205" t="str">
        <f aca="false">IF(_user_emifs=1,"",CONCATENATE("    ",_soc_register_value,","))</f>
        <v/>
      </c>
      <c r="D131" s="305" t="str">
        <f aca="false">IF(_user_emifs=1,"",_soc_register_name_ddrphy2)</f>
        <v/>
      </c>
      <c r="E131" s="0"/>
      <c r="F131" s="0"/>
      <c r="G131" s="0"/>
      <c r="H131" s="195"/>
      <c r="I131" s="32"/>
    </row>
    <row r="132" customFormat="false" ht="12.75" hidden="false" customHeight="false" outlineLevel="0" collapsed="false">
      <c r="A132" s="0"/>
      <c r="B132" s="30"/>
      <c r="C132" s="205" t="str">
        <f aca="false">IF(_user_emifs=1,"",CONCATENATE("    ",_soc_register_value,","))</f>
        <v/>
      </c>
      <c r="D132" s="305" t="str">
        <f aca="false">IF(_user_emifs=1,"",_soc_register_name_ddrphy2)</f>
        <v/>
      </c>
      <c r="E132" s="0"/>
      <c r="F132" s="0"/>
      <c r="G132" s="0"/>
      <c r="H132" s="195"/>
      <c r="I132" s="32"/>
    </row>
    <row r="133" customFormat="false" ht="12.75" hidden="false" customHeight="false" outlineLevel="0" collapsed="false">
      <c r="A133" s="0"/>
      <c r="B133" s="30"/>
      <c r="C133" s="205" t="str">
        <f aca="false">IF(_user_emifs=1,"",CONCATENATE("    ",_soc_register_value,","))</f>
        <v/>
      </c>
      <c r="D133" s="305" t="str">
        <f aca="false">IF(_user_emifs=1,"",_soc_register_name_ddrphy2)</f>
        <v/>
      </c>
      <c r="E133" s="0"/>
      <c r="F133" s="0"/>
      <c r="G133" s="0"/>
      <c r="H133" s="195"/>
      <c r="I133" s="32"/>
    </row>
    <row r="134" customFormat="false" ht="12.75" hidden="false" customHeight="false" outlineLevel="0" collapsed="false">
      <c r="A134" s="0"/>
      <c r="B134" s="30"/>
      <c r="C134" s="205" t="str">
        <f aca="false">IF(_user_emifs=1,"",CONCATENATE("    ",_soc_register_value,","))</f>
        <v/>
      </c>
      <c r="D134" s="305" t="str">
        <f aca="false">IF(_user_emifs=1,"",_soc_register_name_ddrphy2)</f>
        <v/>
      </c>
      <c r="E134" s="0"/>
      <c r="F134" s="0"/>
      <c r="G134" s="0"/>
      <c r="H134" s="195"/>
      <c r="I134" s="32"/>
    </row>
    <row r="135" customFormat="false" ht="12.75" hidden="false" customHeight="false" outlineLevel="0" collapsed="false">
      <c r="A135" s="0"/>
      <c r="B135" s="30"/>
      <c r="C135" s="205" t="str">
        <f aca="false">IF(_user_emifs=1,"",CONCATENATE("    ",_soc_register_value,","))</f>
        <v/>
      </c>
      <c r="D135" s="305" t="str">
        <f aca="false">IF(_user_emifs=1,"",_soc_register_name_ddrphy2)</f>
        <v/>
      </c>
      <c r="E135" s="0"/>
      <c r="F135" s="0"/>
      <c r="G135" s="0"/>
      <c r="H135" s="195"/>
      <c r="I135" s="32"/>
    </row>
    <row r="136" customFormat="false" ht="12.75" hidden="false" customHeight="false" outlineLevel="0" collapsed="false">
      <c r="A136" s="0"/>
      <c r="B136" s="30"/>
      <c r="C136" s="205" t="str">
        <f aca="false">IF(_user_emifs=1,"",CONCATENATE("    ",_soc_register_value,","))</f>
        <v/>
      </c>
      <c r="D136" s="305" t="str">
        <f aca="false">IF(_user_emifs=1,"",_soc_register_name_ddrphy2)</f>
        <v/>
      </c>
      <c r="E136" s="0"/>
      <c r="F136" s="0"/>
      <c r="G136" s="0"/>
      <c r="H136" s="195"/>
      <c r="I136" s="32"/>
    </row>
    <row r="137" customFormat="false" ht="12.75" hidden="false" customHeight="false" outlineLevel="0" collapsed="false">
      <c r="A137" s="0"/>
      <c r="B137" s="30"/>
      <c r="C137" s="205" t="str">
        <f aca="false">IF(_user_emifs=1,"",CONCATENATE("    ",_soc_register_value,","))</f>
        <v/>
      </c>
      <c r="D137" s="305" t="str">
        <f aca="false">IF(_user_emifs=1,"",_soc_register_name_ddrphy2)</f>
        <v/>
      </c>
      <c r="E137" s="0"/>
      <c r="F137" s="0"/>
      <c r="G137" s="0"/>
      <c r="H137" s="195"/>
      <c r="I137" s="32"/>
    </row>
    <row r="138" customFormat="false" ht="12.75" hidden="false" customHeight="false" outlineLevel="0" collapsed="false">
      <c r="A138" s="0"/>
      <c r="B138" s="30"/>
      <c r="C138" s="205" t="str">
        <f aca="false">IF(_user_emifs=1,"",CONCATENATE("    ",_soc_register_value,","))</f>
        <v/>
      </c>
      <c r="D138" s="305" t="str">
        <f aca="false">IF(_user_emifs=1,"",_soc_register_name_ddrphy2)</f>
        <v/>
      </c>
      <c r="E138" s="0"/>
      <c r="F138" s="0"/>
      <c r="G138" s="0"/>
      <c r="H138" s="195"/>
      <c r="I138" s="32"/>
    </row>
    <row r="139" customFormat="false" ht="12.75" hidden="false" customHeight="false" outlineLevel="0" collapsed="false">
      <c r="A139" s="0"/>
      <c r="B139" s="30"/>
      <c r="C139" s="205" t="str">
        <f aca="false">IF(_user_emifs=1,"",CONCATENATE("    ",_soc_register_value,","))</f>
        <v/>
      </c>
      <c r="D139" s="305" t="str">
        <f aca="false">IF(_user_emifs=1,"",_soc_register_name_ddrphy2)</f>
        <v/>
      </c>
      <c r="E139" s="0"/>
      <c r="F139" s="0"/>
      <c r="G139" s="0"/>
      <c r="H139" s="195"/>
      <c r="I139" s="32"/>
    </row>
    <row r="140" customFormat="false" ht="12.75" hidden="false" customHeight="false" outlineLevel="0" collapsed="false">
      <c r="A140" s="0"/>
      <c r="B140" s="30"/>
      <c r="C140" s="205" t="str">
        <f aca="false">IF(_user_emifs=1,"",CONCATENATE("    ",_soc_register_value,","))</f>
        <v/>
      </c>
      <c r="D140" s="305" t="str">
        <f aca="false">IF(_user_emifs=1,"",_soc_register_name_ddrphy2)</f>
        <v/>
      </c>
      <c r="E140" s="0"/>
      <c r="F140" s="0"/>
      <c r="G140" s="0"/>
      <c r="H140" s="195"/>
      <c r="I140" s="32"/>
    </row>
    <row r="141" customFormat="false" ht="12.75" hidden="false" customHeight="false" outlineLevel="0" collapsed="false">
      <c r="A141" s="0"/>
      <c r="B141" s="30"/>
      <c r="C141" s="205" t="str">
        <f aca="false">IF(_user_emifs=1,"",CONCATENATE("    ",_soc_register_value,","))</f>
        <v/>
      </c>
      <c r="D141" s="305" t="str">
        <f aca="false">IF(_user_emifs=1,"",_soc_register_name_ddrphy2)</f>
        <v/>
      </c>
      <c r="E141" s="0"/>
      <c r="F141" s="0"/>
      <c r="G141" s="0"/>
      <c r="H141" s="195"/>
      <c r="I141" s="32"/>
    </row>
    <row r="142" customFormat="false" ht="12.75" hidden="false" customHeight="false" outlineLevel="0" collapsed="false">
      <c r="A142" s="0"/>
      <c r="B142" s="30"/>
      <c r="C142" s="205" t="str">
        <f aca="false">IF(_user_emifs=1,"",CONCATENATE("    ",_soc_register_value,","))</f>
        <v/>
      </c>
      <c r="D142" s="305" t="str">
        <f aca="false">IF(_user_emifs=1,"",_soc_register_name_ddrphy2)</f>
        <v/>
      </c>
      <c r="E142" s="0"/>
      <c r="F142" s="0"/>
      <c r="G142" s="0"/>
      <c r="H142" s="195"/>
      <c r="I142" s="32"/>
    </row>
    <row r="143" customFormat="false" ht="12.75" hidden="false" customHeight="false" outlineLevel="0" collapsed="false">
      <c r="A143" s="0"/>
      <c r="B143" s="30"/>
      <c r="C143" s="205" t="str">
        <f aca="false">IF(_user_emifs=1,"",CONCATENATE("    ",_soc_register_value,","))</f>
        <v/>
      </c>
      <c r="D143" s="305" t="str">
        <f aca="false">IF(_user_emifs=1,"",_soc_register_name_ddrphy2)</f>
        <v/>
      </c>
      <c r="E143" s="0"/>
      <c r="F143" s="0"/>
      <c r="G143" s="0"/>
      <c r="H143" s="195"/>
      <c r="I143" s="32"/>
    </row>
    <row r="144" customFormat="false" ht="12.75" hidden="false" customHeight="false" outlineLevel="0" collapsed="false">
      <c r="A144" s="0"/>
      <c r="B144" s="30"/>
      <c r="C144" s="205" t="str">
        <f aca="false">IF(_user_emifs=1,"",CONCATENATE("    ",_soc_register_value,","))</f>
        <v/>
      </c>
      <c r="D144" s="305" t="str">
        <f aca="false">IF(_user_emifs=1,"",_soc_register_name_ddrphy2)</f>
        <v/>
      </c>
      <c r="E144" s="0"/>
      <c r="F144" s="0"/>
      <c r="G144" s="0"/>
      <c r="H144" s="195"/>
      <c r="I144" s="32"/>
    </row>
    <row r="145" customFormat="false" ht="12.75" hidden="false" customHeight="false" outlineLevel="0" collapsed="false">
      <c r="A145" s="0"/>
      <c r="B145" s="30"/>
      <c r="C145" s="205" t="str">
        <f aca="false">IF(_user_emifs=1,"",CONCATENATE("    ",_soc_register_value,","))</f>
        <v/>
      </c>
      <c r="D145" s="305" t="str">
        <f aca="false">IF(_user_emifs=1,"",_soc_register_name_ddrphy2)</f>
        <v/>
      </c>
      <c r="E145" s="0"/>
      <c r="F145" s="0"/>
      <c r="G145" s="0"/>
      <c r="H145" s="195"/>
      <c r="I145" s="32"/>
    </row>
    <row r="146" customFormat="false" ht="12.75" hidden="false" customHeight="false" outlineLevel="0" collapsed="false">
      <c r="A146" s="0"/>
      <c r="B146" s="30"/>
      <c r="C146" s="205" t="str">
        <f aca="false">IF(_user_emifs=1,"",CONCATENATE("    ",_soc_register_value,","))</f>
        <v/>
      </c>
      <c r="D146" s="305" t="str">
        <f aca="false">IF(_user_emifs=1,"",_soc_register_name_ddrphy2)</f>
        <v/>
      </c>
      <c r="E146" s="0"/>
      <c r="F146" s="0"/>
      <c r="G146" s="0"/>
      <c r="H146" s="195"/>
      <c r="I146" s="32"/>
    </row>
    <row r="147" customFormat="false" ht="12.75" hidden="false" customHeight="false" outlineLevel="0" collapsed="false">
      <c r="A147" s="0"/>
      <c r="B147" s="30"/>
      <c r="C147" s="205" t="str">
        <f aca="false">IF(_user_emifs=1,"",CONCATENATE("    ",_soc_register_value,","))</f>
        <v/>
      </c>
      <c r="D147" s="305" t="str">
        <f aca="false">IF(_user_emifs=1,"",_soc_register_name_ddrphy2)</f>
        <v/>
      </c>
      <c r="E147" s="0"/>
      <c r="F147" s="0"/>
      <c r="G147" s="0"/>
      <c r="H147" s="195"/>
      <c r="I147" s="32"/>
    </row>
    <row r="148" customFormat="false" ht="12.75" hidden="false" customHeight="false" outlineLevel="0" collapsed="false">
      <c r="A148" s="256"/>
      <c r="B148" s="0"/>
      <c r="C148" s="205" t="str">
        <f aca="false">IF(_user_emifs=1,"",CONCATENATE("    ",_soc_register_value,","))</f>
        <v/>
      </c>
      <c r="D148" s="305" t="str">
        <f aca="false">IF(_user_emifs=1,"",_soc_register_name_ddrphy2)</f>
        <v/>
      </c>
      <c r="E148" s="0"/>
      <c r="F148" s="0"/>
      <c r="G148" s="0"/>
      <c r="H148" s="195"/>
      <c r="I148" s="0"/>
    </row>
    <row r="149" customFormat="false" ht="12.75" hidden="false" customHeight="false" outlineLevel="0" collapsed="false">
      <c r="B149" s="0"/>
      <c r="C149" s="205" t="str">
        <f aca="false">IF(_user_emifs=1,"",CONCATENATE("    ",_soc_register_value,","))</f>
        <v/>
      </c>
      <c r="D149" s="305" t="str">
        <f aca="false">IF(_user_emifs=1,"",_soc_register_name_ddrphy2)</f>
        <v/>
      </c>
      <c r="E149" s="0"/>
      <c r="F149" s="0"/>
      <c r="G149" s="0"/>
      <c r="H149" s="195"/>
      <c r="I149" s="0"/>
    </row>
    <row r="150" customFormat="false" ht="12.75" hidden="false" customHeight="false" outlineLevel="0" collapsed="false">
      <c r="B150" s="30"/>
      <c r="C150" s="205" t="str">
        <f aca="false">IF(_user_emifs=1,"",CONCATENATE("    ",_soc_register_value,","))</f>
        <v/>
      </c>
      <c r="D150" s="305" t="str">
        <f aca="false">IF(_user_emifs=1,"",_soc_register_name_ddrphy2)</f>
        <v/>
      </c>
      <c r="E150" s="0"/>
      <c r="F150" s="0"/>
      <c r="G150" s="0"/>
      <c r="H150" s="195"/>
      <c r="I150" s="0"/>
    </row>
    <row r="151" customFormat="false" ht="12.75" hidden="false" customHeight="false" outlineLevel="0" collapsed="false">
      <c r="B151" s="30"/>
      <c r="C151" s="205" t="str">
        <f aca="false">IF(_user_emifs=1,"",CONCATENATE("    ",_soc_register_value,","))</f>
        <v/>
      </c>
      <c r="D151" s="305" t="str">
        <f aca="false">IF(_user_emifs=1,"",_soc_register_name_ddrphy2)</f>
        <v/>
      </c>
      <c r="E151" s="0"/>
      <c r="F151" s="0"/>
      <c r="G151" s="0"/>
      <c r="H151" s="195"/>
      <c r="I151" s="0"/>
    </row>
    <row r="152" customFormat="false" ht="12.75" hidden="false" customHeight="false" outlineLevel="0" collapsed="false">
      <c r="B152" s="30"/>
      <c r="C152" s="205" t="str">
        <f aca="false">IF(_user_emifs=1,"",CONCATENATE("    ",_soc_register_value,","))</f>
        <v/>
      </c>
      <c r="D152" s="305" t="str">
        <f aca="false">IF(_user_emifs=1,"",_soc_register_name_ddrphy2)</f>
        <v/>
      </c>
      <c r="E152" s="0"/>
      <c r="F152" s="0"/>
      <c r="G152" s="0"/>
      <c r="H152" s="195"/>
      <c r="I152" s="0"/>
    </row>
    <row r="153" customFormat="false" ht="12.75" hidden="false" customHeight="false" outlineLevel="0" collapsed="false">
      <c r="B153" s="30"/>
      <c r="C153" s="205" t="str">
        <f aca="false">IF(_user_emifs=1,"",CONCATENATE("    ",_soc_register_value,","))</f>
        <v/>
      </c>
      <c r="D153" s="305" t="str">
        <f aca="false">IF(_user_emifs=1,"",_soc_register_name_ddrphy2)</f>
        <v/>
      </c>
      <c r="E153" s="0"/>
      <c r="F153" s="0"/>
      <c r="G153" s="0"/>
      <c r="H153" s="195"/>
      <c r="I153" s="0"/>
    </row>
    <row r="154" customFormat="false" ht="12.75" hidden="false" customHeight="false" outlineLevel="0" collapsed="false">
      <c r="B154" s="30"/>
      <c r="C154" s="205" t="str">
        <f aca="false">IF(_user_emifs=1,"",CONCATENATE("    ",_soc_register_value,","))</f>
        <v/>
      </c>
      <c r="D154" s="305" t="str">
        <f aca="false">IF(_user_emifs=1,"",_soc_register_name_ddrphy2)</f>
        <v/>
      </c>
      <c r="E154" s="0"/>
      <c r="F154" s="0"/>
      <c r="G154" s="0"/>
      <c r="H154" s="195"/>
      <c r="I154" s="0"/>
    </row>
    <row r="155" customFormat="false" ht="12.75" hidden="false" customHeight="false" outlineLevel="0" collapsed="false">
      <c r="B155" s="30"/>
      <c r="C155" s="205" t="str">
        <f aca="false">IF(_user_emifs=1,"",CONCATENATE("    ",_soc_register_value))</f>
        <v/>
      </c>
      <c r="D155" s="305" t="str">
        <f aca="false">IF(_user_emifs=1,"",_soc_register_name_ddrphy2)</f>
        <v/>
      </c>
      <c r="E155" s="0"/>
      <c r="F155" s="0"/>
      <c r="G155" s="0"/>
      <c r="H155" s="195"/>
      <c r="I155" s="0"/>
    </row>
    <row r="156" customFormat="false" ht="12.75" hidden="false" customHeight="false" outlineLevel="0" collapsed="false">
      <c r="B156" s="30"/>
      <c r="C156" s="300" t="str">
        <f aca="false">IF(_user_emifs=1,"","};")</f>
        <v/>
      </c>
      <c r="D156" s="0"/>
      <c r="E156" s="0"/>
      <c r="F156" s="0"/>
      <c r="G156" s="0"/>
      <c r="H156" s="195"/>
      <c r="I156" s="0"/>
    </row>
    <row r="157" customFormat="false" ht="12.75" hidden="false" customHeight="false" outlineLevel="0" collapsed="false">
      <c r="B157" s="30"/>
      <c r="C157" s="300"/>
      <c r="D157" s="0"/>
      <c r="E157" s="0"/>
      <c r="F157" s="0"/>
      <c r="G157" s="0"/>
      <c r="H157" s="195"/>
      <c r="I157" s="32"/>
    </row>
    <row r="158" customFormat="false" ht="13.5" hidden="false" customHeight="false" outlineLevel="0" collapsed="false">
      <c r="B158" s="30"/>
      <c r="C158" s="210"/>
      <c r="D158" s="307"/>
      <c r="E158" s="211"/>
      <c r="F158" s="211"/>
      <c r="G158" s="211"/>
      <c r="H158" s="212"/>
      <c r="I158" s="32"/>
    </row>
    <row r="159" customFormat="false" ht="13.5" hidden="false" customHeight="false" outlineLevel="0" collapsed="false">
      <c r="B159" s="30"/>
      <c r="C159" s="140"/>
      <c r="D159" s="295"/>
      <c r="E159" s="308"/>
      <c r="F159" s="140"/>
      <c r="G159" s="140"/>
      <c r="H159" s="140"/>
    </row>
  </sheetData>
  <sheetProtection sheet="true" objects="true" scenarios="true"/>
  <mergeCells count="4">
    <mergeCell ref="B2:I2"/>
    <mergeCell ref="B3:I3"/>
    <mergeCell ref="B4:I6"/>
    <mergeCell ref="B7:I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0" topLeftCell="A11" activePane="bottomLeft" state="frozen"/>
      <selection pane="topLeft" activeCell="A1" activeCellId="0" sqref="A1"/>
      <selection pane="bottomLeft" activeCell="I83" activeCellId="0" sqref="I83"/>
    </sheetView>
  </sheetViews>
  <sheetFormatPr defaultRowHeight="12.75" zeroHeight="false" outlineLevelRow="0" outlineLevelCol="0"/>
  <cols>
    <col collapsed="false" customWidth="true" hidden="false" outlineLevel="0" max="1" min="1" style="24" width="5.7"/>
    <col collapsed="false" customWidth="true" hidden="false" outlineLevel="0" max="2" min="2" style="24" width="20.71"/>
    <col collapsed="false" customWidth="true" hidden="false" outlineLevel="0" max="3" min="3" style="282" width="20.71"/>
    <col collapsed="false" customWidth="true" hidden="false" outlineLevel="0" max="7" min="4" style="24" width="20.71"/>
    <col collapsed="false" customWidth="true" hidden="false" outlineLevel="0" max="8" min="8" style="24" width="5.7"/>
    <col collapsed="false" customWidth="true" hidden="false" outlineLevel="0" max="1025" min="9" style="24" width="20.71"/>
  </cols>
  <sheetData>
    <row r="1" customFormat="false" ht="12.75" hidden="false" customHeight="true" outlineLevel="0" collapsed="false">
      <c r="A1" s="30"/>
      <c r="B1" s="309"/>
      <c r="C1" s="309"/>
      <c r="D1" s="309"/>
      <c r="E1" s="309"/>
      <c r="F1" s="309"/>
      <c r="G1" s="309"/>
      <c r="H1" s="88"/>
      <c r="I1" s="88"/>
      <c r="J1" s="88"/>
      <c r="K1" s="88"/>
      <c r="L1" s="88"/>
      <c r="M1" s="32"/>
      <c r="N1" s="0"/>
      <c r="O1" s="0"/>
    </row>
    <row r="2" customFormat="false" ht="12.75" hidden="false" customHeight="true" outlineLevel="0" collapsed="false">
      <c r="A2" s="30"/>
      <c r="B2" s="309"/>
      <c r="C2" s="309"/>
      <c r="D2" s="309"/>
      <c r="E2" s="309"/>
      <c r="F2" s="309"/>
      <c r="G2" s="309"/>
      <c r="H2" s="88"/>
      <c r="I2" s="88"/>
      <c r="J2" s="88"/>
      <c r="K2" s="88"/>
      <c r="L2" s="88"/>
      <c r="M2" s="32"/>
      <c r="N2" s="0"/>
      <c r="O2" s="0"/>
    </row>
    <row r="3" customFormat="false" ht="12.75" hidden="false" customHeight="true" outlineLevel="0" collapsed="false">
      <c r="A3" s="30"/>
      <c r="B3" s="309"/>
      <c r="C3" s="309"/>
      <c r="D3" s="309"/>
      <c r="E3" s="309"/>
      <c r="F3" s="309"/>
      <c r="G3" s="309"/>
      <c r="H3" s="88"/>
      <c r="I3" s="88"/>
      <c r="J3" s="88"/>
      <c r="K3" s="88"/>
      <c r="L3" s="88"/>
      <c r="M3" s="32"/>
      <c r="N3" s="0"/>
      <c r="O3" s="0"/>
    </row>
    <row r="4" customFormat="false" ht="12.75" hidden="false" customHeight="true" outlineLevel="0" collapsed="false">
      <c r="A4" s="30"/>
      <c r="B4" s="309"/>
      <c r="C4" s="309"/>
      <c r="D4" s="309"/>
      <c r="E4" s="309"/>
      <c r="F4" s="309"/>
      <c r="G4" s="309"/>
      <c r="H4" s="310"/>
      <c r="I4" s="310"/>
      <c r="J4" s="310"/>
      <c r="K4" s="310"/>
      <c r="L4" s="310"/>
      <c r="M4" s="235"/>
      <c r="N4" s="29"/>
      <c r="O4" s="0"/>
    </row>
    <row r="5" customFormat="false" ht="12.75" hidden="false" customHeight="true" outlineLevel="0" collapsed="false">
      <c r="A5" s="30"/>
      <c r="B5" s="311" t="s">
        <v>621</v>
      </c>
      <c r="C5" s="311"/>
      <c r="D5" s="311"/>
      <c r="E5" s="311"/>
      <c r="F5" s="311"/>
      <c r="G5" s="311"/>
      <c r="H5" s="312"/>
      <c r="I5" s="313"/>
      <c r="J5" s="313"/>
      <c r="K5" s="313"/>
      <c r="L5" s="313"/>
      <c r="M5" s="313"/>
      <c r="N5" s="314"/>
      <c r="O5" s="32"/>
    </row>
    <row r="6" customFormat="false" ht="12.75" hidden="false" customHeight="true" outlineLevel="0" collapsed="false">
      <c r="A6" s="30"/>
      <c r="B6" s="311"/>
      <c r="C6" s="311"/>
      <c r="D6" s="311"/>
      <c r="E6" s="311"/>
      <c r="F6" s="311"/>
      <c r="G6" s="311"/>
      <c r="H6" s="285"/>
      <c r="I6" s="216"/>
      <c r="J6" s="216"/>
      <c r="K6" s="216"/>
      <c r="L6" s="216"/>
      <c r="M6" s="216"/>
      <c r="N6" s="315"/>
      <c r="O6" s="32"/>
    </row>
    <row r="7" customFormat="false" ht="12.75" hidden="false" customHeight="true" outlineLevel="0" collapsed="false">
      <c r="A7" s="30"/>
      <c r="B7" s="311"/>
      <c r="C7" s="311"/>
      <c r="D7" s="311"/>
      <c r="E7" s="311"/>
      <c r="F7" s="311"/>
      <c r="G7" s="311"/>
      <c r="H7" s="285"/>
      <c r="I7" s="216"/>
      <c r="J7" s="216"/>
      <c r="K7" s="216"/>
      <c r="L7" s="216"/>
      <c r="M7" s="216"/>
      <c r="N7" s="315"/>
      <c r="O7" s="32"/>
    </row>
    <row r="8" customFormat="false" ht="12.75" hidden="false" customHeight="false" outlineLevel="0" collapsed="false">
      <c r="A8" s="30"/>
      <c r="B8" s="316" t="s">
        <v>622</v>
      </c>
      <c r="C8" s="317"/>
      <c r="D8" s="318"/>
      <c r="E8" s="318"/>
      <c r="F8" s="319"/>
      <c r="G8" s="320"/>
      <c r="H8" s="32"/>
      <c r="I8" s="27"/>
      <c r="J8" s="27"/>
      <c r="K8" s="27"/>
      <c r="L8" s="27"/>
      <c r="M8" s="27"/>
      <c r="N8" s="321"/>
      <c r="O8" s="32"/>
    </row>
    <row r="9" customFormat="false" ht="12.75" hidden="false" customHeight="false" outlineLevel="0" collapsed="false">
      <c r="A9" s="30"/>
      <c r="B9" s="322" t="s">
        <v>623</v>
      </c>
      <c r="C9" s="317"/>
      <c r="D9" s="323"/>
      <c r="E9" s="318"/>
      <c r="F9" s="319"/>
      <c r="G9" s="320"/>
      <c r="H9" s="32"/>
      <c r="I9" s="27"/>
      <c r="J9" s="27"/>
      <c r="K9" s="27"/>
      <c r="L9" s="27"/>
      <c r="M9" s="27"/>
      <c r="N9" s="321"/>
      <c r="O9" s="32"/>
    </row>
    <row r="10" customFormat="false" ht="13.5" hidden="false" customHeight="false" outlineLevel="0" collapsed="false">
      <c r="A10" s="30"/>
      <c r="B10" s="324"/>
      <c r="C10" s="325"/>
      <c r="D10" s="326"/>
      <c r="E10" s="326"/>
      <c r="F10" s="327"/>
      <c r="G10" s="328"/>
      <c r="H10" s="329"/>
      <c r="I10" s="330"/>
      <c r="J10" s="330"/>
      <c r="K10" s="330"/>
      <c r="L10" s="330"/>
      <c r="M10" s="330"/>
      <c r="N10" s="331"/>
      <c r="O10" s="32"/>
    </row>
    <row r="11" customFormat="false" ht="14.25" hidden="false" customHeight="false" outlineLevel="0" collapsed="false">
      <c r="A11" s="29"/>
      <c r="B11" s="177"/>
      <c r="C11" s="291"/>
      <c r="D11" s="177"/>
      <c r="E11" s="177"/>
      <c r="F11" s="177"/>
      <c r="G11" s="177"/>
      <c r="H11" s="140"/>
      <c r="I11" s="140"/>
      <c r="J11" s="140"/>
      <c r="K11" s="140"/>
      <c r="L11" s="140"/>
      <c r="M11" s="140"/>
      <c r="N11" s="140"/>
    </row>
    <row r="12" customFormat="false" ht="13.5" hidden="false" customHeight="false" outlineLevel="0" collapsed="false">
      <c r="A12" s="195"/>
      <c r="B12" s="292" t="s">
        <v>605</v>
      </c>
      <c r="C12" s="293"/>
      <c r="D12" s="203"/>
      <c r="E12" s="203"/>
      <c r="F12" s="203"/>
      <c r="G12" s="204"/>
      <c r="H12" s="32"/>
      <c r="I12" s="292" t="s">
        <v>605</v>
      </c>
      <c r="J12" s="293"/>
      <c r="K12" s="203"/>
      <c r="L12" s="203"/>
      <c r="M12" s="203"/>
      <c r="N12" s="204"/>
    </row>
    <row r="13" customFormat="false" ht="12.75" hidden="false" customHeight="false" outlineLevel="0" collapsed="false">
      <c r="A13" s="195"/>
      <c r="B13" s="294" t="s">
        <v>624</v>
      </c>
      <c r="C13" s="295"/>
      <c r="D13" s="140"/>
      <c r="E13" s="140"/>
      <c r="F13" s="140"/>
      <c r="G13" s="296"/>
      <c r="H13" s="32"/>
      <c r="I13" s="294" t="s">
        <v>624</v>
      </c>
      <c r="J13" s="295"/>
      <c r="K13" s="140"/>
      <c r="L13" s="140"/>
      <c r="M13" s="140"/>
      <c r="N13" s="296"/>
    </row>
    <row r="14" customFormat="false" ht="12.75" hidden="false" customHeight="false" outlineLevel="0" collapsed="false">
      <c r="A14" s="195"/>
      <c r="B14" s="294" t="s">
        <v>607</v>
      </c>
      <c r="C14" s="295"/>
      <c r="D14" s="140"/>
      <c r="E14" s="140"/>
      <c r="F14" s="140"/>
      <c r="G14" s="296"/>
      <c r="H14" s="32"/>
      <c r="I14" s="294" t="s">
        <v>607</v>
      </c>
      <c r="J14" s="295"/>
      <c r="K14" s="140"/>
      <c r="L14" s="140"/>
      <c r="M14" s="140"/>
      <c r="N14" s="296"/>
    </row>
    <row r="15" customFormat="false" ht="12.75" hidden="false" customHeight="false" outlineLevel="0" collapsed="false">
      <c r="A15" s="195"/>
      <c r="B15" s="297" t="s">
        <v>608</v>
      </c>
      <c r="C15" s="78"/>
      <c r="D15" s="0"/>
      <c r="E15" s="0"/>
      <c r="F15" s="0"/>
      <c r="G15" s="195"/>
      <c r="H15" s="32"/>
      <c r="I15" s="297" t="s">
        <v>608</v>
      </c>
      <c r="J15" s="78"/>
      <c r="K15" s="0"/>
      <c r="L15" s="0"/>
      <c r="M15" s="0"/>
      <c r="N15" s="195"/>
    </row>
    <row r="16" customFormat="false" ht="12.75" hidden="false" customHeight="false" outlineLevel="0" collapsed="false">
      <c r="A16" s="195"/>
      <c r="B16" s="297" t="s">
        <v>609</v>
      </c>
      <c r="C16" s="0"/>
      <c r="D16" s="0"/>
      <c r="E16" s="0"/>
      <c r="F16" s="0"/>
      <c r="G16" s="195"/>
      <c r="H16" s="32"/>
      <c r="I16" s="297" t="s">
        <v>609</v>
      </c>
      <c r="J16" s="305"/>
      <c r="K16" s="0"/>
      <c r="L16" s="0"/>
      <c r="M16" s="0"/>
      <c r="N16" s="195"/>
    </row>
    <row r="17" customFormat="false" ht="12.75" hidden="false" customHeight="false" outlineLevel="0" collapsed="false">
      <c r="A17" s="195"/>
      <c r="B17" s="297" t="s">
        <v>610</v>
      </c>
      <c r="C17" s="0"/>
      <c r="D17" s="0"/>
      <c r="E17" s="0"/>
      <c r="F17" s="0"/>
      <c r="G17" s="195"/>
      <c r="H17" s="32"/>
      <c r="I17" s="297" t="s">
        <v>610</v>
      </c>
      <c r="J17" s="305"/>
      <c r="K17" s="0"/>
      <c r="L17" s="0"/>
      <c r="M17" s="0"/>
      <c r="N17" s="195"/>
    </row>
    <row r="18" customFormat="false" ht="12.75" hidden="false" customHeight="false" outlineLevel="0" collapsed="false">
      <c r="A18" s="195"/>
      <c r="B18" s="297" t="s">
        <v>607</v>
      </c>
      <c r="C18" s="0"/>
      <c r="D18" s="0"/>
      <c r="E18" s="0"/>
      <c r="F18" s="0"/>
      <c r="G18" s="195"/>
      <c r="H18" s="32"/>
      <c r="I18" s="297" t="s">
        <v>607</v>
      </c>
      <c r="J18" s="305"/>
      <c r="K18" s="0"/>
      <c r="L18" s="0"/>
      <c r="M18" s="0"/>
      <c r="N18" s="195"/>
    </row>
    <row r="19" customFormat="false" ht="12.75" hidden="false" customHeight="false" outlineLevel="0" collapsed="false">
      <c r="A19" s="195"/>
      <c r="B19" s="297" t="s">
        <v>611</v>
      </c>
      <c r="C19" s="0"/>
      <c r="D19" s="0"/>
      <c r="E19" s="0"/>
      <c r="F19" s="0"/>
      <c r="G19" s="195"/>
      <c r="H19" s="32"/>
      <c r="I19" s="297" t="s">
        <v>611</v>
      </c>
      <c r="J19" s="305"/>
      <c r="K19" s="0"/>
      <c r="L19" s="0"/>
      <c r="M19" s="0"/>
      <c r="N19" s="195"/>
    </row>
    <row r="20" customFormat="false" ht="12.75" hidden="false" customHeight="false" outlineLevel="0" collapsed="false">
      <c r="A20" s="195"/>
      <c r="B20" s="297" t="s">
        <v>612</v>
      </c>
      <c r="C20" s="0"/>
      <c r="D20" s="0"/>
      <c r="E20" s="0"/>
      <c r="F20" s="0"/>
      <c r="G20" s="195"/>
      <c r="H20" s="32"/>
      <c r="I20" s="297" t="s">
        <v>612</v>
      </c>
      <c r="J20" s="305"/>
      <c r="K20" s="0"/>
      <c r="L20" s="0"/>
      <c r="M20" s="0"/>
      <c r="N20" s="195"/>
    </row>
    <row r="21" customFormat="false" ht="12.75" hidden="false" customHeight="false" outlineLevel="0" collapsed="false">
      <c r="A21" s="195"/>
      <c r="B21" s="297" t="s">
        <v>613</v>
      </c>
      <c r="C21" s="0"/>
      <c r="D21" s="0"/>
      <c r="E21" s="0"/>
      <c r="F21" s="0"/>
      <c r="G21" s="195"/>
      <c r="H21" s="32"/>
      <c r="I21" s="297" t="s">
        <v>613</v>
      </c>
      <c r="J21" s="305"/>
      <c r="K21" s="0"/>
      <c r="L21" s="0"/>
      <c r="M21" s="0"/>
      <c r="N21" s="195"/>
    </row>
    <row r="22" customFormat="false" ht="12.75" hidden="false" customHeight="false" outlineLevel="0" collapsed="false">
      <c r="A22" s="195"/>
      <c r="B22" s="299" t="s">
        <v>614</v>
      </c>
      <c r="C22" s="298"/>
      <c r="D22" s="0"/>
      <c r="E22" s="0"/>
      <c r="F22" s="0"/>
      <c r="G22" s="195"/>
      <c r="H22" s="32"/>
      <c r="I22" s="299" t="s">
        <v>614</v>
      </c>
      <c r="J22" s="298"/>
      <c r="K22" s="0"/>
      <c r="L22" s="0"/>
      <c r="M22" s="0"/>
      <c r="N22" s="195"/>
    </row>
    <row r="23" customFormat="false" ht="12.75" hidden="false" customHeight="false" outlineLevel="0" collapsed="false">
      <c r="A23" s="195"/>
      <c r="B23" s="297" t="s">
        <v>615</v>
      </c>
      <c r="C23" s="78"/>
      <c r="D23" s="0"/>
      <c r="E23" s="0"/>
      <c r="F23" s="0"/>
      <c r="G23" s="195"/>
      <c r="H23" s="32"/>
      <c r="I23" s="297" t="s">
        <v>615</v>
      </c>
      <c r="J23" s="78"/>
      <c r="K23" s="0"/>
      <c r="L23" s="0"/>
      <c r="M23" s="0"/>
      <c r="N23" s="195"/>
    </row>
    <row r="24" customFormat="false" ht="12.75" hidden="false" customHeight="false" outlineLevel="0" collapsed="false">
      <c r="A24" s="195"/>
      <c r="B24" s="297"/>
      <c r="C24" s="0"/>
      <c r="D24" s="0"/>
      <c r="E24" s="0"/>
      <c r="F24" s="0"/>
      <c r="G24" s="195"/>
      <c r="H24" s="32"/>
      <c r="I24" s="299"/>
      <c r="J24" s="305"/>
      <c r="K24" s="0"/>
      <c r="L24" s="0"/>
      <c r="M24" s="0"/>
      <c r="N24" s="195"/>
    </row>
    <row r="25" customFormat="false" ht="12.75" hidden="false" customHeight="false" outlineLevel="0" collapsed="false">
      <c r="A25" s="195"/>
      <c r="B25" s="294" t="s">
        <v>616</v>
      </c>
      <c r="C25" s="0"/>
      <c r="D25" s="0"/>
      <c r="E25" s="0"/>
      <c r="F25" s="0"/>
      <c r="G25" s="195"/>
      <c r="H25" s="32"/>
      <c r="I25" s="294" t="s">
        <v>616</v>
      </c>
      <c r="J25" s="305"/>
      <c r="K25" s="0"/>
      <c r="L25" s="0"/>
      <c r="M25" s="0"/>
      <c r="N25" s="195"/>
    </row>
    <row r="26" customFormat="false" ht="12.75" hidden="false" customHeight="false" outlineLevel="0" collapsed="false">
      <c r="A26" s="195"/>
      <c r="B26" s="294" t="s">
        <v>625</v>
      </c>
      <c r="C26" s="0"/>
      <c r="D26" s="0"/>
      <c r="E26" s="0"/>
      <c r="F26" s="0"/>
      <c r="G26" s="195"/>
      <c r="H26" s="32"/>
      <c r="I26" s="294" t="s">
        <v>626</v>
      </c>
      <c r="J26" s="305"/>
      <c r="K26" s="0"/>
      <c r="L26" s="0"/>
      <c r="M26" s="0"/>
      <c r="N26" s="195"/>
    </row>
    <row r="27" customFormat="false" ht="12.75" hidden="false" customHeight="false" outlineLevel="0" collapsed="false">
      <c r="A27" s="195"/>
      <c r="B27" s="297" t="str">
        <f aca="true">CONCATENATE(" *     Created on: ",TEXT(TODAY(),"MM/DD/YYYY"))</f>
        <v> *     Created on: 22/02/2020</v>
      </c>
      <c r="C27" s="0"/>
      <c r="D27" s="0"/>
      <c r="E27" s="0"/>
      <c r="F27" s="0"/>
      <c r="G27" s="195"/>
      <c r="H27" s="32"/>
      <c r="I27" s="297" t="str">
        <f aca="true">CONCATENATE(" *     Created on: ",TEXT(TODAY(),"MM/DD/YYYY"))</f>
        <v> *     Created on: 22/02/2020</v>
      </c>
      <c r="J27" s="305"/>
      <c r="K27" s="0"/>
      <c r="L27" s="0"/>
      <c r="M27" s="0"/>
      <c r="N27" s="195"/>
    </row>
    <row r="28" customFormat="false" ht="12.75" hidden="false" customHeight="false" outlineLevel="0" collapsed="false">
      <c r="A28" s="195"/>
      <c r="B28" s="297" t="str">
        <f aca="false">CONCATENATE(" *     Created with: EMIF_RegisterConfig_v",RIGHT('Title-README'!$B$11,5))</f>
        <v>*     Created with: EMIF_RegisterConfig_v2.0.3</v>
      </c>
      <c r="C28" s="0"/>
      <c r="D28" s="0"/>
      <c r="E28" s="0"/>
      <c r="F28" s="0"/>
      <c r="G28" s="195"/>
      <c r="H28" s="32"/>
      <c r="I28" s="297" t="str">
        <f aca="false">CONCATENATE(" *     Created with: EMIF_RegisterConfig_v",RIGHT('Title-README'!$B$11,5))</f>
        <v>*     Created with: EMIF_RegisterConfig_v2.0.3</v>
      </c>
      <c r="J28" s="305"/>
      <c r="K28" s="0"/>
      <c r="L28" s="0"/>
      <c r="M28" s="0"/>
      <c r="N28" s="195"/>
    </row>
    <row r="29" customFormat="false" ht="12.75" hidden="false" customHeight="false" outlineLevel="0" collapsed="false">
      <c r="A29" s="195"/>
      <c r="B29" s="297" t="s">
        <v>617</v>
      </c>
      <c r="C29" s="0"/>
      <c r="D29" s="0"/>
      <c r="E29" s="0"/>
      <c r="F29" s="0"/>
      <c r="G29" s="195"/>
      <c r="H29" s="32"/>
      <c r="I29" s="297" t="s">
        <v>617</v>
      </c>
      <c r="J29" s="305"/>
      <c r="K29" s="0"/>
      <c r="L29" s="0"/>
      <c r="M29" s="0"/>
      <c r="N29" s="195"/>
    </row>
    <row r="30" customFormat="false" ht="12.75" hidden="false" customHeight="false" outlineLevel="0" collapsed="false">
      <c r="A30" s="195"/>
      <c r="B30" s="297"/>
      <c r="C30" s="0"/>
      <c r="D30" s="0"/>
      <c r="E30" s="0"/>
      <c r="F30" s="0"/>
      <c r="G30" s="195"/>
      <c r="H30" s="32"/>
      <c r="I30" s="297"/>
      <c r="J30" s="305"/>
      <c r="K30" s="0"/>
      <c r="L30" s="0"/>
      <c r="M30" s="0"/>
      <c r="N30" s="195"/>
    </row>
    <row r="31" customFormat="false" ht="12.75" hidden="false" customHeight="false" outlineLevel="0" collapsed="false">
      <c r="A31" s="195"/>
      <c r="B31" s="297" t="s">
        <v>627</v>
      </c>
      <c r="C31" s="0"/>
      <c r="D31" s="0"/>
      <c r="E31" s="0"/>
      <c r="F31" s="0"/>
      <c r="G31" s="195"/>
      <c r="H31" s="32"/>
      <c r="I31" s="297" t="s">
        <v>628</v>
      </c>
      <c r="J31" s="305"/>
      <c r="K31" s="0"/>
      <c r="L31" s="0"/>
      <c r="M31" s="0"/>
      <c r="N31" s="195"/>
    </row>
    <row r="32" customFormat="false" ht="12.75" hidden="false" customHeight="false" outlineLevel="0" collapsed="false">
      <c r="A32" s="195"/>
      <c r="B32" s="297" t="s">
        <v>629</v>
      </c>
      <c r="C32" s="0"/>
      <c r="D32" s="0"/>
      <c r="E32" s="0"/>
      <c r="F32" s="0"/>
      <c r="G32" s="195"/>
      <c r="H32" s="32"/>
      <c r="I32" s="297" t="s">
        <v>630</v>
      </c>
      <c r="J32" s="305"/>
      <c r="K32" s="0"/>
      <c r="L32" s="0"/>
      <c r="M32" s="0"/>
      <c r="N32" s="195"/>
    </row>
    <row r="33" customFormat="false" ht="12.75" hidden="false" customHeight="false" outlineLevel="0" collapsed="false">
      <c r="A33" s="195"/>
      <c r="B33" s="205"/>
      <c r="C33" s="0"/>
      <c r="D33" s="0"/>
      <c r="E33" s="0"/>
      <c r="F33" s="0"/>
      <c r="G33" s="195"/>
      <c r="H33" s="32"/>
      <c r="I33" s="205"/>
      <c r="J33" s="305"/>
      <c r="K33" s="0"/>
      <c r="L33" s="0"/>
      <c r="M33" s="0"/>
      <c r="N33" s="195"/>
    </row>
    <row r="34" customFormat="false" ht="12.75" hidden="false" customHeight="false" outlineLevel="0" collapsed="false">
      <c r="A34" s="195"/>
      <c r="B34" s="299" t="s">
        <v>631</v>
      </c>
      <c r="C34" s="0"/>
      <c r="D34" s="0"/>
      <c r="E34" s="0"/>
      <c r="F34" s="0"/>
      <c r="G34" s="195"/>
      <c r="H34" s="32"/>
      <c r="I34" s="299" t="s">
        <v>632</v>
      </c>
      <c r="J34" s="305"/>
      <c r="K34" s="0"/>
      <c r="L34" s="0"/>
      <c r="M34" s="0"/>
      <c r="N34" s="195"/>
    </row>
    <row r="35" customFormat="false" ht="12.75" hidden="false" customHeight="false" outlineLevel="0" collapsed="false">
      <c r="A35" s="195"/>
      <c r="B35" s="205"/>
      <c r="C35" s="61"/>
      <c r="D35" s="0"/>
      <c r="E35" s="0"/>
      <c r="F35" s="0"/>
      <c r="G35" s="195"/>
      <c r="H35" s="32"/>
      <c r="I35" s="205"/>
      <c r="J35" s="61"/>
      <c r="K35" s="0"/>
      <c r="L35" s="0"/>
      <c r="M35" s="0"/>
      <c r="N35" s="195"/>
    </row>
    <row r="36" customFormat="false" ht="12.75" hidden="false" customHeight="false" outlineLevel="0" collapsed="false">
      <c r="A36" s="195"/>
      <c r="B36" s="297" t="s">
        <v>605</v>
      </c>
      <c r="C36" s="301"/>
      <c r="D36" s="0"/>
      <c r="E36" s="0"/>
      <c r="F36" s="0"/>
      <c r="G36" s="195"/>
      <c r="H36" s="32"/>
      <c r="I36" s="303" t="str">
        <f aca="false">IFERROR(CONCATENATE("extern struct emif_cfg ",INDEX(_dyn_user_config_options,ROW(2:2)),";"),"")</f>
        <v>extern struct emif_cfg AM571x_DDR3L_666MHz_TI_AM571x_IDK;</v>
      </c>
      <c r="J36" s="301"/>
      <c r="K36" s="0"/>
      <c r="L36" s="0"/>
      <c r="M36" s="0"/>
      <c r="N36" s="195"/>
    </row>
    <row r="37" customFormat="false" ht="12.75" hidden="false" customHeight="false" outlineLevel="0" collapsed="false">
      <c r="A37" s="195"/>
      <c r="B37" s="297" t="e">
        <f aca="false">CONCATENATE(" *             ",_company_project," ",_sdram_type," ",_ddr_pll_freq," MHz Configuration")</f>
        <v>#NAME?</v>
      </c>
      <c r="C37" s="0"/>
      <c r="D37" s="0"/>
      <c r="E37" s="0"/>
      <c r="F37" s="0"/>
      <c r="G37" s="195"/>
      <c r="H37" s="32"/>
      <c r="I37" s="303" t="str">
        <f aca="false">IFERROR(CONCATENATE("extern struct emif_cfg ",INDEX(_dyn_user_config_options,ROW(3:3)),";"),"")</f>
        <v>extern struct emif_cfg AM571x_DDR3L_666MHz_TI_AM571x_IDK;</v>
      </c>
      <c r="J37" s="305"/>
      <c r="K37" s="0"/>
      <c r="L37" s="0"/>
      <c r="M37" s="0"/>
      <c r="N37" s="195"/>
    </row>
    <row r="38" customFormat="false" ht="12.75" hidden="false" customHeight="false" outlineLevel="0" collapsed="false">
      <c r="A38" s="195"/>
      <c r="B38" s="297" t="s">
        <v>615</v>
      </c>
      <c r="C38" s="0"/>
      <c r="D38" s="0"/>
      <c r="E38" s="0"/>
      <c r="F38" s="0"/>
      <c r="G38" s="195"/>
      <c r="H38" s="32"/>
      <c r="I38" s="303" t="str">
        <f aca="false">IFERROR(CONCATENATE("extern struct emif_cfg ",INDEX(_dyn_user_config_options,ROW(4:4)),";"),"")</f>
        <v>extern struct emif_cfg AM571x_DDR3L_666MHz_TI_AM571x_IDK;</v>
      </c>
      <c r="J38" s="305"/>
      <c r="K38" s="0"/>
      <c r="L38" s="0"/>
      <c r="M38" s="0"/>
      <c r="N38" s="195"/>
    </row>
    <row r="39" customFormat="false" ht="12.75" hidden="false" customHeight="false" outlineLevel="0" collapsed="false">
      <c r="A39" s="195"/>
      <c r="B39" s="205" t="e">
        <f aca="false">CONCATENATE("    {",CHAR(34),_user_soc,"_",IFERROR(REPLACE(_sdram_type,FIND("/",_sdram_type),1,""),_sdram_type),"_",_ddr_pll_freq,"MHz_",_company_project,CHAR(34),",")</f>
        <v>#NAME?</v>
      </c>
      <c r="C39" s="0"/>
      <c r="D39" s="0"/>
      <c r="E39" s="0"/>
      <c r="F39" s="0"/>
      <c r="G39" s="195"/>
      <c r="H39" s="32"/>
      <c r="I39" s="303" t="str">
        <f aca="false">IFERROR(CONCATENATE("extern struct emif_cfg ",INDEX(_dyn_user_config_options,ROW(5:5)),";"),"")</f>
        <v>extern struct emif_cfg AM571x_DDR3L_666MHz_TI_AM571x_IDK;</v>
      </c>
      <c r="J39" s="305"/>
      <c r="K39" s="0"/>
      <c r="L39" s="0"/>
      <c r="M39" s="0"/>
      <c r="N39" s="195"/>
    </row>
    <row r="40" customFormat="false" ht="12.75" hidden="false" customHeight="false" outlineLevel="0" collapsed="false">
      <c r="A40" s="195"/>
      <c r="B40" s="205" t="str">
        <f aca="false">CONCATENATE("        ",_user_emifs-1,",")</f>
        <v>        0,</v>
      </c>
      <c r="C40" s="0"/>
      <c r="D40" s="0"/>
      <c r="E40" s="0"/>
      <c r="F40" s="0"/>
      <c r="G40" s="195"/>
      <c r="H40" s="32"/>
      <c r="I40" s="303" t="str">
        <f aca="false">IFERROR(CONCATENATE("extern struct emif_cfg ",INDEX(_dyn_user_config_options,ROW(6:6)),";"),"")</f>
        <v>extern struct emif_cfg AM571x_DDR3L_666MHz_TI_AM571x_IDK;</v>
      </c>
      <c r="J40" s="305"/>
      <c r="K40" s="0"/>
      <c r="L40" s="0"/>
      <c r="M40" s="0"/>
      <c r="N40" s="195"/>
    </row>
    <row r="41" customFormat="false" ht="12.75" hidden="false" customHeight="false" outlineLevel="0" collapsed="false">
      <c r="A41" s="195"/>
      <c r="B41" s="205" t="e">
        <f aca="false">CONCATENATE("        &amp;",_user_soc,"_",IFERROR(REPLACE(_sdram_type,FIND("/",_sdram_type),1,""),_sdram_type),"_",_ddr_pll_freq,"MHz_",_company_project,"_pll_params,")</f>
        <v>#NAME?</v>
      </c>
      <c r="C41" s="298"/>
      <c r="D41" s="0"/>
      <c r="E41" s="0"/>
      <c r="F41" s="0"/>
      <c r="G41" s="195"/>
      <c r="H41" s="32"/>
      <c r="I41" s="303" t="str">
        <f aca="false">IFERROR(CONCATENATE("extern struct emif_cfg ",INDEX(_dyn_user_config_options,ROW(7:7)),";"),"")</f>
        <v>extern struct emif_cfg AM571x_DDR3L_666MHz_TI_AM571x_IDK;</v>
      </c>
      <c r="J41" s="298"/>
      <c r="K41" s="0"/>
      <c r="L41" s="0"/>
      <c r="M41" s="0"/>
      <c r="N41" s="195"/>
    </row>
    <row r="42" customFormat="false" ht="12.75" hidden="false" customHeight="false" outlineLevel="0" collapsed="false">
      <c r="A42" s="195"/>
      <c r="B42" s="205" t="e">
        <f aca="false">CONCATENATE("        &amp;",_user_soc,"_",IFERROR(REPLACE(_sdram_type,FIND("/",_sdram_type),1,""),_sdram_type),"_",_ddr_pll_freq,"MHz_",_company_project,"_ctrl_ioregs,")</f>
        <v>#NAME?</v>
      </c>
      <c r="C42" s="301"/>
      <c r="D42" s="0"/>
      <c r="E42" s="0"/>
      <c r="F42" s="0"/>
      <c r="G42" s="195"/>
      <c r="H42" s="32"/>
      <c r="I42" s="303" t="str">
        <f aca="false">IFERROR(CONCATENATE("extern struct emif_cfg ",INDEX(_dyn_user_config_options,ROW(8:8)),";"),"")</f>
        <v>extern struct emif_cfg AM571x_DDR3L_666MHz_TI_AM571x_IDK;</v>
      </c>
      <c r="J42" s="301"/>
      <c r="K42" s="0"/>
      <c r="L42" s="0"/>
      <c r="M42" s="0"/>
      <c r="N42" s="195"/>
    </row>
    <row r="43" customFormat="false" ht="12.75" hidden="false" customHeight="false" outlineLevel="0" collapsed="false">
      <c r="A43" s="195"/>
      <c r="B43" s="205" t="e">
        <f aca="false">CONCATENATE("        &amp;",_user_soc,"_",IFERROR(REPLACE(_sdram_type,FIND("/",_sdram_type),1,""),_sdram_type),"_",_ddr_pll_freq,"MHz_",_company_project,"_dmm_regs,")</f>
        <v>#NAME?</v>
      </c>
      <c r="C43" s="0"/>
      <c r="D43" s="0"/>
      <c r="E43" s="0"/>
      <c r="F43" s="0"/>
      <c r="G43" s="195"/>
      <c r="H43" s="32"/>
      <c r="I43" s="303" t="str">
        <f aca="false">IFERROR(CONCATENATE("extern struct emif_cfg ",INDEX(_dyn_user_config_options,ROW(9:9)),";"),"")</f>
        <v>extern struct emif_cfg AM571x_DDR3L_666MHz_TI_AM571x_IDK;</v>
      </c>
      <c r="J43" s="305"/>
      <c r="K43" s="0"/>
      <c r="L43" s="0"/>
      <c r="M43" s="0"/>
      <c r="N43" s="195"/>
    </row>
    <row r="44" customFormat="false" ht="12.75" hidden="false" customHeight="false" outlineLevel="0" collapsed="false">
      <c r="A44" s="195"/>
      <c r="B44" s="205" t="e">
        <f aca="false">CONCATENATE("        &amp;",_user_soc,"_",IFERROR(REPLACE(_sdram_type,FIND("/",_sdram_type),1,""),_sdram_type),"_",_ddr_pll_freq,"MHz_",_company_project,"_emif_regs,")</f>
        <v>#NAME?</v>
      </c>
      <c r="C44" s="0"/>
      <c r="D44" s="0"/>
      <c r="E44" s="0"/>
      <c r="F44" s="0"/>
      <c r="G44" s="195"/>
      <c r="H44" s="32"/>
      <c r="I44" s="303" t="str">
        <f aca="false">IFERROR(CONCATENATE("extern struct emif_cfg ",INDEX(_dyn_user_config_options,ROW(10:10)),";"),"")</f>
        <v>extern struct emif_cfg AM571x_DDR3L_666MHz_TI_AM571x_IDK;</v>
      </c>
      <c r="J44" s="305"/>
      <c r="K44" s="0"/>
      <c r="L44" s="0"/>
      <c r="M44" s="0"/>
      <c r="N44" s="195"/>
    </row>
    <row r="45" customFormat="false" ht="12.75" hidden="false" customHeight="false" outlineLevel="0" collapsed="false">
      <c r="A45" s="195"/>
      <c r="B45" s="205" t="e">
        <f aca="false">CONCATENATE("        &amp;",_user_soc,"_",IFERROR(REPLACE(_sdram_type,FIND("/",_sdram_type),1,""),_sdram_type),"_",_ddr_pll_freq,"MHz_",_company_project,"_emif1_ext_phy_regs,")</f>
        <v>#NAME?</v>
      </c>
      <c r="C45" s="0"/>
      <c r="D45" s="0"/>
      <c r="E45" s="0"/>
      <c r="F45" s="0"/>
      <c r="G45" s="195"/>
      <c r="H45" s="32"/>
      <c r="I45" s="303" t="str">
        <f aca="false">IFERROR(CONCATENATE("extern struct emif_cfg ",INDEX(_dyn_user_config_options,ROW(11:11)),";"),"")</f>
        <v>extern struct emif_cfg AM571x_DDR3L_666MHz_TI_AM571x_IDK;</v>
      </c>
      <c r="J45" s="305"/>
      <c r="K45" s="0"/>
      <c r="L45" s="0"/>
      <c r="M45" s="0"/>
      <c r="N45" s="195"/>
    </row>
    <row r="46" customFormat="false" ht="12.75" hidden="false" customHeight="false" outlineLevel="0" collapsed="false">
      <c r="A46" s="195"/>
      <c r="B46" s="205" t="e">
        <f aca="false">IF(_user_emifs=1,CONCATENATE(B45,"  // Unused"),CONCATENATE("        &amp;",_user_soc,"_",IFERROR(REPLACE(_sdram_type,FIND("/",_sdram_type),1,""),_sdram_type),"_",_ddr_pll_freq,"MHz_",_company_project,"_emif2_ext_phy_regs"))</f>
        <v>#NAME?</v>
      </c>
      <c r="C46" s="0"/>
      <c r="D46" s="0"/>
      <c r="E46" s="76"/>
      <c r="F46" s="0"/>
      <c r="G46" s="195"/>
      <c r="H46" s="32"/>
      <c r="I46" s="303" t="str">
        <f aca="false">IFERROR(CONCATENATE("extern struct emif_cfg ",INDEX(_dyn_user_config_options,ROW(12:12)),";"),"")</f>
        <v>extern struct emif_cfg AM571x_DDR3L_666MHz_TI_AM571x_IDK;</v>
      </c>
      <c r="J46" s="305"/>
      <c r="K46" s="0"/>
      <c r="L46" s="76"/>
      <c r="M46" s="0"/>
      <c r="N46" s="195"/>
    </row>
    <row r="47" customFormat="false" ht="12.75" hidden="false" customHeight="false" outlineLevel="0" collapsed="false">
      <c r="A47" s="195"/>
      <c r="B47" s="300" t="s">
        <v>633</v>
      </c>
      <c r="C47" s="0"/>
      <c r="D47" s="0"/>
      <c r="E47" s="76"/>
      <c r="F47" s="0"/>
      <c r="G47" s="195"/>
      <c r="H47" s="32"/>
      <c r="I47" s="303" t="str">
        <f aca="false">IFERROR(CONCATENATE("extern struct emif_cfg ",INDEX(_dyn_user_config_options,ROW(13:13)),";"),"")</f>
        <v>extern struct emif_cfg AM571x_DDR3L_666MHz_TI_AM571x_IDK;</v>
      </c>
      <c r="J47" s="305"/>
      <c r="K47" s="0"/>
      <c r="L47" s="76"/>
      <c r="M47" s="0"/>
      <c r="N47" s="195"/>
    </row>
    <row r="48" customFormat="false" ht="12.75" hidden="false" customHeight="false" outlineLevel="0" collapsed="false">
      <c r="A48" s="195"/>
      <c r="B48" s="300"/>
      <c r="C48" s="0"/>
      <c r="D48" s="0"/>
      <c r="E48" s="76"/>
      <c r="F48" s="0"/>
      <c r="G48" s="195"/>
      <c r="H48" s="32"/>
      <c r="I48" s="303" t="str">
        <f aca="false">IFERROR(CONCATENATE("extern struct emif_cfg ",INDEX(_dyn_user_config_options,ROW(14:14)),";"),"")</f>
        <v>extern struct emif_cfg AM571x_DDR3L_666MHz_TI_AM571x_IDK;</v>
      </c>
      <c r="J48" s="305"/>
      <c r="K48" s="0"/>
      <c r="L48" s="76"/>
      <c r="M48" s="0"/>
      <c r="N48" s="195"/>
    </row>
    <row r="49" customFormat="false" ht="12.75" hidden="false" customHeight="false" outlineLevel="0" collapsed="false">
      <c r="A49" s="195"/>
      <c r="B49" s="297" t="s">
        <v>605</v>
      </c>
      <c r="C49" s="0"/>
      <c r="D49" s="0"/>
      <c r="E49" s="0"/>
      <c r="F49" s="0"/>
      <c r="G49" s="195"/>
      <c r="H49" s="32"/>
      <c r="I49" s="303" t="str">
        <f aca="false">IFERROR(CONCATENATE("extern struct emif_cfg ",INDEX(_dyn_user_config_options,ROW(15:15)),";"),"")</f>
        <v>extern struct emif_cfg AM571x_DDR3L_666MHz_TI_AM571x_IDK;</v>
      </c>
      <c r="J49" s="305"/>
      <c r="K49" s="0"/>
      <c r="L49" s="0"/>
      <c r="M49" s="0"/>
      <c r="N49" s="195"/>
    </row>
    <row r="50" customFormat="false" ht="12.75" hidden="false" customHeight="false" outlineLevel="0" collapsed="false">
      <c r="A50" s="195"/>
      <c r="B50" s="297" t="s">
        <v>634</v>
      </c>
      <c r="C50" s="0"/>
      <c r="D50" s="0"/>
      <c r="E50" s="0"/>
      <c r="F50" s="0"/>
      <c r="G50" s="195"/>
      <c r="H50" s="32"/>
      <c r="I50" s="303" t="str">
        <f aca="false">IFERROR(CONCATENATE("extern struct emif_cfg ",INDEX(_dyn_user_config_options,ROW(16:16)),";"),"")</f>
        <v>extern struct emif_cfg AM571x_DDR3L_666MHz_TI_AM571x_IDK;</v>
      </c>
      <c r="J50" s="305"/>
      <c r="K50" s="0"/>
      <c r="L50" s="0"/>
      <c r="M50" s="0"/>
      <c r="N50" s="195"/>
    </row>
    <row r="51" customFormat="false" ht="12.75" hidden="false" customHeight="false" outlineLevel="0" collapsed="false">
      <c r="A51" s="195"/>
      <c r="B51" s="297" t="s">
        <v>615</v>
      </c>
      <c r="C51" s="0"/>
      <c r="D51" s="0"/>
      <c r="E51" s="0"/>
      <c r="F51" s="0"/>
      <c r="G51" s="195"/>
      <c r="H51" s="32"/>
      <c r="I51" s="303" t="str">
        <f aca="false">IFERROR(CONCATENATE("extern struct emif_cfg ",INDEX(_dyn_user_config_options,ROW(17:17)),";"),"")</f>
        <v>extern struct emif_cfg AM571x_DDR3L_666MHz_TI_AM571x_IDK;</v>
      </c>
      <c r="J51" s="305"/>
      <c r="K51" s="0"/>
      <c r="L51" s="0"/>
      <c r="M51" s="0"/>
      <c r="N51" s="195"/>
    </row>
    <row r="52" customFormat="false" ht="12.75" hidden="false" customHeight="false" outlineLevel="0" collapsed="false">
      <c r="A52" s="195"/>
      <c r="B52" s="300" t="s">
        <v>635</v>
      </c>
      <c r="C52" s="0"/>
      <c r="D52" s="0"/>
      <c r="E52" s="0"/>
      <c r="F52" s="0"/>
      <c r="G52" s="195"/>
      <c r="H52" s="32"/>
      <c r="I52" s="303" t="str">
        <f aca="false">IFERROR(CONCATENATE("extern struct emif_cfg ",INDEX(_dyn_user_config_options,ROW(18:18)),";"),"")</f>
        <v>extern struct emif_cfg AM571x_DDR3L_666MHz_TI_AM571x_IDK;</v>
      </c>
      <c r="J52" s="305"/>
      <c r="K52" s="0"/>
      <c r="L52" s="0"/>
      <c r="M52" s="0"/>
      <c r="N52" s="195"/>
    </row>
    <row r="53" customFormat="false" ht="12.75" hidden="false" customHeight="false" outlineLevel="0" collapsed="false">
      <c r="A53" s="195"/>
      <c r="B53" s="300" t="s">
        <v>636</v>
      </c>
      <c r="C53" s="0"/>
      <c r="D53" s="0"/>
      <c r="E53" s="0"/>
      <c r="F53" s="0"/>
      <c r="G53" s="195"/>
      <c r="H53" s="32"/>
      <c r="I53" s="303" t="str">
        <f aca="false">IFERROR(CONCATENATE("extern struct emif_cfg ",INDEX(_dyn_user_config_options,ROW(19:19)),";"),"")</f>
        <v>extern struct emif_cfg AM571x_DDR3L_666MHz_TI_AM571x_IDK;</v>
      </c>
      <c r="J53" s="305"/>
      <c r="K53" s="0"/>
      <c r="L53" s="0"/>
      <c r="M53" s="0"/>
      <c r="N53" s="195"/>
    </row>
    <row r="54" customFormat="false" ht="12.75" hidden="false" customHeight="false" outlineLevel="0" collapsed="false">
      <c r="A54" s="195"/>
      <c r="B54" s="300" t="s">
        <v>637</v>
      </c>
      <c r="C54" s="0"/>
      <c r="D54" s="0"/>
      <c r="E54" s="0"/>
      <c r="F54" s="0"/>
      <c r="G54" s="195"/>
      <c r="H54" s="32"/>
      <c r="I54" s="303" t="str">
        <f aca="false">IFERROR(CONCATENATE("extern struct emif_cfg ",INDEX(_dyn_user_config_options,ROW(20:20)),";"),"")</f>
        <v>extern struct emif_cfg AM571x_DDR3L_666MHz_TI_AM571x_IDK;</v>
      </c>
      <c r="J54" s="305"/>
      <c r="K54" s="0"/>
      <c r="L54" s="0"/>
      <c r="M54" s="0"/>
      <c r="N54" s="195"/>
    </row>
    <row r="55" customFormat="false" ht="12.75" hidden="false" customHeight="false" outlineLevel="0" collapsed="false">
      <c r="A55" s="195"/>
      <c r="B55" s="300" t="s">
        <v>638</v>
      </c>
      <c r="C55" s="0"/>
      <c r="D55" s="0"/>
      <c r="E55" s="0"/>
      <c r="F55" s="0"/>
      <c r="G55" s="195"/>
      <c r="H55" s="32"/>
      <c r="I55" s="303" t="str">
        <f aca="false">IFERROR(CONCATENATE("extern struct emif_cfg ",INDEX(_dyn_user_config_options,ROW(21:21)),";"),"")</f>
        <v>extern struct emif_cfg AM571x_DDR3L_666MHz_TI_AM571x_IDK;</v>
      </c>
      <c r="J55" s="305"/>
      <c r="K55" s="0"/>
      <c r="L55" s="0"/>
      <c r="M55" s="0"/>
      <c r="N55" s="195"/>
    </row>
    <row r="56" customFormat="false" ht="12.75" hidden="false" customHeight="false" outlineLevel="0" collapsed="false">
      <c r="A56" s="195"/>
      <c r="B56" s="300" t="s">
        <v>639</v>
      </c>
      <c r="C56" s="0"/>
      <c r="D56" s="0"/>
      <c r="E56" s="0"/>
      <c r="F56" s="0"/>
      <c r="G56" s="195"/>
      <c r="H56" s="32"/>
      <c r="I56" s="303" t="str">
        <f aca="false">IFERROR(CONCATENATE("extern struct emif_cfg ",INDEX(_dyn_user_config_options,ROW(22:22)),";"),"")</f>
        <v>extern struct emif_cfg AM571x_DDR3L_666MHz_TI_AM571x_IDK;</v>
      </c>
      <c r="J56" s="305"/>
      <c r="K56" s="0"/>
      <c r="L56" s="0"/>
      <c r="M56" s="0"/>
      <c r="N56" s="195"/>
    </row>
    <row r="57" customFormat="false" ht="12.75" hidden="false" customHeight="false" outlineLevel="0" collapsed="false">
      <c r="A57" s="195"/>
      <c r="B57" s="300" t="s">
        <v>640</v>
      </c>
      <c r="C57" s="0"/>
      <c r="D57" s="0"/>
      <c r="E57" s="0"/>
      <c r="F57" s="0"/>
      <c r="G57" s="195"/>
      <c r="H57" s="32"/>
      <c r="I57" s="303" t="str">
        <f aca="false">IFERROR(CONCATENATE("extern struct emif_cfg ",INDEX(_dyn_user_config_options,ROW(23:23)),";"),"")</f>
        <v>extern struct emif_cfg AM571x_DDR3L_666MHz_TI_AM571x_IDK;</v>
      </c>
      <c r="J57" s="305"/>
      <c r="K57" s="0"/>
      <c r="L57" s="0"/>
      <c r="M57" s="0"/>
      <c r="N57" s="195"/>
    </row>
    <row r="58" customFormat="false" ht="12.75" hidden="false" customHeight="false" outlineLevel="0" collapsed="false">
      <c r="A58" s="195"/>
      <c r="B58" s="300" t="s">
        <v>641</v>
      </c>
      <c r="C58" s="0"/>
      <c r="D58" s="0"/>
      <c r="E58" s="0"/>
      <c r="F58" s="0"/>
      <c r="G58" s="195"/>
      <c r="H58" s="32"/>
      <c r="I58" s="303" t="str">
        <f aca="false">IFERROR(CONCATENATE("extern struct emif_cfg ",INDEX(_dyn_user_config_options,ROW(24:24)),";"),"")</f>
        <v>extern struct emif_cfg AM572x_DDR3L_532MHz_TI_AM572x_EVM;</v>
      </c>
      <c r="J58" s="305"/>
      <c r="K58" s="0"/>
      <c r="L58" s="0"/>
      <c r="M58" s="0"/>
      <c r="N58" s="195"/>
    </row>
    <row r="59" customFormat="false" ht="12.75" hidden="false" customHeight="false" outlineLevel="0" collapsed="false">
      <c r="A59" s="195"/>
      <c r="B59" s="300" t="s">
        <v>642</v>
      </c>
      <c r="C59" s="0"/>
      <c r="D59" s="0"/>
      <c r="E59" s="0"/>
      <c r="F59" s="0"/>
      <c r="G59" s="195"/>
      <c r="H59" s="32"/>
      <c r="I59" s="303" t="str">
        <f aca="false">IFERROR(CONCATENATE("extern struct emif_cfg ",INDEX(_dyn_user_config_options,ROW(25:25)),";"),"")</f>
        <v>extern struct emif_cfg AM572x_DDR3L_532MHz_TI_AM572x_IDK;</v>
      </c>
      <c r="J59" s="305"/>
      <c r="K59" s="0"/>
      <c r="L59" s="0"/>
      <c r="M59" s="0"/>
      <c r="N59" s="195"/>
    </row>
    <row r="60" customFormat="false" ht="12.75" hidden="false" customHeight="false" outlineLevel="0" collapsed="false">
      <c r="A60" s="195"/>
      <c r="B60" s="303" t="s">
        <v>633</v>
      </c>
      <c r="C60" s="61"/>
      <c r="D60" s="0"/>
      <c r="E60" s="0"/>
      <c r="F60" s="0"/>
      <c r="G60" s="195"/>
      <c r="H60" s="32"/>
      <c r="I60" s="303" t="str">
        <f aca="false">IFERROR(CONCATENATE("extern struct emif_cfg ",INDEX(_dyn_user_config_options,ROW(26:26)),";"),"")</f>
        <v>extern struct emif_cfg AM574x_DDR3L_666MHz_TI_AM574x_IDK;</v>
      </c>
      <c r="J60" s="61"/>
      <c r="K60" s="0"/>
      <c r="L60" s="0"/>
      <c r="M60" s="0"/>
      <c r="N60" s="195"/>
    </row>
    <row r="61" customFormat="false" ht="12.75" hidden="false" customHeight="false" outlineLevel="0" collapsed="false">
      <c r="A61" s="195"/>
      <c r="B61" s="304"/>
      <c r="C61" s="61"/>
      <c r="D61" s="0"/>
      <c r="E61" s="0"/>
      <c r="F61" s="0"/>
      <c r="G61" s="195"/>
      <c r="H61" s="32"/>
      <c r="I61" s="303" t="str">
        <f aca="false">IFERROR(CONCATENATE("extern struct emif_cfg ",INDEX(_dyn_user_config_options,ROW(27:27)),";"),"")</f>
        <v/>
      </c>
      <c r="J61" s="61"/>
      <c r="K61" s="0"/>
      <c r="L61" s="0"/>
      <c r="M61" s="0"/>
      <c r="N61" s="195"/>
    </row>
    <row r="62" customFormat="false" ht="12.75" hidden="false" customHeight="false" outlineLevel="0" collapsed="false">
      <c r="A62" s="195"/>
      <c r="B62" s="300" t="s">
        <v>643</v>
      </c>
      <c r="C62" s="61"/>
      <c r="D62" s="0"/>
      <c r="E62" s="0"/>
      <c r="F62" s="0"/>
      <c r="G62" s="195"/>
      <c r="H62" s="32"/>
      <c r="I62" s="303" t="str">
        <f aca="false">IFERROR(CONCATENATE("extern struct emif_cfg ",INDEX(_dyn_user_config_options,ROW(28:28)),";"),"")</f>
        <v>extern struct emif_cfg ;</v>
      </c>
      <c r="J62" s="61"/>
      <c r="K62" s="0"/>
      <c r="L62" s="0"/>
      <c r="M62" s="0"/>
      <c r="N62" s="195"/>
    </row>
    <row r="63" customFormat="false" ht="12.75" hidden="false" customHeight="false" outlineLevel="0" collapsed="false">
      <c r="A63" s="332"/>
      <c r="B63" s="300" t="s">
        <v>644</v>
      </c>
      <c r="C63" s="61"/>
      <c r="D63" s="0"/>
      <c r="E63" s="0"/>
      <c r="F63" s="0"/>
      <c r="G63" s="195"/>
      <c r="H63" s="32"/>
      <c r="I63" s="303" t="str">
        <f aca="false">IFERROR(CONCATENATE("extern struct emif_cfg ",INDEX(_dyn_user_config_options,ROW(29:29)),";"),"")</f>
        <v>extern struct emif_cfg ;</v>
      </c>
      <c r="J63" s="61"/>
      <c r="K63" s="0"/>
      <c r="L63" s="0"/>
      <c r="M63" s="0"/>
      <c r="N63" s="195"/>
    </row>
    <row r="64" customFormat="false" ht="12.75" hidden="false" customHeight="false" outlineLevel="0" collapsed="false">
      <c r="A64" s="332"/>
      <c r="B64" s="300" t="s">
        <v>645</v>
      </c>
      <c r="C64" s="61"/>
      <c r="D64" s="0"/>
      <c r="E64" s="0"/>
      <c r="F64" s="0"/>
      <c r="G64" s="195"/>
      <c r="H64" s="32"/>
      <c r="I64" s="303" t="str">
        <f aca="false">IFERROR(CONCATENATE("extern struct emif_cfg ",INDEX(_dyn_user_config_options,ROW(30:30)),";"),"")</f>
        <v>extern struct emif_cfg ;</v>
      </c>
      <c r="J64" s="61"/>
      <c r="K64" s="0"/>
      <c r="L64" s="0"/>
      <c r="M64" s="0"/>
      <c r="N64" s="195"/>
    </row>
    <row r="65" customFormat="false" ht="12.75" hidden="false" customHeight="false" outlineLevel="0" collapsed="false">
      <c r="A65" s="332"/>
      <c r="B65" s="300" t="s">
        <v>646</v>
      </c>
      <c r="C65" s="61"/>
      <c r="D65" s="0"/>
      <c r="E65" s="0"/>
      <c r="F65" s="0"/>
      <c r="G65" s="195"/>
      <c r="H65" s="32"/>
      <c r="I65" s="303" t="str">
        <f aca="false">IFERROR(CONCATENATE("extern struct emif_cfg ",INDEX(_dyn_user_config_options,ROW(31:31)),";"),"")</f>
        <v>extern struct emif_cfg ;</v>
      </c>
      <c r="J65" s="61"/>
      <c r="K65" s="0"/>
      <c r="L65" s="0"/>
      <c r="M65" s="0"/>
      <c r="N65" s="195"/>
    </row>
    <row r="66" customFormat="false" ht="12.75" hidden="false" customHeight="false" outlineLevel="0" collapsed="false">
      <c r="A66" s="332"/>
      <c r="B66" s="303" t="s">
        <v>647</v>
      </c>
      <c r="C66" s="61"/>
      <c r="D66" s="0"/>
      <c r="E66" s="0"/>
      <c r="F66" s="76"/>
      <c r="G66" s="195"/>
      <c r="H66" s="32"/>
      <c r="I66" s="303" t="str">
        <f aca="false">IFERROR(CONCATENATE("extern struct emif_cfg ",INDEX(_dyn_user_config_options,ROW(32:32)),";"),"")</f>
        <v>extern struct emif_cfg ;</v>
      </c>
      <c r="J66" s="61"/>
      <c r="K66" s="0"/>
      <c r="L66" s="0"/>
      <c r="M66" s="76"/>
      <c r="N66" s="195"/>
    </row>
    <row r="67" customFormat="false" ht="12.75" hidden="false" customHeight="false" outlineLevel="0" collapsed="false">
      <c r="A67" s="332"/>
      <c r="B67" s="304" t="s">
        <v>648</v>
      </c>
      <c r="C67" s="61"/>
      <c r="D67" s="0"/>
      <c r="E67" s="0"/>
      <c r="F67" s="0"/>
      <c r="G67" s="195"/>
      <c r="H67" s="32"/>
      <c r="I67" s="303" t="str">
        <f aca="false">IFERROR(CONCATENATE("extern struct emif_cfg ",INDEX(_dyn_user_config_options,ROW(33:33)),";"),"")</f>
        <v>extern struct emif_cfg ;</v>
      </c>
      <c r="J67" s="61"/>
      <c r="K67" s="0"/>
      <c r="L67" s="0"/>
      <c r="M67" s="0"/>
      <c r="N67" s="195"/>
    </row>
    <row r="68" customFormat="false" ht="12.75" hidden="false" customHeight="false" outlineLevel="0" collapsed="false">
      <c r="A68" s="332"/>
      <c r="B68" s="300" t="s">
        <v>649</v>
      </c>
      <c r="C68" s="61"/>
      <c r="D68" s="0"/>
      <c r="E68" s="0"/>
      <c r="F68" s="0"/>
      <c r="G68" s="195"/>
      <c r="H68" s="32"/>
      <c r="I68" s="303" t="str">
        <f aca="false">IFERROR(CONCATENATE("extern struct emif_cfg ",INDEX(_dyn_user_config_options,ROW(34:34)),";"),"")</f>
        <v>extern struct emif_cfg ;</v>
      </c>
      <c r="J68" s="61"/>
      <c r="K68" s="0"/>
      <c r="L68" s="0"/>
      <c r="M68" s="0"/>
      <c r="N68" s="195"/>
    </row>
    <row r="69" customFormat="false" ht="12.75" hidden="false" customHeight="false" outlineLevel="0" collapsed="false">
      <c r="A69" s="332"/>
      <c r="B69" s="300" t="s">
        <v>650</v>
      </c>
      <c r="C69" s="61"/>
      <c r="D69" s="0"/>
      <c r="E69" s="0"/>
      <c r="F69" s="0"/>
      <c r="G69" s="195"/>
      <c r="H69" s="32"/>
      <c r="I69" s="303" t="str">
        <f aca="false">IFERROR(CONCATENATE("extern struct emif_cfg ",INDEX(_dyn_user_config_options,ROW(35:35)),";"),"")</f>
        <v>extern struct emif_cfg ;</v>
      </c>
      <c r="J69" s="61"/>
      <c r="K69" s="0"/>
      <c r="L69" s="0"/>
      <c r="M69" s="0"/>
      <c r="N69" s="195"/>
    </row>
    <row r="70" customFormat="false" ht="12.75" hidden="false" customHeight="false" outlineLevel="0" collapsed="false">
      <c r="A70" s="332"/>
      <c r="B70" s="300" t="s">
        <v>633</v>
      </c>
      <c r="C70" s="61"/>
      <c r="D70" s="0"/>
      <c r="E70" s="0"/>
      <c r="F70" s="0"/>
      <c r="G70" s="195"/>
      <c r="H70" s="32"/>
      <c r="I70" s="303" t="str">
        <f aca="false">IFERROR(CONCATENATE("extern struct emif_cfg ",INDEX(_dyn_user_config_options,ROW(36:36)),";"),"")</f>
        <v>extern struct emif_cfg ;</v>
      </c>
      <c r="J70" s="61"/>
      <c r="K70" s="0"/>
      <c r="L70" s="0"/>
      <c r="M70" s="0"/>
      <c r="N70" s="195"/>
    </row>
    <row r="71" customFormat="false" ht="12.75" hidden="false" customHeight="false" outlineLevel="0" collapsed="false">
      <c r="A71" s="332"/>
      <c r="B71" s="300"/>
      <c r="C71" s="61"/>
      <c r="D71" s="0"/>
      <c r="E71" s="0"/>
      <c r="F71" s="0"/>
      <c r="G71" s="195"/>
      <c r="H71" s="32"/>
      <c r="I71" s="303" t="str">
        <f aca="false">IFERROR(CONCATENATE("extern struct emif_cfg ",INDEX(_dyn_user_config_options,ROW(37:37)),";"),"")</f>
        <v>extern struct emif_cfg ;</v>
      </c>
      <c r="J71" s="61"/>
      <c r="K71" s="0"/>
      <c r="L71" s="0"/>
      <c r="M71" s="0"/>
      <c r="N71" s="195"/>
    </row>
    <row r="72" customFormat="false" ht="12.75" hidden="false" customHeight="false" outlineLevel="0" collapsed="false">
      <c r="A72" s="332"/>
      <c r="B72" s="300" t="s">
        <v>651</v>
      </c>
      <c r="C72" s="61"/>
      <c r="D72" s="0"/>
      <c r="E72" s="0"/>
      <c r="F72" s="0"/>
      <c r="G72" s="195"/>
      <c r="H72" s="32"/>
      <c r="I72" s="303" t="str">
        <f aca="false">IFERROR(CONCATENATE("extern struct emif_cfg ",INDEX(_dyn_user_config_options,ROW(38:38)),";"),"")</f>
        <v>extern struct emif_cfg ;</v>
      </c>
      <c r="J72" s="61"/>
      <c r="K72" s="0"/>
      <c r="L72" s="0"/>
      <c r="M72" s="0"/>
      <c r="N72" s="195"/>
    </row>
    <row r="73" customFormat="false" ht="12.75" hidden="false" customHeight="false" outlineLevel="0" collapsed="false">
      <c r="A73" s="332"/>
      <c r="B73" s="300" t="s">
        <v>644</v>
      </c>
      <c r="C73" s="61"/>
      <c r="D73" s="0"/>
      <c r="E73" s="0"/>
      <c r="F73" s="0"/>
      <c r="G73" s="195"/>
      <c r="H73" s="32"/>
      <c r="I73" s="303" t="str">
        <f aca="false">IFERROR(CONCATENATE("extern struct emif_cfg ",INDEX(_dyn_user_config_options,ROW(39:39)),";"),"")</f>
        <v>extern struct emif_cfg ;</v>
      </c>
      <c r="J73" s="61"/>
      <c r="K73" s="0"/>
      <c r="L73" s="0"/>
      <c r="M73" s="0"/>
      <c r="N73" s="195"/>
    </row>
    <row r="74" customFormat="false" ht="12.75" hidden="false" customHeight="false" outlineLevel="0" collapsed="false">
      <c r="A74" s="332"/>
      <c r="B74" s="300" t="s">
        <v>652</v>
      </c>
      <c r="C74" s="61"/>
      <c r="D74" s="0"/>
      <c r="E74" s="0"/>
      <c r="F74" s="0"/>
      <c r="G74" s="195"/>
      <c r="H74" s="32"/>
      <c r="I74" s="303" t="str">
        <f aca="false">IFERROR(CONCATENATE("extern struct emif_cfg ",INDEX(_dyn_user_config_options,ROW(40:40)),";"),"")</f>
        <v/>
      </c>
      <c r="J74" s="61"/>
      <c r="K74" s="0"/>
      <c r="L74" s="0"/>
      <c r="M74" s="0"/>
      <c r="N74" s="195"/>
    </row>
    <row r="75" customFormat="false" ht="12.75" hidden="false" customHeight="false" outlineLevel="0" collapsed="false">
      <c r="A75" s="332"/>
      <c r="B75" s="300" t="s">
        <v>653</v>
      </c>
      <c r="C75" s="61"/>
      <c r="D75" s="0"/>
      <c r="E75" s="0"/>
      <c r="F75" s="0"/>
      <c r="G75" s="195"/>
      <c r="H75" s="32"/>
      <c r="I75" s="303" t="str">
        <f aca="false">IFERROR(CONCATENATE("extern struct emif_cfg ",INDEX(_dyn_user_config_options,ROW(41:41)),";"),"")</f>
        <v>extern struct emif_cfg ;</v>
      </c>
      <c r="J75" s="61"/>
      <c r="K75" s="0"/>
      <c r="L75" s="0"/>
      <c r="M75" s="0"/>
      <c r="N75" s="195"/>
    </row>
    <row r="76" customFormat="false" ht="12.75" hidden="false" customHeight="false" outlineLevel="0" collapsed="false">
      <c r="A76" s="332"/>
      <c r="B76" s="300" t="s">
        <v>654</v>
      </c>
      <c r="C76" s="61"/>
      <c r="D76" s="0"/>
      <c r="E76" s="0"/>
      <c r="F76" s="0"/>
      <c r="G76" s="195"/>
      <c r="H76" s="32"/>
      <c r="I76" s="303" t="str">
        <f aca="false">IFERROR(CONCATENATE("extern struct emif_cfg ",INDEX(_dyn_user_config_options,ROW(42:42)),";"),"")</f>
        <v>extern struct emif_cfg ;</v>
      </c>
      <c r="J76" s="61"/>
      <c r="K76" s="0"/>
      <c r="L76" s="0"/>
      <c r="M76" s="0"/>
      <c r="N76" s="195"/>
    </row>
    <row r="77" customFormat="false" ht="12.75" hidden="false" customHeight="false" outlineLevel="0" collapsed="false">
      <c r="A77" s="332"/>
      <c r="B77" s="300" t="s">
        <v>655</v>
      </c>
      <c r="C77" s="61"/>
      <c r="D77" s="0"/>
      <c r="E77" s="0"/>
      <c r="F77" s="0"/>
      <c r="G77" s="195"/>
      <c r="H77" s="32"/>
      <c r="I77" s="303" t="str">
        <f aca="false">IFERROR(CONCATENATE("extern struct emif_cfg ",INDEX(_dyn_user_config_options,ROW(43:43)),";"),"")</f>
        <v>extern struct emif_cfg ;</v>
      </c>
      <c r="J77" s="61"/>
      <c r="K77" s="0"/>
      <c r="L77" s="0"/>
      <c r="M77" s="0"/>
      <c r="N77" s="195"/>
    </row>
    <row r="78" customFormat="false" ht="12.75" hidden="false" customHeight="false" outlineLevel="0" collapsed="false">
      <c r="A78" s="332"/>
      <c r="B78" s="300" t="s">
        <v>656</v>
      </c>
      <c r="C78" s="61"/>
      <c r="D78" s="0"/>
      <c r="E78" s="0"/>
      <c r="F78" s="0"/>
      <c r="G78" s="195"/>
      <c r="H78" s="32"/>
      <c r="I78" s="303" t="str">
        <f aca="false">IFERROR(CONCATENATE("extern struct emif_cfg ",INDEX(_dyn_user_config_options,ROW(44:44)),";"),"")</f>
        <v>extern struct emif_cfg ;</v>
      </c>
      <c r="J78" s="61"/>
      <c r="K78" s="0"/>
      <c r="L78" s="0"/>
      <c r="M78" s="0"/>
      <c r="N78" s="195"/>
    </row>
    <row r="79" customFormat="false" ht="12.75" hidden="false" customHeight="false" outlineLevel="0" collapsed="false">
      <c r="A79" s="332"/>
      <c r="B79" s="303" t="s">
        <v>657</v>
      </c>
      <c r="C79" s="61"/>
      <c r="D79" s="0"/>
      <c r="E79" s="0"/>
      <c r="F79" s="0"/>
      <c r="G79" s="195"/>
      <c r="H79" s="32"/>
      <c r="I79" s="303"/>
      <c r="J79" s="61"/>
      <c r="K79" s="0"/>
      <c r="L79" s="0"/>
      <c r="M79" s="0"/>
      <c r="N79" s="195"/>
    </row>
    <row r="80" customFormat="false" ht="12.75" hidden="false" customHeight="false" outlineLevel="0" collapsed="false">
      <c r="A80" s="332"/>
      <c r="B80" s="303" t="s">
        <v>633</v>
      </c>
      <c r="C80" s="61"/>
      <c r="D80" s="0"/>
      <c r="E80" s="0"/>
      <c r="F80" s="0"/>
      <c r="G80" s="195"/>
      <c r="H80" s="32"/>
      <c r="I80" s="299" t="s">
        <v>658</v>
      </c>
      <c r="J80" s="61"/>
      <c r="K80" s="0"/>
      <c r="L80" s="0"/>
      <c r="M80" s="0"/>
      <c r="N80" s="195"/>
    </row>
    <row r="81" customFormat="false" ht="12.75" hidden="false" customHeight="false" outlineLevel="0" collapsed="false">
      <c r="A81" s="332"/>
      <c r="B81" s="303"/>
      <c r="C81" s="61"/>
      <c r="D81" s="0"/>
      <c r="E81" s="0"/>
      <c r="F81" s="0"/>
      <c r="G81" s="195"/>
      <c r="H81" s="32"/>
      <c r="I81" s="303" t="str">
        <f aca="false">IFERROR(CONCATENATE("    &amp;",INDEX(_dyn_user_config_options,ROW(2:2)),","),"")</f>
        <v>&amp;AM571x_DDR3L_666MHz_TI_AM571x_IDK,</v>
      </c>
      <c r="J81" s="61"/>
      <c r="K81" s="0"/>
      <c r="L81" s="0"/>
      <c r="M81" s="0"/>
      <c r="N81" s="195"/>
    </row>
    <row r="82" customFormat="false" ht="12.75" hidden="false" customHeight="false" outlineLevel="0" collapsed="false">
      <c r="A82" s="332"/>
      <c r="B82" s="303" t="s">
        <v>659</v>
      </c>
      <c r="C82" s="61"/>
      <c r="D82" s="0"/>
      <c r="E82" s="0"/>
      <c r="F82" s="0"/>
      <c r="G82" s="195"/>
      <c r="H82" s="32"/>
      <c r="I82" s="303" t="str">
        <f aca="false">IFERROR(CONCATENATE("    &amp;",INDEX(_dyn_user_config_options,ROW(3:3)),","),"")</f>
        <v>&amp;AM571x_DDR3L_666MHz_TI_AM571x_IDK,</v>
      </c>
      <c r="J82" s="61"/>
      <c r="K82" s="0"/>
      <c r="L82" s="0"/>
      <c r="M82" s="0"/>
      <c r="N82" s="195"/>
    </row>
    <row r="83" customFormat="false" ht="12.75" hidden="false" customHeight="false" outlineLevel="0" collapsed="false">
      <c r="A83" s="332"/>
      <c r="B83" s="303"/>
      <c r="C83" s="61"/>
      <c r="D83" s="0"/>
      <c r="E83" s="0"/>
      <c r="F83" s="0"/>
      <c r="G83" s="195"/>
      <c r="H83" s="32"/>
      <c r="I83" s="303" t="str">
        <f aca="false">IFERROR(CONCATENATE("    &amp;",INDEX(_dyn_user_config_options,ROW(4:4)),","),"")</f>
        <v>&amp;AM571x_DDR3L_666MHz_TI_AM571x_IDK,</v>
      </c>
      <c r="J83" s="61"/>
      <c r="K83" s="0"/>
      <c r="L83" s="0"/>
      <c r="M83" s="0"/>
      <c r="N83" s="195"/>
    </row>
    <row r="84" customFormat="false" ht="12.75" hidden="false" customHeight="false" outlineLevel="0" collapsed="false">
      <c r="A84" s="332"/>
      <c r="B84" s="299" t="s">
        <v>618</v>
      </c>
      <c r="C84" s="61"/>
      <c r="D84" s="0"/>
      <c r="E84" s="0"/>
      <c r="F84" s="0"/>
      <c r="G84" s="195"/>
      <c r="H84" s="32"/>
      <c r="I84" s="303" t="str">
        <f aca="false">IFERROR(CONCATENATE("    &amp;",INDEX(_dyn_user_config_options,ROW(5:5)),","),"")</f>
        <v>&amp;AM571x_DDR3L_666MHz_TI_AM571x_IDK,</v>
      </c>
      <c r="J84" s="61"/>
      <c r="K84" s="0"/>
      <c r="L84" s="0"/>
      <c r="M84" s="0"/>
      <c r="N84" s="195"/>
    </row>
    <row r="85" customFormat="false" ht="12.75" hidden="false" customHeight="false" outlineLevel="0" collapsed="false">
      <c r="A85" s="332"/>
      <c r="B85" s="303"/>
      <c r="C85" s="61"/>
      <c r="D85" s="0"/>
      <c r="E85" s="0"/>
      <c r="F85" s="0"/>
      <c r="G85" s="195"/>
      <c r="H85" s="32"/>
      <c r="I85" s="303" t="str">
        <f aca="false">IFERROR(CONCATENATE("    &amp;",INDEX(_dyn_user_config_options,ROW(6:6)),","),"")</f>
        <v>&amp;AM571x_DDR3L_666MHz_TI_AM571x_IDK,</v>
      </c>
      <c r="J85" s="61"/>
      <c r="K85" s="0"/>
      <c r="L85" s="0"/>
      <c r="M85" s="0"/>
      <c r="N85" s="195"/>
    </row>
    <row r="86" customFormat="false" ht="12.75" hidden="false" customHeight="false" outlineLevel="0" collapsed="false">
      <c r="A86" s="332"/>
      <c r="B86" s="303"/>
      <c r="C86" s="61"/>
      <c r="D86" s="0"/>
      <c r="E86" s="0"/>
      <c r="F86" s="0"/>
      <c r="G86" s="195"/>
      <c r="H86" s="32"/>
      <c r="I86" s="303" t="str">
        <f aca="false">IFERROR(CONCATENATE("    &amp;",INDEX(_dyn_user_config_options,ROW(7:7)),","),"")</f>
        <v>&amp;AM571x_DDR3L_666MHz_TI_AM571x_IDK,</v>
      </c>
      <c r="J86" s="61"/>
      <c r="K86" s="0"/>
      <c r="L86" s="0"/>
      <c r="M86" s="0"/>
      <c r="N86" s="195"/>
    </row>
    <row r="87" customFormat="false" ht="12.75" hidden="false" customHeight="false" outlineLevel="0" collapsed="false">
      <c r="A87" s="332"/>
      <c r="B87" s="303"/>
      <c r="C87" s="61"/>
      <c r="D87" s="0"/>
      <c r="E87" s="0"/>
      <c r="F87" s="0"/>
      <c r="G87" s="195"/>
      <c r="H87" s="32"/>
      <c r="I87" s="303" t="str">
        <f aca="false">IFERROR(CONCATENATE("    &amp;",INDEX(_dyn_user_config_options,ROW(8:8)),","),"")</f>
        <v>&amp;AM571x_DDR3L_666MHz_TI_AM571x_IDK,</v>
      </c>
      <c r="J87" s="61"/>
      <c r="K87" s="0"/>
      <c r="L87" s="0"/>
      <c r="M87" s="0"/>
      <c r="N87" s="195"/>
    </row>
    <row r="88" customFormat="false" ht="12.75" hidden="false" customHeight="false" outlineLevel="0" collapsed="false">
      <c r="A88" s="332"/>
      <c r="B88" s="303"/>
      <c r="C88" s="61"/>
      <c r="D88" s="0"/>
      <c r="E88" s="0"/>
      <c r="F88" s="0"/>
      <c r="G88" s="195"/>
      <c r="H88" s="32"/>
      <c r="I88" s="303" t="str">
        <f aca="false">IFERROR(CONCATENATE("    &amp;",INDEX(_dyn_user_config_options,ROW(9:9)),","),"")</f>
        <v>&amp;AM571x_DDR3L_666MHz_TI_AM571x_IDK,</v>
      </c>
      <c r="J88" s="61"/>
      <c r="K88" s="0"/>
      <c r="L88" s="0"/>
      <c r="M88" s="0"/>
      <c r="N88" s="195"/>
    </row>
    <row r="89" customFormat="false" ht="12.75" hidden="false" customHeight="false" outlineLevel="0" collapsed="false">
      <c r="A89" s="332"/>
      <c r="B89" s="303"/>
      <c r="C89" s="61"/>
      <c r="D89" s="0"/>
      <c r="E89" s="0"/>
      <c r="F89" s="0"/>
      <c r="G89" s="195"/>
      <c r="H89" s="32"/>
      <c r="I89" s="303" t="str">
        <f aca="false">IFERROR(CONCATENATE("    &amp;",INDEX(_dyn_user_config_options,ROW(10:10)),","),"")</f>
        <v>&amp;AM571x_DDR3L_666MHz_TI_AM571x_IDK,</v>
      </c>
      <c r="J89" s="61"/>
      <c r="K89" s="0"/>
      <c r="L89" s="0"/>
      <c r="M89" s="0"/>
      <c r="N89" s="195"/>
    </row>
    <row r="90" customFormat="false" ht="12.75" hidden="false" customHeight="false" outlineLevel="0" collapsed="false">
      <c r="A90" s="332"/>
      <c r="B90" s="303"/>
      <c r="C90" s="61"/>
      <c r="D90" s="0"/>
      <c r="E90" s="0"/>
      <c r="F90" s="0"/>
      <c r="G90" s="195"/>
      <c r="H90" s="32"/>
      <c r="I90" s="303" t="str">
        <f aca="false">IFERROR(CONCATENATE("    &amp;",INDEX(_dyn_user_config_options,ROW(11:11)),","),"")</f>
        <v>&amp;AM571x_DDR3L_666MHz_TI_AM571x_IDK,</v>
      </c>
      <c r="J90" s="61"/>
      <c r="K90" s="0"/>
      <c r="L90" s="0"/>
      <c r="M90" s="0"/>
      <c r="N90" s="195"/>
    </row>
    <row r="91" customFormat="false" ht="12.75" hidden="false" customHeight="false" outlineLevel="0" collapsed="false">
      <c r="A91" s="332"/>
      <c r="B91" s="303"/>
      <c r="C91" s="61"/>
      <c r="D91" s="0"/>
      <c r="E91" s="0"/>
      <c r="F91" s="0"/>
      <c r="G91" s="195"/>
      <c r="H91" s="32"/>
      <c r="I91" s="303" t="str">
        <f aca="false">IFERROR(CONCATENATE("    &amp;",INDEX(_dyn_user_config_options,ROW(12:12)),","),"")</f>
        <v>&amp;AM571x_DDR3L_666MHz_TI_AM571x_IDK,</v>
      </c>
      <c r="J91" s="61"/>
      <c r="K91" s="0"/>
      <c r="L91" s="0"/>
      <c r="M91" s="0"/>
      <c r="N91" s="195"/>
    </row>
    <row r="92" customFormat="false" ht="12.75" hidden="false" customHeight="false" outlineLevel="0" collapsed="false">
      <c r="A92" s="332"/>
      <c r="B92" s="303"/>
      <c r="C92" s="61"/>
      <c r="D92" s="0"/>
      <c r="E92" s="0"/>
      <c r="F92" s="0"/>
      <c r="G92" s="195"/>
      <c r="H92" s="32"/>
      <c r="I92" s="303" t="str">
        <f aca="false">IFERROR(CONCATENATE("    &amp;",INDEX(_dyn_user_config_options,ROW(13:13)),","),"")</f>
        <v>&amp;AM571x_DDR3L_666MHz_TI_AM571x_IDK,</v>
      </c>
      <c r="J92" s="61"/>
      <c r="K92" s="0"/>
      <c r="L92" s="0"/>
      <c r="M92" s="0"/>
      <c r="N92" s="195"/>
    </row>
    <row r="93" customFormat="false" ht="12.75" hidden="false" customHeight="false" outlineLevel="0" collapsed="false">
      <c r="A93" s="332"/>
      <c r="B93" s="303"/>
      <c r="C93" s="61"/>
      <c r="D93" s="0"/>
      <c r="E93" s="0"/>
      <c r="F93" s="0"/>
      <c r="G93" s="195"/>
      <c r="H93" s="32"/>
      <c r="I93" s="303" t="str">
        <f aca="false">IFERROR(CONCATENATE("    &amp;",INDEX(_dyn_user_config_options,ROW(14:14)),","),"")</f>
        <v>&amp;AM571x_DDR3L_666MHz_TI_AM571x_IDK,</v>
      </c>
      <c r="J93" s="61"/>
      <c r="K93" s="0"/>
      <c r="L93" s="0"/>
      <c r="M93" s="0"/>
      <c r="N93" s="195"/>
    </row>
    <row r="94" customFormat="false" ht="12.75" hidden="false" customHeight="false" outlineLevel="0" collapsed="false">
      <c r="A94" s="332"/>
      <c r="B94" s="303"/>
      <c r="C94" s="61"/>
      <c r="D94" s="0"/>
      <c r="E94" s="0"/>
      <c r="F94" s="0"/>
      <c r="G94" s="195"/>
      <c r="H94" s="32"/>
      <c r="I94" s="303" t="str">
        <f aca="false">IFERROR(CONCATENATE("    &amp;",INDEX(_dyn_user_config_options,ROW(15:15)),","),"")</f>
        <v>&amp;AM571x_DDR3L_666MHz_TI_AM571x_IDK,</v>
      </c>
      <c r="J94" s="61"/>
      <c r="K94" s="0"/>
      <c r="L94" s="0"/>
      <c r="M94" s="0"/>
      <c r="N94" s="195"/>
    </row>
    <row r="95" customFormat="false" ht="12.75" hidden="false" customHeight="false" outlineLevel="0" collapsed="false">
      <c r="A95" s="332"/>
      <c r="B95" s="303"/>
      <c r="C95" s="61"/>
      <c r="D95" s="0"/>
      <c r="E95" s="0"/>
      <c r="F95" s="0"/>
      <c r="G95" s="195"/>
      <c r="H95" s="32"/>
      <c r="I95" s="303" t="str">
        <f aca="false">IFERROR(CONCATENATE("    &amp;",INDEX(_dyn_user_config_options,ROW(16:16)),","),"")</f>
        <v>&amp;AM571x_DDR3L_666MHz_TI_AM571x_IDK,</v>
      </c>
      <c r="J95" s="61"/>
      <c r="K95" s="0"/>
      <c r="L95" s="0"/>
      <c r="M95" s="0"/>
      <c r="N95" s="195"/>
    </row>
    <row r="96" customFormat="false" ht="12.75" hidden="false" customHeight="false" outlineLevel="0" collapsed="false">
      <c r="A96" s="332"/>
      <c r="B96" s="304"/>
      <c r="C96" s="0"/>
      <c r="D96" s="0"/>
      <c r="E96" s="0"/>
      <c r="F96" s="0"/>
      <c r="G96" s="195"/>
      <c r="H96" s="32"/>
      <c r="I96" s="303" t="str">
        <f aca="false">IFERROR(CONCATENATE("    &amp;",INDEX(_dyn_user_config_options,ROW(17:17)),","),"")</f>
        <v>&amp;AM571x_DDR3L_666MHz_TI_AM571x_IDK,</v>
      </c>
      <c r="J96" s="305"/>
      <c r="K96" s="0"/>
      <c r="L96" s="0"/>
      <c r="M96" s="0"/>
      <c r="N96" s="195"/>
    </row>
    <row r="97" customFormat="false" ht="12.75" hidden="false" customHeight="false" outlineLevel="0" collapsed="false">
      <c r="A97" s="332"/>
      <c r="B97" s="306"/>
      <c r="C97" s="0"/>
      <c r="D97" s="0"/>
      <c r="E97" s="0"/>
      <c r="F97" s="0"/>
      <c r="G97" s="195"/>
      <c r="H97" s="32"/>
      <c r="I97" s="303" t="str">
        <f aca="false">IFERROR(CONCATENATE("    &amp;",INDEX(_dyn_user_config_options,ROW(18:18)),","),"")</f>
        <v>&amp;AM571x_DDR3L_666MHz_TI_AM571x_IDK,</v>
      </c>
      <c r="J97" s="305"/>
      <c r="K97" s="0"/>
      <c r="L97" s="0"/>
      <c r="M97" s="0"/>
      <c r="N97" s="195"/>
    </row>
    <row r="98" customFormat="false" ht="12.75" hidden="false" customHeight="false" outlineLevel="0" collapsed="false">
      <c r="A98" s="195"/>
      <c r="B98" s="297"/>
      <c r="C98" s="0"/>
      <c r="D98" s="0"/>
      <c r="E98" s="0"/>
      <c r="F98" s="0"/>
      <c r="G98" s="195"/>
      <c r="H98" s="32"/>
      <c r="I98" s="303" t="str">
        <f aca="false">IFERROR(CONCATENATE("    &amp;",INDEX(_dyn_user_config_options,ROW(19:19)),","),"")</f>
        <v>&amp;AM571x_DDR3L_666MHz_TI_AM571x_IDK,</v>
      </c>
      <c r="J98" s="305"/>
      <c r="K98" s="0"/>
      <c r="L98" s="0"/>
      <c r="M98" s="0"/>
      <c r="N98" s="195"/>
    </row>
    <row r="99" customFormat="false" ht="12.75" hidden="false" customHeight="false" outlineLevel="0" collapsed="false">
      <c r="A99" s="195"/>
      <c r="B99" s="205"/>
      <c r="C99" s="0"/>
      <c r="D99" s="0"/>
      <c r="E99" s="0"/>
      <c r="F99" s="0"/>
      <c r="G99" s="195"/>
      <c r="H99" s="32"/>
      <c r="I99" s="303" t="str">
        <f aca="false">IFERROR(CONCATENATE("    &amp;",INDEX(_dyn_user_config_options,ROW(20:20)),","),"")</f>
        <v>&amp;AM571x_DDR3L_666MHz_TI_AM571x_IDK,</v>
      </c>
      <c r="J99" s="305"/>
      <c r="K99" s="0"/>
      <c r="L99" s="0"/>
      <c r="M99" s="0"/>
      <c r="N99" s="195"/>
    </row>
    <row r="100" customFormat="false" ht="12.75" hidden="false" customHeight="false" outlineLevel="0" collapsed="false">
      <c r="A100" s="195"/>
      <c r="B100" s="205"/>
      <c r="C100" s="0"/>
      <c r="D100" s="0"/>
      <c r="E100" s="0"/>
      <c r="F100" s="0"/>
      <c r="G100" s="195"/>
      <c r="H100" s="32"/>
      <c r="I100" s="303" t="str">
        <f aca="false">IFERROR(CONCATENATE("    &amp;",INDEX(_dyn_user_config_options,ROW(21:21)),","),"")</f>
        <v>&amp;AM571x_DDR3L_666MHz_TI_AM571x_IDK,</v>
      </c>
      <c r="J100" s="305"/>
      <c r="K100" s="0"/>
      <c r="L100" s="0"/>
      <c r="M100" s="0"/>
      <c r="N100" s="195"/>
    </row>
    <row r="101" customFormat="false" ht="12.75" hidden="false" customHeight="false" outlineLevel="0" collapsed="false">
      <c r="A101" s="195"/>
      <c r="B101" s="205"/>
      <c r="C101" s="0"/>
      <c r="D101" s="0"/>
      <c r="E101" s="0"/>
      <c r="F101" s="0"/>
      <c r="G101" s="195"/>
      <c r="H101" s="32"/>
      <c r="I101" s="303" t="str">
        <f aca="false">IFERROR(CONCATENATE("    &amp;",INDEX(_dyn_user_config_options,ROW(22:22)),","),"")</f>
        <v>&amp;AM571x_DDR3L_666MHz_TI_AM571x_IDK,</v>
      </c>
      <c r="J101" s="305"/>
      <c r="K101" s="0"/>
      <c r="L101" s="0"/>
      <c r="M101" s="0"/>
      <c r="N101" s="195"/>
    </row>
    <row r="102" customFormat="false" ht="12.75" hidden="false" customHeight="false" outlineLevel="0" collapsed="false">
      <c r="A102" s="195"/>
      <c r="B102" s="205"/>
      <c r="C102" s="0"/>
      <c r="D102" s="0"/>
      <c r="E102" s="0"/>
      <c r="F102" s="0"/>
      <c r="G102" s="195"/>
      <c r="H102" s="32"/>
      <c r="I102" s="303" t="str">
        <f aca="false">IFERROR(CONCATENATE("    &amp;",INDEX(_dyn_user_config_options,ROW(23:23)),","),"")</f>
        <v>&amp;AM571x_DDR3L_666MHz_TI_AM571x_IDK,</v>
      </c>
      <c r="J102" s="305"/>
      <c r="K102" s="0"/>
      <c r="L102" s="0"/>
      <c r="M102" s="0"/>
      <c r="N102" s="195"/>
    </row>
    <row r="103" customFormat="false" ht="12.75" hidden="false" customHeight="false" outlineLevel="0" collapsed="false">
      <c r="A103" s="195"/>
      <c r="B103" s="205"/>
      <c r="C103" s="0"/>
      <c r="D103" s="0"/>
      <c r="E103" s="0"/>
      <c r="F103" s="0"/>
      <c r="G103" s="195"/>
      <c r="H103" s="32"/>
      <c r="I103" s="303" t="str">
        <f aca="false">IFERROR(CONCATENATE("    &amp;",INDEX(_dyn_user_config_options,ROW(24:24)),","),"")</f>
        <v>&amp;AM572x_DDR3L_532MHz_TI_AM572x_EVM,</v>
      </c>
      <c r="J103" s="305"/>
      <c r="K103" s="0"/>
      <c r="L103" s="0"/>
      <c r="M103" s="0"/>
      <c r="N103" s="195"/>
    </row>
    <row r="104" customFormat="false" ht="12.75" hidden="false" customHeight="false" outlineLevel="0" collapsed="false">
      <c r="A104" s="195"/>
      <c r="B104" s="205"/>
      <c r="C104" s="0"/>
      <c r="D104" s="0"/>
      <c r="E104" s="0"/>
      <c r="F104" s="0"/>
      <c r="G104" s="195"/>
      <c r="H104" s="32"/>
      <c r="I104" s="303" t="str">
        <f aca="false">IFERROR(CONCATENATE("    &amp;",INDEX(_dyn_user_config_options,ROW(25:25)),","),"")</f>
        <v>&amp;AM572x_DDR3L_532MHz_TI_AM572x_IDK,</v>
      </c>
      <c r="J104" s="305"/>
      <c r="K104" s="0"/>
      <c r="L104" s="0"/>
      <c r="M104" s="0"/>
      <c r="N104" s="195"/>
    </row>
    <row r="105" customFormat="false" ht="12.75" hidden="false" customHeight="false" outlineLevel="0" collapsed="false">
      <c r="A105" s="195"/>
      <c r="B105" s="205"/>
      <c r="C105" s="0"/>
      <c r="D105" s="0"/>
      <c r="E105" s="0"/>
      <c r="F105" s="0"/>
      <c r="G105" s="195"/>
      <c r="H105" s="32"/>
      <c r="I105" s="303" t="str">
        <f aca="false">IFERROR(CONCATENATE("    &amp;",INDEX(_dyn_user_config_options,ROW(26:26)),","),"")</f>
        <v>&amp;AM574x_DDR3L_666MHz_TI_AM574x_IDK,</v>
      </c>
      <c r="J105" s="305"/>
      <c r="K105" s="0"/>
      <c r="L105" s="0"/>
      <c r="M105" s="0"/>
      <c r="N105" s="195"/>
    </row>
    <row r="106" customFormat="false" ht="12.75" hidden="false" customHeight="false" outlineLevel="0" collapsed="false">
      <c r="A106" s="195"/>
      <c r="B106" s="205"/>
      <c r="C106" s="0"/>
      <c r="D106" s="0"/>
      <c r="E106" s="0"/>
      <c r="F106" s="0"/>
      <c r="G106" s="195"/>
      <c r="H106" s="32"/>
      <c r="I106" s="303" t="str">
        <f aca="false">IFERROR(CONCATENATE("    &amp;",INDEX(_dyn_user_config_options,ROW(27:27)),","),"")</f>
        <v/>
      </c>
      <c r="J106" s="305"/>
      <c r="K106" s="0"/>
      <c r="L106" s="0"/>
      <c r="M106" s="0"/>
      <c r="N106" s="195"/>
    </row>
    <row r="107" customFormat="false" ht="12.75" hidden="false" customHeight="false" outlineLevel="0" collapsed="false">
      <c r="A107" s="195"/>
      <c r="B107" s="205"/>
      <c r="C107" s="0"/>
      <c r="D107" s="0"/>
      <c r="E107" s="0"/>
      <c r="F107" s="0"/>
      <c r="G107" s="195"/>
      <c r="H107" s="32"/>
      <c r="I107" s="303" t="str">
        <f aca="false">IFERROR(CONCATENATE("    &amp;",INDEX(_dyn_user_config_options,ROW(28:28)),","),"")</f>
        <v>&amp;,</v>
      </c>
      <c r="J107" s="305"/>
      <c r="K107" s="0"/>
      <c r="L107" s="0"/>
      <c r="M107" s="0"/>
      <c r="N107" s="195"/>
    </row>
    <row r="108" customFormat="false" ht="12.75" hidden="false" customHeight="false" outlineLevel="0" collapsed="false">
      <c r="A108" s="195"/>
      <c r="B108" s="205"/>
      <c r="C108" s="0"/>
      <c r="D108" s="0"/>
      <c r="E108" s="0"/>
      <c r="F108" s="0"/>
      <c r="G108" s="195"/>
      <c r="H108" s="32"/>
      <c r="I108" s="303" t="str">
        <f aca="false">IFERROR(CONCATENATE("    &amp;",INDEX(_dyn_user_config_options,ROW(29:29)),","),"")</f>
        <v>&amp;,</v>
      </c>
      <c r="J108" s="305"/>
      <c r="K108" s="0"/>
      <c r="L108" s="0"/>
      <c r="M108" s="0"/>
      <c r="N108" s="195"/>
    </row>
    <row r="109" customFormat="false" ht="12.75" hidden="false" customHeight="false" outlineLevel="0" collapsed="false">
      <c r="A109" s="195"/>
      <c r="B109" s="205"/>
      <c r="C109" s="0"/>
      <c r="D109" s="0"/>
      <c r="E109" s="0"/>
      <c r="F109" s="0"/>
      <c r="G109" s="195"/>
      <c r="H109" s="32"/>
      <c r="I109" s="303" t="str">
        <f aca="false">IFERROR(CONCATENATE("    &amp;",INDEX(_dyn_user_config_options,ROW(30:30)),","),"")</f>
        <v>&amp;,</v>
      </c>
      <c r="J109" s="305"/>
      <c r="K109" s="0"/>
      <c r="L109" s="0"/>
      <c r="M109" s="0"/>
      <c r="N109" s="195"/>
    </row>
    <row r="110" customFormat="false" ht="12.75" hidden="false" customHeight="false" outlineLevel="0" collapsed="false">
      <c r="A110" s="195"/>
      <c r="B110" s="205"/>
      <c r="C110" s="0"/>
      <c r="D110" s="0"/>
      <c r="E110" s="0"/>
      <c r="F110" s="0"/>
      <c r="G110" s="195"/>
      <c r="H110" s="32"/>
      <c r="I110" s="303" t="str">
        <f aca="false">IFERROR(CONCATENATE("    &amp;",INDEX(_dyn_user_config_options,ROW(31:31)),","),"")</f>
        <v>&amp;,</v>
      </c>
      <c r="J110" s="305"/>
      <c r="K110" s="0"/>
      <c r="L110" s="0"/>
      <c r="M110" s="0"/>
      <c r="N110" s="195"/>
    </row>
    <row r="111" customFormat="false" ht="12.75" hidden="false" customHeight="false" outlineLevel="0" collapsed="false">
      <c r="A111" s="195"/>
      <c r="B111" s="205"/>
      <c r="C111" s="0"/>
      <c r="D111" s="0"/>
      <c r="E111" s="0"/>
      <c r="F111" s="0"/>
      <c r="G111" s="195"/>
      <c r="H111" s="32"/>
      <c r="I111" s="303" t="str">
        <f aca="false">IFERROR(CONCATENATE("    &amp;",INDEX(_dyn_user_config_options,ROW(32:32)),","),"")</f>
        <v>&amp;,</v>
      </c>
      <c r="J111" s="305"/>
      <c r="K111" s="0"/>
      <c r="L111" s="0"/>
      <c r="M111" s="0"/>
      <c r="N111" s="195"/>
    </row>
    <row r="112" customFormat="false" ht="12.75" hidden="false" customHeight="false" outlineLevel="0" collapsed="false">
      <c r="A112" s="195"/>
      <c r="B112" s="205"/>
      <c r="C112" s="0"/>
      <c r="D112" s="0"/>
      <c r="E112" s="0"/>
      <c r="F112" s="0"/>
      <c r="G112" s="195"/>
      <c r="H112" s="32"/>
      <c r="I112" s="303" t="str">
        <f aca="false">IFERROR(CONCATENATE("    &amp;",INDEX(_dyn_user_config_options,ROW(33:33)),","),"")</f>
        <v>&amp;,</v>
      </c>
      <c r="J112" s="305"/>
      <c r="K112" s="0"/>
      <c r="L112" s="0"/>
      <c r="M112" s="0"/>
      <c r="N112" s="195"/>
    </row>
    <row r="113" customFormat="false" ht="12.75" hidden="false" customHeight="false" outlineLevel="0" collapsed="false">
      <c r="A113" s="195"/>
      <c r="B113" s="205"/>
      <c r="C113" s="0"/>
      <c r="D113" s="0"/>
      <c r="E113" s="0"/>
      <c r="F113" s="0"/>
      <c r="G113" s="195"/>
      <c r="H113" s="32"/>
      <c r="I113" s="303" t="str">
        <f aca="false">IFERROR(CONCATENATE("    &amp;",INDEX(_dyn_user_config_options,ROW(34:34)),","),"")</f>
        <v>&amp;,</v>
      </c>
      <c r="J113" s="305"/>
      <c r="K113" s="0"/>
      <c r="L113" s="0"/>
      <c r="M113" s="0"/>
      <c r="N113" s="195"/>
    </row>
    <row r="114" customFormat="false" ht="12.75" hidden="false" customHeight="false" outlineLevel="0" collapsed="false">
      <c r="A114" s="195"/>
      <c r="B114" s="205"/>
      <c r="C114" s="0"/>
      <c r="D114" s="0"/>
      <c r="E114" s="0"/>
      <c r="F114" s="0"/>
      <c r="G114" s="195"/>
      <c r="H114" s="32"/>
      <c r="I114" s="303" t="str">
        <f aca="false">IFERROR(CONCATENATE("    &amp;",INDEX(_dyn_user_config_options,ROW(35:35)),","),"")</f>
        <v>&amp;,</v>
      </c>
      <c r="J114" s="305"/>
      <c r="K114" s="0"/>
      <c r="L114" s="0"/>
      <c r="M114" s="0"/>
      <c r="N114" s="195"/>
    </row>
    <row r="115" customFormat="false" ht="12.75" hidden="false" customHeight="false" outlineLevel="0" collapsed="false">
      <c r="A115" s="195"/>
      <c r="B115" s="205"/>
      <c r="C115" s="0"/>
      <c r="D115" s="0"/>
      <c r="E115" s="0"/>
      <c r="F115" s="0"/>
      <c r="G115" s="195"/>
      <c r="H115" s="32"/>
      <c r="I115" s="303" t="str">
        <f aca="false">IFERROR(CONCATENATE("    &amp;",INDEX(_dyn_user_config_options,ROW(36:36)),","),"")</f>
        <v>&amp;,</v>
      </c>
      <c r="J115" s="305"/>
      <c r="K115" s="0"/>
      <c r="L115" s="0"/>
      <c r="M115" s="0"/>
      <c r="N115" s="195"/>
    </row>
    <row r="116" customFormat="false" ht="12.75" hidden="false" customHeight="false" outlineLevel="0" collapsed="false">
      <c r="A116" s="195"/>
      <c r="B116" s="205"/>
      <c r="C116" s="0"/>
      <c r="D116" s="0"/>
      <c r="E116" s="0"/>
      <c r="F116" s="0"/>
      <c r="G116" s="195"/>
      <c r="H116" s="32"/>
      <c r="I116" s="303" t="str">
        <f aca="false">IFERROR(CONCATENATE("    &amp;",INDEX(_dyn_user_config_options,ROW(37:37)),","),"")</f>
        <v>&amp;,</v>
      </c>
      <c r="J116" s="305"/>
      <c r="K116" s="0"/>
      <c r="L116" s="0"/>
      <c r="M116" s="0"/>
      <c r="N116" s="195"/>
    </row>
    <row r="117" customFormat="false" ht="12.75" hidden="false" customHeight="false" outlineLevel="0" collapsed="false">
      <c r="A117" s="195"/>
      <c r="B117" s="205"/>
      <c r="C117" s="0"/>
      <c r="D117" s="0"/>
      <c r="E117" s="0"/>
      <c r="F117" s="0"/>
      <c r="G117" s="195"/>
      <c r="H117" s="32"/>
      <c r="I117" s="303" t="str">
        <f aca="false">IFERROR(CONCATENATE("    &amp;",INDEX(_dyn_user_config_options,ROW(38:38)),","),"")</f>
        <v>&amp;,</v>
      </c>
      <c r="J117" s="305"/>
      <c r="K117" s="0"/>
      <c r="L117" s="0"/>
      <c r="M117" s="0"/>
      <c r="N117" s="195"/>
    </row>
    <row r="118" customFormat="false" ht="12.75" hidden="false" customHeight="false" outlineLevel="0" collapsed="false">
      <c r="A118" s="195"/>
      <c r="B118" s="205"/>
      <c r="C118" s="0"/>
      <c r="D118" s="0"/>
      <c r="E118" s="0"/>
      <c r="F118" s="0"/>
      <c r="G118" s="195"/>
      <c r="H118" s="32"/>
      <c r="I118" s="303" t="str">
        <f aca="false">IFERROR(CONCATENATE("    &amp;",INDEX(_dyn_user_config_options,ROW(39:39)),","),"")</f>
        <v>&amp;,</v>
      </c>
      <c r="J118" s="305"/>
      <c r="K118" s="0"/>
      <c r="L118" s="0"/>
      <c r="M118" s="0"/>
      <c r="N118" s="195"/>
    </row>
    <row r="119" customFormat="false" ht="12.75" hidden="false" customHeight="false" outlineLevel="0" collapsed="false">
      <c r="A119" s="195"/>
      <c r="B119" s="205"/>
      <c r="C119" s="0"/>
      <c r="D119" s="0"/>
      <c r="E119" s="0"/>
      <c r="F119" s="0"/>
      <c r="G119" s="195"/>
      <c r="H119" s="32"/>
      <c r="I119" s="303" t="str">
        <f aca="false">IFERROR(CONCATENATE("    &amp;",INDEX(_dyn_user_config_options,ROW(40:40)),","),"")</f>
        <v/>
      </c>
      <c r="J119" s="305"/>
      <c r="K119" s="0"/>
      <c r="L119" s="0"/>
      <c r="M119" s="0"/>
      <c r="N119" s="195"/>
    </row>
    <row r="120" customFormat="false" ht="12.75" hidden="false" customHeight="false" outlineLevel="0" collapsed="false">
      <c r="A120" s="195"/>
      <c r="B120" s="205"/>
      <c r="C120" s="0"/>
      <c r="D120" s="0"/>
      <c r="E120" s="0"/>
      <c r="F120" s="0"/>
      <c r="G120" s="195"/>
      <c r="H120" s="32"/>
      <c r="I120" s="303" t="str">
        <f aca="false">IFERROR(CONCATENATE("    &amp;",INDEX(_dyn_user_config_options,ROW(41:41)),","),"")</f>
        <v>&amp;,</v>
      </c>
      <c r="J120" s="305"/>
      <c r="K120" s="0"/>
      <c r="L120" s="0"/>
      <c r="M120" s="0"/>
      <c r="N120" s="195"/>
    </row>
    <row r="121" customFormat="false" ht="12.75" hidden="false" customHeight="false" outlineLevel="0" collapsed="false">
      <c r="A121" s="195"/>
      <c r="B121" s="205"/>
      <c r="C121" s="0"/>
      <c r="D121" s="0"/>
      <c r="E121" s="0"/>
      <c r="F121" s="0"/>
      <c r="G121" s="195"/>
      <c r="H121" s="32"/>
      <c r="I121" s="303" t="str">
        <f aca="false">IFERROR(CONCATENATE("    &amp;",INDEX(_dyn_user_config_options,ROW(42:42)),","),"")</f>
        <v>&amp;,</v>
      </c>
      <c r="J121" s="305"/>
      <c r="K121" s="0"/>
      <c r="L121" s="0"/>
      <c r="M121" s="0"/>
      <c r="N121" s="195"/>
    </row>
    <row r="122" customFormat="false" ht="12.75" hidden="false" customHeight="false" outlineLevel="0" collapsed="false">
      <c r="A122" s="195"/>
      <c r="B122" s="205"/>
      <c r="C122" s="0"/>
      <c r="D122" s="0"/>
      <c r="E122" s="0"/>
      <c r="F122" s="0"/>
      <c r="G122" s="195"/>
      <c r="H122" s="32"/>
      <c r="I122" s="303" t="str">
        <f aca="false">IFERROR(CONCATENATE("    &amp;",INDEX(_dyn_user_config_options,ROW(43:43)),","),"")</f>
        <v>&amp;,</v>
      </c>
      <c r="J122" s="305"/>
      <c r="K122" s="0"/>
      <c r="L122" s="0"/>
      <c r="M122" s="0"/>
      <c r="N122" s="195"/>
    </row>
    <row r="123" customFormat="false" ht="12.75" hidden="false" customHeight="false" outlineLevel="0" collapsed="false">
      <c r="A123" s="195"/>
      <c r="B123" s="205"/>
      <c r="C123" s="0"/>
      <c r="D123" s="0"/>
      <c r="E123" s="0"/>
      <c r="F123" s="0"/>
      <c r="G123" s="195"/>
      <c r="H123" s="32"/>
      <c r="I123" s="303" t="str">
        <f aca="false">IFERROR(CONCATENATE("    &amp;",INDEX(_dyn_user_config_options,ROW(44:44)),","),"")</f>
        <v>&amp;,</v>
      </c>
      <c r="J123" s="305"/>
      <c r="K123" s="0"/>
      <c r="L123" s="0"/>
      <c r="M123" s="0"/>
      <c r="N123" s="195"/>
    </row>
    <row r="124" customFormat="false" ht="12.75" hidden="false" customHeight="false" outlineLevel="0" collapsed="false">
      <c r="A124" s="195"/>
      <c r="B124" s="205"/>
      <c r="C124" s="0"/>
      <c r="D124" s="0"/>
      <c r="E124" s="0"/>
      <c r="F124" s="0"/>
      <c r="G124" s="195"/>
      <c r="H124" s="32"/>
      <c r="I124" s="303" t="s">
        <v>618</v>
      </c>
      <c r="J124" s="305"/>
      <c r="K124" s="0"/>
      <c r="L124" s="0"/>
      <c r="M124" s="0"/>
      <c r="N124" s="195"/>
    </row>
    <row r="125" customFormat="false" ht="12.75" hidden="false" customHeight="false" outlineLevel="0" collapsed="false">
      <c r="A125" s="195"/>
      <c r="B125" s="205"/>
      <c r="C125" s="0"/>
      <c r="D125" s="0"/>
      <c r="E125" s="0"/>
      <c r="F125" s="0"/>
      <c r="G125" s="195"/>
      <c r="H125" s="32"/>
      <c r="I125" s="303"/>
      <c r="J125" s="305"/>
      <c r="K125" s="0"/>
      <c r="L125" s="0"/>
      <c r="M125" s="0"/>
      <c r="N125" s="195"/>
    </row>
    <row r="126" customFormat="false" ht="12.75" hidden="false" customHeight="false" outlineLevel="0" collapsed="false">
      <c r="A126" s="195"/>
      <c r="B126" s="205"/>
      <c r="C126" s="0"/>
      <c r="D126" s="0"/>
      <c r="E126" s="0"/>
      <c r="F126" s="0"/>
      <c r="G126" s="195"/>
      <c r="H126" s="32"/>
      <c r="I126" s="303"/>
      <c r="J126" s="305"/>
      <c r="K126" s="0"/>
      <c r="L126" s="0"/>
      <c r="M126" s="0"/>
      <c r="N126" s="195"/>
    </row>
    <row r="127" customFormat="false" ht="12.75" hidden="false" customHeight="false" outlineLevel="0" collapsed="false">
      <c r="A127" s="195"/>
      <c r="B127" s="205"/>
      <c r="C127" s="0"/>
      <c r="D127" s="0"/>
      <c r="E127" s="0"/>
      <c r="F127" s="0"/>
      <c r="G127" s="195"/>
      <c r="H127" s="32"/>
      <c r="I127" s="303"/>
      <c r="J127" s="305"/>
      <c r="K127" s="0"/>
      <c r="L127" s="0"/>
      <c r="M127" s="0"/>
      <c r="N127" s="195"/>
    </row>
    <row r="128" customFormat="false" ht="12.75" hidden="false" customHeight="false" outlineLevel="0" collapsed="false">
      <c r="A128" s="195"/>
      <c r="B128" s="205"/>
      <c r="C128" s="0"/>
      <c r="D128" s="0"/>
      <c r="E128" s="0"/>
      <c r="F128" s="0"/>
      <c r="G128" s="195"/>
      <c r="H128" s="32"/>
      <c r="I128" s="303"/>
      <c r="J128" s="305"/>
      <c r="K128" s="0"/>
      <c r="L128" s="0"/>
      <c r="M128" s="0"/>
      <c r="N128" s="195"/>
    </row>
    <row r="129" customFormat="false" ht="12.75" hidden="false" customHeight="false" outlineLevel="0" collapsed="false">
      <c r="A129" s="195"/>
      <c r="B129" s="205"/>
      <c r="C129" s="0"/>
      <c r="D129" s="0"/>
      <c r="E129" s="0"/>
      <c r="F129" s="0"/>
      <c r="G129" s="195"/>
      <c r="H129" s="32"/>
      <c r="I129" s="303"/>
      <c r="J129" s="305"/>
      <c r="K129" s="0"/>
      <c r="L129" s="0"/>
      <c r="M129" s="0"/>
      <c r="N129" s="195"/>
    </row>
    <row r="130" customFormat="false" ht="12.75" hidden="false" customHeight="false" outlineLevel="0" collapsed="false">
      <c r="A130" s="195"/>
      <c r="B130" s="205"/>
      <c r="C130" s="0"/>
      <c r="D130" s="0"/>
      <c r="E130" s="0"/>
      <c r="F130" s="0"/>
      <c r="G130" s="195"/>
      <c r="H130" s="32"/>
      <c r="I130" s="205"/>
      <c r="J130" s="305"/>
      <c r="K130" s="0"/>
      <c r="L130" s="0"/>
      <c r="M130" s="0"/>
      <c r="N130" s="195"/>
    </row>
    <row r="131" customFormat="false" ht="12.75" hidden="false" customHeight="false" outlineLevel="0" collapsed="false">
      <c r="A131" s="195"/>
      <c r="B131" s="205"/>
      <c r="C131" s="0"/>
      <c r="D131" s="0"/>
      <c r="E131" s="0"/>
      <c r="F131" s="0"/>
      <c r="G131" s="195"/>
      <c r="H131" s="32"/>
      <c r="I131" s="205"/>
      <c r="J131" s="305"/>
      <c r="K131" s="0"/>
      <c r="L131" s="0"/>
      <c r="M131" s="0"/>
      <c r="N131" s="195"/>
    </row>
    <row r="132" customFormat="false" ht="12.75" hidden="false" customHeight="false" outlineLevel="0" collapsed="false">
      <c r="A132" s="195"/>
      <c r="B132" s="205"/>
      <c r="C132" s="0"/>
      <c r="D132" s="0"/>
      <c r="E132" s="0"/>
      <c r="F132" s="0"/>
      <c r="G132" s="195"/>
      <c r="H132" s="32"/>
      <c r="I132" s="205"/>
      <c r="J132" s="305"/>
      <c r="K132" s="0"/>
      <c r="L132" s="0"/>
      <c r="M132" s="0"/>
      <c r="N132" s="195"/>
    </row>
    <row r="133" customFormat="false" ht="12.75" hidden="false" customHeight="false" outlineLevel="0" collapsed="false">
      <c r="A133" s="195"/>
      <c r="B133" s="205"/>
      <c r="C133" s="0"/>
      <c r="D133" s="0"/>
      <c r="E133" s="0"/>
      <c r="F133" s="0"/>
      <c r="G133" s="195"/>
      <c r="H133" s="32"/>
      <c r="I133" s="205"/>
      <c r="J133" s="305"/>
      <c r="K133" s="0"/>
      <c r="L133" s="0"/>
      <c r="M133" s="0"/>
      <c r="N133" s="195"/>
    </row>
    <row r="134" customFormat="false" ht="12.75" hidden="false" customHeight="false" outlineLevel="0" collapsed="false">
      <c r="A134" s="195"/>
      <c r="B134" s="205"/>
      <c r="C134" s="0"/>
      <c r="D134" s="0"/>
      <c r="E134" s="0"/>
      <c r="F134" s="0"/>
      <c r="G134" s="195"/>
      <c r="H134" s="32"/>
      <c r="I134" s="205"/>
      <c r="J134" s="305"/>
      <c r="K134" s="0"/>
      <c r="L134" s="0"/>
      <c r="M134" s="0"/>
      <c r="N134" s="195"/>
    </row>
    <row r="135" customFormat="false" ht="12.75" hidden="false" customHeight="false" outlineLevel="0" collapsed="false">
      <c r="A135" s="195"/>
      <c r="B135" s="300"/>
      <c r="C135" s="0"/>
      <c r="D135" s="0"/>
      <c r="E135" s="0"/>
      <c r="F135" s="0"/>
      <c r="G135" s="195"/>
      <c r="H135" s="32"/>
      <c r="I135" s="297" t="s">
        <v>660</v>
      </c>
      <c r="J135" s="305"/>
      <c r="K135" s="0"/>
      <c r="L135" s="0"/>
      <c r="M135" s="0"/>
      <c r="N135" s="195"/>
    </row>
    <row r="136" customFormat="false" ht="13.5" hidden="false" customHeight="false" outlineLevel="0" collapsed="false">
      <c r="A136" s="195"/>
      <c r="B136" s="333"/>
      <c r="C136" s="307"/>
      <c r="D136" s="211"/>
      <c r="E136" s="211"/>
      <c r="F136" s="211"/>
      <c r="G136" s="212"/>
      <c r="H136" s="32"/>
      <c r="I136" s="333"/>
      <c r="J136" s="307"/>
      <c r="K136" s="211"/>
      <c r="L136" s="211"/>
      <c r="M136" s="211"/>
      <c r="N136" s="212"/>
    </row>
    <row r="137" customFormat="false" ht="13.5" hidden="false" customHeight="false" outlineLevel="0" collapsed="false">
      <c r="A137" s="30"/>
      <c r="B137" s="334"/>
      <c r="C137" s="293"/>
      <c r="D137" s="203"/>
      <c r="E137" s="203"/>
      <c r="F137" s="203"/>
      <c r="G137" s="203"/>
      <c r="H137" s="32"/>
    </row>
    <row r="138" customFormat="false" ht="12.75" hidden="false" customHeight="false" outlineLevel="0" collapsed="false">
      <c r="A138" s="30"/>
      <c r="B138" s="0"/>
      <c r="C138" s="0"/>
      <c r="D138" s="0"/>
      <c r="E138" s="0"/>
      <c r="F138" s="0"/>
      <c r="G138" s="0"/>
      <c r="H138" s="32"/>
    </row>
    <row r="139" customFormat="false" ht="12.75" hidden="false" customHeight="false" outlineLevel="0" collapsed="false">
      <c r="A139" s="140"/>
      <c r="B139" s="140"/>
      <c r="C139" s="295"/>
      <c r="D139" s="140"/>
      <c r="E139" s="140"/>
      <c r="F139" s="140"/>
      <c r="G139" s="140"/>
    </row>
  </sheetData>
  <sheetProtection sheet="true" objects="true" scenarios="true"/>
  <mergeCells count="2">
    <mergeCell ref="B1:G4"/>
    <mergeCell ref="B5:G7"/>
  </mergeCells>
  <printOptions headings="false" gridLines="false" gridLinesSet="true" horizontalCentered="false" verticalCentered="false"/>
  <pageMargins left="0.7" right="0.7" top="0.611111111111111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  <picture r:id="rId2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81" width="9.14"/>
    <col collapsed="false" customWidth="true" hidden="false" outlineLevel="0" max="2" min="2" style="24" width="9.14"/>
    <col collapsed="false" customWidth="true" hidden="false" outlineLevel="0" max="3" min="3" style="24" width="20.71"/>
    <col collapsed="false" customWidth="true" hidden="false" outlineLevel="0" max="4" min="4" style="282" width="20.71"/>
    <col collapsed="false" customWidth="true" hidden="false" outlineLevel="0" max="8" min="5" style="24" width="20.71"/>
    <col collapsed="false" customWidth="true" hidden="false" outlineLevel="0" max="9" min="9" style="24" width="9.14"/>
    <col collapsed="false" customWidth="true" hidden="false" outlineLevel="0" max="1025" min="10" style="24" width="20.71"/>
  </cols>
  <sheetData>
    <row r="1" customFormat="false" ht="12.75" hidden="false" customHeight="true" outlineLevel="0" collapsed="false">
      <c r="A1" s="53"/>
      <c r="B1" s="53"/>
      <c r="C1" s="87"/>
      <c r="D1" s="87"/>
      <c r="E1" s="87"/>
      <c r="F1" s="87"/>
      <c r="G1" s="87"/>
      <c r="H1" s="87"/>
      <c r="I1" s="87"/>
      <c r="J1" s="88"/>
      <c r="K1" s="140"/>
      <c r="L1" s="140"/>
      <c r="M1" s="140"/>
    </row>
    <row r="2" customFormat="false" ht="12.75" hidden="false" customHeight="true" outlineLevel="0" collapsed="false">
      <c r="A2" s="53"/>
      <c r="B2" s="85" t="str">
        <f aca="false">'Title-README'!$B$9</f>
        <v>Date: November 2nd, 2019</v>
      </c>
      <c r="C2" s="85"/>
      <c r="D2" s="85"/>
      <c r="E2" s="85"/>
      <c r="F2" s="85"/>
      <c r="G2" s="85"/>
      <c r="H2" s="85"/>
      <c r="I2" s="85"/>
      <c r="J2" s="88"/>
      <c r="K2" s="140"/>
      <c r="L2" s="140"/>
      <c r="M2" s="140"/>
    </row>
    <row r="3" customFormat="false" ht="12.75" hidden="false" customHeight="true" outlineLevel="0" collapsed="false">
      <c r="A3" s="53"/>
      <c r="B3" s="85" t="str">
        <f aca="false">'Title-README'!$B$11</f>
        <v>Revision: 2.0.3</v>
      </c>
      <c r="C3" s="85"/>
      <c r="D3" s="85"/>
      <c r="E3" s="85"/>
      <c r="F3" s="85"/>
      <c r="G3" s="85"/>
      <c r="H3" s="85"/>
      <c r="I3" s="85"/>
      <c r="J3" s="88"/>
      <c r="K3" s="140"/>
      <c r="L3" s="140"/>
      <c r="M3" s="140"/>
    </row>
    <row r="4" customFormat="false" ht="12.75" hidden="false" customHeight="true" outlineLevel="0" collapsed="false">
      <c r="A4" s="53"/>
      <c r="B4" s="86" t="s">
        <v>661</v>
      </c>
      <c r="C4" s="86"/>
      <c r="D4" s="86"/>
      <c r="E4" s="86"/>
      <c r="F4" s="86"/>
      <c r="G4" s="86"/>
      <c r="H4" s="86"/>
      <c r="I4" s="86"/>
      <c r="J4" s="88"/>
      <c r="K4" s="140"/>
      <c r="L4" s="140"/>
      <c r="M4" s="140"/>
    </row>
    <row r="5" customFormat="false" ht="12.75" hidden="false" customHeight="true" outlineLevel="0" collapsed="false">
      <c r="A5" s="53"/>
      <c r="B5" s="86"/>
      <c r="C5" s="86"/>
      <c r="D5" s="86"/>
      <c r="E5" s="86"/>
      <c r="F5" s="86"/>
      <c r="G5" s="86"/>
      <c r="H5" s="86"/>
      <c r="I5" s="86"/>
      <c r="J5" s="88"/>
      <c r="K5" s="140"/>
      <c r="L5" s="140"/>
      <c r="M5" s="140"/>
    </row>
    <row r="6" customFormat="false" ht="12.75" hidden="false" customHeight="true" outlineLevel="0" collapsed="false">
      <c r="A6" s="53"/>
      <c r="B6" s="86"/>
      <c r="C6" s="86"/>
      <c r="D6" s="86"/>
      <c r="E6" s="86"/>
      <c r="F6" s="86"/>
      <c r="G6" s="86"/>
      <c r="H6" s="86"/>
      <c r="I6" s="86"/>
      <c r="J6" s="88"/>
      <c r="K6" s="140"/>
      <c r="L6" s="140"/>
      <c r="M6" s="140"/>
    </row>
    <row r="7" customFormat="false" ht="12.75" hidden="false" customHeight="true" outlineLevel="0" collapsed="false">
      <c r="A7" s="97"/>
      <c r="B7" s="283" t="s">
        <v>41</v>
      </c>
      <c r="C7" s="283"/>
      <c r="D7" s="283"/>
      <c r="E7" s="283"/>
      <c r="F7" s="283"/>
      <c r="G7" s="283"/>
      <c r="H7" s="283"/>
      <c r="I7" s="283"/>
      <c r="J7" s="284"/>
      <c r="K7" s="140"/>
      <c r="L7" s="140"/>
      <c r="M7" s="140"/>
    </row>
    <row r="8" customFormat="false" ht="12.75" hidden="false" customHeight="true" outlineLevel="0" collapsed="false">
      <c r="A8" s="83"/>
      <c r="B8" s="283"/>
      <c r="C8" s="283"/>
      <c r="D8" s="283"/>
      <c r="E8" s="283"/>
      <c r="F8" s="283"/>
      <c r="G8" s="283"/>
      <c r="H8" s="283"/>
      <c r="I8" s="283"/>
      <c r="J8" s="285"/>
      <c r="K8" s="140"/>
      <c r="L8" s="140"/>
      <c r="M8" s="140"/>
    </row>
    <row r="9" customFormat="false" ht="12.75" hidden="false" customHeight="true" outlineLevel="0" collapsed="false">
      <c r="A9" s="83"/>
      <c r="B9" s="91" t="s">
        <v>28</v>
      </c>
      <c r="C9" s="219" t="s">
        <v>662</v>
      </c>
      <c r="D9" s="220"/>
      <c r="E9" s="220"/>
      <c r="F9" s="220"/>
      <c r="G9" s="220"/>
      <c r="H9" s="220"/>
      <c r="I9" s="221"/>
      <c r="J9" s="285"/>
      <c r="K9" s="140"/>
      <c r="L9" s="140"/>
      <c r="M9" s="140"/>
    </row>
    <row r="10" customFormat="false" ht="12.75" hidden="false" customHeight="true" outlineLevel="0" collapsed="false">
      <c r="A10" s="83"/>
      <c r="B10" s="165"/>
      <c r="C10" s="222" t="s">
        <v>663</v>
      </c>
      <c r="D10" s="222"/>
      <c r="E10" s="224"/>
      <c r="F10" s="224"/>
      <c r="G10" s="286"/>
      <c r="H10" s="286"/>
      <c r="I10" s="168"/>
      <c r="J10" s="32"/>
      <c r="K10" s="140"/>
      <c r="L10" s="140"/>
      <c r="M10" s="140"/>
    </row>
    <row r="11" customFormat="false" ht="12.75" hidden="false" customHeight="true" outlineLevel="0" collapsed="false">
      <c r="A11" s="83"/>
      <c r="B11" s="172"/>
      <c r="C11" s="173"/>
      <c r="D11" s="289"/>
      <c r="E11" s="173"/>
      <c r="F11" s="173"/>
      <c r="G11" s="174"/>
      <c r="H11" s="174"/>
      <c r="I11" s="175"/>
      <c r="J11" s="32"/>
      <c r="K11" s="140"/>
      <c r="L11" s="140"/>
      <c r="M11" s="140"/>
    </row>
    <row r="12" customFormat="false" ht="12.75" hidden="false" customHeight="true" outlineLevel="0" collapsed="false">
      <c r="A12" s="290"/>
      <c r="B12" s="140"/>
      <c r="C12" s="177"/>
      <c r="D12" s="291"/>
      <c r="E12" s="177"/>
      <c r="F12" s="177"/>
      <c r="G12" s="177"/>
      <c r="H12" s="177"/>
      <c r="I12" s="140"/>
      <c r="J12" s="140"/>
      <c r="K12" s="140"/>
      <c r="L12" s="140"/>
      <c r="M12" s="140"/>
    </row>
    <row r="13" customFormat="false" ht="13.5" hidden="false" customHeight="false" outlineLevel="0" collapsed="false">
      <c r="A13" s="0"/>
      <c r="B13" s="30"/>
      <c r="C13" s="335"/>
      <c r="D13" s="336"/>
      <c r="E13" s="334"/>
      <c r="F13" s="334"/>
      <c r="G13" s="334"/>
      <c r="H13" s="337"/>
      <c r="I13" s="32"/>
    </row>
    <row r="14" customFormat="false" ht="12.75" hidden="false" customHeight="false" outlineLevel="0" collapsed="false">
      <c r="A14" s="0"/>
      <c r="B14" s="30"/>
      <c r="C14" s="294" t="str">
        <f aca="false">_user_config_name_txt17</f>
        <v>static void AM572x_DDR3L_532MHz_TI_AM572x_IDK (uint32_t base_addr)</v>
      </c>
      <c r="D14" s="338"/>
      <c r="E14" s="149"/>
      <c r="F14" s="149"/>
      <c r="G14" s="149"/>
      <c r="H14" s="339"/>
      <c r="I14" s="32"/>
    </row>
    <row r="15" customFormat="false" ht="12.75" hidden="false" customHeight="false" outlineLevel="0" collapsed="false">
      <c r="A15" s="0"/>
      <c r="B15" s="30"/>
      <c r="C15" s="340" t="s">
        <v>664</v>
      </c>
      <c r="D15" s="338"/>
      <c r="E15" s="149"/>
      <c r="F15" s="149"/>
      <c r="G15" s="149"/>
      <c r="H15" s="339"/>
      <c r="I15" s="32"/>
    </row>
    <row r="16" customFormat="false" ht="12.75" hidden="false" customHeight="false" outlineLevel="0" collapsed="false">
      <c r="A16" s="0"/>
      <c r="B16" s="30"/>
      <c r="C16" s="340" t="str">
        <f aca="false">CONCATENATE("    SDRAM_TIM_1 = 0x",_EMIF_SDRAM_TIM_1_VAL,"U;")</f>
        <v>    SDRAM_TIM_1 = 0xCEEF2663U;</v>
      </c>
      <c r="D16" s="78"/>
      <c r="E16" s="76"/>
      <c r="F16" s="76"/>
      <c r="G16" s="76"/>
      <c r="H16" s="332"/>
      <c r="I16" s="32"/>
    </row>
    <row r="17" customFormat="false" ht="12.75" hidden="false" customHeight="false" outlineLevel="0" collapsed="false">
      <c r="A17" s="0"/>
      <c r="B17" s="30"/>
      <c r="C17" s="300" t="str">
        <f aca="false">CONCATENATE("    SDRAM_TIM_2 = 0x",_EMIF_SDRAM_TIM_2_VAL,"U;")</f>
        <v>    SDRAM_TIM_2 = 0x30BF7FDAU;</v>
      </c>
      <c r="D17" s="78"/>
      <c r="E17" s="76"/>
      <c r="F17" s="76"/>
      <c r="G17" s="76"/>
      <c r="H17" s="332"/>
      <c r="I17" s="32"/>
    </row>
    <row r="18" customFormat="false" ht="12.75" hidden="false" customHeight="false" outlineLevel="0" collapsed="false">
      <c r="A18" s="0"/>
      <c r="B18" s="30"/>
      <c r="C18" s="300" t="str">
        <f aca="false">CONCATENATE("    SDRAM_TIM_3 = 0x",_EMIF_SDRAM_TIM_3_VAL,"U;")</f>
        <v>    SDRAM_TIM_3 = 0x407F8BA8U;</v>
      </c>
      <c r="D18" s="78"/>
      <c r="E18" s="76"/>
      <c r="F18" s="76"/>
      <c r="G18" s="76"/>
      <c r="H18" s="332"/>
      <c r="I18" s="32"/>
    </row>
    <row r="19" customFormat="false" ht="12.75" hidden="false" customHeight="false" outlineLevel="0" collapsed="false">
      <c r="A19" s="0"/>
      <c r="B19" s="30"/>
      <c r="C19" s="300"/>
      <c r="D19" s="78"/>
      <c r="E19" s="76"/>
      <c r="F19" s="76"/>
      <c r="G19" s="76"/>
      <c r="H19" s="332"/>
      <c r="I19" s="32"/>
    </row>
    <row r="20" customFormat="false" ht="12.75" hidden="false" customHeight="false" outlineLevel="0" collapsed="false">
      <c r="A20" s="0"/>
      <c r="B20" s="30"/>
      <c r="C20" s="300" t="str">
        <f aca="false">CONCATENATE("    SDRAM_REF_CTRL = 0x",_EMIF_SDRAM_REF_CTRL_VAL,"U;")</f>
        <v>    SDRAM_REF_CTRL = 0x00001035U;</v>
      </c>
      <c r="D20" s="78"/>
      <c r="E20" s="76"/>
      <c r="F20" s="76"/>
      <c r="G20" s="76"/>
      <c r="H20" s="332"/>
      <c r="I20" s="32"/>
    </row>
    <row r="21" customFormat="false" ht="12.75" hidden="false" customHeight="false" outlineLevel="0" collapsed="false">
      <c r="A21" s="0"/>
      <c r="B21" s="30"/>
      <c r="C21" s="300" t="str">
        <f aca="false">CONCATENATE("    SDRAM_REF_CTRL_INIT = 0x",_EMIF_SDRAM_REF_CTRL_INIT_VAL,"U;")</f>
        <v>    SDRAM_REF_CTRL_INIT = 0x000040F1U;</v>
      </c>
      <c r="D21" s="78"/>
      <c r="E21" s="76"/>
      <c r="F21" s="76"/>
      <c r="G21" s="76"/>
      <c r="H21" s="332"/>
      <c r="I21" s="32"/>
    </row>
    <row r="22" customFormat="false" ht="12.75" hidden="false" customHeight="false" outlineLevel="0" collapsed="false">
      <c r="A22" s="0"/>
      <c r="B22" s="30"/>
      <c r="C22" s="300" t="str">
        <f aca="true">CONCATENATE("    SDRAM_CONFIG = 0x",_EMIF_SDRAM_CONFIG_VAL,"U;")</f>
        <v>    SDRAM_CONFIG = 0x61867FB2U;</v>
      </c>
      <c r="D22" s="341"/>
      <c r="E22" s="76"/>
      <c r="F22" s="76"/>
      <c r="G22" s="76"/>
      <c r="H22" s="332"/>
      <c r="I22" s="32"/>
    </row>
    <row r="23" customFormat="false" ht="12.75" hidden="false" customHeight="false" outlineLevel="0" collapsed="false">
      <c r="A23" s="0"/>
      <c r="B23" s="30"/>
      <c r="C23" s="300"/>
      <c r="D23" s="78"/>
      <c r="E23" s="76"/>
      <c r="F23" s="76"/>
      <c r="G23" s="76"/>
      <c r="H23" s="332"/>
      <c r="I23" s="32"/>
    </row>
    <row r="24" customFormat="false" ht="12.75" hidden="false" customHeight="false" outlineLevel="0" collapsed="false">
      <c r="A24" s="0"/>
      <c r="B24" s="30"/>
      <c r="C24" s="303" t="str">
        <f aca="true">CONCATENATE("    EMIF_PHY_READ_LATENCY = 0x",DEC2HEX(_phy_rd_rl_delay),"U;")</f>
        <v>    EMIF_PHY_READ_LATENCY = 0x11U;</v>
      </c>
      <c r="D24" s="78"/>
      <c r="E24" s="76"/>
      <c r="F24" s="76"/>
      <c r="G24" s="76"/>
      <c r="H24" s="332"/>
      <c r="I24" s="32"/>
    </row>
    <row r="25" customFormat="false" ht="12.75" hidden="false" customHeight="false" outlineLevel="0" collapsed="false">
      <c r="A25" s="0"/>
      <c r="B25" s="30"/>
      <c r="C25" s="300" t="str">
        <f aca="false">CONCATENATE("    EMIF_PHY_INVERT_CLKOUT = 0x",DEC2HEX(_phy_invert_clk),"U;")</f>
        <v>    EMIF_PHY_INVERT_CLKOUT = 0x1U;</v>
      </c>
      <c r="D25" s="78"/>
      <c r="E25" s="76"/>
      <c r="F25" s="76"/>
      <c r="G25" s="76"/>
      <c r="H25" s="332"/>
      <c r="I25" s="32"/>
    </row>
    <row r="26" customFormat="false" ht="12.75" hidden="false" customHeight="false" outlineLevel="0" collapsed="false">
      <c r="A26" s="0"/>
      <c r="B26" s="30"/>
      <c r="C26" s="300" t="str">
        <f aca="false">CONCATENATE("    EMIF_PHY_HALF_DELAY_MODE = 0x",DEC2HEX(_phy_half_delay),"U;")</f>
        <v>    EMIF_PHY_HALF_DELAY_MODE = 0x1U;</v>
      </c>
      <c r="D26" s="78"/>
      <c r="E26" s="76"/>
      <c r="F26" s="76"/>
      <c r="G26" s="76"/>
      <c r="H26" s="332"/>
      <c r="I26" s="32"/>
    </row>
    <row r="27" customFormat="false" ht="12.75" hidden="false" customHeight="false" outlineLevel="0" collapsed="false">
      <c r="A27" s="0"/>
      <c r="B27" s="30"/>
      <c r="C27" s="340" t="str">
        <f aca="false">CONCATENATE("    EMIF_PHY_DQ_OFFSET = 0x",DEC2HEX(_phy_dq_offset0),"U;")</f>
        <v>    EMIF_PHY_DQ_OFFSET = 0x40U;</v>
      </c>
      <c r="D27" s="78"/>
      <c r="E27" s="76"/>
      <c r="F27" s="76"/>
      <c r="G27" s="76"/>
      <c r="H27" s="332"/>
      <c r="I27" s="32"/>
    </row>
    <row r="28" customFormat="false" ht="12.75" hidden="false" customHeight="false" outlineLevel="0" collapsed="false">
      <c r="A28" s="0"/>
      <c r="B28" s="30"/>
      <c r="C28" s="340" t="str">
        <f aca="false">CONCATENATE("    EMIF_PHY_CTRL_SLAVE_RATIO = 0x",DEC2HEX(_phy_ctrl_delay),"U;")</f>
        <v>    EMIF_PHY_CTRL_SLAVE_RATIO = 0x80U;</v>
      </c>
      <c r="D28" s="78"/>
      <c r="E28" s="76"/>
      <c r="F28" s="76"/>
      <c r="G28" s="76"/>
      <c r="H28" s="332"/>
      <c r="I28" s="32"/>
    </row>
    <row r="29" customFormat="false" ht="12.75" hidden="false" customHeight="false" outlineLevel="0" collapsed="false">
      <c r="A29" s="0"/>
      <c r="B29" s="30"/>
      <c r="C29" s="300"/>
      <c r="D29" s="78"/>
      <c r="E29" s="76"/>
      <c r="F29" s="76"/>
      <c r="G29" s="76"/>
      <c r="H29" s="332"/>
      <c r="I29" s="32"/>
    </row>
    <row r="30" customFormat="false" ht="12.75" hidden="false" customHeight="false" outlineLevel="0" collapsed="false">
      <c r="A30" s="0"/>
      <c r="B30" s="30"/>
      <c r="C30" s="300" t="str">
        <f aca="false">CONCATENATE("    DISABLE_READ_LEVELING = 0x",_phy_rdlvl_mask,"U;")</f>
        <v>DISABLE_READ_LEVELING = 0x0U;</v>
      </c>
      <c r="D30" s="78"/>
      <c r="E30" s="76"/>
      <c r="F30" s="76"/>
      <c r="G30" s="76"/>
      <c r="H30" s="332"/>
      <c r="I30" s="32"/>
    </row>
    <row r="31" customFormat="false" ht="12.75" hidden="false" customHeight="false" outlineLevel="0" collapsed="false">
      <c r="A31" s="0"/>
      <c r="B31" s="30"/>
      <c r="C31" s="300" t="str">
        <f aca="false">CONCATENATE("    DISABLE_READ_GATE_LEVELING = 0x",_phy_rdlvlgate_mask,"U;")</f>
        <v>DISABLE_READ_GATE_LEVELING = 0x0U;</v>
      </c>
      <c r="D31" s="78"/>
      <c r="E31" s="76"/>
      <c r="F31" s="76"/>
      <c r="G31" s="76"/>
      <c r="H31" s="332"/>
      <c r="I31" s="32"/>
    </row>
    <row r="32" customFormat="false" ht="12.75" hidden="false" customHeight="false" outlineLevel="0" collapsed="false">
      <c r="A32" s="0"/>
      <c r="B32" s="30"/>
      <c r="C32" s="300" t="str">
        <f aca="false">CONCATENATE("    DISABLE_WRITE_LEVELING = 0x",_phy_wrlvl_mask,"U;")</f>
        <v>DISABLE_WRITE_LEVELING = 0x0U;</v>
      </c>
      <c r="D32" s="78"/>
      <c r="E32" s="76"/>
      <c r="F32" s="76"/>
      <c r="G32" s="76"/>
      <c r="H32" s="332"/>
      <c r="I32" s="32"/>
    </row>
    <row r="33" customFormat="false" ht="12.75" hidden="false" customHeight="false" outlineLevel="0" collapsed="false">
      <c r="A33" s="0"/>
      <c r="B33" s="30"/>
      <c r="C33" s="300"/>
      <c r="D33" s="78"/>
      <c r="E33" s="76"/>
      <c r="F33" s="76"/>
      <c r="G33" s="76"/>
      <c r="H33" s="332"/>
      <c r="I33" s="32"/>
    </row>
    <row r="34" customFormat="false" ht="12.75" hidden="false" customHeight="false" outlineLevel="0" collapsed="false">
      <c r="A34" s="0"/>
      <c r="B34" s="30"/>
      <c r="C34" s="297" t="str">
        <f aca="false">CONCATENATE("    /* EXT_PHY_CTRL_xx are used only in case of  HW_LEVELING_ENABLED  =  0*/")</f>
        <v>/* EXT_PHY_CTRL_xx are used only in case of  HW_LEVELING_ENABLED  =  0*/</v>
      </c>
      <c r="D34" s="341"/>
      <c r="E34" s="76"/>
      <c r="F34" s="76"/>
      <c r="G34" s="76"/>
      <c r="H34" s="332"/>
      <c r="I34" s="32"/>
    </row>
    <row r="35" customFormat="false" ht="12.75" hidden="false" customHeight="false" outlineLevel="0" collapsed="false">
      <c r="A35" s="0"/>
      <c r="B35" s="30"/>
      <c r="C35" s="297" t="str">
        <f aca="false">CONCATENATE("    /* EMIF_PHY_FIFO_WE_SLAVE_RATIO (RD_DQS_GATE) */")</f>
        <v>/* EMIF_PHY_FIFO_WE_SLAVE_RATIO (RD_DQS_GATE) */</v>
      </c>
      <c r="D35" s="78"/>
      <c r="E35" s="76"/>
      <c r="F35" s="76"/>
      <c r="G35" s="76"/>
      <c r="H35" s="332"/>
      <c r="I35" s="32"/>
    </row>
    <row r="36" customFormat="false" ht="12.75" hidden="false" customHeight="false" outlineLevel="0" collapsed="false">
      <c r="A36" s="0"/>
      <c r="B36" s="30"/>
      <c r="C36" s="300" t="str">
        <f aca="false">CONCATENATE("    EXT_PHY_CTRL_2 = 0x",_EMIF1_EXT_PHY_CTRL_2_VAL,"U;")</f>
        <v>    EXT_PHY_CTRL_2 = 0x006B0082U;</v>
      </c>
      <c r="D36" s="78"/>
      <c r="E36" s="76"/>
      <c r="F36" s="76"/>
      <c r="G36" s="76"/>
      <c r="H36" s="332"/>
      <c r="I36" s="32"/>
    </row>
    <row r="37" customFormat="false" ht="12.75" hidden="false" customHeight="false" outlineLevel="0" collapsed="false">
      <c r="A37" s="0"/>
      <c r="B37" s="30"/>
      <c r="C37" s="303" t="str">
        <f aca="false">CONCATENATE("    EXT_PHY_CTRL_3 = 0x",_EMIF1_EXT_PHY_CTRL_3_VAL,"U;")</f>
        <v>    EXT_PHY_CTRL_3 = 0x006B0082U;</v>
      </c>
      <c r="D37" s="78"/>
      <c r="E37" s="76"/>
      <c r="F37" s="76"/>
      <c r="G37" s="76"/>
      <c r="H37" s="332"/>
      <c r="I37" s="32"/>
    </row>
    <row r="38" customFormat="false" ht="12.75" hidden="false" customHeight="false" outlineLevel="0" collapsed="false">
      <c r="A38" s="0"/>
      <c r="B38" s="30"/>
      <c r="C38" s="300" t="str">
        <f aca="false">CONCATENATE("    EXT_PHY_CTRL_4 = 0x",_EMIF1_EXT_PHY_CTRL_4_VAL,"U;")</f>
        <v>    EXT_PHY_CTRL_4 = 0x006B006BU;</v>
      </c>
      <c r="D38" s="78"/>
      <c r="E38" s="76"/>
      <c r="F38" s="76"/>
      <c r="G38" s="76"/>
      <c r="H38" s="332"/>
      <c r="I38" s="32"/>
    </row>
    <row r="39" customFormat="false" ht="12.75" hidden="false" customHeight="false" outlineLevel="0" collapsed="false">
      <c r="A39" s="0"/>
      <c r="B39" s="30"/>
      <c r="C39" s="300" t="str">
        <f aca="false">CONCATENATE("    EXT_PHY_CTRL_5 = 0x",_EMIF1_EXT_PHY_CTRL_5_VAL,"U;")</f>
        <v>    EXT_PHY_CTRL_5 = 0x006B006BU;</v>
      </c>
      <c r="D39" s="78"/>
      <c r="E39" s="76"/>
      <c r="F39" s="76"/>
      <c r="G39" s="76"/>
      <c r="H39" s="332"/>
      <c r="I39" s="32"/>
    </row>
    <row r="40" customFormat="false" ht="12.75" hidden="false" customHeight="false" outlineLevel="0" collapsed="false">
      <c r="A40" s="0"/>
      <c r="B40" s="30"/>
      <c r="C40" s="300" t="str">
        <f aca="false">CONCATENATE("    EXT_PHY_CTRL_6 = 0x",_EMIF1_EXT_PHY_CTRL_6_VAL,"U;")</f>
        <v>    EXT_PHY_CTRL_6 = 0x006B006BU;</v>
      </c>
      <c r="D40" s="78"/>
      <c r="E40" s="76"/>
      <c r="F40" s="76"/>
      <c r="G40" s="76"/>
      <c r="H40" s="332"/>
      <c r="I40" s="32"/>
    </row>
    <row r="41" customFormat="false" ht="12.75" hidden="false" customHeight="false" outlineLevel="0" collapsed="false">
      <c r="A41" s="0"/>
      <c r="B41" s="30"/>
      <c r="C41" s="300"/>
      <c r="D41" s="78"/>
      <c r="E41" s="76"/>
      <c r="F41" s="76"/>
      <c r="G41" s="76"/>
      <c r="H41" s="332"/>
      <c r="I41" s="32"/>
    </row>
    <row r="42" customFormat="false" ht="12.75" hidden="false" customHeight="false" outlineLevel="0" collapsed="false">
      <c r="A42" s="0"/>
      <c r="B42" s="30"/>
      <c r="C42" s="297" t="str">
        <f aca="false">CONCATENATE("    /* EMIF_PHY_RD_DQS_SLAVE_RATIO */")</f>
        <v>/* EMIF_PHY_RD_DQS_SLAVE_RATIO */</v>
      </c>
      <c r="D42" s="78"/>
      <c r="E42" s="76"/>
      <c r="F42" s="76"/>
      <c r="G42" s="76"/>
      <c r="H42" s="332"/>
      <c r="I42" s="32"/>
    </row>
    <row r="43" customFormat="false" ht="12.75" hidden="false" customHeight="false" outlineLevel="0" collapsed="false">
      <c r="A43" s="0"/>
      <c r="B43" s="30"/>
      <c r="C43" s="300" t="str">
        <f aca="false">CONCATENATE("    EXT_PHY_CTRL_7 = 0x",_EMIF1_EXT_PHY_CTRL_7_VAL,"U;")</f>
        <v>    EXT_PHY_CTRL_7 = 0x00320032U;</v>
      </c>
      <c r="D43" s="78"/>
      <c r="E43" s="76"/>
      <c r="F43" s="76"/>
      <c r="G43" s="76"/>
      <c r="H43" s="332"/>
      <c r="I43" s="32"/>
    </row>
    <row r="44" customFormat="false" ht="12.75" hidden="false" customHeight="false" outlineLevel="0" collapsed="false">
      <c r="A44" s="0"/>
      <c r="B44" s="30"/>
      <c r="C44" s="300" t="str">
        <f aca="false">CONCATENATE("    EXT_PHY_CTRL_8 = 0x",_EMIF1_EXT_PHY_CTRL_8_VAL,"U;")</f>
        <v>    EXT_PHY_CTRL_8 = 0x00320032U;</v>
      </c>
      <c r="D44" s="78"/>
      <c r="E44" s="76"/>
      <c r="F44" s="76"/>
      <c r="G44" s="76"/>
      <c r="H44" s="332"/>
      <c r="I44" s="32"/>
    </row>
    <row r="45" customFormat="false" ht="12.75" hidden="false" customHeight="false" outlineLevel="0" collapsed="false">
      <c r="A45" s="0"/>
      <c r="B45" s="30"/>
      <c r="C45" s="304" t="str">
        <f aca="false">CONCATENATE("    EXT_PHY_CTRL_9 = 0x",_EMIF1_EXT_PHY_CTRL_9_VAL,"U;")</f>
        <v>    EXT_PHY_CTRL_9 = 0x00320032U;</v>
      </c>
      <c r="D45" s="78"/>
      <c r="E45" s="76"/>
      <c r="F45" s="76"/>
      <c r="G45" s="76"/>
      <c r="H45" s="332"/>
      <c r="I45" s="32"/>
    </row>
    <row r="46" customFormat="false" ht="12.75" hidden="false" customHeight="false" outlineLevel="0" collapsed="false">
      <c r="A46" s="0"/>
      <c r="B46" s="30"/>
      <c r="C46" s="300" t="str">
        <f aca="false">CONCATENATE("    EXT_PHY_CTRL_10 = 0x",_EMIF1_EXT_PHY_CTRL_10_VAL,"U;")</f>
        <v>    EXT_PHY_CTRL_10 = 0x00320032U;</v>
      </c>
      <c r="D46" s="78"/>
      <c r="E46" s="76"/>
      <c r="F46" s="76"/>
      <c r="G46" s="76"/>
      <c r="H46" s="332"/>
      <c r="I46" s="32"/>
    </row>
    <row r="47" customFormat="false" ht="12.75" hidden="false" customHeight="false" outlineLevel="0" collapsed="false">
      <c r="A47" s="0"/>
      <c r="B47" s="30"/>
      <c r="C47" s="300" t="str">
        <f aca="false">CONCATENATE("    EXT_PHY_CTRL_11 = 0x",_EMIF1_EXT_PHY_CTRL_11_VAL,"U;")</f>
        <v>    EXT_PHY_CTRL_11 = 0x00320032U;</v>
      </c>
      <c r="D47" s="61"/>
      <c r="E47" s="76"/>
      <c r="F47" s="76"/>
      <c r="G47" s="76"/>
      <c r="H47" s="332"/>
      <c r="I47" s="32"/>
    </row>
    <row r="48" customFormat="false" ht="12.75" hidden="false" customHeight="false" outlineLevel="0" collapsed="false">
      <c r="A48" s="0"/>
      <c r="B48" s="30"/>
      <c r="C48" s="300"/>
      <c r="D48" s="342"/>
      <c r="E48" s="76"/>
      <c r="F48" s="76"/>
      <c r="G48" s="76"/>
      <c r="H48" s="332"/>
      <c r="I48" s="32"/>
    </row>
    <row r="49" customFormat="false" ht="12.75" hidden="false" customHeight="false" outlineLevel="0" collapsed="false">
      <c r="A49" s="0"/>
      <c r="B49" s="30"/>
      <c r="C49" s="297" t="str">
        <f aca="false">CONCATENATE("    /* EMIF_PHY_WR_DQS_SLAVE_RATIO */")</f>
        <v>/* EMIF_PHY_WR_DQS_SLAVE_RATIO */</v>
      </c>
      <c r="D49" s="78"/>
      <c r="E49" s="76"/>
      <c r="F49" s="76"/>
      <c r="G49" s="76"/>
      <c r="H49" s="332"/>
      <c r="I49" s="32"/>
    </row>
    <row r="50" customFormat="false" ht="12.75" hidden="false" customHeight="false" outlineLevel="0" collapsed="false">
      <c r="A50" s="0"/>
      <c r="B50" s="30"/>
      <c r="C50" s="300" t="str">
        <f aca="false">CONCATENATE("    EXT_PHY_CTRL_17 = 0x",_EMIF1_EXT_PHY_CTRL_17_VAL,"U;")</f>
        <v>    EXT_PHY_CTRL_17 = 0x00400045U;</v>
      </c>
      <c r="D50" s="78"/>
      <c r="E50" s="76"/>
      <c r="F50" s="76"/>
      <c r="G50" s="76"/>
      <c r="H50" s="332"/>
      <c r="I50" s="32"/>
    </row>
    <row r="51" customFormat="false" ht="12.75" hidden="false" customHeight="false" outlineLevel="0" collapsed="false">
      <c r="A51" s="0"/>
      <c r="B51" s="30"/>
      <c r="C51" s="300" t="str">
        <f aca="false">CONCATENATE("    EXT_PHY_CTRL_18 = 0x",_EMIF1_EXT_PHY_CTRL_18_VAL,"U;")</f>
        <v>    EXT_PHY_CTRL_18 = 0x00400045U;</v>
      </c>
      <c r="D51" s="78"/>
      <c r="E51" s="76"/>
      <c r="F51" s="76"/>
      <c r="G51" s="76"/>
      <c r="H51" s="332"/>
      <c r="I51" s="32"/>
    </row>
    <row r="52" customFormat="false" ht="12.75" hidden="false" customHeight="false" outlineLevel="0" collapsed="false">
      <c r="A52" s="0"/>
      <c r="B52" s="30"/>
      <c r="C52" s="300" t="str">
        <f aca="false">CONCATENATE("    EXT_PHY_CTRL_19 = 0x",_EMIF1_EXT_PHY_CTRL_19_VAL,"U;")</f>
        <v>    EXT_PHY_CTRL_19 = 0x00400040U;</v>
      </c>
      <c r="D52" s="78"/>
      <c r="E52" s="76"/>
      <c r="F52" s="76"/>
      <c r="G52" s="76"/>
      <c r="H52" s="332"/>
      <c r="I52" s="32"/>
    </row>
    <row r="53" customFormat="false" ht="12.75" hidden="false" customHeight="false" outlineLevel="0" collapsed="false">
      <c r="A53" s="0"/>
      <c r="B53" s="30"/>
      <c r="C53" s="300" t="str">
        <f aca="false">CONCATENATE("    EXT_PHY_CTRL_20 = 0x",_EMIF1_EXT_PHY_CTRL_20_VAL,"U;")</f>
        <v>    EXT_PHY_CTRL_20 = 0x00400040U;</v>
      </c>
      <c r="D53" s="341"/>
      <c r="E53" s="76"/>
      <c r="F53" s="76"/>
      <c r="G53" s="76"/>
      <c r="H53" s="332"/>
      <c r="I53" s="32"/>
    </row>
    <row r="54" customFormat="false" ht="12.75" hidden="false" customHeight="false" outlineLevel="0" collapsed="false">
      <c r="A54" s="0"/>
      <c r="B54" s="30"/>
      <c r="C54" s="300" t="str">
        <f aca="false">CONCATENATE("    EXT_PHY_CTRL_21 = 0x",_EMIF1_EXT_PHY_CTRL_21_VAL,"U;")</f>
        <v>    EXT_PHY_CTRL_21 = 0x00400040U;</v>
      </c>
      <c r="D54" s="342"/>
      <c r="E54" s="76"/>
      <c r="F54" s="76"/>
      <c r="G54" s="76"/>
      <c r="H54" s="332"/>
      <c r="I54" s="32"/>
    </row>
    <row r="55" customFormat="false" ht="12.75" hidden="false" customHeight="false" outlineLevel="0" collapsed="false">
      <c r="A55" s="0"/>
      <c r="B55" s="30"/>
      <c r="C55" s="300" t="s">
        <v>665</v>
      </c>
      <c r="D55" s="78"/>
      <c r="E55" s="76"/>
      <c r="F55" s="76"/>
      <c r="G55" s="76"/>
      <c r="H55" s="332"/>
      <c r="I55" s="32"/>
    </row>
    <row r="56" customFormat="false" ht="12.75" hidden="false" customHeight="false" outlineLevel="0" collapsed="false">
      <c r="A56" s="0"/>
      <c r="B56" s="30"/>
      <c r="C56" s="300"/>
      <c r="D56" s="78"/>
      <c r="E56" s="76"/>
      <c r="F56" s="76"/>
      <c r="G56" s="76"/>
      <c r="H56" s="332"/>
      <c r="I56" s="32"/>
    </row>
    <row r="57" customFormat="false" ht="12.75" hidden="false" customHeight="false" outlineLevel="0" collapsed="false">
      <c r="A57" s="0"/>
      <c r="B57" s="30"/>
      <c r="C57" s="300"/>
      <c r="D57" s="78"/>
      <c r="E57" s="76"/>
      <c r="F57" s="76"/>
      <c r="G57" s="76"/>
      <c r="H57" s="332"/>
      <c r="I57" s="32"/>
    </row>
    <row r="58" customFormat="false" ht="12.75" hidden="false" customHeight="false" outlineLevel="0" collapsed="false">
      <c r="A58" s="0"/>
      <c r="B58" s="30"/>
      <c r="C58" s="300"/>
      <c r="D58" s="78"/>
      <c r="E58" s="76"/>
      <c r="F58" s="76"/>
      <c r="G58" s="76"/>
      <c r="H58" s="332"/>
      <c r="I58" s="32"/>
    </row>
    <row r="59" customFormat="false" ht="12.75" hidden="false" customHeight="false" outlineLevel="0" collapsed="false">
      <c r="A59" s="0"/>
      <c r="B59" s="30"/>
      <c r="C59" s="300"/>
      <c r="D59" s="78"/>
      <c r="E59" s="76"/>
      <c r="F59" s="76"/>
      <c r="G59" s="76"/>
      <c r="H59" s="332"/>
      <c r="I59" s="32"/>
    </row>
    <row r="60" customFormat="false" ht="12.75" hidden="false" customHeight="false" outlineLevel="0" collapsed="false">
      <c r="A60" s="0"/>
      <c r="B60" s="30"/>
      <c r="C60" s="303"/>
      <c r="D60" s="78"/>
      <c r="E60" s="76"/>
      <c r="F60" s="76"/>
      <c r="G60" s="76"/>
      <c r="H60" s="332"/>
      <c r="I60" s="32"/>
    </row>
    <row r="61" customFormat="false" ht="12.75" hidden="false" customHeight="false" outlineLevel="0" collapsed="false">
      <c r="A61" s="0"/>
      <c r="B61" s="30"/>
      <c r="C61" s="304"/>
      <c r="D61" s="78"/>
      <c r="E61" s="76"/>
      <c r="F61" s="76"/>
      <c r="G61" s="76"/>
      <c r="H61" s="332"/>
      <c r="I61" s="32"/>
    </row>
    <row r="62" customFormat="false" ht="12.75" hidden="false" customHeight="false" outlineLevel="0" collapsed="false">
      <c r="A62" s="0"/>
      <c r="B62" s="30"/>
      <c r="C62" s="300"/>
      <c r="D62" s="78"/>
      <c r="E62" s="76"/>
      <c r="F62" s="76"/>
      <c r="G62" s="76"/>
      <c r="H62" s="332"/>
      <c r="I62" s="32"/>
    </row>
    <row r="63" customFormat="false" ht="12.75" hidden="false" customHeight="false" outlineLevel="0" collapsed="false">
      <c r="A63" s="0"/>
      <c r="B63" s="30"/>
      <c r="C63" s="300"/>
      <c r="D63" s="78"/>
      <c r="E63" s="76"/>
      <c r="F63" s="76"/>
      <c r="G63" s="76"/>
      <c r="H63" s="332"/>
      <c r="I63" s="32"/>
    </row>
    <row r="64" customFormat="false" ht="12.75" hidden="false" customHeight="false" outlineLevel="0" collapsed="false">
      <c r="A64" s="0"/>
      <c r="B64" s="30"/>
      <c r="C64" s="300"/>
      <c r="D64" s="78"/>
      <c r="E64" s="76"/>
      <c r="F64" s="76"/>
      <c r="G64" s="76"/>
      <c r="H64" s="332"/>
      <c r="I64" s="32"/>
    </row>
    <row r="65" customFormat="false" ht="12.75" hidden="false" customHeight="false" outlineLevel="0" collapsed="false">
      <c r="A65" s="0"/>
      <c r="B65" s="30"/>
      <c r="C65" s="300"/>
      <c r="D65" s="78"/>
      <c r="E65" s="76"/>
      <c r="F65" s="76"/>
      <c r="G65" s="76"/>
      <c r="H65" s="332"/>
      <c r="I65" s="32"/>
    </row>
    <row r="66" customFormat="false" ht="12.75" hidden="false" customHeight="false" outlineLevel="0" collapsed="false">
      <c r="A66" s="0"/>
      <c r="B66" s="30"/>
      <c r="C66" s="300"/>
      <c r="D66" s="78"/>
      <c r="E66" s="76"/>
      <c r="F66" s="76"/>
      <c r="G66" s="76"/>
      <c r="H66" s="332"/>
      <c r="I66" s="32"/>
    </row>
    <row r="67" customFormat="false" ht="12.75" hidden="false" customHeight="false" outlineLevel="0" collapsed="false">
      <c r="A67" s="0"/>
      <c r="B67" s="30"/>
      <c r="C67" s="300"/>
      <c r="D67" s="78"/>
      <c r="E67" s="76"/>
      <c r="F67" s="76"/>
      <c r="G67" s="76"/>
      <c r="H67" s="332"/>
      <c r="I67" s="32"/>
    </row>
    <row r="68" customFormat="false" ht="12.75" hidden="false" customHeight="false" outlineLevel="0" collapsed="false">
      <c r="A68" s="0"/>
      <c r="B68" s="30"/>
      <c r="C68" s="300"/>
      <c r="D68" s="78"/>
      <c r="E68" s="76"/>
      <c r="F68" s="76"/>
      <c r="G68" s="76"/>
      <c r="H68" s="332"/>
      <c r="I68" s="32"/>
    </row>
    <row r="69" customFormat="false" ht="12.75" hidden="false" customHeight="false" outlineLevel="0" collapsed="false">
      <c r="A69" s="0"/>
      <c r="B69" s="30"/>
      <c r="C69" s="300"/>
      <c r="D69" s="78"/>
      <c r="E69" s="76"/>
      <c r="F69" s="76"/>
      <c r="G69" s="76"/>
      <c r="H69" s="332"/>
      <c r="I69" s="32"/>
    </row>
    <row r="70" customFormat="false" ht="12.75" hidden="false" customHeight="false" outlineLevel="0" collapsed="false">
      <c r="A70" s="0"/>
      <c r="B70" s="30"/>
      <c r="C70" s="300"/>
      <c r="D70" s="78"/>
      <c r="E70" s="76"/>
      <c r="F70" s="76"/>
      <c r="G70" s="76"/>
      <c r="H70" s="332"/>
      <c r="I70" s="32"/>
    </row>
    <row r="71" customFormat="false" ht="13.5" hidden="false" customHeight="false" outlineLevel="0" collapsed="false">
      <c r="A71" s="0"/>
      <c r="B71" s="30"/>
      <c r="C71" s="333"/>
      <c r="D71" s="343"/>
      <c r="E71" s="344"/>
      <c r="F71" s="344"/>
      <c r="G71" s="344"/>
      <c r="H71" s="345"/>
      <c r="I71" s="32"/>
    </row>
    <row r="72" customFormat="false" ht="14.25" hidden="false" customHeight="false" outlineLevel="0" collapsed="false">
      <c r="A72" s="0"/>
      <c r="B72" s="30"/>
      <c r="C72" s="346"/>
      <c r="D72" s="347"/>
      <c r="E72" s="346"/>
      <c r="F72" s="346"/>
      <c r="G72" s="346"/>
      <c r="H72" s="346"/>
      <c r="I72" s="32"/>
    </row>
    <row r="73" customFormat="false" ht="14.25" hidden="false" customHeight="false" outlineLevel="0" collapsed="false">
      <c r="A73" s="65"/>
      <c r="B73" s="65"/>
      <c r="C73" s="348"/>
      <c r="D73" s="349"/>
      <c r="E73" s="348"/>
      <c r="F73" s="348"/>
      <c r="G73" s="348"/>
      <c r="H73" s="348"/>
      <c r="I73" s="32"/>
    </row>
    <row r="74" customFormat="false" ht="14.25" hidden="false" customHeight="false" outlineLevel="0" collapsed="false">
      <c r="A74" s="65"/>
      <c r="B74" s="65"/>
      <c r="C74" s="348"/>
      <c r="D74" s="349"/>
      <c r="E74" s="348"/>
      <c r="F74" s="348"/>
      <c r="G74" s="348"/>
      <c r="H74" s="348"/>
      <c r="I74" s="32"/>
    </row>
    <row r="75" customFormat="false" ht="14.25" hidden="false" customHeight="false" outlineLevel="0" collapsed="false">
      <c r="A75" s="65"/>
      <c r="B75" s="65"/>
      <c r="C75" s="348"/>
      <c r="D75" s="349"/>
      <c r="E75" s="348"/>
      <c r="F75" s="348"/>
      <c r="G75" s="348"/>
      <c r="H75" s="348"/>
      <c r="I75" s="32"/>
    </row>
    <row r="76" customFormat="false" ht="14.25" hidden="false" customHeight="false" outlineLevel="0" collapsed="false">
      <c r="A76" s="65"/>
      <c r="B76" s="65"/>
      <c r="C76" s="348"/>
      <c r="D76" s="349"/>
      <c r="E76" s="348"/>
      <c r="F76" s="348"/>
      <c r="G76" s="348"/>
      <c r="H76" s="348"/>
      <c r="I76" s="32"/>
    </row>
    <row r="77" customFormat="false" ht="14.25" hidden="false" customHeight="false" outlineLevel="0" collapsed="false">
      <c r="A77" s="65"/>
      <c r="B77" s="65"/>
      <c r="C77" s="348"/>
      <c r="D77" s="349"/>
      <c r="E77" s="348"/>
      <c r="F77" s="348"/>
      <c r="G77" s="348"/>
      <c r="H77" s="348"/>
      <c r="I77" s="32"/>
    </row>
    <row r="78" customFormat="false" ht="14.25" hidden="false" customHeight="false" outlineLevel="0" collapsed="false">
      <c r="A78" s="65"/>
      <c r="B78" s="65"/>
      <c r="C78" s="348"/>
      <c r="D78" s="349"/>
      <c r="E78" s="348"/>
      <c r="F78" s="348"/>
      <c r="G78" s="348"/>
      <c r="H78" s="348"/>
      <c r="I78" s="32"/>
    </row>
    <row r="79" customFormat="false" ht="14.25" hidden="false" customHeight="false" outlineLevel="0" collapsed="false">
      <c r="A79" s="65"/>
      <c r="B79" s="65"/>
      <c r="C79" s="348"/>
      <c r="D79" s="349"/>
      <c r="E79" s="348"/>
      <c r="F79" s="348"/>
      <c r="G79" s="348"/>
      <c r="H79" s="348"/>
      <c r="I79" s="32"/>
    </row>
    <row r="80" customFormat="false" ht="14.25" hidden="false" customHeight="false" outlineLevel="0" collapsed="false">
      <c r="A80" s="65"/>
      <c r="B80" s="65"/>
      <c r="C80" s="348"/>
      <c r="D80" s="349"/>
      <c r="E80" s="348"/>
      <c r="F80" s="348"/>
      <c r="G80" s="348"/>
      <c r="H80" s="348"/>
      <c r="I80" s="32"/>
    </row>
    <row r="81" customFormat="false" ht="14.25" hidden="false" customHeight="false" outlineLevel="0" collapsed="false">
      <c r="A81" s="65"/>
      <c r="B81" s="65"/>
      <c r="C81" s="348"/>
      <c r="D81" s="349"/>
      <c r="E81" s="348"/>
      <c r="F81" s="348"/>
      <c r="G81" s="348"/>
      <c r="H81" s="348"/>
      <c r="I81" s="32"/>
    </row>
    <row r="82" customFormat="false" ht="14.25" hidden="false" customHeight="false" outlineLevel="0" collapsed="false">
      <c r="A82" s="65"/>
      <c r="B82" s="65"/>
      <c r="C82" s="350"/>
      <c r="D82" s="350"/>
      <c r="E82" s="348"/>
      <c r="F82" s="348"/>
      <c r="G82" s="348"/>
      <c r="H82" s="348"/>
      <c r="I82" s="32"/>
    </row>
    <row r="83" customFormat="false" ht="14.25" hidden="false" customHeight="false" outlineLevel="0" collapsed="false">
      <c r="A83" s="65"/>
      <c r="B83" s="65"/>
      <c r="C83" s="350"/>
      <c r="D83" s="350"/>
      <c r="E83" s="348"/>
      <c r="F83" s="348"/>
      <c r="G83" s="348"/>
      <c r="H83" s="348"/>
      <c r="I83" s="32"/>
    </row>
    <row r="84" customFormat="false" ht="14.25" hidden="false" customHeight="false" outlineLevel="0" collapsed="false">
      <c r="A84" s="65"/>
      <c r="B84" s="65"/>
      <c r="C84" s="350"/>
      <c r="D84" s="350"/>
      <c r="E84" s="348"/>
      <c r="F84" s="348"/>
      <c r="G84" s="348"/>
      <c r="H84" s="348"/>
      <c r="I84" s="32"/>
    </row>
    <row r="85" customFormat="false" ht="14.25" hidden="false" customHeight="false" outlineLevel="0" collapsed="false">
      <c r="A85" s="65"/>
      <c r="B85" s="65"/>
      <c r="C85" s="350"/>
      <c r="D85" s="350"/>
      <c r="E85" s="348"/>
      <c r="F85" s="348"/>
      <c r="G85" s="348"/>
      <c r="H85" s="348"/>
      <c r="I85" s="32"/>
    </row>
    <row r="86" customFormat="false" ht="14.25" hidden="false" customHeight="false" outlineLevel="0" collapsed="false">
      <c r="A86" s="65"/>
      <c r="B86" s="65"/>
      <c r="C86" s="350"/>
      <c r="D86" s="350"/>
      <c r="E86" s="348"/>
      <c r="F86" s="348"/>
      <c r="G86" s="348"/>
      <c r="H86" s="348"/>
      <c r="I86" s="32"/>
    </row>
    <row r="87" customFormat="false" ht="14.25" hidden="false" customHeight="false" outlineLevel="0" collapsed="false">
      <c r="A87" s="65"/>
      <c r="B87" s="65"/>
      <c r="C87" s="350"/>
      <c r="D87" s="350"/>
      <c r="E87" s="348"/>
      <c r="F87" s="348"/>
      <c r="G87" s="348"/>
      <c r="H87" s="348"/>
      <c r="I87" s="32"/>
    </row>
    <row r="88" customFormat="false" ht="14.25" hidden="false" customHeight="false" outlineLevel="0" collapsed="false">
      <c r="A88" s="65"/>
      <c r="B88" s="65"/>
      <c r="C88" s="350"/>
      <c r="D88" s="350"/>
      <c r="E88" s="348"/>
      <c r="F88" s="348"/>
      <c r="G88" s="348"/>
      <c r="H88" s="348"/>
      <c r="I88" s="32"/>
    </row>
    <row r="89" customFormat="false" ht="14.25" hidden="false" customHeight="false" outlineLevel="0" collapsed="false">
      <c r="A89" s="65"/>
      <c r="B89" s="65"/>
      <c r="C89" s="350"/>
      <c r="D89" s="350"/>
      <c r="E89" s="348"/>
      <c r="F89" s="348"/>
      <c r="G89" s="348"/>
      <c r="H89" s="348"/>
      <c r="I89" s="32"/>
    </row>
    <row r="90" customFormat="false" ht="14.25" hidden="false" customHeight="false" outlineLevel="0" collapsed="false">
      <c r="A90" s="65"/>
      <c r="B90" s="65"/>
      <c r="C90" s="350"/>
      <c r="D90" s="350"/>
      <c r="E90" s="348"/>
      <c r="F90" s="348"/>
      <c r="G90" s="348"/>
      <c r="H90" s="348"/>
      <c r="I90" s="32"/>
    </row>
    <row r="91" customFormat="false" ht="14.25" hidden="false" customHeight="false" outlineLevel="0" collapsed="false">
      <c r="A91" s="65"/>
      <c r="B91" s="65"/>
      <c r="C91" s="350"/>
      <c r="D91" s="350"/>
      <c r="E91" s="348"/>
      <c r="F91" s="348"/>
      <c r="G91" s="348"/>
      <c r="H91" s="348"/>
      <c r="I91" s="32"/>
    </row>
    <row r="92" customFormat="false" ht="14.25" hidden="false" customHeight="false" outlineLevel="0" collapsed="false">
      <c r="A92" s="65"/>
      <c r="B92" s="65"/>
      <c r="C92" s="350"/>
      <c r="D92" s="350"/>
      <c r="E92" s="348"/>
      <c r="F92" s="348"/>
      <c r="G92" s="348"/>
      <c r="H92" s="348"/>
      <c r="I92" s="32"/>
    </row>
    <row r="93" customFormat="false" ht="14.25" hidden="false" customHeight="false" outlineLevel="0" collapsed="false">
      <c r="A93" s="65"/>
      <c r="B93" s="65"/>
      <c r="C93" s="350"/>
      <c r="D93" s="350"/>
      <c r="E93" s="348"/>
      <c r="F93" s="348"/>
      <c r="G93" s="348"/>
      <c r="H93" s="348"/>
      <c r="I93" s="32"/>
    </row>
    <row r="94" customFormat="false" ht="14.25" hidden="false" customHeight="false" outlineLevel="0" collapsed="false">
      <c r="A94" s="65"/>
      <c r="B94" s="65"/>
      <c r="C94" s="350"/>
      <c r="D94" s="350"/>
      <c r="E94" s="348"/>
      <c r="F94" s="348"/>
      <c r="G94" s="348"/>
      <c r="H94" s="348"/>
      <c r="I94" s="32"/>
    </row>
    <row r="95" customFormat="false" ht="14.25" hidden="false" customHeight="false" outlineLevel="0" collapsed="false">
      <c r="A95" s="65"/>
      <c r="B95" s="65"/>
      <c r="C95" s="350"/>
      <c r="D95" s="350"/>
      <c r="E95" s="348"/>
      <c r="F95" s="348"/>
      <c r="G95" s="348"/>
      <c r="H95" s="348"/>
      <c r="I95" s="32"/>
    </row>
    <row r="96" customFormat="false" ht="14.25" hidden="false" customHeight="false" outlineLevel="0" collapsed="false">
      <c r="A96" s="65"/>
      <c r="B96" s="65"/>
      <c r="C96" s="350"/>
      <c r="D96" s="350"/>
      <c r="E96" s="348"/>
      <c r="F96" s="348"/>
      <c r="G96" s="348"/>
      <c r="H96" s="348"/>
      <c r="I96" s="32"/>
    </row>
    <row r="97" customFormat="false" ht="14.25" hidden="false" customHeight="false" outlineLevel="0" collapsed="false">
      <c r="A97" s="65"/>
      <c r="B97" s="65"/>
      <c r="C97" s="350"/>
      <c r="D97" s="350"/>
      <c r="E97" s="348"/>
      <c r="F97" s="348"/>
      <c r="G97" s="348"/>
      <c r="H97" s="348"/>
      <c r="I97" s="32"/>
    </row>
    <row r="98" customFormat="false" ht="14.25" hidden="false" customHeight="false" outlineLevel="0" collapsed="false">
      <c r="A98" s="65"/>
      <c r="B98" s="65"/>
      <c r="C98" s="350"/>
      <c r="D98" s="350"/>
      <c r="E98" s="348"/>
      <c r="F98" s="348"/>
      <c r="G98" s="348"/>
      <c r="H98" s="348"/>
      <c r="I98" s="32"/>
    </row>
    <row r="99" customFormat="false" ht="14.25" hidden="false" customHeight="false" outlineLevel="0" collapsed="false">
      <c r="A99" s="65"/>
      <c r="B99" s="65"/>
      <c r="C99" s="350"/>
      <c r="D99" s="350"/>
      <c r="E99" s="348"/>
      <c r="F99" s="348"/>
      <c r="G99" s="348"/>
      <c r="H99" s="348"/>
      <c r="I99" s="32"/>
    </row>
    <row r="100" customFormat="false" ht="14.25" hidden="false" customHeight="false" outlineLevel="0" collapsed="false">
      <c r="A100" s="65"/>
      <c r="B100" s="65"/>
      <c r="C100" s="350"/>
      <c r="D100" s="350"/>
      <c r="E100" s="348"/>
      <c r="F100" s="348"/>
      <c r="G100" s="348"/>
      <c r="H100" s="348"/>
      <c r="I100" s="32"/>
    </row>
    <row r="101" customFormat="false" ht="14.25" hidden="false" customHeight="false" outlineLevel="0" collapsed="false">
      <c r="A101" s="65"/>
      <c r="B101" s="65"/>
      <c r="C101" s="350"/>
      <c r="D101" s="350"/>
      <c r="E101" s="348"/>
      <c r="F101" s="348"/>
      <c r="G101" s="348"/>
      <c r="H101" s="348"/>
      <c r="I101" s="32"/>
    </row>
    <row r="102" customFormat="false" ht="14.25" hidden="false" customHeight="false" outlineLevel="0" collapsed="false">
      <c r="A102" s="65"/>
      <c r="B102" s="65"/>
      <c r="C102" s="350"/>
      <c r="D102" s="350"/>
      <c r="E102" s="348"/>
      <c r="F102" s="348"/>
      <c r="G102" s="348"/>
      <c r="H102" s="348"/>
      <c r="I102" s="32"/>
    </row>
    <row r="103" customFormat="false" ht="14.25" hidden="false" customHeight="false" outlineLevel="0" collapsed="false">
      <c r="A103" s="65"/>
      <c r="B103" s="65"/>
      <c r="C103" s="350"/>
      <c r="D103" s="350"/>
      <c r="E103" s="348"/>
      <c r="F103" s="348"/>
      <c r="G103" s="348"/>
      <c r="H103" s="348"/>
      <c r="I103" s="32"/>
    </row>
    <row r="104" customFormat="false" ht="14.25" hidden="false" customHeight="false" outlineLevel="0" collapsed="false">
      <c r="A104" s="65"/>
      <c r="B104" s="65"/>
      <c r="C104" s="350"/>
      <c r="D104" s="350"/>
      <c r="E104" s="348"/>
      <c r="F104" s="348"/>
      <c r="G104" s="348"/>
      <c r="H104" s="348"/>
      <c r="I104" s="32"/>
    </row>
    <row r="105" customFormat="false" ht="14.25" hidden="false" customHeight="false" outlineLevel="0" collapsed="false">
      <c r="A105" s="65"/>
      <c r="B105" s="65"/>
      <c r="C105" s="350"/>
      <c r="D105" s="350"/>
      <c r="E105" s="348"/>
      <c r="F105" s="348"/>
      <c r="G105" s="348"/>
      <c r="H105" s="348"/>
      <c r="I105" s="32"/>
    </row>
    <row r="106" customFormat="false" ht="14.25" hidden="false" customHeight="false" outlineLevel="0" collapsed="false">
      <c r="A106" s="65"/>
      <c r="B106" s="65"/>
      <c r="C106" s="350"/>
      <c r="D106" s="350"/>
      <c r="E106" s="348"/>
      <c r="F106" s="348"/>
      <c r="G106" s="348"/>
      <c r="H106" s="348"/>
      <c r="I106" s="32"/>
    </row>
    <row r="107" customFormat="false" ht="14.25" hidden="false" customHeight="false" outlineLevel="0" collapsed="false">
      <c r="A107" s="65"/>
      <c r="B107" s="65"/>
      <c r="C107" s="350"/>
      <c r="D107" s="350"/>
      <c r="E107" s="348"/>
      <c r="F107" s="348"/>
      <c r="G107" s="348"/>
      <c r="H107" s="348"/>
      <c r="I107" s="32"/>
    </row>
    <row r="108" customFormat="false" ht="14.25" hidden="false" customHeight="false" outlineLevel="0" collapsed="false">
      <c r="A108" s="0"/>
      <c r="B108" s="30"/>
      <c r="C108" s="350"/>
      <c r="D108" s="350"/>
      <c r="E108" s="348"/>
      <c r="F108" s="348"/>
      <c r="G108" s="348"/>
      <c r="H108" s="348"/>
      <c r="I108" s="32"/>
    </row>
    <row r="109" customFormat="false" ht="14.25" hidden="false" customHeight="false" outlineLevel="0" collapsed="false">
      <c r="A109" s="0"/>
      <c r="B109" s="30"/>
      <c r="C109" s="350"/>
      <c r="D109" s="350"/>
      <c r="E109" s="348"/>
      <c r="F109" s="348"/>
      <c r="G109" s="348"/>
      <c r="H109" s="348"/>
      <c r="I109" s="32"/>
    </row>
    <row r="110" customFormat="false" ht="14.25" hidden="false" customHeight="false" outlineLevel="0" collapsed="false">
      <c r="A110" s="0"/>
      <c r="B110" s="30"/>
      <c r="C110" s="350"/>
      <c r="D110" s="350"/>
      <c r="E110" s="348"/>
      <c r="F110" s="348"/>
      <c r="G110" s="348"/>
      <c r="H110" s="348"/>
      <c r="I110" s="32"/>
    </row>
    <row r="111" customFormat="false" ht="14.25" hidden="false" customHeight="false" outlineLevel="0" collapsed="false">
      <c r="A111" s="0"/>
      <c r="B111" s="30"/>
      <c r="C111" s="350"/>
      <c r="D111" s="350"/>
      <c r="E111" s="348"/>
      <c r="F111" s="348"/>
      <c r="G111" s="348"/>
      <c r="H111" s="348"/>
      <c r="I111" s="32"/>
    </row>
    <row r="112" customFormat="false" ht="14.25" hidden="false" customHeight="false" outlineLevel="0" collapsed="false">
      <c r="A112" s="0"/>
      <c r="B112" s="30"/>
      <c r="C112" s="350"/>
      <c r="D112" s="350"/>
      <c r="E112" s="348"/>
      <c r="F112" s="348"/>
      <c r="G112" s="348"/>
      <c r="H112" s="348"/>
      <c r="I112" s="32"/>
    </row>
    <row r="113" customFormat="false" ht="14.25" hidden="false" customHeight="false" outlineLevel="0" collapsed="false">
      <c r="A113" s="0"/>
      <c r="B113" s="30"/>
      <c r="C113" s="350"/>
      <c r="D113" s="350"/>
      <c r="E113" s="348"/>
      <c r="F113" s="348"/>
      <c r="G113" s="348"/>
      <c r="H113" s="348"/>
      <c r="I113" s="32"/>
    </row>
    <row r="114" customFormat="false" ht="14.25" hidden="false" customHeight="false" outlineLevel="0" collapsed="false">
      <c r="A114" s="0"/>
      <c r="B114" s="30"/>
      <c r="C114" s="350"/>
      <c r="D114" s="350"/>
      <c r="E114" s="348"/>
      <c r="F114" s="348"/>
      <c r="G114" s="348"/>
      <c r="H114" s="348"/>
      <c r="I114" s="32"/>
    </row>
    <row r="115" customFormat="false" ht="14.25" hidden="false" customHeight="false" outlineLevel="0" collapsed="false">
      <c r="A115" s="0"/>
      <c r="B115" s="30"/>
      <c r="C115" s="350"/>
      <c r="D115" s="350"/>
      <c r="E115" s="348"/>
      <c r="F115" s="348"/>
      <c r="G115" s="348"/>
      <c r="H115" s="348"/>
      <c r="I115" s="32"/>
    </row>
    <row r="116" customFormat="false" ht="14.25" hidden="false" customHeight="false" outlineLevel="0" collapsed="false">
      <c r="A116" s="0"/>
      <c r="B116" s="30"/>
      <c r="C116" s="350"/>
      <c r="D116" s="350"/>
      <c r="E116" s="348"/>
      <c r="F116" s="348"/>
      <c r="G116" s="348"/>
      <c r="H116" s="348"/>
      <c r="I116" s="32"/>
    </row>
    <row r="117" customFormat="false" ht="14.25" hidden="false" customHeight="false" outlineLevel="0" collapsed="false">
      <c r="A117" s="0"/>
      <c r="B117" s="30"/>
      <c r="C117" s="350"/>
      <c r="D117" s="350"/>
      <c r="E117" s="348"/>
      <c r="F117" s="348"/>
      <c r="G117" s="348"/>
      <c r="H117" s="348"/>
      <c r="I117" s="32"/>
    </row>
    <row r="118" customFormat="false" ht="14.25" hidden="false" customHeight="false" outlineLevel="0" collapsed="false">
      <c r="A118" s="0"/>
      <c r="B118" s="30"/>
      <c r="C118" s="349"/>
      <c r="D118" s="349"/>
      <c r="E118" s="348"/>
      <c r="F118" s="348"/>
      <c r="G118" s="348"/>
      <c r="H118" s="348"/>
      <c r="I118" s="32"/>
    </row>
    <row r="119" customFormat="false" ht="14.25" hidden="false" customHeight="false" outlineLevel="0" collapsed="false">
      <c r="A119" s="0"/>
      <c r="B119" s="30"/>
      <c r="C119" s="349"/>
      <c r="D119" s="349"/>
      <c r="E119" s="348"/>
      <c r="F119" s="348"/>
      <c r="G119" s="348"/>
      <c r="H119" s="348"/>
      <c r="I119" s="32"/>
    </row>
    <row r="120" customFormat="false" ht="14.25" hidden="false" customHeight="false" outlineLevel="0" collapsed="false">
      <c r="A120" s="0"/>
      <c r="B120" s="30"/>
      <c r="C120" s="348"/>
      <c r="D120" s="349"/>
      <c r="E120" s="348"/>
      <c r="F120" s="348"/>
      <c r="G120" s="348"/>
      <c r="H120" s="348"/>
      <c r="I120" s="32"/>
    </row>
    <row r="121" customFormat="false" ht="14.25" hidden="false" customHeight="false" outlineLevel="0" collapsed="false">
      <c r="A121" s="0"/>
      <c r="B121" s="30"/>
      <c r="C121" s="348"/>
      <c r="D121" s="349"/>
      <c r="E121" s="348"/>
      <c r="F121" s="348"/>
      <c r="G121" s="348"/>
      <c r="H121" s="348"/>
      <c r="I121" s="32"/>
    </row>
    <row r="122" customFormat="false" ht="14.25" hidden="false" customHeight="false" outlineLevel="0" collapsed="false">
      <c r="A122" s="0"/>
      <c r="B122" s="30"/>
      <c r="C122" s="348"/>
      <c r="D122" s="349"/>
      <c r="E122" s="348"/>
      <c r="F122" s="348"/>
      <c r="G122" s="348"/>
      <c r="H122" s="348"/>
      <c r="I122" s="32"/>
    </row>
    <row r="123" customFormat="false" ht="14.25" hidden="false" customHeight="false" outlineLevel="0" collapsed="false">
      <c r="A123" s="0"/>
      <c r="B123" s="30"/>
      <c r="C123" s="348"/>
      <c r="D123" s="349"/>
      <c r="E123" s="348"/>
      <c r="F123" s="348"/>
      <c r="G123" s="348"/>
      <c r="H123" s="348"/>
      <c r="I123" s="32"/>
    </row>
    <row r="124" customFormat="false" ht="14.25" hidden="false" customHeight="false" outlineLevel="0" collapsed="false">
      <c r="A124" s="0"/>
      <c r="B124" s="30"/>
      <c r="C124" s="348"/>
      <c r="D124" s="349"/>
      <c r="E124" s="348"/>
      <c r="F124" s="348"/>
      <c r="G124" s="348"/>
      <c r="H124" s="348"/>
      <c r="I124" s="32"/>
    </row>
    <row r="125" customFormat="false" ht="14.25" hidden="false" customHeight="false" outlineLevel="0" collapsed="false">
      <c r="A125" s="0"/>
      <c r="B125" s="30"/>
      <c r="C125" s="348"/>
      <c r="D125" s="349"/>
      <c r="E125" s="348"/>
      <c r="F125" s="348"/>
      <c r="G125" s="348"/>
      <c r="H125" s="348"/>
      <c r="I125" s="32"/>
    </row>
    <row r="126" customFormat="false" ht="14.25" hidden="false" customHeight="false" outlineLevel="0" collapsed="false">
      <c r="A126" s="0"/>
      <c r="B126" s="30"/>
      <c r="C126" s="348"/>
      <c r="D126" s="349"/>
      <c r="E126" s="348"/>
      <c r="F126" s="348"/>
      <c r="G126" s="348"/>
      <c r="H126" s="348"/>
      <c r="I126" s="32"/>
    </row>
    <row r="127" customFormat="false" ht="14.25" hidden="false" customHeight="false" outlineLevel="0" collapsed="false">
      <c r="A127" s="0"/>
      <c r="B127" s="30"/>
      <c r="C127" s="348"/>
      <c r="D127" s="349"/>
      <c r="E127" s="348"/>
      <c r="F127" s="348"/>
      <c r="G127" s="348"/>
      <c r="H127" s="348"/>
      <c r="I127" s="32"/>
    </row>
    <row r="128" customFormat="false" ht="14.25" hidden="false" customHeight="false" outlineLevel="0" collapsed="false">
      <c r="A128" s="0"/>
      <c r="B128" s="30"/>
      <c r="C128" s="348"/>
      <c r="D128" s="349"/>
      <c r="E128" s="348"/>
      <c r="F128" s="348"/>
      <c r="G128" s="348"/>
      <c r="H128" s="348"/>
      <c r="I128" s="32"/>
    </row>
    <row r="129" customFormat="false" ht="14.25" hidden="false" customHeight="false" outlineLevel="0" collapsed="false">
      <c r="A129" s="0"/>
      <c r="B129" s="30"/>
      <c r="C129" s="348"/>
      <c r="D129" s="349"/>
      <c r="E129" s="348"/>
      <c r="F129" s="348"/>
      <c r="G129" s="348"/>
      <c r="H129" s="348"/>
      <c r="I129" s="32"/>
    </row>
    <row r="130" customFormat="false" ht="14.25" hidden="false" customHeight="false" outlineLevel="0" collapsed="false">
      <c r="A130" s="0"/>
      <c r="B130" s="30"/>
      <c r="C130" s="348"/>
      <c r="D130" s="349"/>
      <c r="E130" s="348"/>
      <c r="F130" s="348"/>
      <c r="G130" s="348"/>
      <c r="H130" s="348"/>
      <c r="I130" s="32"/>
    </row>
    <row r="131" customFormat="false" ht="14.25" hidden="false" customHeight="false" outlineLevel="0" collapsed="false">
      <c r="A131" s="0"/>
      <c r="B131" s="30"/>
      <c r="C131" s="348"/>
      <c r="D131" s="349"/>
      <c r="E131" s="348"/>
      <c r="F131" s="348"/>
      <c r="G131" s="348"/>
      <c r="H131" s="348"/>
      <c r="I131" s="32"/>
    </row>
    <row r="132" customFormat="false" ht="14.25" hidden="false" customHeight="false" outlineLevel="0" collapsed="false">
      <c r="A132" s="0"/>
      <c r="B132" s="30"/>
      <c r="C132" s="348"/>
      <c r="D132" s="349"/>
      <c r="E132" s="348"/>
      <c r="F132" s="348"/>
      <c r="G132" s="348"/>
      <c r="H132" s="348"/>
      <c r="I132" s="32"/>
    </row>
    <row r="133" customFormat="false" ht="14.25" hidden="false" customHeight="false" outlineLevel="0" collapsed="false">
      <c r="A133" s="0"/>
      <c r="B133" s="30"/>
      <c r="C133" s="348"/>
      <c r="D133" s="349"/>
      <c r="E133" s="348"/>
      <c r="F133" s="348"/>
      <c r="G133" s="348"/>
      <c r="H133" s="348"/>
      <c r="I133" s="32"/>
    </row>
    <row r="134" customFormat="false" ht="14.25" hidden="false" customHeight="false" outlineLevel="0" collapsed="false">
      <c r="A134" s="0"/>
      <c r="B134" s="30"/>
      <c r="C134" s="348"/>
      <c r="D134" s="349"/>
      <c r="E134" s="348"/>
      <c r="F134" s="348"/>
      <c r="G134" s="348"/>
      <c r="H134" s="348"/>
      <c r="I134" s="32"/>
    </row>
    <row r="135" customFormat="false" ht="14.25" hidden="false" customHeight="false" outlineLevel="0" collapsed="false">
      <c r="A135" s="0"/>
      <c r="B135" s="30"/>
      <c r="C135" s="348"/>
      <c r="D135" s="349"/>
      <c r="E135" s="348"/>
      <c r="F135" s="348"/>
      <c r="G135" s="348"/>
      <c r="H135" s="348"/>
      <c r="I135" s="32"/>
    </row>
    <row r="136" customFormat="false" ht="14.25" hidden="false" customHeight="false" outlineLevel="0" collapsed="false">
      <c r="A136" s="0"/>
      <c r="B136" s="30"/>
      <c r="C136" s="348"/>
      <c r="D136" s="349"/>
      <c r="E136" s="348"/>
      <c r="F136" s="348"/>
      <c r="G136" s="348"/>
      <c r="H136" s="348"/>
      <c r="I136" s="32"/>
    </row>
    <row r="137" customFormat="false" ht="14.25" hidden="false" customHeight="false" outlineLevel="0" collapsed="false">
      <c r="A137" s="0"/>
      <c r="B137" s="30"/>
      <c r="C137" s="348"/>
      <c r="D137" s="349"/>
      <c r="E137" s="348"/>
      <c r="F137" s="348"/>
      <c r="G137" s="348"/>
      <c r="H137" s="348"/>
      <c r="I137" s="32"/>
    </row>
    <row r="138" customFormat="false" ht="14.25" hidden="false" customHeight="false" outlineLevel="0" collapsed="false">
      <c r="A138" s="0"/>
      <c r="B138" s="30"/>
      <c r="C138" s="348"/>
      <c r="D138" s="349"/>
      <c r="E138" s="348"/>
      <c r="F138" s="348"/>
      <c r="G138" s="348"/>
      <c r="H138" s="348"/>
      <c r="I138" s="32"/>
    </row>
    <row r="139" customFormat="false" ht="14.25" hidden="false" customHeight="false" outlineLevel="0" collapsed="false">
      <c r="A139" s="0"/>
      <c r="B139" s="30"/>
      <c r="C139" s="348"/>
      <c r="D139" s="349"/>
      <c r="E139" s="348"/>
      <c r="F139" s="348"/>
      <c r="G139" s="348"/>
      <c r="H139" s="348"/>
      <c r="I139" s="32"/>
    </row>
    <row r="140" customFormat="false" ht="14.25" hidden="false" customHeight="false" outlineLevel="0" collapsed="false">
      <c r="A140" s="0"/>
      <c r="B140" s="30"/>
      <c r="C140" s="348"/>
      <c r="D140" s="349"/>
      <c r="E140" s="348"/>
      <c r="F140" s="348"/>
      <c r="G140" s="348"/>
      <c r="H140" s="348"/>
      <c r="I140" s="32"/>
    </row>
    <row r="141" customFormat="false" ht="14.25" hidden="false" customHeight="false" outlineLevel="0" collapsed="false">
      <c r="A141" s="0"/>
      <c r="B141" s="30"/>
      <c r="C141" s="348"/>
      <c r="D141" s="349"/>
      <c r="E141" s="348"/>
      <c r="F141" s="348"/>
      <c r="G141" s="348"/>
      <c r="H141" s="348"/>
      <c r="I141" s="32"/>
    </row>
    <row r="142" customFormat="false" ht="14.25" hidden="false" customHeight="false" outlineLevel="0" collapsed="false">
      <c r="A142" s="0"/>
      <c r="B142" s="30"/>
      <c r="C142" s="348"/>
      <c r="D142" s="349"/>
      <c r="E142" s="348"/>
      <c r="F142" s="348"/>
      <c r="G142" s="348"/>
      <c r="H142" s="348"/>
      <c r="I142" s="32"/>
    </row>
    <row r="143" customFormat="false" ht="14.25" hidden="false" customHeight="false" outlineLevel="0" collapsed="false">
      <c r="A143" s="0"/>
      <c r="B143" s="30"/>
      <c r="C143" s="348"/>
      <c r="D143" s="349"/>
      <c r="E143" s="348"/>
      <c r="F143" s="348"/>
      <c r="G143" s="348"/>
      <c r="H143" s="348"/>
      <c r="I143" s="32"/>
    </row>
    <row r="144" customFormat="false" ht="14.25" hidden="false" customHeight="false" outlineLevel="0" collapsed="false">
      <c r="A144" s="0"/>
      <c r="B144" s="30"/>
      <c r="C144" s="348"/>
      <c r="D144" s="349"/>
      <c r="E144" s="348"/>
      <c r="F144" s="348"/>
      <c r="G144" s="348"/>
      <c r="H144" s="348"/>
      <c r="I144" s="32"/>
    </row>
    <row r="145" customFormat="false" ht="14.25" hidden="false" customHeight="false" outlineLevel="0" collapsed="false">
      <c r="A145" s="0"/>
      <c r="B145" s="30"/>
      <c r="C145" s="348"/>
      <c r="D145" s="349"/>
      <c r="E145" s="348"/>
      <c r="F145" s="348"/>
      <c r="G145" s="348"/>
      <c r="H145" s="348"/>
      <c r="I145" s="32"/>
    </row>
    <row r="146" customFormat="false" ht="14.25" hidden="false" customHeight="false" outlineLevel="0" collapsed="false">
      <c r="A146" s="0"/>
      <c r="B146" s="30"/>
      <c r="C146" s="348"/>
      <c r="D146" s="349"/>
      <c r="E146" s="348"/>
      <c r="F146" s="348"/>
      <c r="G146" s="348"/>
      <c r="H146" s="348"/>
      <c r="I146" s="32"/>
    </row>
    <row r="147" customFormat="false" ht="14.25" hidden="false" customHeight="false" outlineLevel="0" collapsed="false">
      <c r="A147" s="0"/>
      <c r="B147" s="30"/>
      <c r="C147" s="348"/>
      <c r="D147" s="349"/>
      <c r="E147" s="348"/>
      <c r="F147" s="348"/>
      <c r="G147" s="348"/>
      <c r="H147" s="348"/>
      <c r="I147" s="32"/>
    </row>
    <row r="148" customFormat="false" ht="14.25" hidden="false" customHeight="false" outlineLevel="0" collapsed="false">
      <c r="A148" s="0"/>
      <c r="B148" s="30"/>
      <c r="C148" s="348"/>
      <c r="D148" s="349"/>
      <c r="E148" s="348"/>
      <c r="F148" s="348"/>
      <c r="G148" s="348"/>
      <c r="H148" s="348"/>
      <c r="I148" s="32"/>
    </row>
    <row r="149" customFormat="false" ht="14.25" hidden="false" customHeight="false" outlineLevel="0" collapsed="false">
      <c r="A149" s="256"/>
      <c r="B149" s="30"/>
      <c r="C149" s="348"/>
      <c r="D149" s="349"/>
      <c r="E149" s="348"/>
      <c r="F149" s="348"/>
      <c r="G149" s="348"/>
      <c r="H149" s="348"/>
      <c r="I149" s="32"/>
    </row>
    <row r="170" customFormat="false" ht="13.5" hidden="false" customHeight="false" outlineLevel="0" collapsed="false"/>
  </sheetData>
  <sheetProtection sheet="true" objects="true" scenarios="true"/>
  <mergeCells count="4">
    <mergeCell ref="B2:I2"/>
    <mergeCell ref="B3:I3"/>
    <mergeCell ref="B4:I6"/>
    <mergeCell ref="B7:I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picture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1996-10-14T23:33:28Z</dcterms:created>
  <dc:creator>Scholz, Kevin</dc:creator>
  <dc:description>v2.0.0</dc:description>
  <dc:language>en-IN</dc:language>
  <cp:lastModifiedBy/>
  <cp:lastPrinted>2014-06-23T17:59:16Z</cp:lastPrinted>
  <dcterms:modified xsi:type="dcterms:W3CDTF">2020-02-22T12:01:25Z</dcterms:modified>
  <cp:revision>4</cp:revision>
  <dc:subject/>
  <dc:title>EMIF Register Config</dc:title>
</cp:coreProperties>
</file>